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defaultThemeVersion="124226"/>
  <bookViews>
    <workbookView xWindow="4770" yWindow="-255" windowWidth="9990" windowHeight="6870" tabRatio="869"/>
  </bookViews>
  <sheets>
    <sheet name="metadata" sheetId="69" r:id="rId1"/>
    <sheet name="Part 1" sheetId="1" r:id="rId2"/>
    <sheet name="Part 2" sheetId="5" r:id="rId3"/>
    <sheet name="Part 3" sheetId="6" r:id="rId4"/>
    <sheet name="Part 4" sheetId="24" r:id="rId5"/>
    <sheet name="Part 5" sheetId="25" r:id="rId6"/>
    <sheet name="Data" sheetId="26" state="hidden" r:id="rId7"/>
    <sheet name="TierSplit" sheetId="27" state="hidden" r:id="rId8"/>
    <sheet name="Datasheet1" sheetId="64" r:id="rId9"/>
    <sheet name="Datasheet2" sheetId="65" r:id="rId10"/>
    <sheet name="Datasheet3" sheetId="66" r:id="rId11"/>
    <sheet name="Datasheet4" sheetId="67" r:id="rId12"/>
    <sheet name="Datasheet5" sheetId="68" r:id="rId13"/>
  </sheets>
  <externalReferences>
    <externalReference r:id="rId14"/>
    <externalReference r:id="rId15"/>
    <externalReference r:id="rId16"/>
  </externalReferences>
  <definedNames>
    <definedName name="_xlnm._FilterDatabase" localSheetId="7" hidden="1">TierSplit!$E$5:$R$332</definedName>
    <definedName name="Adur">[1]DATA!#REF!</definedName>
    <definedName name="BRprint1">#REF!</definedName>
    <definedName name="BRprint2">#REF!</definedName>
    <definedName name="CERDATA">'[2]Section A'!#REF!</definedName>
    <definedName name="CONTACT">'Part 1'!$L$15:$P$16</definedName>
    <definedName name="datanew">Data!$A$9:$C$335</definedName>
    <definedName name="datar" localSheetId="6">Data!$A$1:$C$336</definedName>
    <definedName name="datar">Data!$A$9:$C$335</definedName>
    <definedName name="detruse">#REF!</definedName>
    <definedName name="dtlruse">#REF!</definedName>
    <definedName name="LAcodes">#REF!</definedName>
    <definedName name="LAlist">[3]Data!$B$12:$B$338</definedName>
    <definedName name="numberhered">#REF!</definedName>
    <definedName name="_xlnm.Print_Area" localSheetId="6">Data!$A$1:$C$334</definedName>
    <definedName name="_xlnm.Print_Area" localSheetId="1">'Part 1'!$A$1:$Y$54</definedName>
    <definedName name="_xlnm.Print_Area" localSheetId="2">'Part 2'!$A$1:$V$73</definedName>
    <definedName name="_xlnm.Print_Area" localSheetId="3">'Part 3'!$A$1:$U$202</definedName>
    <definedName name="_xlnm.Print_Area" localSheetId="4">'Part 4'!$A$1:$V$118</definedName>
    <definedName name="_xlnm.Print_Area" localSheetId="5">'Part 5'!$A$1:$AD$84</definedName>
    <definedName name="_xlnm.Print_Area">'[2]Section A'!#REF!</definedName>
    <definedName name="_xlnm.Print_Titles" localSheetId="6">Data!$1:$7</definedName>
    <definedName name="_xlnm.Print_Titles" localSheetId="1">'Part 1'!$1:$9</definedName>
    <definedName name="_xlnm.Print_Titles" localSheetId="3">'Part 3'!$1:$14</definedName>
    <definedName name="_xlnm.Print_Titles" localSheetId="4">'Part 4'!$22:$27</definedName>
    <definedName name="_xlnm.Print_Titles" localSheetId="5">'Part 5'!$1:$4</definedName>
    <definedName name="Table">[3]Data!$A$12:$C$338</definedName>
    <definedName name="table1">#REF!</definedName>
    <definedName name="tiersplit" localSheetId="7">TierSplit!$A$6:$T$331</definedName>
    <definedName name="Validation">#REF!</definedName>
    <definedName name="zzz">#REF!</definedName>
  </definedNames>
  <calcPr calcId="145621"/>
</workbook>
</file>

<file path=xl/calcChain.xml><?xml version="1.0" encoding="utf-8"?>
<calcChain xmlns="http://schemas.openxmlformats.org/spreadsheetml/2006/main">
  <c r="N198" i="6" l="1"/>
  <c r="J198" i="6"/>
  <c r="N196" i="6"/>
  <c r="J196" i="6"/>
  <c r="N194" i="6"/>
  <c r="J194" i="6"/>
  <c r="N192" i="6"/>
  <c r="J192" i="6"/>
  <c r="N190" i="6"/>
  <c r="J190" i="6"/>
  <c r="N188" i="6"/>
  <c r="J188" i="6"/>
  <c r="N186" i="6"/>
  <c r="J186" i="6"/>
  <c r="N184" i="6"/>
  <c r="J184" i="6"/>
  <c r="N182" i="6"/>
  <c r="J182" i="6"/>
  <c r="N176" i="6"/>
  <c r="J176" i="6"/>
  <c r="N172" i="6"/>
  <c r="J172" i="6"/>
  <c r="N170" i="6"/>
  <c r="J170" i="6"/>
  <c r="N166" i="6"/>
  <c r="J166" i="6"/>
  <c r="N162" i="6"/>
  <c r="J162" i="6"/>
  <c r="N158" i="6"/>
  <c r="J158" i="6"/>
  <c r="N156" i="6"/>
  <c r="J156" i="6"/>
  <c r="N152" i="6"/>
  <c r="J152" i="6"/>
  <c r="N150" i="6"/>
  <c r="J150" i="6"/>
  <c r="N146" i="6"/>
  <c r="J146" i="6"/>
  <c r="N144" i="6"/>
  <c r="J144" i="6"/>
  <c r="N140" i="6"/>
  <c r="J140" i="6"/>
  <c r="N138" i="6"/>
  <c r="J138" i="6"/>
  <c r="N133" i="6"/>
  <c r="J133" i="6"/>
  <c r="N125" i="6"/>
  <c r="J125" i="6"/>
  <c r="N123" i="6"/>
  <c r="J123" i="6"/>
  <c r="N119" i="6"/>
  <c r="J119" i="6"/>
  <c r="N117" i="6"/>
  <c r="J117" i="6"/>
  <c r="N113" i="6"/>
  <c r="J113" i="6"/>
  <c r="N111" i="6"/>
  <c r="J111" i="6"/>
  <c r="N107" i="6"/>
  <c r="J107" i="6"/>
  <c r="N105" i="6"/>
  <c r="J105" i="6"/>
  <c r="N101" i="6"/>
  <c r="J101" i="6"/>
  <c r="N99" i="6"/>
  <c r="J99" i="6"/>
  <c r="N95" i="6"/>
  <c r="J95" i="6"/>
  <c r="N93" i="6"/>
  <c r="J93" i="6"/>
  <c r="N88" i="6"/>
  <c r="J88" i="6"/>
  <c r="N84" i="6"/>
  <c r="J84" i="6"/>
  <c r="N82" i="6"/>
  <c r="J82" i="6"/>
  <c r="N78" i="6"/>
  <c r="J78" i="6"/>
  <c r="N76" i="6"/>
  <c r="J76" i="6"/>
  <c r="N70" i="6"/>
  <c r="J70" i="6"/>
  <c r="N66" i="6"/>
  <c r="J66" i="6"/>
  <c r="N64" i="6"/>
  <c r="J64" i="6"/>
  <c r="N60" i="6"/>
  <c r="J60" i="6"/>
  <c r="N58" i="6"/>
  <c r="J58" i="6"/>
  <c r="N54" i="6"/>
  <c r="J54" i="6"/>
  <c r="N52" i="6"/>
  <c r="J52" i="6"/>
  <c r="N48" i="6"/>
  <c r="J48" i="6"/>
  <c r="N45" i="6"/>
  <c r="J45" i="6"/>
  <c r="L15" i="1" l="1"/>
  <c r="L16" i="1" l="1"/>
  <c r="W65" i="25" l="1"/>
  <c r="O65" i="25"/>
  <c r="S65" i="25"/>
  <c r="K53" i="1"/>
  <c r="K42" i="1"/>
  <c r="K32" i="1"/>
  <c r="K48" i="1"/>
  <c r="K36" i="1"/>
  <c r="K27" i="1"/>
  <c r="K22" i="1"/>
  <c r="K50" i="1"/>
  <c r="K39" i="1"/>
  <c r="K29" i="1"/>
  <c r="K44" i="1"/>
  <c r="K34" i="1"/>
  <c r="S13" i="25"/>
  <c r="K25" i="25"/>
  <c r="AA32" i="25"/>
  <c r="S34" i="25"/>
  <c r="O30" i="25"/>
  <c r="S81" i="25"/>
  <c r="W79" i="25"/>
  <c r="AA77" i="25"/>
  <c r="K77" i="25"/>
  <c r="O75" i="25"/>
  <c r="S72" i="25"/>
  <c r="W70" i="25"/>
  <c r="AA68" i="25"/>
  <c r="K68" i="25"/>
  <c r="O59" i="25"/>
  <c r="S57" i="25"/>
  <c r="W55" i="25"/>
  <c r="AA53" i="25"/>
  <c r="K53" i="25"/>
  <c r="O49" i="25"/>
  <c r="S47" i="25"/>
  <c r="W45" i="25"/>
  <c r="AA43" i="25"/>
  <c r="K43" i="25"/>
  <c r="O40" i="25"/>
  <c r="S38" i="25"/>
  <c r="W21" i="25"/>
  <c r="AA17" i="25"/>
  <c r="S29" i="24"/>
  <c r="G59" i="24"/>
  <c r="O57" i="24"/>
  <c r="K54" i="24"/>
  <c r="K49" i="24"/>
  <c r="K42" i="24"/>
  <c r="K33" i="24"/>
  <c r="S114" i="24"/>
  <c r="O112" i="24"/>
  <c r="K109" i="24"/>
  <c r="S105" i="24"/>
  <c r="O102" i="24"/>
  <c r="K100" i="24"/>
  <c r="S95" i="24"/>
  <c r="O93" i="24"/>
  <c r="K91" i="24"/>
  <c r="S86" i="24"/>
  <c r="O84" i="24"/>
  <c r="K81" i="24"/>
  <c r="S77" i="24"/>
  <c r="O74" i="24"/>
  <c r="K72" i="24"/>
  <c r="S67" i="24"/>
  <c r="O65" i="24"/>
  <c r="K63" i="24"/>
  <c r="S16" i="24"/>
  <c r="O14" i="24"/>
  <c r="R190" i="6"/>
  <c r="R182" i="6"/>
  <c r="R166" i="6"/>
  <c r="R152" i="6"/>
  <c r="R140" i="6"/>
  <c r="W13" i="25"/>
  <c r="K23" i="25"/>
  <c r="AA28" i="25"/>
  <c r="O32" i="25"/>
  <c r="O81" i="25"/>
  <c r="O79" i="25"/>
  <c r="O77" i="25"/>
  <c r="K75" i="25"/>
  <c r="K72" i="25"/>
  <c r="K70" i="25"/>
  <c r="AA59" i="25"/>
  <c r="AA57" i="25"/>
  <c r="AA55" i="25"/>
  <c r="W53" i="25"/>
  <c r="W49" i="25"/>
  <c r="W47" i="25"/>
  <c r="S45" i="25"/>
  <c r="S43" i="25"/>
  <c r="S40" i="25"/>
  <c r="O38" i="25"/>
  <c r="O21" i="25"/>
  <c r="K17" i="25"/>
  <c r="G57" i="24"/>
  <c r="S54" i="24"/>
  <c r="O49" i="24"/>
  <c r="K40" i="24"/>
  <c r="O116" i="24"/>
  <c r="S112" i="24"/>
  <c r="S107" i="24"/>
  <c r="K105" i="24"/>
  <c r="O100" i="24"/>
  <c r="O95" i="24"/>
  <c r="S91" i="24"/>
  <c r="K88" i="24"/>
  <c r="K84" i="24"/>
  <c r="O79" i="24"/>
  <c r="S74" i="24"/>
  <c r="S70" i="24"/>
  <c r="K67" i="24"/>
  <c r="O63" i="24"/>
  <c r="O16" i="24"/>
  <c r="R198" i="6"/>
  <c r="R192" i="6"/>
  <c r="R176" i="6"/>
  <c r="R158" i="6"/>
  <c r="R144" i="6"/>
  <c r="N128" i="6"/>
  <c r="R117" i="6"/>
  <c r="R105" i="6"/>
  <c r="R93" i="6"/>
  <c r="R78" i="6"/>
  <c r="R64" i="6"/>
  <c r="R52" i="6"/>
  <c r="N42" i="6"/>
  <c r="J40" i="6"/>
  <c r="R34" i="6"/>
  <c r="N32" i="6"/>
  <c r="J27" i="6"/>
  <c r="R21" i="6"/>
  <c r="N19" i="6"/>
  <c r="R17" i="6"/>
  <c r="O64" i="5"/>
  <c r="K59" i="5"/>
  <c r="O55" i="5"/>
  <c r="O50" i="5"/>
  <c r="K47" i="5"/>
  <c r="S37" i="5"/>
  <c r="W34" i="25"/>
  <c r="S32" i="25"/>
  <c r="W81" i="25"/>
  <c r="K79" i="25"/>
  <c r="W75" i="25"/>
  <c r="O72" i="25"/>
  <c r="W68" i="25"/>
  <c r="S59" i="25"/>
  <c r="K57" i="25"/>
  <c r="S53" i="25"/>
  <c r="K49" i="25"/>
  <c r="AA45" i="25"/>
  <c r="O43" i="25"/>
  <c r="AA38" i="25"/>
  <c r="S21" i="25"/>
  <c r="O29" i="24"/>
  <c r="S57" i="24"/>
  <c r="K51" i="24"/>
  <c r="K37" i="24"/>
  <c r="O114" i="24"/>
  <c r="O109" i="24"/>
  <c r="S102" i="24"/>
  <c r="O98" i="24"/>
  <c r="K93" i="24"/>
  <c r="O86" i="24"/>
  <c r="O81" i="24"/>
  <c r="K77" i="24"/>
  <c r="O70" i="24"/>
  <c r="K65" i="24"/>
  <c r="K19" i="24"/>
  <c r="R194" i="6"/>
  <c r="R172" i="6"/>
  <c r="R150" i="6"/>
  <c r="J130" i="6"/>
  <c r="R113" i="6"/>
  <c r="R99" i="6"/>
  <c r="R82" i="6"/>
  <c r="R60" i="6"/>
  <c r="R45" i="6"/>
  <c r="N40" i="6"/>
  <c r="N34" i="6"/>
  <c r="R27" i="6"/>
  <c r="J23" i="6"/>
  <c r="J19" i="6"/>
  <c r="S71" i="5"/>
  <c r="O59" i="5"/>
  <c r="K55" i="5"/>
  <c r="S50" i="5"/>
  <c r="K41" i="5"/>
  <c r="O35" i="5"/>
  <c r="K32" i="5"/>
  <c r="S27" i="5"/>
  <c r="O23" i="5"/>
  <c r="K18" i="5"/>
  <c r="O13" i="25"/>
  <c r="AA34" i="25"/>
  <c r="O34" i="25"/>
  <c r="K81" i="25"/>
  <c r="W77" i="25"/>
  <c r="S75" i="25"/>
  <c r="AA70" i="25"/>
  <c r="S68" i="25"/>
  <c r="K59" i="25"/>
  <c r="S55" i="25"/>
  <c r="O53" i="25"/>
  <c r="AA47" i="25"/>
  <c r="O45" i="25"/>
  <c r="AA40" i="25"/>
  <c r="O17" i="25"/>
  <c r="O28" i="25"/>
  <c r="S77" i="25"/>
  <c r="S70" i="25"/>
  <c r="W57" i="25"/>
  <c r="AA49" i="25"/>
  <c r="K45" i="25"/>
  <c r="W38" i="25"/>
  <c r="W17" i="25"/>
  <c r="G54" i="24"/>
  <c r="O47" i="24"/>
  <c r="S116" i="24"/>
  <c r="S109" i="24"/>
  <c r="K102" i="24"/>
  <c r="K95" i="24"/>
  <c r="O88" i="24"/>
  <c r="S79" i="24"/>
  <c r="S72" i="24"/>
  <c r="S65" i="24"/>
  <c r="K16" i="24"/>
  <c r="R170" i="6"/>
  <c r="R138" i="6"/>
  <c r="R119" i="6"/>
  <c r="R95" i="6"/>
  <c r="R70" i="6"/>
  <c r="R48" i="6"/>
  <c r="R37" i="6"/>
  <c r="R32" i="6"/>
  <c r="N23" i="6"/>
  <c r="N17" i="6"/>
  <c r="K64" i="5"/>
  <c r="S57" i="5"/>
  <c r="O47" i="5"/>
  <c r="K37" i="5"/>
  <c r="O32" i="5"/>
  <c r="O27" i="5"/>
  <c r="S18" i="5"/>
  <c r="K14" i="25"/>
  <c r="AA81" i="25"/>
  <c r="AA75" i="25"/>
  <c r="O70" i="25"/>
  <c r="O57" i="25"/>
  <c r="S49" i="25"/>
  <c r="W43" i="25"/>
  <c r="K38" i="25"/>
  <c r="S17" i="25"/>
  <c r="K57" i="24"/>
  <c r="K47" i="24"/>
  <c r="K116" i="24"/>
  <c r="O107" i="24"/>
  <c r="S100" i="24"/>
  <c r="S93" i="24"/>
  <c r="K86" i="24"/>
  <c r="K79" i="24"/>
  <c r="O72" i="24"/>
  <c r="S63" i="24"/>
  <c r="S14" i="24"/>
  <c r="R188" i="6"/>
  <c r="R162" i="6"/>
  <c r="R133" i="6"/>
  <c r="R111" i="6"/>
  <c r="R88" i="6"/>
  <c r="R66" i="6"/>
  <c r="R42" i="6"/>
  <c r="N37" i="6"/>
  <c r="J32" i="6"/>
  <c r="N21" i="6"/>
  <c r="J17" i="6"/>
  <c r="S64" i="5"/>
  <c r="S55" i="5"/>
  <c r="S41" i="5"/>
  <c r="S35" i="5"/>
  <c r="S29" i="5"/>
  <c r="K27" i="5"/>
  <c r="O18" i="5"/>
  <c r="AA30" i="25"/>
  <c r="AA79" i="25"/>
  <c r="AA72" i="25"/>
  <c r="O68" i="25"/>
  <c r="O55" i="25"/>
  <c r="O47" i="25"/>
  <c r="W40" i="25"/>
  <c r="AA21" i="25"/>
  <c r="K29" i="24"/>
  <c r="O54" i="24"/>
  <c r="K44" i="24"/>
  <c r="K114" i="24"/>
  <c r="K107" i="24"/>
  <c r="S98" i="24"/>
  <c r="O91" i="24"/>
  <c r="S84" i="24"/>
  <c r="O77" i="24"/>
  <c r="K70" i="24"/>
  <c r="S19" i="24"/>
  <c r="K14" i="24"/>
  <c r="R186" i="6"/>
  <c r="R156" i="6"/>
  <c r="R125" i="6"/>
  <c r="R107" i="6"/>
  <c r="R84" i="6"/>
  <c r="R58" i="6"/>
  <c r="J42" i="6"/>
  <c r="J37" i="6"/>
  <c r="N27" i="6"/>
  <c r="J21" i="6"/>
  <c r="O57" i="5"/>
  <c r="G55" i="5"/>
  <c r="O41" i="5"/>
  <c r="K35" i="5"/>
  <c r="O29" i="5"/>
  <c r="S23" i="5"/>
  <c r="AA23" i="25"/>
  <c r="S79" i="25"/>
  <c r="W72" i="25"/>
  <c r="W59" i="25"/>
  <c r="K55" i="25"/>
  <c r="K47" i="25"/>
  <c r="K40" i="25"/>
  <c r="K21" i="25"/>
  <c r="G29" i="24"/>
  <c r="O51" i="24"/>
  <c r="K35" i="24"/>
  <c r="K112" i="24"/>
  <c r="O105" i="24"/>
  <c r="K98" i="24"/>
  <c r="S88" i="24"/>
  <c r="S81" i="24"/>
  <c r="K74" i="24"/>
  <c r="O67" i="24"/>
  <c r="O19" i="24"/>
  <c r="R196" i="6"/>
  <c r="R123" i="6"/>
  <c r="R40" i="6"/>
  <c r="S69" i="5"/>
  <c r="S32" i="5"/>
  <c r="R184" i="6"/>
  <c r="R23" i="6"/>
  <c r="K23" i="5"/>
  <c r="R101" i="6"/>
  <c r="J34" i="6"/>
  <c r="K57" i="5"/>
  <c r="K29" i="5"/>
  <c r="R76" i="6"/>
  <c r="K50" i="5"/>
  <c r="R146" i="6"/>
  <c r="R54" i="6"/>
  <c r="R19" i="6"/>
  <c r="O37" i="5"/>
  <c r="AA34" i="1" l="1"/>
  <c r="AC34" i="1"/>
  <c r="AA48" i="1"/>
  <c r="AC48" i="1"/>
  <c r="AE34" i="1" l="1"/>
  <c r="AG34" i="1" s="1"/>
  <c r="AE48" i="1"/>
  <c r="AG48" i="1" s="1"/>
  <c r="C10" i="5" l="1"/>
  <c r="C8" i="24" l="1"/>
  <c r="C10" i="6"/>
  <c r="J24" i="24" l="1"/>
  <c r="N24" i="24"/>
  <c r="R24" i="24" l="1"/>
  <c r="J6" i="27" l="1"/>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U27" i="5" l="1"/>
  <c r="F1" i="25" l="1"/>
  <c r="G1" i="24"/>
  <c r="C7" i="25"/>
  <c r="K59" i="24" l="1"/>
  <c r="K51" i="1" l="1"/>
  <c r="O59" i="24"/>
  <c r="S59" i="24" l="1"/>
</calcChain>
</file>

<file path=xl/sharedStrings.xml><?xml version="1.0" encoding="utf-8"?>
<sst xmlns="http://schemas.openxmlformats.org/spreadsheetml/2006/main" count="12662" uniqueCount="1323">
  <si>
    <t>PART 2: COLLECTIBLE RATES AND DISREGARDED AMOUNTS</t>
  </si>
  <si>
    <t>Partially occupied hereditaments</t>
  </si>
  <si>
    <t>Empty premises</t>
  </si>
  <si>
    <t>"New Empty" properties</t>
  </si>
  <si>
    <t xml:space="preserve">This section shows the sums due to the billing authority, central government and major precepting authorities, along with the various accounting entries each authority will need to complete its financial statements. </t>
  </si>
  <si>
    <t>Column 5</t>
  </si>
  <si>
    <t>Central
Government</t>
  </si>
  <si>
    <t>Total</t>
  </si>
  <si>
    <t xml:space="preserve">1. Non-domestic rating income from rates retention scheme </t>
  </si>
  <si>
    <t>2. (less) qualifying relief in Enterprise Zones</t>
  </si>
  <si>
    <t>4. add: cost of collection allowance</t>
  </si>
  <si>
    <t>Balance Sheet</t>
  </si>
  <si>
    <t>Sums receivable / payable (ratepayers)</t>
  </si>
  <si>
    <t>Appeal adjustment</t>
  </si>
  <si>
    <t>Provision for appeals</t>
  </si>
  <si>
    <t>TRANSITIONAL PROTECTION PAYMENTS</t>
  </si>
  <si>
    <t>Cost of collection</t>
  </si>
  <si>
    <t>Renewable Energy Schemes</t>
  </si>
  <si>
    <t>SECTION 31 GRANTS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</si>
  <si>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</si>
  <si>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</si>
  <si>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</si>
  <si>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</si>
  <si>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</si>
  <si>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</si>
  <si>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</si>
  <si>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</si>
  <si>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</si>
  <si>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</si>
  <si>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</si>
  <si>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</si>
  <si>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</si>
  <si>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</si>
  <si>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</si>
  <si>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</si>
  <si>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</si>
  <si>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</si>
  <si>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</si>
  <si>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</si>
  <si>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</si>
  <si>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</si>
  <si>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</si>
  <si>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PART 3: RELIEFS</t>
  </si>
  <si>
    <t xml:space="preserve">of which: </t>
  </si>
  <si>
    <t xml:space="preserve">Select your local authority's name from this list: </t>
  </si>
  <si>
    <t>HARDSHIP RELIEF</t>
  </si>
  <si>
    <t>PART 5: ACCOUNTING SUMMARY</t>
  </si>
  <si>
    <t>Flooding relief</t>
  </si>
  <si>
    <t>COLLECTIBLE RATES</t>
  </si>
  <si>
    <t>COST OF COLLECTION (See Note A)</t>
  </si>
  <si>
    <r>
      <t>DEBTORS AND PRE-PAYMENTS</t>
    </r>
    <r>
      <rPr>
        <sz val="12"/>
        <rFont val="Arial"/>
        <family val="2"/>
      </rPr>
      <t xml:space="preserve"> (See Note D)</t>
    </r>
  </si>
  <si>
    <r>
      <t>Qualifying relief in Enterprise Zones</t>
    </r>
    <r>
      <rPr>
        <sz val="12"/>
        <rFont val="Arial"/>
        <family val="2"/>
      </rPr>
      <t xml:space="preserve"> (See Note L)</t>
    </r>
  </si>
  <si>
    <t>Designated Areas</t>
  </si>
  <si>
    <t>BA Area (exc. Designated Areas)
(exc. NDD &amp; EZ)</t>
  </si>
  <si>
    <t>BA Area (exc. Designated Areas)</t>
  </si>
  <si>
    <t>5. Net cost of transitional arrangments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</si>
  <si>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</si>
  <si>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</si>
  <si>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</si>
  <si>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</si>
  <si>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</si>
  <si>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</si>
  <si>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</si>
  <si>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</si>
  <si>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</si>
  <si>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</si>
  <si>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</si>
  <si>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Losses on Appeal</t>
  </si>
  <si>
    <t>10. sums retained by billing authority</t>
  </si>
  <si>
    <t>11. sums retained by major precepting authority</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</si>
  <si>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</si>
  <si>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</si>
  <si>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</si>
  <si>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</si>
  <si>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</si>
  <si>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</si>
  <si>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</si>
  <si>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</si>
  <si>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</si>
  <si>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</si>
  <si>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</si>
  <si>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</si>
  <si>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</si>
  <si>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</si>
  <si>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</si>
  <si>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</si>
  <si>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</si>
  <si>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BA Area (Exc. Designated Areas)</t>
  </si>
  <si>
    <t>Unoccupied Property Relief</t>
  </si>
  <si>
    <t>No.</t>
  </si>
  <si>
    <t>Local Authority</t>
  </si>
  <si>
    <t>Ecodes</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</si>
  <si>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</si>
  <si>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</si>
  <si>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</si>
  <si>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</si>
  <si>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</si>
  <si>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</si>
  <si>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</si>
  <si>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</si>
  <si>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</si>
  <si>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</si>
  <si>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</si>
  <si>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</si>
  <si>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</si>
  <si>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</si>
  <si>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</si>
  <si>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</si>
  <si>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</si>
  <si>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</si>
  <si>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</si>
  <si>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</si>
  <si>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</si>
  <si>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</si>
  <si>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</si>
  <si>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</si>
  <si>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</si>
  <si>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</si>
  <si>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</si>
  <si>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</si>
  <si>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</si>
  <si>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</si>
  <si>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</si>
  <si>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</si>
  <si>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</si>
  <si>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</si>
  <si>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</si>
  <si>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</si>
  <si>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</si>
  <si>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</si>
  <si>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</si>
  <si>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</si>
  <si>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</si>
  <si>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</si>
  <si>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</si>
  <si>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</si>
  <si>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</si>
  <si>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</si>
  <si>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</si>
  <si>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</si>
  <si>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</si>
  <si>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</si>
  <si>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</si>
  <si>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</si>
  <si>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</si>
  <si>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</si>
  <si>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</si>
  <si>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</si>
  <si>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</si>
  <si>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</si>
  <si>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</si>
  <si>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</si>
  <si>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</si>
  <si>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</si>
  <si>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</si>
  <si>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</si>
  <si>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</si>
  <si>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</si>
  <si>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</si>
  <si>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</si>
  <si>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</si>
  <si>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</si>
  <si>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</si>
  <si>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</si>
  <si>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</si>
  <si>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</si>
  <si>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</si>
  <si>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</si>
  <si>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</si>
  <si>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</si>
  <si>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</si>
  <si>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</si>
  <si>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</si>
  <si>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</si>
  <si>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</si>
  <si>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</si>
  <si>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</si>
  <si>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</si>
  <si>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</si>
  <si>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</si>
  <si>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</si>
  <si>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</si>
  <si>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</si>
  <si>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</si>
  <si>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</si>
  <si>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</si>
  <si>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</si>
  <si>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</si>
  <si>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</si>
  <si>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</si>
  <si>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</si>
  <si>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</si>
  <si>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</si>
  <si>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</si>
  <si>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</si>
  <si>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</si>
  <si>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</si>
  <si>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</si>
  <si>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</si>
  <si>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</si>
  <si>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</si>
  <si>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</si>
  <si>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</si>
  <si>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</si>
  <si>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</si>
  <si>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</si>
  <si>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</si>
  <si>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</si>
  <si>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</si>
  <si>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</si>
  <si>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</si>
  <si>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</si>
  <si>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</si>
  <si>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</si>
  <si>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</si>
  <si>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</si>
  <si>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</si>
  <si>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</si>
  <si>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</si>
  <si>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</si>
  <si>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</si>
  <si>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</si>
  <si>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</si>
  <si>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</si>
  <si>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</si>
  <si>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</si>
  <si>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</si>
  <si>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</si>
  <si>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</si>
  <si>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</si>
  <si>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</si>
  <si>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</si>
  <si>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</si>
  <si>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</si>
  <si>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</si>
  <si>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</si>
  <si>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</si>
  <si>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</si>
  <si>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</si>
  <si>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</si>
  <si>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</si>
  <si>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</si>
  <si>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</si>
  <si>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</si>
  <si>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</si>
  <si>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</si>
  <si>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</si>
  <si>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</si>
  <si>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</si>
  <si>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</si>
  <si>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</si>
  <si>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</si>
  <si>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</si>
  <si>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</si>
  <si>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</si>
  <si>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</si>
  <si>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</si>
  <si>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</si>
  <si>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</si>
  <si>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</si>
  <si>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</si>
  <si>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</si>
  <si>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</si>
  <si>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</si>
  <si>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</si>
  <si>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</si>
  <si>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</si>
  <si>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</si>
  <si>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</si>
  <si>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</si>
  <si>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</si>
  <si>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</si>
  <si>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</si>
  <si>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</si>
  <si>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</si>
  <si>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</si>
  <si>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</si>
  <si>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</si>
  <si>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</si>
  <si>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</si>
  <si>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</si>
  <si>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</si>
  <si>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</si>
  <si>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</si>
  <si>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</si>
  <si>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</si>
  <si>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</si>
  <si>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</si>
  <si>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</si>
  <si>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</si>
  <si>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</si>
  <si>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</si>
  <si>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</si>
  <si>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</si>
  <si>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</si>
  <si>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</si>
  <si>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</si>
  <si>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</si>
  <si>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</si>
  <si>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</si>
  <si>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</si>
  <si>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</si>
  <si>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</si>
  <si>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</si>
  <si>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</si>
  <si>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</si>
  <si>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</si>
  <si>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</si>
  <si>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</si>
  <si>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</si>
  <si>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</si>
  <si>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</si>
  <si>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</si>
  <si>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</si>
  <si>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</si>
  <si>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</si>
  <si>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</si>
  <si>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</si>
  <si>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</si>
  <si>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</si>
  <si>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</si>
  <si>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</si>
  <si>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</si>
  <si>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</si>
  <si>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</si>
  <si>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</si>
  <si>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</si>
  <si>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</si>
  <si>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</si>
  <si>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</si>
  <si>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</si>
  <si>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</si>
  <si>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</si>
  <si>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</si>
  <si>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</si>
  <si>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</si>
  <si>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</si>
  <si>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</si>
  <si>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</si>
  <si>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</si>
  <si>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</si>
  <si>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</si>
  <si>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</si>
  <si>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</si>
  <si>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</si>
  <si>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</si>
  <si>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</si>
  <si>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</si>
  <si>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</si>
  <si>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</si>
  <si>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</si>
  <si>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</si>
  <si>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</si>
  <si>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</si>
  <si>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</si>
  <si>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</si>
  <si>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</si>
  <si>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</si>
  <si>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</si>
  <si>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</si>
  <si>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</si>
  <si>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</si>
  <si>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</si>
  <si>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</si>
  <si>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</si>
  <si>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</si>
  <si>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</si>
  <si>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</si>
  <si>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</si>
  <si>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</si>
  <si>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</si>
  <si>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</si>
  <si>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</si>
  <si>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</si>
  <si>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</si>
  <si>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</si>
  <si>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</si>
  <si>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</si>
  <si>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</si>
  <si>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</si>
  <si>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</si>
  <si>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</si>
  <si>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</si>
  <si>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</si>
  <si>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</si>
  <si>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</si>
  <si>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</si>
  <si>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</si>
  <si>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</si>
  <si>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</si>
  <si>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</si>
  <si>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</si>
  <si>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</si>
  <si>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</si>
  <si>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</si>
  <si>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</si>
  <si>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</si>
  <si>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</si>
  <si>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</si>
  <si>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</si>
  <si>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</si>
  <si>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</si>
  <si>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</si>
  <si>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</si>
  <si>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</si>
  <si>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</si>
  <si>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</si>
  <si>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</si>
  <si>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</si>
  <si>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</si>
  <si>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</si>
  <si>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</si>
  <si>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</si>
  <si>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</si>
  <si>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</si>
  <si>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</si>
  <si>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</si>
  <si>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</si>
  <si>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</si>
  <si>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</si>
  <si>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</si>
  <si>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</si>
  <si>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</si>
  <si>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</si>
  <si>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</si>
  <si>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</si>
  <si>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</si>
  <si>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</si>
  <si>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</si>
  <si>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</si>
  <si>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</si>
  <si>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</si>
  <si>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</si>
  <si>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</si>
  <si>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</si>
  <si>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</si>
  <si>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</si>
  <si>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</si>
  <si>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</si>
  <si>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</si>
  <si>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</si>
  <si>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</si>
  <si>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</si>
  <si>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</si>
  <si>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</si>
  <si>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</si>
  <si>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</si>
  <si>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</si>
  <si>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</si>
  <si>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</si>
  <si>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</si>
  <si>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</si>
  <si>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</si>
  <si>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</si>
  <si>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</si>
  <si>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</si>
  <si>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</si>
  <si>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</si>
  <si>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</si>
  <si>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</si>
  <si>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</si>
  <si>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</si>
  <si>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</si>
  <si>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</si>
  <si>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</si>
  <si>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</si>
  <si>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</si>
  <si>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</si>
  <si>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</si>
  <si>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</si>
  <si>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</si>
  <si>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</si>
  <si>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</si>
  <si>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</si>
  <si>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</si>
  <si>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</si>
  <si>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</si>
  <si>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</si>
  <si>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</si>
  <si>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</si>
  <si>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</si>
  <si>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</si>
  <si>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</si>
  <si>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</si>
  <si>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</si>
  <si>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</si>
  <si>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</si>
  <si>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</si>
  <si>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</si>
  <si>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</si>
  <si>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</si>
  <si>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</si>
  <si>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</si>
  <si>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</si>
  <si>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</si>
  <si>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</si>
  <si>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</si>
  <si>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</si>
  <si>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</si>
  <si>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</si>
  <si>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</si>
  <si>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</si>
  <si>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</si>
  <si>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</si>
  <si>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</si>
  <si>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</si>
  <si>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</si>
  <si>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</si>
  <si>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</si>
  <si>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</si>
  <si>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</si>
  <si>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</si>
  <si>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</si>
  <si>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</si>
  <si>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</si>
  <si>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</si>
  <si>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</si>
  <si>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</si>
  <si>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</si>
  <si>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</si>
  <si>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</si>
  <si>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</si>
  <si>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</si>
  <si>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</si>
  <si>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</si>
  <si>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</si>
  <si>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</si>
  <si>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</si>
  <si>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</si>
  <si>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</si>
  <si>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</si>
  <si>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</si>
  <si>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</si>
  <si>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</si>
  <si>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</si>
  <si>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</si>
  <si>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</si>
  <si>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</si>
  <si>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</si>
  <si>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</si>
  <si>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</si>
  <si>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</si>
  <si>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</si>
  <si>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</si>
  <si>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</si>
  <si>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</si>
  <si>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</si>
  <si>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</si>
  <si>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</si>
  <si>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</si>
  <si>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</si>
  <si>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</si>
  <si>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</si>
  <si>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</si>
  <si>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</si>
  <si>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</si>
  <si>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</si>
  <si>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</si>
  <si>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</si>
  <si>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</si>
  <si>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</si>
  <si>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</si>
  <si>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</si>
  <si>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</si>
  <si>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</si>
  <si>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</si>
  <si>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</si>
  <si>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</si>
  <si>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</si>
  <si>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</si>
  <si>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</si>
  <si>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</si>
  <si>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</si>
  <si>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</si>
  <si>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</si>
  <si>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</si>
  <si>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</si>
  <si>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</si>
  <si>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</si>
  <si>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</si>
  <si>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</si>
  <si>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</si>
  <si>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</si>
  <si>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</si>
  <si>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</si>
  <si>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</si>
  <si>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</si>
  <si>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</si>
  <si>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</si>
  <si>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</si>
  <si>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</si>
  <si>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</si>
  <si>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</si>
  <si>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</si>
  <si>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</si>
  <si>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</si>
  <si>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</si>
  <si>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</si>
  <si>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</si>
  <si>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</si>
  <si>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</si>
  <si>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</si>
  <si>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</si>
  <si>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</si>
  <si>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</si>
  <si>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</si>
  <si>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</si>
  <si>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</si>
  <si>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</si>
  <si>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</si>
  <si>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</si>
  <si>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</si>
  <si>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</si>
  <si>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</si>
  <si>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</si>
  <si>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</si>
  <si>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</si>
  <si>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</si>
  <si>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</si>
  <si>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</si>
  <si>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</si>
  <si>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</si>
  <si>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</si>
  <si>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</si>
  <si>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</si>
  <si>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</si>
  <si>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</si>
  <si>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</si>
  <si>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</si>
  <si>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</si>
  <si>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</si>
  <si>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</si>
  <si>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</si>
  <si>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</si>
  <si>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</si>
  <si>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</si>
  <si>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</si>
  <si>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</si>
  <si>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</si>
  <si>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</si>
  <si>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</si>
  <si>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</si>
  <si>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</si>
  <si>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</si>
  <si>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</si>
  <si>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</si>
  <si>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</si>
  <si>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</si>
  <si>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</si>
  <si>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</si>
  <si>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</si>
  <si>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</si>
  <si>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</si>
  <si>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</si>
  <si>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</si>
  <si>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</si>
  <si>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</si>
  <si>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</si>
  <si>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</si>
  <si>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</si>
  <si>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</si>
  <si>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</si>
  <si>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</si>
  <si>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</si>
  <si>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</si>
  <si>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</si>
  <si>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</si>
  <si>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</si>
  <si>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</si>
  <si>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</si>
  <si>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</si>
  <si>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</si>
  <si>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</si>
  <si>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</si>
  <si>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</si>
  <si>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</si>
  <si>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</si>
  <si>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</si>
  <si>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</si>
  <si>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</si>
  <si>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</si>
  <si>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</si>
  <si>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</si>
  <si>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</si>
  <si>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</si>
  <si>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</si>
  <si>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</si>
  <si>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</si>
  <si>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</si>
  <si>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</si>
  <si>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</si>
  <si>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</si>
  <si>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</si>
  <si>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</si>
  <si>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</si>
  <si>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</si>
  <si>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</si>
  <si>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</si>
  <si>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</si>
  <si>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</si>
  <si>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</si>
  <si>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</si>
  <si>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</si>
  <si>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</si>
  <si>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</si>
  <si>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</si>
  <si>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</si>
  <si>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</si>
  <si>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</si>
  <si>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</si>
  <si>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</si>
  <si>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</si>
  <si>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</si>
  <si>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</si>
  <si>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</si>
  <si>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</si>
  <si>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</si>
  <si>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</si>
  <si>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</si>
  <si>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</si>
  <si>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</si>
  <si>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</si>
  <si>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</si>
  <si>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</si>
  <si>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</si>
  <si>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</si>
  <si>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</si>
  <si>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</si>
  <si>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</si>
  <si>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</si>
  <si>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</si>
  <si>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</si>
  <si>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</si>
  <si>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</si>
  <si>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</si>
  <si>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</si>
  <si>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</si>
  <si>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</si>
  <si>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</si>
  <si>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</si>
  <si>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</si>
  <si>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</si>
  <si>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</si>
  <si>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</si>
  <si>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</si>
  <si>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</si>
  <si>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North Yorkshire Fire Authority</t>
  </si>
  <si>
    <t>E6127</t>
  </si>
  <si>
    <t>UA</t>
  </si>
  <si>
    <t>NA</t>
  </si>
  <si>
    <t>York UA</t>
  </si>
  <si>
    <t>Hereford and Worcester Fire Authority</t>
  </si>
  <si>
    <t>E6118</t>
  </si>
  <si>
    <t>Worcestershire</t>
  </si>
  <si>
    <t>E1821</t>
  </si>
  <si>
    <t>Lancashire Fire Authority</t>
  </si>
  <si>
    <t>E6123</t>
  </si>
  <si>
    <t>Lancashire</t>
  </si>
  <si>
    <t>E2321</t>
  </si>
  <si>
    <t>Buckinghamshire Fire Authority</t>
  </si>
  <si>
    <t>E6104</t>
  </si>
  <si>
    <t>Buckinghamshire</t>
  </si>
  <si>
    <t>E0421</t>
  </si>
  <si>
    <t>County</t>
  </si>
  <si>
    <t>West Sussex</t>
  </si>
  <si>
    <t>E3820</t>
  </si>
  <si>
    <t>West Midlands Fire</t>
  </si>
  <si>
    <t>E6146</t>
  </si>
  <si>
    <t>MD</t>
  </si>
  <si>
    <t>Berkshire Fire Authority</t>
  </si>
  <si>
    <t>E6103</t>
  </si>
  <si>
    <t>Wokingham UA</t>
  </si>
  <si>
    <t>Surrey</t>
  </si>
  <si>
    <t>E3620</t>
  </si>
  <si>
    <t>Merseyside Fire</t>
  </si>
  <si>
    <t>E6143</t>
  </si>
  <si>
    <t>Windsor &amp; Maidenhead UA</t>
  </si>
  <si>
    <t>Hampshire Fire Authority</t>
  </si>
  <si>
    <t>E6117</t>
  </si>
  <si>
    <t>Hampshire</t>
  </si>
  <si>
    <t>E1721</t>
  </si>
  <si>
    <t>Wiltshire Fire Authority</t>
  </si>
  <si>
    <t>E6139</t>
  </si>
  <si>
    <t>Greater Manchester Fire</t>
  </si>
  <si>
    <t>E6142</t>
  </si>
  <si>
    <t>Dorset Fire Authority</t>
  </si>
  <si>
    <t>E6112</t>
  </si>
  <si>
    <t>Dorset</t>
  </si>
  <si>
    <t>E1221</t>
  </si>
  <si>
    <t>Weymouth &amp; Portland</t>
  </si>
  <si>
    <t>Greater London Authority</t>
  </si>
  <si>
    <t>E5100</t>
  </si>
  <si>
    <t>Devon and Somerset Fire Authority</t>
  </si>
  <si>
    <t>E6161</t>
  </si>
  <si>
    <t>Somerset</t>
  </si>
  <si>
    <t>E3320</t>
  </si>
  <si>
    <t>Oxfordshire</t>
  </si>
  <si>
    <t>E3120</t>
  </si>
  <si>
    <t>Lincolnshire</t>
  </si>
  <si>
    <t>E2520</t>
  </si>
  <si>
    <t>Devon</t>
  </si>
  <si>
    <t>E1121</t>
  </si>
  <si>
    <t>West Berkshire UA</t>
  </si>
  <si>
    <t>Hertfordshire</t>
  </si>
  <si>
    <t>E1920</t>
  </si>
  <si>
    <t>Northamptonshire</t>
  </si>
  <si>
    <t>E2820</t>
  </si>
  <si>
    <t>East Sussex Fire Authority</t>
  </si>
  <si>
    <t>E6114</t>
  </si>
  <si>
    <t>East Sussex</t>
  </si>
  <si>
    <t>E1421</t>
  </si>
  <si>
    <t>Suffolk</t>
  </si>
  <si>
    <t>E3520</t>
  </si>
  <si>
    <t>Warwickshire</t>
  </si>
  <si>
    <t>E3720</t>
  </si>
  <si>
    <t>Cheshire Fire Authority</t>
  </si>
  <si>
    <t>E6106</t>
  </si>
  <si>
    <t>Warrington UA</t>
  </si>
  <si>
    <t>West Yorkshire Fire</t>
  </si>
  <si>
    <t>E6147</t>
  </si>
  <si>
    <t>Essex Fire Authority</t>
  </si>
  <si>
    <t>E6115</t>
  </si>
  <si>
    <t>Essex</t>
  </si>
  <si>
    <t>E1521</t>
  </si>
  <si>
    <t>Kent Fire Authority</t>
  </si>
  <si>
    <t>E6122</t>
  </si>
  <si>
    <t>Kent</t>
  </si>
  <si>
    <t>E2221</t>
  </si>
  <si>
    <t>Torbay UA</t>
  </si>
  <si>
    <t>Tonbridge &amp; Malling</t>
  </si>
  <si>
    <t>Thurrock UA</t>
  </si>
  <si>
    <t>Gloucestershire</t>
  </si>
  <si>
    <t>E1620</t>
  </si>
  <si>
    <t>Shropshire Fire Authority</t>
  </si>
  <si>
    <t>E6132</t>
  </si>
  <si>
    <t>Telford &amp; Wrekin UA</t>
  </si>
  <si>
    <t>Staffordshire Fire Authority</t>
  </si>
  <si>
    <t>E6134</t>
  </si>
  <si>
    <t>Staffordshire</t>
  </si>
  <si>
    <t>E3421</t>
  </si>
  <si>
    <t>Swindon UA</t>
  </si>
  <si>
    <t>Tyne and Wear Fire</t>
  </si>
  <si>
    <t>E6145</t>
  </si>
  <si>
    <t>Stoke-on-Trent UA</t>
  </si>
  <si>
    <t>Cleveland Fire Authority</t>
  </si>
  <si>
    <t>E6107</t>
  </si>
  <si>
    <t>Stockton-on-Tees UA</t>
  </si>
  <si>
    <t>Southend-on-Sea UA</t>
  </si>
  <si>
    <t>Southampton UA</t>
  </si>
  <si>
    <t>Norfolk</t>
  </si>
  <si>
    <t>E2620</t>
  </si>
  <si>
    <t>Cumbria</t>
  </si>
  <si>
    <t>E0920</t>
  </si>
  <si>
    <t>Avon Fire Authority</t>
  </si>
  <si>
    <t>E6101</t>
  </si>
  <si>
    <t>South Gloucestershire UA</t>
  </si>
  <si>
    <t>Derbyshire Fire Authority</t>
  </si>
  <si>
    <t>E6110</t>
  </si>
  <si>
    <t>Derbyshire</t>
  </si>
  <si>
    <t>E1021</t>
  </si>
  <si>
    <t>Cambridgeshire Fire Authority</t>
  </si>
  <si>
    <t>E6105</t>
  </si>
  <si>
    <t>Cambridgeshire</t>
  </si>
  <si>
    <t>E0521</t>
  </si>
  <si>
    <t>Slough UA</t>
  </si>
  <si>
    <t>South Yorkshire Fire</t>
  </si>
  <si>
    <t>E6144</t>
  </si>
  <si>
    <t>North Yorkshire</t>
  </si>
  <si>
    <t>E2721</t>
  </si>
  <si>
    <t>Leicestershire Fire Authority</t>
  </si>
  <si>
    <t>E6124</t>
  </si>
  <si>
    <t>Rutland UA</t>
  </si>
  <si>
    <t>Nottinghamshire Fire Authority</t>
  </si>
  <si>
    <t>E6130</t>
  </si>
  <si>
    <t>Nottinghamshire</t>
  </si>
  <si>
    <t>E3021</t>
  </si>
  <si>
    <t>Richmond-upon-Thames</t>
  </si>
  <si>
    <t>Reigate &amp; Banstead</t>
  </si>
  <si>
    <t>Redcar &amp; Cleveland UA</t>
  </si>
  <si>
    <t>Reading UA</t>
  </si>
  <si>
    <t>Portsmouth UA</t>
  </si>
  <si>
    <t>Poole UA</t>
  </si>
  <si>
    <t>Plymouth UA</t>
  </si>
  <si>
    <t>Peterborough UA</t>
  </si>
  <si>
    <t>Leicestershire</t>
  </si>
  <si>
    <t>E2421</t>
  </si>
  <si>
    <t>Oadby &amp; Wigston</t>
  </si>
  <si>
    <t>Nuneaton &amp; Bedworth</t>
  </si>
  <si>
    <t>Nottingham UA</t>
  </si>
  <si>
    <t>North Somerset UA</t>
  </si>
  <si>
    <t>Humberside Fire Authority</t>
  </si>
  <si>
    <t>E6120</t>
  </si>
  <si>
    <t>North Lincolnshire UA</t>
  </si>
  <si>
    <t>North East Lincolnshire UA</t>
  </si>
  <si>
    <t>Newark &amp; Sherwood</t>
  </si>
  <si>
    <t>Milton Keynes UA</t>
  </si>
  <si>
    <t>Middlesbrough UA</t>
  </si>
  <si>
    <t>Medway UA</t>
  </si>
  <si>
    <t>Bedfordshire Fire Authority</t>
  </si>
  <si>
    <t>E6102</t>
  </si>
  <si>
    <t>Luton UA</t>
  </si>
  <si>
    <t>Leicester UA</t>
  </si>
  <si>
    <t>Kingston-upon-Thames</t>
  </si>
  <si>
    <t>Kingston-upon-Hull UA</t>
  </si>
  <si>
    <t>King's Lynn &amp; West Norfolk</t>
  </si>
  <si>
    <t>Kensington &amp; Chelsea</t>
  </si>
  <si>
    <t>Isle of Wight Council UA</t>
  </si>
  <si>
    <t>Hinckley &amp; Bosworth</t>
  </si>
  <si>
    <t>Herefordshire UA</t>
  </si>
  <si>
    <t>Hartlepool UA</t>
  </si>
  <si>
    <t>Hammersmith &amp; Fulham</t>
  </si>
  <si>
    <t>Halton UA</t>
  </si>
  <si>
    <t>East Riding of Yorkshire UA</t>
  </si>
  <si>
    <t>Durham Fire Authority</t>
  </si>
  <si>
    <t>E6113</t>
  </si>
  <si>
    <t>Derby UA</t>
  </si>
  <si>
    <t>Darlington UA</t>
  </si>
  <si>
    <t>GLA - functions exc police</t>
  </si>
  <si>
    <t>E51np</t>
  </si>
  <si>
    <t>Cheshire West and Chester UA</t>
  </si>
  <si>
    <t>Bristol UA</t>
  </si>
  <si>
    <t>Brighton &amp; Hove UA</t>
  </si>
  <si>
    <t>Bracknell Forest UA</t>
  </si>
  <si>
    <t>Bournemouth UA</t>
  </si>
  <si>
    <t>Blackpool UA</t>
  </si>
  <si>
    <t>Blackburn with Darwen UA</t>
  </si>
  <si>
    <t>Bath &amp; North East Somerset UA</t>
  </si>
  <si>
    <t>Barking &amp; Dagenham</t>
  </si>
  <si>
    <t>Upper tier = UA, MD or GLA</t>
  </si>
  <si>
    <t>Baseline figures for Designated Areas</t>
  </si>
  <si>
    <t>Energy (Pt 1)</t>
  </si>
  <si>
    <t>5 year spread
value (£)</t>
  </si>
  <si>
    <t>5 year spread</t>
  </si>
  <si>
    <t>Names of Designated Areas</t>
  </si>
  <si>
    <t>Designated Area</t>
  </si>
  <si>
    <t>Sum</t>
  </si>
  <si>
    <t>Final fire proportion</t>
  </si>
  <si>
    <t>Fire</t>
  </si>
  <si>
    <t>Final upper tier</t>
  </si>
  <si>
    <t>Upper tier</t>
  </si>
  <si>
    <t xml:space="preserve"> Billing proportion</t>
  </si>
  <si>
    <t>Billing authority</t>
  </si>
  <si>
    <t>Linking billing authorities with their precepting authorities</t>
  </si>
  <si>
    <t>% of non-domestic rating income to be allocated to each authority</t>
  </si>
  <si>
    <t>15. Sum due to (+) / from (-) authority (line 13 minus line 14)</t>
  </si>
  <si>
    <t>Total
(All BA Area)</t>
  </si>
  <si>
    <t>Column 0</t>
  </si>
  <si>
    <t>Total Cost of Reliefs</t>
  </si>
  <si>
    <t>13. Amount deducted from central share and retained by authorities</t>
  </si>
  <si>
    <t>14. Amount deducted/retained (based on NNDR1)</t>
  </si>
  <si>
    <t>PART 4A: TRANSITIONAL PROTECTION PAYMENTS</t>
  </si>
  <si>
    <t xml:space="preserve">6. add: amounts retained in respect of renewable energy schemes </t>
  </si>
  <si>
    <t>7. add: qualifying relief in Enterprise Zones</t>
  </si>
  <si>
    <t>11. Amounts charged to allowances</t>
  </si>
  <si>
    <t>12. Change in allowance (charged to Collection Fund)</t>
  </si>
  <si>
    <t>15. Amounts charged to provision</t>
  </si>
  <si>
    <t>16. Change in provision (charged to Collection Fund)</t>
  </si>
  <si>
    <t xml:space="preserve">3. Sum due to (+) / from (-) authority (line 1 minus line 2) </t>
  </si>
  <si>
    <t>9. Sum due to (+) / from (-) billing authority (line 7 minus line 8)</t>
  </si>
  <si>
    <r>
      <t>PART 4B: RECONCILIATIONS</t>
    </r>
    <r>
      <rPr>
        <sz val="12"/>
        <rFont val="Arial"/>
        <family val="2"/>
      </rPr>
      <t xml:space="preserve"> (See Note K)</t>
    </r>
  </si>
  <si>
    <t>6. Sum due to (+) / from (-) billing authority (line 4 minus line 5)</t>
  </si>
  <si>
    <t>12. Sum due to (+) / from (-) authority (line 10 minus line 11)</t>
  </si>
  <si>
    <t>18. Sum due to (+) / from (-) authority (line 16 minus line 17)</t>
  </si>
  <si>
    <t>21. Sum due to (+) / from (-) authority (line 19 minus line 20)</t>
  </si>
  <si>
    <t>27. Sum due to (+) / from (-) authority (line 25 minus line 26)</t>
  </si>
  <si>
    <t>30. Sum due to (+) / from (-) authority (line 28 minus line 29)</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</si>
  <si>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</si>
  <si>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</si>
  <si>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</si>
  <si>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</si>
  <si>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</si>
  <si>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</si>
  <si>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</si>
  <si>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12. Line 1 plus line 2, minus lines 3 and 6 - 9</t>
  </si>
  <si>
    <t>1. Sum payable by rate payers after taking account of transitional adjustments, empty property rate, mandatory and discretionary reliefs</t>
  </si>
  <si>
    <t>2. (Less) Interest paid on refunds to ratepayers</t>
  </si>
  <si>
    <t>2. Revenue foregone in respect of previous years' liability</t>
  </si>
  <si>
    <t>4. Additional income received in respect of previous years' liability</t>
  </si>
  <si>
    <t xml:space="preserve">TOTAL: </t>
  </si>
  <si>
    <t>8. Sums outstanding from ratepayers</t>
  </si>
  <si>
    <t xml:space="preserve">Used in </t>
  </si>
  <si>
    <t>24. Sum due to (+) / from (-) authority (line 22 minus line 23)</t>
  </si>
  <si>
    <t xml:space="preserve"> 2015-16</t>
  </si>
  <si>
    <t>1. Revenue foregone in respect of 2015-16 liability</t>
  </si>
  <si>
    <t>3. Additional income received in respect of 2015-16 liability</t>
  </si>
  <si>
    <t>6. Amount of relief provided in 2015-16</t>
  </si>
  <si>
    <t>1. Transitional protection payment due to (+) / from (-) the authority for 2015-16</t>
  </si>
  <si>
    <t>2. Payment on account received by authority (+), or paid by the authority (-) (based on NNDR1 2015-16)</t>
  </si>
  <si>
    <t>4. Amount to be retained by billing authority in 2015-16</t>
  </si>
  <si>
    <t>7. Amount to be retained by billing authority in 2015-16</t>
  </si>
  <si>
    <t>10. Amount to be retained by authority in 2015-16</t>
  </si>
  <si>
    <t>16. Amount due to authority in 2015-16 as a result of doubling SBRR</t>
  </si>
  <si>
    <t>17. Amount provisionally paid (based on NNDR1 2015-16 [Part 1C])</t>
  </si>
  <si>
    <t xml:space="preserve"> 2015 -16</t>
  </si>
  <si>
    <t>22. Amount due to authority in 2015-16 in respect of discretionary relief given to ratepayers</t>
  </si>
  <si>
    <t>23. Amount provisionally paid (based on NNDR1 2015-16 [Part 1C])</t>
  </si>
  <si>
    <t>19. Amount due to authority in 2015-16 in respect of discretionary relief given to ratepayers</t>
  </si>
  <si>
    <t>20. Amount provisionally paid (based on NNDR1 2015-16 [Part 1C])</t>
  </si>
  <si>
    <t>25. Amount due to authority in 2015-16 in respect of discretionary relief given to ratepayers</t>
  </si>
  <si>
    <t>26. Amount provisionally paid (based on NNDR1 2015-16 [Part 1C])</t>
  </si>
  <si>
    <t>28. Amount due to authority in 2015-16 in respect of discretionary relief given to ratepayers</t>
  </si>
  <si>
    <t>29. Amount provisionally paid (based on NNDR1 2015-16 [Part 1C])</t>
  </si>
  <si>
    <t xml:space="preserve">31. Amount due to authority in 2015-16 in respect of discretionary relief given to ratepayers </t>
  </si>
  <si>
    <t>In lieu of Transitional Relief</t>
  </si>
  <si>
    <t>Non-Domestic Rating Income for 2015-16</t>
  </si>
  <si>
    <t>Other Income for 2015-16</t>
  </si>
  <si>
    <t>10. Opening balance as at 1 April 2015</t>
  </si>
  <si>
    <t>13. Closing balance on 31 March 2016</t>
  </si>
  <si>
    <t>14. Opening balance as at 1 April 2015</t>
  </si>
  <si>
    <t>17. Closing balance on 31 March 2016</t>
  </si>
  <si>
    <t>32. Amount provisionally paid (based on grant determination)</t>
  </si>
  <si>
    <t>33. Sum due to (+) / from (-) authority (line 31 minus line 32)</t>
  </si>
  <si>
    <t xml:space="preserve">35. Amount provisionally paid </t>
  </si>
  <si>
    <t>36. Sum due to (+) / from (-)  authority (line 34 minus line 35)</t>
  </si>
  <si>
    <t>37. Amount due to authority in 2015-16 in respect of multiplier cap</t>
  </si>
  <si>
    <t>38. Amount provisionally paid (based on NNDR1 2015-16 [Part 1C])</t>
  </si>
  <si>
    <t>39. Sum due to (+) / from (-) billing authority (line 37 minus line 38)</t>
  </si>
  <si>
    <t>2015-16 Multiplier Cap</t>
  </si>
  <si>
    <t>NNDR1 15-16</t>
  </si>
  <si>
    <t>34. Amount due to billing authority in 2015-16 in respect of discretionary relief given to ratepayers in lieu of Transitional Relief</t>
  </si>
  <si>
    <t>COLLECTION FUND STATEMENT</t>
  </si>
  <si>
    <t>Collection Fund Balance</t>
  </si>
  <si>
    <t>21. Estimated non-domestic income 2015-16</t>
  </si>
  <si>
    <t>22. Actual non-domestic rating income 2015-16</t>
  </si>
  <si>
    <t xml:space="preserve"> </t>
  </si>
  <si>
    <t>9. adjustments in respect of 2013-14 &amp; 2014-15</t>
  </si>
  <si>
    <t>10. adjustments to relief on existing properties where a second property is occupied</t>
  </si>
  <si>
    <t>11. Additional yield from the small business supplement in 2015-16</t>
  </si>
  <si>
    <t>12. Adjustments to the yield from the small business supplement in respect of previous years</t>
  </si>
  <si>
    <t>13. Amount of relief provided in 2015-16</t>
  </si>
  <si>
    <t>14. Adjustments to amount of relief provided in respect of previous years</t>
  </si>
  <si>
    <t>15. Amount of relief provided in 2015-16</t>
  </si>
  <si>
    <t>16. Adjustments to amount of relief provided in respect of previous years</t>
  </si>
  <si>
    <t>17. Amount of relief provided in 2015-16</t>
  </si>
  <si>
    <t>18. Adjustments to amount of relief provided in respect of previous years</t>
  </si>
  <si>
    <t>19. TOTAL MANDATORY RELIEFS</t>
  </si>
  <si>
    <t>20. Amount of relief provided in 2015-16</t>
  </si>
  <si>
    <t>21. Adjustments to amount of relief provided in respect of previous years</t>
  </si>
  <si>
    <t>22. Amount of relief provided in 2015-16</t>
  </si>
  <si>
    <t>23. Adjustments to amount of relief provided in respect of previous years</t>
  </si>
  <si>
    <t>24. TOTAL UNOCCUPIED PROPERTY "RELIEF"</t>
  </si>
  <si>
    <t>25. Amount of relief provided in 2015-16</t>
  </si>
  <si>
    <t>26. Adjustments to amount of relief provided in respect of previous years</t>
  </si>
  <si>
    <t>27. Amount of relief provided in 2015-16</t>
  </si>
  <si>
    <t>28. Adjustments to amount of relief provided in respect of previous years</t>
  </si>
  <si>
    <t>29. Amount of relief provided in 2015-16</t>
  </si>
  <si>
    <t>30. Adjustments to amount of relief provided in respect of previous years</t>
  </si>
  <si>
    <t>31. Amount of relief provided in 2015-16</t>
  </si>
  <si>
    <t>32. Adjustments to amount of relief provided in respect of previous years</t>
  </si>
  <si>
    <t>33. Amount of relief provided in 2015-16</t>
  </si>
  <si>
    <t>34. Adjustments to amount of relief provided in respect of previous years</t>
  </si>
  <si>
    <t>35. Amount of relief provided in 2015-16</t>
  </si>
  <si>
    <t>36. Adjustments to amount of relief provided in respect of previous years</t>
  </si>
  <si>
    <t>37. Relief given to Case A hereditaments</t>
  </si>
  <si>
    <t>38. Relief given to Case B hereditaments</t>
  </si>
  <si>
    <t>39. TOTAL DISCRETIONARY RELIEFS (UNFUNDED)</t>
  </si>
  <si>
    <t>40. Amount of relief provided in 2015-16</t>
  </si>
  <si>
    <t>41. Adjustments to amount of relief provided in</t>
  </si>
  <si>
    <t>42. Amount of relief provided in 2015-16</t>
  </si>
  <si>
    <t>43. Adjustments to amount of relief provided in</t>
  </si>
  <si>
    <t>44. Amount of relief provided in 2015-16</t>
  </si>
  <si>
    <t>45. Adjustments to amount of relief provided in</t>
  </si>
  <si>
    <t>46. Amount of "Flooding relief" provided in 2015-16</t>
  </si>
  <si>
    <t>47. Adjustments to amount of relief provided in</t>
  </si>
  <si>
    <t>48. Payments to ratepayers in lieu of Transitional Relief in 2015-16</t>
  </si>
  <si>
    <t>49. TOTAL DISCRETIONARY RELIEF (FUNDED S.31)</t>
  </si>
  <si>
    <t>50. Amount of relief provided in 2015-16</t>
  </si>
  <si>
    <t>51. Adjustments to amount of relief provided in respect of previous years</t>
  </si>
  <si>
    <t>52. TOTAL HARDSHIP RELIEF</t>
  </si>
  <si>
    <t>8. Adjustments to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</si>
  <si>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</si>
  <si>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</si>
  <si>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</si>
  <si>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6. Add: RV list amendments charged against the provision for appeals</t>
  </si>
  <si>
    <t>7. Add/(Less): changes in provision for appeals</t>
  </si>
  <si>
    <t>8. Net Rates payable less accounting adjustments</t>
  </si>
  <si>
    <t>19.  Estimated Surplus(+)/Deficit(-) Payable in 2015-16</t>
  </si>
  <si>
    <t>23. In-year surplus(+)/deficit(-) (line 22 minus line 21)</t>
  </si>
  <si>
    <t>20.  Prior-year surplus(+)/deficit(-) included in closing balance (line 18 minus line 19)</t>
  </si>
  <si>
    <t>18. Opening balance on 1 April 2015 (surplus(+)/deficit(-))</t>
  </si>
  <si>
    <t>24. Closing balance at 31 March 2016 (surplus(+)/deficit(-))</t>
  </si>
  <si>
    <t>9. Net Rates Payable less accounting adjustments</t>
  </si>
  <si>
    <t>10. Renewable Energy</t>
  </si>
  <si>
    <t xml:space="preserve">11. Transitional Protection Payment </t>
  </si>
  <si>
    <t xml:space="preserve">12. Baseline </t>
  </si>
  <si>
    <t>13. Total Disregarded Amounts</t>
  </si>
  <si>
    <t>14. Sums outstanding from ratepayers (debtors)</t>
  </si>
  <si>
    <t>15. Sums owed to ratepayers</t>
  </si>
  <si>
    <t/>
  </si>
  <si>
    <t>Yes</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</si>
  <si>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</si>
  <si>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</si>
  <si>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</si>
  <si>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</si>
  <si>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</si>
  <si>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</si>
  <si>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</si>
  <si>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</si>
  <si>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</si>
  <si>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</si>
  <si>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</si>
  <si>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</si>
  <si>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</si>
  <si>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</si>
  <si>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</si>
  <si>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</si>
  <si>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</si>
  <si>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</si>
  <si>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</si>
  <si>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</si>
  <si>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</si>
  <si>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</si>
  <si>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Manchester Airport City</t>
  </si>
  <si>
    <t>NE Newcastle</t>
  </si>
  <si>
    <t>Royal Docks</t>
  </si>
  <si>
    <t>North East</t>
  </si>
  <si>
    <t>Waterside</t>
  </si>
  <si>
    <t xml:space="preserve">North East </t>
  </si>
  <si>
    <t>Nottingham City</t>
  </si>
  <si>
    <t>Development  Area</t>
  </si>
  <si>
    <t>Black Country</t>
  </si>
  <si>
    <t>Manchester City Airport</t>
  </si>
  <si>
    <t>Science Vale UK</t>
  </si>
  <si>
    <t>9. Sums outstanding owed to ratepayers</t>
  </si>
  <si>
    <t>Whole £ figures only checking</t>
  </si>
  <si>
    <t>LOCK</t>
  </si>
  <si>
    <t xml:space="preserve">7.  relief on existing properties where a </t>
  </si>
  <si>
    <t>UNLOCK</t>
  </si>
  <si>
    <t>Row no.</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</si>
  <si>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</si>
  <si>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</si>
  <si>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</si>
  <si>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</si>
  <si>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</si>
  <si>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</si>
  <si>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</si>
  <si>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</si>
  <si>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</si>
  <si>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</si>
  <si>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</si>
  <si>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Non-Domestic Rating Income</t>
  </si>
  <si>
    <t>Col No.</t>
  </si>
  <si>
    <t>Ecode</t>
  </si>
  <si>
    <t>LA name</t>
  </si>
  <si>
    <t>Newcastle upon Tyne</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</si>
  <si>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</si>
  <si>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</si>
  <si>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</si>
  <si>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</si>
  <si>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</si>
  <si>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provision for appeals</t>
  </si>
  <si>
    <t>Changes in provision for appeals</t>
  </si>
  <si>
    <t>Net Rates payable less accounting adjustments</t>
  </si>
  <si>
    <t>Disregarded Amounts -  Renewable Energy</t>
  </si>
  <si>
    <t xml:space="preserve">Disregarded Amounts - Transitional Protection Payment </t>
  </si>
  <si>
    <t>Disregarded Amounts - Baseline</t>
  </si>
  <si>
    <t>Total Disregarded Amounts</t>
  </si>
  <si>
    <t>Sums outstanding from ratepayers (debtors)</t>
  </si>
  <si>
    <t>Sums owed to ratepayers</t>
  </si>
  <si>
    <t>Transitional Arrangements -  Revenue foregone in respect of 2015-16 liability</t>
  </si>
  <si>
    <t>Transitional Arrangements -  Revenue foregone in respect of previous years' liability</t>
  </si>
  <si>
    <t>Transitional Arrangements -  Additional income received in respect of 2015-16 liability</t>
  </si>
  <si>
    <t>Transitional Arrangements -  Additional income received in respect of previous years' liability</t>
  </si>
  <si>
    <t>Net cost of transitional arrangments</t>
  </si>
  <si>
    <t>Small Business Rate Relief -  Amount of relief provided in 2015-16</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</si>
  <si>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</si>
  <si>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</si>
  <si>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2013-14 &amp; 2014-15</t>
  </si>
  <si>
    <t>Small Business Rate Relief -  Amount of which -  adjustments on existing properties where a 2nd property is occupied</t>
  </si>
  <si>
    <t>Small Business Rate Relief -  Additional yield from the small business supplement in 2015-16</t>
  </si>
  <si>
    <t>Small Business Rate Relief -  Adjustments to the yield from the small business supplement in respect of previous years</t>
  </si>
  <si>
    <t>Charitable occupation -  Amount of relief provided in 2015-16</t>
  </si>
  <si>
    <t>Charitable occupation; Adjustments to amount of relief provided in respect of previous years</t>
  </si>
  <si>
    <t>Community Amateur Sports Clubs (CASCs) -  Amount of relief provided in 2015-16</t>
  </si>
  <si>
    <t>Community Amateur Sports Clubs (CASCs) -  Adjustments to amount of relief provided in respect of previous years</t>
  </si>
  <si>
    <t>Rural rate relief -  Amount of relief provided in 2015-16</t>
  </si>
  <si>
    <t>Rural rate relief -  Adjustments to amount of relief provided in respect of previous years</t>
  </si>
  <si>
    <t>Total Mandatory Reliefs</t>
  </si>
  <si>
    <t>Partially occupied hereditaments -  Amount of relief provided in 2015-16</t>
  </si>
  <si>
    <t>Partially occupied hereditaments -  Adjustments to amount of relief provided in respect of previous years</t>
  </si>
  <si>
    <t>Empty premises -  Amount of relief provided in 2015-16</t>
  </si>
  <si>
    <t>Empty premises -  Adjustments to amount of relief provided in respect of previous years</t>
  </si>
  <si>
    <t xml:space="preserve">Total Unoccupied Property Relief </t>
  </si>
  <si>
    <t>Charitable occupation; Amount of relief provided in 2015-16</t>
  </si>
  <si>
    <t>Charitable occupation -  Adjustments to amount of relief provided in respect of previous years</t>
  </si>
  <si>
    <t>Non-profit making bodies -  Amount of relief provided in 2015-16</t>
  </si>
  <si>
    <t>Non-profit making bodies -  Adjustments to amount of relief provided in respect of previous years</t>
  </si>
  <si>
    <t>Rural shops etc -  Amount of relief provided in 2015-16</t>
  </si>
  <si>
    <t>Rural shops etc -  Adjustments to amount of relief provided in respect of previous years</t>
  </si>
  <si>
    <t>Small rural businesses -  Amount of relief provided in 2015-16</t>
  </si>
  <si>
    <t>Small rural businesses -  Adjustments to amount of relief provided in respect of previous years</t>
  </si>
  <si>
    <t>Other ratepayers -  Amount of relief provided in 2015-16</t>
  </si>
  <si>
    <t>Other ratepayers -  Adjustments to amount of relief provided in respect of previous years</t>
  </si>
  <si>
    <t>Total Discretionary Reliefs (Unfunded)</t>
  </si>
  <si>
    <t>"New Empty" properties -  Amount of relief provided in 2015-16</t>
  </si>
  <si>
    <t>"New Empty" properties -  Adjustments to amount of relief provided in respect of previous years</t>
  </si>
  <si>
    <t>"Long-term empty" properties -  Amount of relief provided in 2015-16</t>
  </si>
  <si>
    <t>"Long-term empty" properties -  Adjustments to amount of relief provided in respect of previous years</t>
  </si>
  <si>
    <t>Retail Relief -  Amount of relief provided in 2015-16</t>
  </si>
  <si>
    <t>Retail Relief -  Adjustments to amount of relief provided in respect of previous years</t>
  </si>
  <si>
    <t>Flooding relief -  Amount of "Flooding relief" provided in 2015-16</t>
  </si>
  <si>
    <t>Flooding relief -  Adjustments to amount of relief provided in respect of previous years</t>
  </si>
  <si>
    <t>In lieu of Transitional Relief -  Payments to ratepayers in lieu of Transitional Relief in 2015-16</t>
  </si>
  <si>
    <t>Total Discretionary Relief (Funded S31)</t>
  </si>
  <si>
    <t>Hardshop Relief -  Amount of relief provided in 2015-16</t>
  </si>
  <si>
    <t>Hardshop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</si>
  <si>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</si>
  <si>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</si>
  <si>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</si>
  <si>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</si>
  <si>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</si>
  <si>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</si>
  <si>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</si>
  <si>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</si>
  <si>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</si>
  <si>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</si>
  <si>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Transitional protection payments due to (+) - from (-) the authority for 2015-15</t>
  </si>
  <si>
    <t>Transitional protection payments -  Payment on account received by authority (+), or paid by the authority (-) (based on NNDR1 2015-16)</t>
  </si>
  <si>
    <t xml:space="preserve">Transitional protection payments -  Sum due to (+) - from (-) authority (line 1 minus line 2) </t>
  </si>
  <si>
    <t>Cost of collection -  Amount to be retained by billing authority in 2015-15</t>
  </si>
  <si>
    <t xml:space="preserve">Cost of collection -  Amount previously retained </t>
  </si>
  <si>
    <t xml:space="preserve">Cost of collection -  Sum due to (+) - from (-) billing authority </t>
  </si>
  <si>
    <t>Designated Areas -  Amount to be retained by billing authority in 2015-15</t>
  </si>
  <si>
    <t>Designated Areas -  Amount previously retained (based on NNDR1)</t>
  </si>
  <si>
    <t xml:space="preserve">Designated Areas -  Sum due to (+) - from (-) billing authority </t>
  </si>
  <si>
    <t>Renewable Energy Schemes -  Amount to be retained by authority in 2015-15</t>
  </si>
  <si>
    <t xml:space="preserve">Renewable Energy Schemes -  Amount previously retained </t>
  </si>
  <si>
    <t xml:space="preserve">Renewable Energy Schemes -  Sum due to (+) - from (-) authority </t>
  </si>
  <si>
    <t>Qualifying relief in Enterprise Zones -  Amount deducted from central share and retained by authorities</t>
  </si>
  <si>
    <t xml:space="preserve">Qualifying relief in Enterprise Zones -  Amount deducted-retained </t>
  </si>
  <si>
    <t>Qualifying relief in Enterprise Zones -  Sum due to (+) - from (-) authority</t>
  </si>
  <si>
    <t>Small Business Rates Relief scheme -  Amount due to authority in 2015-16 as a result of doubling SBRR</t>
  </si>
  <si>
    <t>Small Business Rates Relief scheme -  Amount provisionally paid</t>
  </si>
  <si>
    <t xml:space="preserve">Small Business Rates Relief scheme -  Sum due to (+) - from (-) authority </t>
  </si>
  <si>
    <t>Small Business Rates Relief on existing property where 2nd property is occupied -  Amount due to authority in 2015-16 in respect of discretionary relief given to ratepayers</t>
  </si>
  <si>
    <t xml:space="preserve">Small Business Rates Relief on existing property where 2nd property is occupied -  Amount provisionally paid </t>
  </si>
  <si>
    <t xml:space="preserve">Small Business Rates Relief on existing property where 2nd property is occupied -  Sum due to (+) - from (-) authority </t>
  </si>
  <si>
    <t>"New Empty" properties -  Amount due to authority in 2015-16 in respect of discretionary relief given to ratepayers</t>
  </si>
  <si>
    <t xml:space="preserve">"New Empty" properties -  Amount provisionally paid </t>
  </si>
  <si>
    <t xml:space="preserve">"New Empty" properties -  Sum due to (+) - from (-) authority </t>
  </si>
  <si>
    <t>"Long term empty" properties -  Amount due to authority in 2015-16 in respect of discretionary relief given to ratepayers</t>
  </si>
  <si>
    <t xml:space="preserve">"Long term empty" properties -  Amount provisionally paid </t>
  </si>
  <si>
    <t xml:space="preserve">"Long term empty" properties -  Sum due to (+) - from (-) authority </t>
  </si>
  <si>
    <t>Retail Relief -  Amount due to authority in 2015-16 in respect of discretionary relief given to ratepayers</t>
  </si>
  <si>
    <t xml:space="preserve">Retail Relief -  Amount provisionally paid </t>
  </si>
  <si>
    <t xml:space="preserve">Retail Relief -  Sum due to (+) - from (-) authority </t>
  </si>
  <si>
    <t xml:space="preserve">Flooding Relief -  Amount due to authority in 2015-16 in respect of discretionary relief given to ratepayers </t>
  </si>
  <si>
    <t>Flooding Relief -  Amount provisionally paid (based on grant determination)</t>
  </si>
  <si>
    <t xml:space="preserve">Flooding Relief -  Sum due to (+) - from (-) authority </t>
  </si>
  <si>
    <t>In lieu of Transitional Relief -  Amount due to billing authority in 2015-16 in respect of discretionary relief given to ratepayers in lieu of Transitional Relief</t>
  </si>
  <si>
    <t xml:space="preserve">In lieu of Transitional Relief -  Amount provisionally paid </t>
  </si>
  <si>
    <t xml:space="preserve">In lieu of Transitional Relief -  Sum due to (+) - from (-)  authority </t>
  </si>
  <si>
    <t>2015-16 Multiplier Cap -  Amount due to authority in 2015-16 in respect of multiplier cap</t>
  </si>
  <si>
    <t>2015-16 Multiplier Cap -  Amount provisionally paid</t>
  </si>
  <si>
    <t xml:space="preserve">2015-16 Multiplier Cap -  Sum due to (+) - from (-) billing authority </t>
  </si>
  <si>
    <t xml:space="preserve">Non-domestic rating income from rates retention scheme </t>
  </si>
  <si>
    <t>qualifying relief in Enterprise Zones</t>
  </si>
  <si>
    <t>Total Non-Domestic Rating Income for 2015-15</t>
  </si>
  <si>
    <t>cost of collection allowance</t>
  </si>
  <si>
    <t xml:space="preserve">amounts retained in respect of Designated Areas </t>
  </si>
  <si>
    <t xml:space="preserve">amounts retained in respect of renewable energy schemes </t>
  </si>
  <si>
    <t>Sums receivable - payable (ratepayers) -  Sums outstanding from ratepayers</t>
  </si>
  <si>
    <t>Sums receivable - payable (ratepayers) -  Sums oustanding owed to ratepayers</t>
  </si>
  <si>
    <t>Allowance for non-collection -  Opening balance as at 1 April 2014</t>
  </si>
  <si>
    <t>Allowance for non-collection -  Amounts charged to allowances</t>
  </si>
  <si>
    <t>Allowance for non-collection -  Change in allowance (charged to Collection Fund)</t>
  </si>
  <si>
    <t>Allowance for non-collection -  Closing balance on 31 March 2015</t>
  </si>
  <si>
    <t>Provision for appeals -  Opening balance as at 1 April 2014</t>
  </si>
  <si>
    <t>Provision for appeals -  Amounts charged to provision</t>
  </si>
  <si>
    <t>Provision for appeals -  Change in provision (charged to Collection Fund)</t>
  </si>
  <si>
    <t>Provision for appeals -  Closing balance on 31 March 2015</t>
  </si>
  <si>
    <t>Collection Fund Balance -  Opening balance on 1 April 2015</t>
  </si>
  <si>
    <t>Collection Fund Balance -  Estimated Surplus-Deficit Payable in 2015-16</t>
  </si>
  <si>
    <t>Collection Fund Balance -  Prior-year surplus-deficit included in closing balance</t>
  </si>
  <si>
    <t>Collection Fund Balance -  Estimated non-domestic income 2015-16</t>
  </si>
  <si>
    <t>Collection Fund Balance -  Actual non-domestic rating income 2015-16</t>
  </si>
  <si>
    <t>Collection Fund Balance -  In-year surplus-deficit</t>
  </si>
  <si>
    <t>Collection Fund Balance -  Closing balance at 31 March 2016</t>
  </si>
  <si>
    <t>England</t>
  </si>
  <si>
    <t>7. City of London offset</t>
  </si>
  <si>
    <t>County (if applicable)</t>
  </si>
  <si>
    <t>Fire Authority</t>
  </si>
  <si>
    <t>Designated Area 1 (if applicable)</t>
  </si>
  <si>
    <t>Designated Area 2 (if applicable)</t>
  </si>
  <si>
    <r>
      <t>DISRERGARDED AMOUNTS</t>
    </r>
    <r>
      <rPr>
        <sz val="12"/>
        <rFont val="Arial"/>
        <family val="2"/>
      </rPr>
      <t xml:space="preserve"> </t>
    </r>
  </si>
  <si>
    <t>Central Government</t>
  </si>
  <si>
    <t>E0000</t>
  </si>
  <si>
    <t xml:space="preserve">TRANSITIONAL ARRANGEMENTS </t>
  </si>
  <si>
    <r>
      <t>MANDATORY RELIEFS</t>
    </r>
    <r>
      <rPr>
        <sz val="12"/>
        <rFont val="Arial"/>
        <family val="2"/>
      </rPr>
      <t xml:space="preserve"> </t>
    </r>
  </si>
  <si>
    <r>
      <t>UNOCCUPIED PROPERTY</t>
    </r>
    <r>
      <rPr>
        <sz val="12"/>
        <rFont val="Arial"/>
        <family val="2"/>
      </rPr>
      <t xml:space="preserve"> </t>
    </r>
  </si>
  <si>
    <t xml:space="preserve">DISCRETIONARY RELIEFS (UNFUNDED) </t>
  </si>
  <si>
    <t>DISCRETIONARY RELIEFS FUNDED THROUGH SECTION 31 GRANT</t>
  </si>
  <si>
    <t>Row No.</t>
  </si>
  <si>
    <t>Class of Authority</t>
  </si>
  <si>
    <t>SD</t>
  </si>
  <si>
    <t>OLB</t>
  </si>
  <si>
    <t>Met</t>
  </si>
  <si>
    <t>ILB</t>
  </si>
  <si>
    <t>Background</t>
  </si>
  <si>
    <t>Data Collection and quality</t>
  </si>
  <si>
    <t>Public Enquiries</t>
  </si>
  <si>
    <t>For enquiries about these data please contact: nndr.statistics@communities.gsi.gov.uk</t>
  </si>
  <si>
    <t xml:space="preserve">This workbook provides the detailed information on the Business Rates Income for 2015-16 that local authorities have reported through the NNDR3 form to the Department for Communities and Local Government. Local authorities use this information in order to complete their draft accounts that are then subject to local audit. The information in this workbook has been received after the audit has been completed. </t>
  </si>
  <si>
    <t xml:space="preserve">Data from this workbook have been used to compile the National Statistics release "National non-domestic rates collected by local authorities in England 2015-16" which was published on 23 November 2016. This is available on the Department’s website at </t>
  </si>
  <si>
    <t>https://www.gov.uk/government/collections/national-non-domestic-rates-collected-by-councils</t>
  </si>
  <si>
    <t xml:space="preserve">The form is split into 5 separate parts.
</t>
  </si>
  <si>
    <t xml:space="preserve">Part 1 – </t>
  </si>
  <si>
    <t>Part 2 –</t>
  </si>
  <si>
    <t>Part 3 –</t>
  </si>
  <si>
    <t>Part 4 –</t>
  </si>
  <si>
    <t>Part 5 –</t>
  </si>
  <si>
    <t>Authorities complete data cells for the amount of relief they have awarded, including amounts of small business rate relief, “new empty” and “long-term empty” property relief, retail relief and flooding relief which will be used to calculate the section 31 payments due to/from the authority. It also allows authorities to reconcile figures for “gross rates payable” and “reliefs” to the net rates payable figure in Part 2.</t>
  </si>
  <si>
    <t>Part 4 calculates the reconciliation payments that are due to/from the authority.</t>
  </si>
  <si>
    <t>Part 5 provides a summary of the figures in Parts 1 - 4 that each of the billing and major precepting authorities need for their financial statements.</t>
  </si>
  <si>
    <t>Authorities complete data cells for the net rates payable by ratepayers in 2015-16 after taking account of any reliefs awarded and accounting adjustments for bad debts and appeal provisions. It leads to figures for collectible rates and disregarded amounts for the year.</t>
  </si>
  <si>
    <t>Provides the headline outturn numbers for non-domestic rating income, allowable deductions and disregarded amounts.</t>
  </si>
  <si>
    <t>Definitions and uses of the data</t>
  </si>
  <si>
    <t xml:space="preserve">Definitions and uses of the data are described in the 2015-16 NNDR3 Statistical Release  on the Department’s website </t>
  </si>
  <si>
    <t xml:space="preserve">All 326 billing authorities in England completed the NNDR3 form to show their outturn figures for national non-domestic rates that they collected in 2015-16. Figures are subjected to rigorous pre-defined validation tests both within the form itself, while the form is being completed by the authority and also by DCLG as the data are received and stored.  </t>
  </si>
  <si>
    <r>
      <rPr>
        <b/>
        <sz val="10"/>
        <rFont val="Arial"/>
        <family val="2"/>
      </rPr>
      <t>Next update</t>
    </r>
    <r>
      <rPr>
        <sz val="10"/>
        <rFont val="Arial"/>
        <family val="2"/>
      </rPr>
      <t>: November 2017</t>
    </r>
  </si>
  <si>
    <t>-</t>
  </si>
  <si>
    <t xml:space="preserve">(R) </t>
  </si>
  <si>
    <r>
      <t xml:space="preserve">Revised: </t>
    </r>
    <r>
      <rPr>
        <sz val="10"/>
        <rFont val="Arial"/>
        <family val="2"/>
      </rPr>
      <t>15 March 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</si>
</sst>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0.000000000000"/>
    <numFmt numFmtId="166" formatCode="#,##0.000000000000000"/>
    <numFmt numFmtId="167" formatCode="0.0"/>
  </numFmts>
  <fonts count="70"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10"/>
      <name val="Arial"/>
      <family val="2"/>
    </font>
    <font>
      <i/>
      <sz val="12"/>
      <name val="Arial"/>
      <family val="2"/>
    </font>
    <font>
      <sz val="12"/>
      <color indexed="10"/>
      <name val="Arial"/>
      <family val="2"/>
    </font>
    <font>
      <sz val="10"/>
      <color indexed="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10"/>
      <color theme="1"/>
      <name val="Arial"/>
      <family val="2"/>
    </font>
    <font>
      <b/>
      <sz val="12"/>
      <color theme="1"/>
      <name val="Arial"/>
      <family val="2"/>
    </font>
    <font>
      <sz val="12"/>
      <color theme="1"/>
      <name val="Arial"/>
      <family val="2"/>
    </font>
    <font>
      <sz val="11"/>
      <color theme="1"/>
      <name val="Arial"/>
      <family val="2"/>
    </font>
    <font>
      <b/>
      <sz val="12"/>
      <color rgb="FFFF0000"/>
      <name val="Arial"/>
      <family val="2"/>
    </font>
    <font>
      <sz val="12"/>
      <color rgb="FFFF0000"/>
      <name val="Arial"/>
      <family val="2"/>
    </font>
    <font>
      <sz val="10"/>
      <color rgb="FFFF0000"/>
      <name val="Arial"/>
      <family val="2"/>
    </font>
    <font>
      <b/>
      <u/>
      <sz val="10"/>
      <name val="Arial"/>
      <family val="2"/>
    </font>
    <font>
      <sz val="11"/>
      <color rgb="FFFF0000"/>
      <name val="Calibri"/>
      <family val="2"/>
    </font>
    <font>
      <b/>
      <sz val="12"/>
      <color indexed="19"/>
      <name val="Calibri"/>
      <family val="2"/>
    </font>
    <font>
      <sz val="11"/>
      <color theme="1"/>
      <name val="Calibri"/>
      <family val="2"/>
    </font>
    <font>
      <b/>
      <sz val="11"/>
      <color indexed="17"/>
      <name val="Calibri"/>
      <family val="2"/>
    </font>
    <font>
      <b/>
      <sz val="12"/>
      <name val="Calibri"/>
      <family val="2"/>
    </font>
    <font>
      <b/>
      <sz val="11"/>
      <color theme="1"/>
      <name val="Calibri"/>
      <family val="2"/>
    </font>
    <font>
      <b/>
      <sz val="11"/>
      <name val="Arial"/>
      <family val="2"/>
    </font>
    <font>
      <b/>
      <sz val="11"/>
      <color indexed="17"/>
      <name val="Arial"/>
      <family val="2"/>
    </font>
    <font>
      <b/>
      <sz val="11"/>
      <color theme="1"/>
      <name val="Arial"/>
      <family val="2"/>
    </font>
    <font>
      <b/>
      <sz val="11"/>
      <color rgb="FFFF0000"/>
      <name val="Arial"/>
      <family val="2"/>
    </font>
    <font>
      <u/>
      <sz val="10"/>
      <color theme="10"/>
      <name val="Arial"/>
      <family val="2"/>
    </font>
    <font>
      <sz val="12"/>
      <color rgb="FF99CCFF"/>
      <name val="Arial"/>
      <family val="2"/>
    </font>
    <font>
      <b/>
      <sz val="12"/>
      <color theme="0" tint="-0.249977111117893"/>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2"/>
      <color theme="0" tint="-0.249977111117893"/>
      <name val="Arial"/>
      <family val="2"/>
    </font>
    <font>
      <sz val="12"/>
      <color theme="0" tint="-0.34998626667073579"/>
      <name val="Arial"/>
      <family val="2"/>
    </font>
    <font>
      <b/>
      <sz val="12"/>
      <color theme="0" tint="-0.34998626667073579"/>
      <name val="Arial"/>
      <family val="2"/>
    </font>
    <font>
      <sz val="11"/>
      <color theme="3" tint="0.59999389629810485"/>
      <name val="Arial"/>
      <family val="2"/>
    </font>
    <font>
      <sz val="12"/>
      <color rgb="FF000000"/>
      <name val="Arial"/>
      <family val="2"/>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theme="6" tint="0.39994506668294322"/>
        <bgColor indexed="64"/>
      </patternFill>
    </fill>
    <fill>
      <patternFill patternType="solid">
        <fgColor theme="0" tint="-0.34998626667073579"/>
        <bgColor indexed="64"/>
      </patternFill>
    </fill>
    <fill>
      <patternFill patternType="solid">
        <fgColor rgb="FFB7DEE8"/>
        <bgColor indexed="64"/>
      </patternFill>
    </fill>
    <fill>
      <patternFill patternType="solid">
        <fgColor rgb="FF99CCFF"/>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right/>
      <top style="medium">
        <color indexed="64"/>
      </top>
      <bottom/>
      <diagonal/>
    </border>
    <border>
      <left style="medium">
        <color auto="1"/>
      </left>
      <right/>
      <top style="medium">
        <color auto="1"/>
      </top>
      <bottom/>
      <diagonal/>
    </border>
    <border>
      <left/>
      <right style="medium">
        <color indexed="64"/>
      </right>
      <top style="medium">
        <color indexed="64"/>
      </top>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s>
  <cellStyleXfs count="55">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6" fillId="15" borderId="0" applyNumberFormat="0" applyBorder="0" applyAlignment="0" applyProtection="0"/>
    <xf numFmtId="0" fontId="17" fillId="16" borderId="1" applyNumberFormat="0" applyAlignment="0" applyProtection="0"/>
    <xf numFmtId="3" fontId="4" fillId="17" borderId="2">
      <alignment horizontal="right"/>
    </xf>
    <xf numFmtId="3" fontId="3" fillId="17" borderId="3">
      <alignment horizontal="right"/>
    </xf>
    <xf numFmtId="3" fontId="4" fillId="17" borderId="3">
      <alignment horizontal="right"/>
    </xf>
    <xf numFmtId="0" fontId="18" fillId="18" borderId="4" applyNumberFormat="0" applyAlignment="0" applyProtection="0"/>
    <xf numFmtId="164" fontId="4" fillId="0" borderId="0" applyFon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7" borderId="1" applyNumberFormat="0" applyAlignment="0" applyProtection="0"/>
    <xf numFmtId="0" fontId="25" fillId="0" borderId="8" applyNumberFormat="0" applyFill="0" applyAlignment="0" applyProtection="0"/>
    <xf numFmtId="0" fontId="26" fillId="7" borderId="0" applyNumberFormat="0" applyBorder="0" applyAlignment="0" applyProtection="0"/>
    <xf numFmtId="0" fontId="2" fillId="4" borderId="9" applyNumberFormat="0" applyFont="0" applyAlignment="0" applyProtection="0"/>
    <xf numFmtId="0" fontId="27" fillId="16" borderId="10" applyNumberFormat="0" applyAlignment="0" applyProtection="0"/>
    <xf numFmtId="9" fontId="2" fillId="0" borderId="0" applyFon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25" fillId="0" borderId="0" applyNumberFormat="0" applyFill="0" applyBorder="0" applyAlignment="0" applyProtection="0"/>
    <xf numFmtId="3" fontId="2" fillId="17" borderId="2">
      <alignment horizontal="right"/>
    </xf>
    <xf numFmtId="3" fontId="2" fillId="17" borderId="3">
      <alignment horizontal="right"/>
    </xf>
    <xf numFmtId="0" fontId="2" fillId="0" borderId="0"/>
    <xf numFmtId="164" fontId="2" fillId="0" borderId="0" applyFont="0" applyFill="0" applyBorder="0" applyAlignment="0" applyProtection="0"/>
    <xf numFmtId="0" fontId="58" fillId="0" borderId="0" applyNumberFormat="0" applyFill="0" applyBorder="0" applyAlignment="0" applyProtection="0"/>
    <xf numFmtId="0" fontId="61" fillId="0" borderId="0"/>
    <xf numFmtId="0" fontId="2" fillId="0" borderId="0"/>
    <xf numFmtId="0" fontId="58" fillId="0" borderId="0" applyNumberFormat="0" applyFill="0" applyBorder="0" applyAlignment="0" applyProtection="0"/>
  </cellStyleXfs>
  <cellXfs count="811">
    <xf numFmtId="0" fontId="0" fillId="0" borderId="0" xfId="0"/>
    <xf numFmtId="0" fontId="0" fillId="19" borderId="0" xfId="0" applyFill="1" applyBorder="1" applyAlignment="1">
      <alignment horizontal="center"/>
    </xf>
    <xf numFmtId="0" fontId="0" fillId="19" borderId="0" xfId="0" applyFill="1" applyBorder="1"/>
    <xf numFmtId="0" fontId="3" fillId="19" borderId="0" xfId="0" applyFont="1" applyFill="1" applyBorder="1" applyAlignment="1">
      <alignment horizontal="center"/>
    </xf>
    <xf numFmtId="0" fontId="6" fillId="17" borderId="0" xfId="0" applyFont="1" applyFill="1" applyBorder="1"/>
    <xf numFmtId="0" fontId="6" fillId="0" borderId="0" xfId="0" applyFont="1"/>
    <xf numFmtId="0" fontId="6" fillId="19" borderId="0" xfId="0" applyFont="1" applyFill="1" applyBorder="1"/>
    <xf numFmtId="0" fontId="6" fillId="19" borderId="12" xfId="0" applyFont="1" applyFill="1" applyBorder="1"/>
    <xf numFmtId="0" fontId="6" fillId="19" borderId="13" xfId="0" applyFont="1" applyFill="1" applyBorder="1"/>
    <xf numFmtId="0" fontId="8" fillId="19" borderId="0" xfId="0" applyFont="1" applyFill="1" applyBorder="1" applyAlignment="1">
      <alignment horizontal="center"/>
    </xf>
    <xf numFmtId="0" fontId="6" fillId="19" borderId="0" xfId="0" applyFont="1" applyFill="1" applyBorder="1" applyAlignment="1">
      <alignment horizontal="left"/>
    </xf>
    <xf numFmtId="0" fontId="6" fillId="20" borderId="14" xfId="0" applyFont="1" applyFill="1" applyBorder="1"/>
    <xf numFmtId="0" fontId="6" fillId="20" borderId="15" xfId="0" applyFont="1" applyFill="1" applyBorder="1"/>
    <xf numFmtId="0" fontId="6"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1" fillId="19" borderId="0" xfId="0" applyFont="1" applyFill="1" applyBorder="1"/>
    <xf numFmtId="0" fontId="12" fillId="19" borderId="0" xfId="0" applyFont="1" applyFill="1" applyBorder="1"/>
    <xf numFmtId="0" fontId="12" fillId="19" borderId="13" xfId="0" applyFont="1" applyFill="1" applyBorder="1"/>
    <xf numFmtId="0" fontId="12" fillId="17" borderId="19" xfId="0" applyFont="1" applyFill="1" applyBorder="1"/>
    <xf numFmtId="0" fontId="12" fillId="17" borderId="0" xfId="0" applyFont="1" applyFill="1" applyBorder="1"/>
    <xf numFmtId="0" fontId="12" fillId="17" borderId="22" xfId="0" applyFont="1" applyFill="1" applyBorder="1"/>
    <xf numFmtId="0" fontId="12" fillId="17" borderId="23" xfId="0" applyFont="1" applyFill="1" applyBorder="1"/>
    <xf numFmtId="0" fontId="12" fillId="0" borderId="0" xfId="0" applyFont="1"/>
    <xf numFmtId="0" fontId="12" fillId="17" borderId="24" xfId="0" applyFont="1" applyFill="1" applyBorder="1"/>
    <xf numFmtId="0" fontId="12" fillId="17" borderId="25" xfId="0" applyFont="1" applyFill="1" applyBorder="1"/>
    <xf numFmtId="0" fontId="12" fillId="17" borderId="26" xfId="0" applyFont="1" applyFill="1" applyBorder="1"/>
    <xf numFmtId="0" fontId="11" fillId="19" borderId="12" xfId="0" applyFont="1" applyFill="1" applyBorder="1" applyAlignment="1">
      <alignment horizontal="left"/>
    </xf>
    <xf numFmtId="0" fontId="12" fillId="19" borderId="0" xfId="0" applyFont="1" applyFill="1" applyBorder="1" applyAlignment="1"/>
    <xf numFmtId="0" fontId="12" fillId="19" borderId="12" xfId="0" applyFont="1" applyFill="1" applyBorder="1" applyAlignment="1"/>
    <xf numFmtId="0" fontId="11" fillId="19" borderId="0" xfId="0" applyFont="1" applyFill="1" applyBorder="1" applyAlignment="1"/>
    <xf numFmtId="0" fontId="12" fillId="19" borderId="12"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0" xfId="0" applyFill="1" applyBorder="1" applyProtection="1">
      <protection locked="0"/>
    </xf>
    <xf numFmtId="0" fontId="0" fillId="20" borderId="0" xfId="0" applyNumberFormat="1" applyFill="1" applyBorder="1" applyProtection="1">
      <protection locked="0"/>
    </xf>
    <xf numFmtId="0" fontId="6" fillId="20" borderId="0" xfId="0" applyFont="1" applyFill="1" applyBorder="1" applyProtection="1">
      <protection locked="0"/>
    </xf>
    <xf numFmtId="0" fontId="6" fillId="20" borderId="0" xfId="0" applyFont="1" applyFill="1" applyBorder="1"/>
    <xf numFmtId="0" fontId="6" fillId="20" borderId="13" xfId="0" applyFont="1" applyFill="1" applyBorder="1"/>
    <xf numFmtId="0" fontId="6" fillId="20" borderId="17" xfId="0" applyFont="1" applyFill="1" applyBorder="1"/>
    <xf numFmtId="0" fontId="6" fillId="20" borderId="18" xfId="0" applyFont="1" applyFill="1" applyBorder="1"/>
    <xf numFmtId="0" fontId="6" fillId="20" borderId="27" xfId="0" applyFont="1" applyFill="1" applyBorder="1"/>
    <xf numFmtId="0" fontId="12" fillId="20" borderId="12" xfId="0" applyFont="1" applyFill="1" applyBorder="1" applyAlignment="1">
      <alignment horizontal="center"/>
    </xf>
    <xf numFmtId="0" fontId="0" fillId="0" borderId="0" xfId="0" applyBorder="1"/>
    <xf numFmtId="0" fontId="0" fillId="19" borderId="14" xfId="0" applyFill="1" applyBorder="1"/>
    <xf numFmtId="0" fontId="0" fillId="19" borderId="15" xfId="0" applyFill="1" applyBorder="1"/>
    <xf numFmtId="0" fontId="0" fillId="19" borderId="13" xfId="0" applyFill="1" applyBorder="1"/>
    <xf numFmtId="0" fontId="0" fillId="19" borderId="27" xfId="0" applyFill="1" applyBorder="1"/>
    <xf numFmtId="0" fontId="12" fillId="19" borderId="0" xfId="0" applyFont="1" applyFill="1" applyBorder="1" applyAlignment="1">
      <alignment vertical="top"/>
    </xf>
    <xf numFmtId="0" fontId="11" fillId="19" borderId="0" xfId="0" applyFont="1" applyFill="1" applyBorder="1" applyAlignment="1">
      <alignment horizontal="center"/>
    </xf>
    <xf numFmtId="0" fontId="6" fillId="20" borderId="18" xfId="0" applyFont="1" applyFill="1" applyBorder="1" applyAlignment="1">
      <alignment horizontal="center"/>
    </xf>
    <xf numFmtId="0" fontId="6" fillId="20" borderId="15" xfId="0" applyFont="1" applyFill="1" applyBorder="1" applyAlignment="1">
      <alignment horizontal="center"/>
    </xf>
    <xf numFmtId="0" fontId="12" fillId="19" borderId="0" xfId="0" applyFont="1" applyFill="1" applyBorder="1" applyAlignment="1">
      <alignment horizontal="center"/>
    </xf>
    <xf numFmtId="3" fontId="12" fillId="19" borderId="0" xfId="0" applyNumberFormat="1" applyFont="1" applyFill="1" applyBorder="1" applyAlignment="1">
      <alignment horizontal="right" vertical="center" indent="1"/>
    </xf>
    <xf numFmtId="3" fontId="11" fillId="19" borderId="0" xfId="0" applyNumberFormat="1" applyFont="1" applyFill="1" applyBorder="1" applyAlignment="1">
      <alignment horizontal="right" vertical="center" indent="1"/>
    </xf>
    <xf numFmtId="3" fontId="12" fillId="17" borderId="0" xfId="0" applyNumberFormat="1" applyFont="1" applyFill="1" applyBorder="1" applyAlignment="1">
      <alignment horizontal="right" vertical="center" indent="1"/>
    </xf>
    <xf numFmtId="0" fontId="6" fillId="20" borderId="14" xfId="0" applyFont="1" applyFill="1" applyBorder="1" applyAlignment="1"/>
    <xf numFmtId="0" fontId="6" fillId="20" borderId="15" xfId="0" applyFont="1" applyFill="1" applyBorder="1" applyAlignment="1"/>
    <xf numFmtId="0" fontId="6" fillId="20" borderId="16" xfId="0" applyFont="1" applyFill="1" applyBorder="1" applyAlignment="1"/>
    <xf numFmtId="0" fontId="6" fillId="20" borderId="17" xfId="0" applyFont="1" applyFill="1" applyBorder="1" applyAlignment="1"/>
    <xf numFmtId="0" fontId="6" fillId="20" borderId="18" xfId="0" applyFont="1" applyFill="1" applyBorder="1" applyAlignment="1"/>
    <xf numFmtId="0" fontId="6" fillId="20" borderId="27" xfId="0" applyFont="1" applyFill="1" applyBorder="1" applyAlignment="1"/>
    <xf numFmtId="0" fontId="31" fillId="19" borderId="0" xfId="0" applyFont="1" applyFill="1" applyBorder="1" applyAlignment="1">
      <alignment horizontal="left"/>
    </xf>
    <xf numFmtId="3" fontId="6" fillId="19" borderId="0" xfId="0" applyNumberFormat="1" applyFont="1" applyFill="1" applyBorder="1" applyAlignment="1">
      <alignment horizontal="right" vertical="center" indent="1"/>
    </xf>
    <xf numFmtId="3" fontId="9" fillId="19" borderId="0" xfId="0" applyNumberFormat="1" applyFont="1" applyFill="1" applyBorder="1" applyAlignment="1">
      <alignment horizontal="right" vertical="center" indent="1"/>
    </xf>
    <xf numFmtId="3" fontId="10" fillId="19" borderId="0" xfId="0" applyNumberFormat="1" applyFont="1" applyFill="1" applyBorder="1" applyAlignment="1">
      <alignment horizontal="right" vertical="center" indent="1"/>
    </xf>
    <xf numFmtId="3" fontId="9"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left" vertical="center" indent="1"/>
    </xf>
    <xf numFmtId="0" fontId="3" fillId="20" borderId="18" xfId="0" applyFont="1" applyFill="1" applyBorder="1"/>
    <xf numFmtId="0" fontId="12" fillId="19" borderId="18" xfId="0" applyFont="1" applyFill="1" applyBorder="1"/>
    <xf numFmtId="0" fontId="6" fillId="0" borderId="0" xfId="0" applyFont="1" applyBorder="1"/>
    <xf numFmtId="0" fontId="36" fillId="20" borderId="15" xfId="0" applyFont="1" applyFill="1" applyBorder="1"/>
    <xf numFmtId="3" fontId="12" fillId="19" borderId="0" xfId="0" applyNumberFormat="1" applyFont="1" applyFill="1" applyBorder="1" applyAlignment="1" applyProtection="1">
      <alignment horizontal="right" vertical="center" indent="1"/>
      <protection locked="0"/>
    </xf>
    <xf numFmtId="0" fontId="6" fillId="19" borderId="0" xfId="0" applyFont="1" applyFill="1" applyBorder="1" applyAlignment="1">
      <alignment vertical="top"/>
    </xf>
    <xf numFmtId="3" fontId="37" fillId="19" borderId="0" xfId="0" applyNumberFormat="1" applyFont="1" applyFill="1" applyBorder="1" applyAlignment="1">
      <alignment horizontal="left" vertical="center" indent="1"/>
    </xf>
    <xf numFmtId="3" fontId="8" fillId="19" borderId="0" xfId="0" applyNumberFormat="1" applyFont="1" applyFill="1" applyBorder="1" applyAlignment="1">
      <alignment horizontal="right" vertical="center" indent="1"/>
    </xf>
    <xf numFmtId="0" fontId="6" fillId="20" borderId="12" xfId="0" applyFont="1" applyFill="1" applyBorder="1" applyAlignment="1">
      <alignment horizontal="center"/>
    </xf>
    <xf numFmtId="0" fontId="6" fillId="20" borderId="0" xfId="0" applyFont="1" applyFill="1" applyBorder="1" applyAlignment="1">
      <alignment horizontal="center"/>
    </xf>
    <xf numFmtId="0" fontId="6" fillId="20" borderId="13" xfId="0" applyFont="1" applyFill="1" applyBorder="1" applyAlignment="1">
      <alignment horizontal="center"/>
    </xf>
    <xf numFmtId="9" fontId="34" fillId="17" borderId="0" xfId="43" applyFont="1" applyFill="1" applyBorder="1" applyAlignment="1">
      <alignment vertical="center"/>
    </xf>
    <xf numFmtId="0" fontId="35" fillId="17" borderId="0" xfId="0" applyFont="1" applyFill="1" applyBorder="1" applyAlignment="1">
      <alignment vertical="center"/>
    </xf>
    <xf numFmtId="0" fontId="34" fillId="17" borderId="0" xfId="0" applyFont="1" applyFill="1" applyBorder="1" applyAlignment="1">
      <alignment vertical="center"/>
    </xf>
    <xf numFmtId="0" fontId="6" fillId="0" borderId="0" xfId="0" applyFont="1" applyFill="1" applyBorder="1"/>
    <xf numFmtId="0" fontId="7" fillId="20" borderId="12" xfId="0" applyFont="1" applyFill="1" applyBorder="1" applyAlignment="1">
      <alignment horizontal="center"/>
    </xf>
    <xf numFmtId="0" fontId="2" fillId="20" borderId="18" xfId="0" applyFont="1" applyFill="1" applyBorder="1" applyAlignment="1">
      <alignment horizontal="right"/>
    </xf>
    <xf numFmtId="0" fontId="4" fillId="20" borderId="18" xfId="0" applyFont="1" applyFill="1" applyBorder="1" applyAlignment="1">
      <alignment horizontal="right"/>
    </xf>
    <xf numFmtId="0" fontId="12" fillId="19" borderId="24" xfId="0" applyFont="1" applyFill="1" applyBorder="1" applyAlignment="1"/>
    <xf numFmtId="0" fontId="12" fillId="19" borderId="19" xfId="0" applyFont="1" applyFill="1" applyBorder="1" applyAlignment="1"/>
    <xf numFmtId="3" fontId="11" fillId="19" borderId="19" xfId="0" applyNumberFormat="1" applyFont="1" applyFill="1" applyBorder="1" applyAlignment="1">
      <alignment horizontal="right" vertical="center" indent="1"/>
    </xf>
    <xf numFmtId="3" fontId="12" fillId="19" borderId="19" xfId="0" applyNumberFormat="1" applyFont="1" applyFill="1" applyBorder="1" applyAlignment="1">
      <alignment horizontal="right" vertical="center" indent="1"/>
    </xf>
    <xf numFmtId="0" fontId="12" fillId="19" borderId="25" xfId="0" applyFont="1" applyFill="1" applyBorder="1" applyAlignment="1"/>
    <xf numFmtId="0" fontId="11" fillId="19" borderId="25" xfId="0" applyFont="1" applyFill="1" applyBorder="1" applyAlignment="1"/>
    <xf numFmtId="0" fontId="12" fillId="19" borderId="26" xfId="0" applyFont="1" applyFill="1" applyBorder="1" applyAlignment="1"/>
    <xf numFmtId="0" fontId="12" fillId="19" borderId="22" xfId="0" applyFont="1" applyFill="1" applyBorder="1" applyAlignment="1"/>
    <xf numFmtId="3" fontId="12" fillId="19" borderId="22" xfId="0" applyNumberFormat="1" applyFont="1" applyFill="1" applyBorder="1" applyAlignment="1">
      <alignment horizontal="right" vertical="center" indent="1"/>
    </xf>
    <xf numFmtId="9" fontId="32" fillId="17" borderId="0" xfId="43" applyFont="1" applyFill="1" applyBorder="1" applyAlignment="1">
      <alignment vertical="center"/>
    </xf>
    <xf numFmtId="0" fontId="32" fillId="0" borderId="0" xfId="0" applyFont="1" applyBorder="1" applyAlignment="1">
      <alignment vertical="center"/>
    </xf>
    <xf numFmtId="0" fontId="12" fillId="0" borderId="0" xfId="0" applyFont="1" applyBorder="1"/>
    <xf numFmtId="0" fontId="37" fillId="0" borderId="0" xfId="0" applyFont="1" applyBorder="1"/>
    <xf numFmtId="0" fontId="32" fillId="0" borderId="0" xfId="0" applyFont="1" applyBorder="1"/>
    <xf numFmtId="0" fontId="8" fillId="19" borderId="0" xfId="0" applyFont="1" applyFill="1" applyBorder="1" applyAlignment="1">
      <alignment horizontal="left"/>
    </xf>
    <xf numFmtId="3" fontId="12" fillId="19" borderId="30" xfId="0" applyNumberFormat="1" applyFont="1" applyFill="1" applyBorder="1" applyAlignment="1">
      <alignment horizontal="right" vertical="center" indent="1"/>
    </xf>
    <xf numFmtId="3" fontId="12" fillId="19" borderId="31" xfId="0" applyNumberFormat="1" applyFont="1" applyFill="1" applyBorder="1" applyAlignment="1">
      <alignment horizontal="right" vertical="center" indent="1"/>
    </xf>
    <xf numFmtId="0" fontId="0" fillId="19" borderId="0" xfId="0" applyFill="1" applyBorder="1" applyAlignment="1"/>
    <xf numFmtId="0" fontId="36" fillId="20" borderId="15" xfId="0" applyFont="1" applyFill="1" applyBorder="1" applyAlignment="1"/>
    <xf numFmtId="3" fontId="35" fillId="17" borderId="0" xfId="0" applyNumberFormat="1" applyFont="1" applyFill="1" applyBorder="1" applyAlignment="1">
      <alignment vertical="center"/>
    </xf>
    <xf numFmtId="3" fontId="6" fillId="19" borderId="0" xfId="0" applyNumberFormat="1" applyFont="1" applyFill="1" applyBorder="1" applyAlignment="1">
      <alignment horizontal="center" vertical="center"/>
    </xf>
    <xf numFmtId="3" fontId="8" fillId="19" borderId="0" xfId="0" applyNumberFormat="1" applyFont="1" applyFill="1" applyBorder="1" applyAlignment="1">
      <alignment horizontal="center" vertical="center" wrapText="1"/>
    </xf>
    <xf numFmtId="0" fontId="8" fillId="19" borderId="0" xfId="0" applyFont="1" applyFill="1" applyBorder="1"/>
    <xf numFmtId="0" fontId="0" fillId="19" borderId="18" xfId="0" applyFill="1" applyBorder="1" applyAlignment="1"/>
    <xf numFmtId="0" fontId="12" fillId="19" borderId="18" xfId="0" applyFont="1" applyFill="1" applyBorder="1" applyAlignment="1"/>
    <xf numFmtId="0" fontId="12" fillId="17" borderId="22" xfId="0" applyFont="1" applyFill="1" applyBorder="1" applyAlignment="1">
      <alignment horizontal="right" vertical="center" indent="1"/>
    </xf>
    <xf numFmtId="0" fontId="12" fillId="19" borderId="0" xfId="0" applyFont="1" applyFill="1" applyBorder="1" applyAlignment="1">
      <alignment horizontal="right" vertical="center" indent="1"/>
    </xf>
    <xf numFmtId="0" fontId="6" fillId="21" borderId="0" xfId="0" applyFont="1" applyFill="1" applyBorder="1"/>
    <xf numFmtId="0" fontId="8" fillId="19" borderId="0" xfId="0" applyFont="1" applyFill="1" applyBorder="1" applyAlignment="1">
      <alignment vertical="top"/>
    </xf>
    <xf numFmtId="0" fontId="6" fillId="22" borderId="18" xfId="0" applyFont="1" applyFill="1" applyBorder="1"/>
    <xf numFmtId="0" fontId="38" fillId="22" borderId="17" xfId="0" applyFont="1" applyFill="1" applyBorder="1"/>
    <xf numFmtId="0" fontId="6" fillId="22" borderId="27" xfId="0" applyFont="1" applyFill="1" applyBorder="1"/>
    <xf numFmtId="0" fontId="12" fillId="22" borderId="18" xfId="0" applyFont="1" applyFill="1" applyBorder="1"/>
    <xf numFmtId="3" fontId="11" fillId="22" borderId="18" xfId="0" applyNumberFormat="1" applyFont="1" applyFill="1" applyBorder="1" applyAlignment="1">
      <alignment horizontal="right" vertical="center" indent="1"/>
    </xf>
    <xf numFmtId="3" fontId="12" fillId="22" borderId="18" xfId="0" applyNumberFormat="1" applyFont="1" applyFill="1" applyBorder="1" applyAlignment="1">
      <alignment horizontal="right" vertical="center" indent="1"/>
    </xf>
    <xf numFmtId="0" fontId="0" fillId="22" borderId="27" xfId="0" applyFill="1" applyBorder="1"/>
    <xf numFmtId="0" fontId="12" fillId="22" borderId="0" xfId="0" applyFont="1" applyFill="1" applyBorder="1"/>
    <xf numFmtId="3" fontId="12" fillId="22" borderId="0" xfId="0" applyNumberFormat="1" applyFont="1" applyFill="1" applyBorder="1" applyAlignment="1">
      <alignment horizontal="right" vertical="center" indent="1"/>
    </xf>
    <xf numFmtId="0" fontId="6" fillId="19" borderId="0" xfId="0" applyFont="1" applyFill="1" applyBorder="1" applyAlignment="1">
      <alignment horizontal="left" vertical="top"/>
    </xf>
    <xf numFmtId="0" fontId="11" fillId="19" borderId="0" xfId="0" applyFont="1" applyFill="1" applyBorder="1" applyAlignment="1">
      <alignment vertical="top"/>
    </xf>
    <xf numFmtId="0" fontId="0" fillId="19" borderId="0" xfId="0" applyFill="1" applyBorder="1" applyAlignment="1">
      <alignment vertical="top"/>
    </xf>
    <xf numFmtId="0" fontId="12" fillId="19" borderId="18" xfId="0" applyFont="1" applyFill="1" applyBorder="1" applyAlignment="1">
      <alignment vertical="top"/>
    </xf>
    <xf numFmtId="0" fontId="0" fillId="19" borderId="12" xfId="0" applyFill="1" applyBorder="1" applyAlignment="1">
      <alignment vertical="top"/>
    </xf>
    <xf numFmtId="3" fontId="12" fillId="19" borderId="12" xfId="0" applyNumberFormat="1" applyFont="1" applyFill="1" applyBorder="1" applyAlignment="1">
      <alignment horizontal="right" vertical="top"/>
    </xf>
    <xf numFmtId="3" fontId="12" fillId="19" borderId="0" xfId="0" applyNumberFormat="1" applyFont="1" applyFill="1" applyBorder="1" applyAlignment="1">
      <alignment horizontal="right" vertical="top"/>
    </xf>
    <xf numFmtId="0" fontId="0" fillId="19" borderId="17" xfId="0" applyFill="1" applyBorder="1" applyAlignment="1">
      <alignment vertical="top"/>
    </xf>
    <xf numFmtId="0" fontId="0" fillId="19" borderId="18" xfId="0" applyFill="1" applyBorder="1" applyAlignment="1">
      <alignment vertical="top"/>
    </xf>
    <xf numFmtId="0" fontId="0" fillId="22" borderId="18" xfId="0" applyFill="1" applyBorder="1" applyAlignment="1">
      <alignment vertical="top" wrapText="1"/>
    </xf>
    <xf numFmtId="0" fontId="0" fillId="22" borderId="0" xfId="0" applyFill="1" applyBorder="1" applyAlignment="1">
      <alignment vertical="top" wrapText="1"/>
    </xf>
    <xf numFmtId="0" fontId="12" fillId="22" borderId="0" xfId="0" applyFont="1" applyFill="1" applyBorder="1" applyAlignment="1">
      <alignment vertical="top"/>
    </xf>
    <xf numFmtId="0" fontId="11" fillId="19" borderId="0" xfId="0" applyFont="1" applyFill="1" applyBorder="1" applyAlignment="1">
      <alignment horizontal="left" vertical="top"/>
    </xf>
    <xf numFmtId="0" fontId="12" fillId="19" borderId="19" xfId="0" applyFont="1" applyFill="1" applyBorder="1" applyAlignment="1">
      <alignment vertical="top" wrapText="1"/>
    </xf>
    <xf numFmtId="0" fontId="12" fillId="19" borderId="22" xfId="0" applyFont="1" applyFill="1" applyBorder="1" applyAlignment="1">
      <alignment vertical="top"/>
    </xf>
    <xf numFmtId="0" fontId="12" fillId="17" borderId="19" xfId="0" applyFont="1" applyFill="1" applyBorder="1" applyAlignment="1">
      <alignment vertical="top"/>
    </xf>
    <xf numFmtId="0" fontId="11" fillId="17" borderId="0" xfId="0" applyFont="1" applyFill="1" applyBorder="1" applyAlignment="1">
      <alignment vertical="top"/>
    </xf>
    <xf numFmtId="0" fontId="12" fillId="17" borderId="0" xfId="0" applyFont="1" applyFill="1" applyBorder="1" applyAlignment="1">
      <alignment vertical="top"/>
    </xf>
    <xf numFmtId="0" fontId="12" fillId="17" borderId="22" xfId="0" applyFont="1" applyFill="1" applyBorder="1" applyAlignment="1">
      <alignment vertical="top"/>
    </xf>
    <xf numFmtId="0" fontId="8" fillId="19" borderId="0" xfId="0" applyFont="1" applyFill="1" applyBorder="1" applyAlignment="1">
      <alignment horizontal="left" vertical="top"/>
    </xf>
    <xf numFmtId="0" fontId="6" fillId="17" borderId="0" xfId="0" applyFont="1" applyFill="1" applyBorder="1" applyAlignment="1">
      <alignment vertical="top"/>
    </xf>
    <xf numFmtId="0" fontId="0" fillId="22" borderId="0" xfId="0" applyFill="1" applyAlignment="1">
      <alignment vertical="top" wrapText="1"/>
    </xf>
    <xf numFmtId="0" fontId="6" fillId="19" borderId="0" xfId="0" applyFont="1" applyFill="1" applyBorder="1" applyAlignment="1">
      <alignment vertical="top" wrapText="1"/>
    </xf>
    <xf numFmtId="0" fontId="12" fillId="22" borderId="0" xfId="0" applyFont="1" applyFill="1"/>
    <xf numFmtId="0" fontId="12" fillId="22" borderId="0" xfId="0" applyFont="1" applyFill="1" applyBorder="1" applyAlignment="1"/>
    <xf numFmtId="0" fontId="0" fillId="19" borderId="37" xfId="0" applyFill="1" applyBorder="1" applyAlignment="1">
      <alignment vertical="top"/>
    </xf>
    <xf numFmtId="0" fontId="12" fillId="19" borderId="38" xfId="0" applyFont="1" applyFill="1" applyBorder="1" applyAlignment="1">
      <alignment vertical="top" wrapText="1"/>
    </xf>
    <xf numFmtId="0" fontId="12" fillId="19" borderId="38" xfId="0" applyFont="1" applyFill="1" applyBorder="1"/>
    <xf numFmtId="3" fontId="6" fillId="19" borderId="38" xfId="0" applyNumberFormat="1" applyFont="1" applyFill="1" applyBorder="1" applyAlignment="1">
      <alignment horizontal="right" vertical="center" indent="1"/>
    </xf>
    <xf numFmtId="3" fontId="12" fillId="19" borderId="38" xfId="0" applyNumberFormat="1" applyFont="1" applyFill="1" applyBorder="1" applyAlignment="1">
      <alignment horizontal="right" vertical="center" indent="1"/>
    </xf>
    <xf numFmtId="0" fontId="0" fillId="19" borderId="40" xfId="0" applyFill="1" applyBorder="1" applyAlignment="1">
      <alignment vertical="top"/>
    </xf>
    <xf numFmtId="0" fontId="0" fillId="19" borderId="42" xfId="0" applyFill="1" applyBorder="1" applyAlignment="1">
      <alignment vertical="top"/>
    </xf>
    <xf numFmtId="0" fontId="6" fillId="19" borderId="43" xfId="0" applyFont="1" applyFill="1" applyBorder="1" applyAlignment="1">
      <alignment horizontal="left" vertical="top" wrapText="1"/>
    </xf>
    <xf numFmtId="0" fontId="12" fillId="19" borderId="43" xfId="0" applyFont="1" applyFill="1" applyBorder="1"/>
    <xf numFmtId="3" fontId="12" fillId="19" borderId="43" xfId="0" applyNumberFormat="1" applyFont="1" applyFill="1" applyBorder="1" applyAlignment="1">
      <alignment horizontal="right" vertical="center" indent="1"/>
    </xf>
    <xf numFmtId="0" fontId="0" fillId="19" borderId="43" xfId="0" applyFill="1" applyBorder="1"/>
    <xf numFmtId="3" fontId="8" fillId="19" borderId="38" xfId="0" applyNumberFormat="1" applyFont="1" applyFill="1" applyBorder="1" applyAlignment="1">
      <alignment horizontal="right" vertical="center" indent="1"/>
    </xf>
    <xf numFmtId="3" fontId="8" fillId="19" borderId="43" xfId="0" applyNumberFormat="1" applyFont="1" applyFill="1" applyBorder="1" applyAlignment="1">
      <alignment horizontal="right" vertical="center" indent="1"/>
    </xf>
    <xf numFmtId="3" fontId="6" fillId="19" borderId="43" xfId="0" applyNumberFormat="1" applyFont="1" applyFill="1" applyBorder="1" applyAlignment="1">
      <alignment horizontal="right" vertical="center" indent="1"/>
    </xf>
    <xf numFmtId="0" fontId="0" fillId="22" borderId="0" xfId="0" applyFill="1" applyBorder="1" applyAlignment="1">
      <alignment vertical="top"/>
    </xf>
    <xf numFmtId="0" fontId="0" fillId="22" borderId="37" xfId="0" applyFill="1" applyBorder="1" applyAlignment="1">
      <alignment vertical="top"/>
    </xf>
    <xf numFmtId="0" fontId="0" fillId="22" borderId="38" xfId="0" applyFill="1" applyBorder="1" applyAlignment="1">
      <alignment vertical="top" wrapText="1"/>
    </xf>
    <xf numFmtId="0" fontId="12" fillId="22" borderId="38" xfId="0" applyFont="1" applyFill="1" applyBorder="1"/>
    <xf numFmtId="0" fontId="0" fillId="22" borderId="40" xfId="0" applyFill="1" applyBorder="1" applyAlignment="1">
      <alignment vertical="top"/>
    </xf>
    <xf numFmtId="0" fontId="0" fillId="22" borderId="42" xfId="0" applyFill="1" applyBorder="1" applyAlignment="1">
      <alignment vertical="top"/>
    </xf>
    <xf numFmtId="0" fontId="0" fillId="22" borderId="43" xfId="0" applyFill="1" applyBorder="1" applyAlignment="1">
      <alignment vertical="top" wrapText="1"/>
    </xf>
    <xf numFmtId="0" fontId="12" fillId="22" borderId="43" xfId="0" applyFont="1" applyFill="1" applyBorder="1"/>
    <xf numFmtId="0" fontId="12" fillId="19" borderId="38" xfId="0" applyFont="1" applyFill="1" applyBorder="1" applyAlignment="1">
      <alignment vertical="top"/>
    </xf>
    <xf numFmtId="0" fontId="12" fillId="19" borderId="43" xfId="0" applyFont="1" applyFill="1" applyBorder="1" applyAlignment="1">
      <alignment vertical="top"/>
    </xf>
    <xf numFmtId="0" fontId="6" fillId="19" borderId="38" xfId="0" applyFont="1" applyFill="1" applyBorder="1" applyAlignment="1">
      <alignment vertical="top"/>
    </xf>
    <xf numFmtId="0" fontId="6" fillId="19" borderId="43" xfId="0" applyFont="1" applyFill="1" applyBorder="1" applyAlignment="1">
      <alignment vertical="top"/>
    </xf>
    <xf numFmtId="0" fontId="0" fillId="19" borderId="42" xfId="0" applyFill="1" applyBorder="1"/>
    <xf numFmtId="0" fontId="6" fillId="19" borderId="18" xfId="0" applyFont="1" applyFill="1" applyBorder="1" applyAlignment="1">
      <alignment vertical="top"/>
    </xf>
    <xf numFmtId="0" fontId="8" fillId="19" borderId="0" xfId="0" applyFont="1" applyFill="1" applyBorder="1" applyAlignment="1"/>
    <xf numFmtId="0" fontId="12" fillId="23" borderId="0" xfId="0" applyFont="1" applyFill="1" applyBorder="1" applyAlignment="1">
      <alignment vertical="top"/>
    </xf>
    <xf numFmtId="0" fontId="0" fillId="23" borderId="0" xfId="0" applyFill="1" applyBorder="1" applyAlignment="1">
      <alignment vertical="top"/>
    </xf>
    <xf numFmtId="0" fontId="6" fillId="23" borderId="0" xfId="0" applyFont="1" applyFill="1" applyBorder="1" applyAlignment="1">
      <alignment vertical="top"/>
    </xf>
    <xf numFmtId="0" fontId="12" fillId="23" borderId="0" xfId="0" applyFont="1" applyFill="1" applyBorder="1"/>
    <xf numFmtId="3" fontId="12" fillId="23" borderId="0" xfId="0" applyNumberFormat="1" applyFont="1" applyFill="1" applyBorder="1" applyAlignment="1">
      <alignment horizontal="right" vertical="center" indent="1"/>
    </xf>
    <xf numFmtId="0" fontId="33" fillId="23" borderId="0" xfId="0" applyFont="1" applyFill="1" applyBorder="1" applyAlignment="1">
      <alignment vertical="top"/>
    </xf>
    <xf numFmtId="0" fontId="40" fillId="24" borderId="0" xfId="0" applyFont="1" applyFill="1" applyBorder="1"/>
    <xf numFmtId="0" fontId="41" fillId="24" borderId="0" xfId="0" applyFont="1" applyFill="1" applyBorder="1"/>
    <xf numFmtId="0" fontId="42" fillId="24" borderId="0" xfId="0" applyFont="1" applyFill="1" applyBorder="1"/>
    <xf numFmtId="0" fontId="43" fillId="24" borderId="0" xfId="0" applyFont="1" applyFill="1" applyBorder="1"/>
    <xf numFmtId="0" fontId="12" fillId="23" borderId="0" xfId="0" applyFont="1" applyFill="1" applyBorder="1" applyAlignment="1"/>
    <xf numFmtId="0" fontId="12" fillId="23" borderId="45" xfId="0" applyFont="1" applyFill="1" applyBorder="1"/>
    <xf numFmtId="0" fontId="12" fillId="23" borderId="46" xfId="0" applyFont="1" applyFill="1" applyBorder="1" applyAlignment="1">
      <alignment vertical="top"/>
    </xf>
    <xf numFmtId="0" fontId="12" fillId="23" borderId="46" xfId="0" applyFont="1" applyFill="1" applyBorder="1"/>
    <xf numFmtId="0" fontId="12" fillId="23" borderId="46" xfId="0" applyFont="1" applyFill="1" applyBorder="1" applyAlignment="1">
      <alignment horizontal="right" vertical="center" indent="1"/>
    </xf>
    <xf numFmtId="0" fontId="12" fillId="23" borderId="47" xfId="0" applyFont="1" applyFill="1" applyBorder="1"/>
    <xf numFmtId="0" fontId="12" fillId="23" borderId="48" xfId="0" applyFont="1" applyFill="1" applyBorder="1"/>
    <xf numFmtId="0" fontId="11" fillId="23" borderId="0" xfId="0" applyFont="1" applyFill="1" applyBorder="1" applyAlignment="1">
      <alignment vertical="top"/>
    </xf>
    <xf numFmtId="0" fontId="12" fillId="23" borderId="0" xfId="0" applyFont="1" applyFill="1" applyBorder="1" applyAlignment="1">
      <alignment horizontal="right" vertical="center" indent="1"/>
    </xf>
    <xf numFmtId="0" fontId="12" fillId="23" borderId="49" xfId="0" applyFont="1" applyFill="1" applyBorder="1"/>
    <xf numFmtId="0" fontId="12" fillId="23" borderId="49" xfId="0" applyFont="1" applyFill="1" applyBorder="1" applyAlignment="1">
      <alignment horizontal="center"/>
    </xf>
    <xf numFmtId="0" fontId="12" fillId="23" borderId="50" xfId="0" applyFont="1" applyFill="1" applyBorder="1"/>
    <xf numFmtId="0" fontId="12" fillId="23" borderId="51" xfId="0" applyFont="1" applyFill="1" applyBorder="1"/>
    <xf numFmtId="0" fontId="12" fillId="23" borderId="52" xfId="0" applyFont="1" applyFill="1" applyBorder="1"/>
    <xf numFmtId="3" fontId="11" fillId="17" borderId="0" xfId="0" applyNumberFormat="1" applyFont="1" applyFill="1" applyBorder="1" applyAlignment="1">
      <alignment horizontal="center" vertical="center"/>
    </xf>
    <xf numFmtId="0" fontId="35" fillId="0" borderId="0" xfId="0" applyFont="1" applyBorder="1" applyAlignment="1">
      <alignment vertical="center"/>
    </xf>
    <xf numFmtId="3" fontId="11" fillId="22" borderId="19" xfId="0" applyNumberFormat="1" applyFont="1" applyFill="1" applyBorder="1" applyAlignment="1">
      <alignment horizontal="right" vertical="center" indent="1"/>
    </xf>
    <xf numFmtId="3" fontId="12" fillId="22" borderId="22" xfId="0" applyNumberFormat="1" applyFont="1" applyFill="1" applyBorder="1" applyAlignment="1">
      <alignment horizontal="right" vertical="center" indent="1"/>
    </xf>
    <xf numFmtId="0" fontId="12" fillId="19" borderId="14" xfId="0" applyFont="1" applyFill="1" applyBorder="1" applyAlignment="1"/>
    <xf numFmtId="0" fontId="12" fillId="19" borderId="15" xfId="0" applyFont="1" applyFill="1" applyBorder="1" applyAlignment="1"/>
    <xf numFmtId="0" fontId="12" fillId="19" borderId="15" xfId="0" applyFont="1" applyFill="1" applyBorder="1" applyAlignment="1">
      <alignment vertical="top"/>
    </xf>
    <xf numFmtId="0" fontId="12" fillId="19" borderId="15" xfId="0" applyFont="1" applyFill="1" applyBorder="1"/>
    <xf numFmtId="0" fontId="12" fillId="19" borderId="16" xfId="0" applyFont="1" applyFill="1" applyBorder="1"/>
    <xf numFmtId="0" fontId="2" fillId="0" borderId="0" xfId="0" applyFont="1"/>
    <xf numFmtId="0" fontId="45" fillId="0" borderId="0" xfId="0" applyFont="1"/>
    <xf numFmtId="0" fontId="0" fillId="21" borderId="0" xfId="0" applyFill="1"/>
    <xf numFmtId="0" fontId="2" fillId="21" borderId="0" xfId="0" applyFont="1" applyFill="1"/>
    <xf numFmtId="3" fontId="11" fillId="17" borderId="0" xfId="0" applyNumberFormat="1" applyFont="1" applyFill="1" applyBorder="1" applyAlignment="1">
      <alignment horizontal="center" vertical="center"/>
    </xf>
    <xf numFmtId="3" fontId="8" fillId="19" borderId="0" xfId="0" applyNumberFormat="1" applyFont="1" applyFill="1" applyBorder="1" applyAlignment="1">
      <alignment horizontal="center" vertical="center" wrapText="1"/>
    </xf>
    <xf numFmtId="3" fontId="8" fillId="19" borderId="0" xfId="0" applyNumberFormat="1" applyFont="1" applyFill="1" applyBorder="1" applyAlignment="1">
      <alignment horizontal="center" vertical="center"/>
    </xf>
    <xf numFmtId="1" fontId="2" fillId="20" borderId="14" xfId="0" applyNumberFormat="1" applyFont="1" applyFill="1" applyBorder="1"/>
    <xf numFmtId="0" fontId="2" fillId="20" borderId="15" xfId="0" applyFont="1" applyFill="1" applyBorder="1"/>
    <xf numFmtId="0" fontId="2" fillId="20" borderId="16" xfId="0" applyFont="1" applyFill="1" applyBorder="1" applyAlignment="1">
      <alignment horizontal="center"/>
    </xf>
    <xf numFmtId="1" fontId="2" fillId="20" borderId="12" xfId="0" applyNumberFormat="1" applyFont="1" applyFill="1" applyBorder="1" applyAlignment="1"/>
    <xf numFmtId="0" fontId="2" fillId="20" borderId="0" xfId="0" applyFont="1" applyFill="1" applyBorder="1" applyAlignment="1"/>
    <xf numFmtId="0" fontId="2" fillId="20" borderId="13" xfId="0" applyFont="1" applyFill="1" applyBorder="1" applyAlignment="1">
      <alignment horizontal="center"/>
    </xf>
    <xf numFmtId="1" fontId="2" fillId="20" borderId="12" xfId="0" applyNumberFormat="1" applyFont="1" applyFill="1" applyBorder="1" applyAlignment="1">
      <alignment horizontal="center"/>
    </xf>
    <xf numFmtId="1" fontId="2" fillId="20" borderId="0" xfId="0" applyNumberFormat="1" applyFont="1" applyFill="1" applyBorder="1" applyAlignment="1">
      <alignment horizontal="center"/>
    </xf>
    <xf numFmtId="1" fontId="2" fillId="20" borderId="13" xfId="0" applyNumberFormat="1" applyFont="1" applyFill="1" applyBorder="1" applyAlignment="1">
      <alignment horizontal="center"/>
    </xf>
    <xf numFmtId="1" fontId="2" fillId="20" borderId="12" xfId="0" applyNumberFormat="1" applyFont="1" applyFill="1" applyBorder="1"/>
    <xf numFmtId="0" fontId="2" fillId="20" borderId="0" xfId="0" applyFont="1" applyFill="1" applyBorder="1"/>
    <xf numFmtId="1" fontId="47" fillId="20" borderId="12" xfId="0" applyNumberFormat="1" applyFont="1" applyFill="1" applyBorder="1" applyAlignment="1">
      <alignment horizontal="center" vertical="top"/>
    </xf>
    <xf numFmtId="0" fontId="47" fillId="20" borderId="0" xfId="0" applyFont="1" applyFill="1" applyBorder="1" applyAlignment="1">
      <alignment vertical="top"/>
    </xf>
    <xf numFmtId="0" fontId="47" fillId="20" borderId="13" xfId="0" applyFont="1" applyFill="1" applyBorder="1" applyAlignment="1">
      <alignment horizontal="center" vertical="top"/>
    </xf>
    <xf numFmtId="1" fontId="2" fillId="20" borderId="17" xfId="0" applyNumberFormat="1" applyFont="1" applyFill="1" applyBorder="1"/>
    <xf numFmtId="0" fontId="2" fillId="20" borderId="18" xfId="0" applyFont="1" applyFill="1" applyBorder="1"/>
    <xf numFmtId="0" fontId="2" fillId="20" borderId="27" xfId="0" applyFont="1" applyFill="1" applyBorder="1" applyAlignment="1">
      <alignment horizontal="center"/>
    </xf>
    <xf numFmtId="1" fontId="2" fillId="25" borderId="12" xfId="0" applyNumberFormat="1" applyFont="1" applyFill="1" applyBorder="1" applyAlignment="1">
      <alignment horizontal="center"/>
    </xf>
    <xf numFmtId="4" fontId="2" fillId="25" borderId="55" xfId="0" applyNumberFormat="1" applyFont="1" applyFill="1" applyBorder="1"/>
    <xf numFmtId="4" fontId="2" fillId="25" borderId="14" xfId="0" applyNumberFormat="1" applyFont="1" applyFill="1" applyBorder="1" applyAlignment="1">
      <alignment horizontal="center"/>
    </xf>
    <xf numFmtId="3" fontId="0" fillId="21" borderId="0" xfId="0" applyNumberFormat="1" applyFill="1"/>
    <xf numFmtId="4" fontId="2" fillId="25" borderId="56" xfId="0" applyNumberFormat="1" applyFont="1" applyFill="1" applyBorder="1"/>
    <xf numFmtId="4" fontId="2" fillId="25" borderId="12" xfId="0" applyNumberFormat="1" applyFont="1" applyFill="1" applyBorder="1" applyAlignment="1">
      <alignment horizontal="center"/>
    </xf>
    <xf numFmtId="0" fontId="2" fillId="25" borderId="56" xfId="0" applyFont="1" applyFill="1" applyBorder="1"/>
    <xf numFmtId="0" fontId="2" fillId="25" borderId="12" xfId="0" applyFont="1" applyFill="1" applyBorder="1" applyAlignment="1">
      <alignment horizontal="center"/>
    </xf>
    <xf numFmtId="1" fontId="2" fillId="25" borderId="59" xfId="0" applyNumberFormat="1" applyFont="1" applyFill="1" applyBorder="1" applyAlignment="1">
      <alignment horizontal="center"/>
    </xf>
    <xf numFmtId="4" fontId="2" fillId="25" borderId="57" xfId="0" applyNumberFormat="1" applyFont="1" applyFill="1" applyBorder="1"/>
    <xf numFmtId="4" fontId="2" fillId="25" borderId="17" xfId="0" applyNumberFormat="1" applyFont="1" applyFill="1" applyBorder="1" applyAlignment="1">
      <alignment horizontal="center"/>
    </xf>
    <xf numFmtId="1" fontId="3" fillId="25" borderId="14" xfId="0" applyNumberFormat="1" applyFont="1" applyFill="1" applyBorder="1" applyAlignment="1">
      <alignment horizontal="center"/>
    </xf>
    <xf numFmtId="0" fontId="3" fillId="25" borderId="55" xfId="0" applyFont="1" applyFill="1" applyBorder="1"/>
    <xf numFmtId="0" fontId="3" fillId="25" borderId="55" xfId="0" applyFont="1" applyFill="1" applyBorder="1" applyAlignment="1">
      <alignment horizontal="center"/>
    </xf>
    <xf numFmtId="0" fontId="2" fillId="21" borderId="0" xfId="0" applyFont="1" applyFill="1" applyBorder="1"/>
    <xf numFmtId="0" fontId="0" fillId="21" borderId="0" xfId="0" applyFill="1" applyBorder="1"/>
    <xf numFmtId="0" fontId="32" fillId="17" borderId="0" xfId="0" applyFont="1" applyFill="1" applyBorder="1"/>
    <xf numFmtId="0" fontId="32" fillId="17" borderId="0" xfId="0" applyFont="1" applyFill="1" applyBorder="1" applyAlignment="1">
      <alignment vertical="center"/>
    </xf>
    <xf numFmtId="0" fontId="2" fillId="17" borderId="0" xfId="0" applyFont="1" applyFill="1"/>
    <xf numFmtId="3" fontId="2" fillId="17" borderId="0" xfId="0" applyNumberFormat="1" applyFont="1" applyFill="1" applyAlignment="1">
      <alignment horizontal="right" indent="1"/>
    </xf>
    <xf numFmtId="0" fontId="2" fillId="17" borderId="0" xfId="0" applyFont="1" applyFill="1" applyAlignment="1">
      <alignment horizontal="center"/>
    </xf>
    <xf numFmtId="3" fontId="8" fillId="21" borderId="0" xfId="0" applyNumberFormat="1" applyFont="1" applyFill="1" applyAlignment="1">
      <alignment horizontal="center"/>
    </xf>
    <xf numFmtId="0" fontId="8" fillId="21" borderId="0" xfId="0" applyFont="1" applyFill="1" applyAlignment="1">
      <alignment horizontal="center"/>
    </xf>
    <xf numFmtId="0" fontId="40" fillId="17" borderId="0" xfId="0" applyFont="1" applyFill="1" applyAlignment="1">
      <alignment horizontal="left" vertical="center"/>
    </xf>
    <xf numFmtId="0" fontId="40" fillId="17" borderId="0" xfId="0" applyFont="1" applyFill="1" applyAlignment="1">
      <alignment horizontal="center"/>
    </xf>
    <xf numFmtId="0" fontId="40" fillId="17" borderId="0" xfId="0" applyFont="1" applyFill="1" applyAlignment="1">
      <alignment horizontal="center" vertical="center"/>
    </xf>
    <xf numFmtId="4" fontId="2" fillId="17" borderId="0" xfId="0" applyNumberFormat="1" applyFont="1" applyFill="1"/>
    <xf numFmtId="3" fontId="0" fillId="0" borderId="0" xfId="0" applyNumberFormat="1"/>
    <xf numFmtId="0" fontId="2" fillId="17" borderId="18" xfId="0" applyFont="1" applyFill="1" applyBorder="1"/>
    <xf numFmtId="4" fontId="2" fillId="17" borderId="0" xfId="0" applyNumberFormat="1" applyFont="1" applyFill="1" applyBorder="1" applyAlignment="1">
      <alignment horizontal="center"/>
    </xf>
    <xf numFmtId="0" fontId="2" fillId="17" borderId="18" xfId="0" applyFont="1" applyFill="1" applyBorder="1" applyAlignment="1">
      <alignment horizontal="center"/>
    </xf>
    <xf numFmtId="0" fontId="48" fillId="6" borderId="0" xfId="33" applyFont="1" applyBorder="1" applyAlignment="1">
      <alignment horizontal="center" wrapText="1"/>
    </xf>
    <xf numFmtId="3" fontId="49" fillId="28" borderId="0" xfId="40" applyNumberFormat="1" applyFont="1" applyFill="1" applyAlignment="1">
      <alignment horizontal="right"/>
    </xf>
    <xf numFmtId="0" fontId="49" fillId="28" borderId="0" xfId="40" applyFont="1" applyFill="1" applyAlignment="1">
      <alignment horizontal="center"/>
    </xf>
    <xf numFmtId="0" fontId="26" fillId="21" borderId="0" xfId="40" applyFill="1"/>
    <xf numFmtId="4" fontId="2" fillId="17" borderId="0" xfId="0" applyNumberFormat="1" applyFont="1" applyFill="1" applyBorder="1"/>
    <xf numFmtId="0" fontId="2" fillId="17" borderId="0" xfId="0" applyFont="1" applyFill="1" applyBorder="1" applyAlignment="1">
      <alignment horizontal="left"/>
    </xf>
    <xf numFmtId="0" fontId="2" fillId="17" borderId="0" xfId="0" applyFont="1" applyFill="1" applyBorder="1" applyAlignment="1">
      <alignment horizontal="center"/>
    </xf>
    <xf numFmtId="0" fontId="2" fillId="17" borderId="0" xfId="0" applyFont="1" applyFill="1" applyBorder="1"/>
    <xf numFmtId="0" fontId="2" fillId="17" borderId="0" xfId="0" applyFont="1" applyFill="1" applyBorder="1" applyAlignment="1" applyProtection="1">
      <alignment horizontal="left"/>
    </xf>
    <xf numFmtId="3" fontId="0" fillId="26" borderId="0" xfId="0" applyNumberFormat="1" applyFill="1"/>
    <xf numFmtId="0" fontId="2" fillId="27" borderId="0" xfId="0" applyFont="1" applyFill="1"/>
    <xf numFmtId="0" fontId="50" fillId="29" borderId="0" xfId="40" applyFont="1" applyFill="1" applyAlignment="1">
      <alignment horizontal="center" vertical="center"/>
    </xf>
    <xf numFmtId="0" fontId="50" fillId="29" borderId="0" xfId="40" applyFont="1" applyFill="1" applyAlignment="1">
      <alignment horizontal="center"/>
    </xf>
    <xf numFmtId="0" fontId="20" fillId="6" borderId="0" xfId="33" applyBorder="1" applyAlignment="1">
      <alignment horizontal="center" wrapText="1"/>
    </xf>
    <xf numFmtId="0" fontId="2" fillId="17" borderId="0" xfId="0" quotePrefix="1" applyFont="1" applyFill="1" applyBorder="1" applyAlignment="1" applyProtection="1">
      <alignment horizontal="left"/>
    </xf>
    <xf numFmtId="0" fontId="2" fillId="17" borderId="0" xfId="0" quotePrefix="1" applyFont="1" applyFill="1" applyBorder="1" applyAlignment="1">
      <alignment horizontal="left"/>
    </xf>
    <xf numFmtId="0" fontId="3" fillId="17" borderId="0" xfId="0" applyFont="1" applyFill="1" applyAlignment="1">
      <alignment horizontal="right" vertical="top" wrapText="1"/>
    </xf>
    <xf numFmtId="0" fontId="3" fillId="26" borderId="0" xfId="0" applyFont="1" applyFill="1" applyAlignment="1">
      <alignment horizontal="right" vertical="top" wrapText="1"/>
    </xf>
    <xf numFmtId="3" fontId="20" fillId="6" borderId="0" xfId="33" applyNumberFormat="1" applyBorder="1" applyAlignment="1">
      <alignment horizontal="center" wrapText="1"/>
    </xf>
    <xf numFmtId="0" fontId="6" fillId="27" borderId="0" xfId="0" applyFont="1" applyFill="1" applyAlignment="1">
      <alignment horizontal="center" vertical="center"/>
    </xf>
    <xf numFmtId="3" fontId="49" fillId="28" borderId="0" xfId="40" applyNumberFormat="1" applyFont="1" applyFill="1" applyAlignment="1">
      <alignment horizontal="center"/>
    </xf>
    <xf numFmtId="0" fontId="50" fillId="29" borderId="0" xfId="40" applyFont="1" applyFill="1" applyAlignment="1">
      <alignment horizontal="center" vertical="top" wrapText="1"/>
    </xf>
    <xf numFmtId="0" fontId="3" fillId="21" borderId="0" xfId="0" applyFont="1" applyFill="1" applyAlignment="1">
      <alignment horizontal="right" vertical="top" wrapText="1"/>
    </xf>
    <xf numFmtId="0" fontId="3" fillId="17" borderId="0" xfId="0" applyFont="1" applyFill="1" applyBorder="1" applyAlignment="1">
      <alignment horizontal="right" wrapText="1"/>
    </xf>
    <xf numFmtId="0" fontId="3" fillId="17" borderId="0" xfId="0" applyFont="1" applyFill="1" applyBorder="1" applyAlignment="1">
      <alignment horizontal="center" wrapText="1"/>
    </xf>
    <xf numFmtId="0" fontId="3" fillId="17" borderId="0" xfId="0" applyFont="1" applyFill="1" applyBorder="1" applyAlignment="1">
      <alignment horizontal="left" wrapText="1"/>
    </xf>
    <xf numFmtId="0" fontId="2" fillId="26" borderId="60" xfId="0" applyFont="1" applyFill="1" applyBorder="1" applyAlignment="1">
      <alignment horizontal="center" vertical="top" wrapText="1"/>
    </xf>
    <xf numFmtId="0" fontId="3" fillId="27" borderId="60" xfId="0" applyFont="1" applyFill="1" applyBorder="1" applyAlignment="1">
      <alignment horizontal="center" wrapText="1"/>
    </xf>
    <xf numFmtId="3" fontId="52" fillId="28" borderId="60" xfId="40" applyNumberFormat="1" applyFont="1" applyFill="1" applyBorder="1" applyAlignment="1">
      <alignment horizontal="center" wrapText="1"/>
    </xf>
    <xf numFmtId="0" fontId="52" fillId="28" borderId="60" xfId="40" applyFont="1" applyFill="1" applyBorder="1" applyAlignment="1">
      <alignment horizontal="center" wrapText="1"/>
    </xf>
    <xf numFmtId="0" fontId="53" fillId="29" borderId="60" xfId="40" applyFont="1" applyFill="1" applyBorder="1" applyAlignment="1">
      <alignment horizontal="center" wrapText="1"/>
    </xf>
    <xf numFmtId="0" fontId="2" fillId="20" borderId="60" xfId="0" applyFont="1" applyFill="1" applyBorder="1" applyAlignment="1">
      <alignment horizontal="right" wrapText="1"/>
    </xf>
    <xf numFmtId="0" fontId="2" fillId="20" borderId="60" xfId="0" applyFont="1" applyFill="1" applyBorder="1" applyAlignment="1">
      <alignment horizontal="center" wrapText="1"/>
    </xf>
    <xf numFmtId="0" fontId="2" fillId="20" borderId="60" xfId="0" applyFont="1" applyFill="1" applyBorder="1" applyAlignment="1">
      <alignment horizontal="left" wrapText="1"/>
    </xf>
    <xf numFmtId="0" fontId="54" fillId="17" borderId="0" xfId="0" applyFont="1" applyFill="1" applyAlignment="1">
      <alignment horizontal="left" vertical="center"/>
    </xf>
    <xf numFmtId="0" fontId="54" fillId="26" borderId="0" xfId="0" applyFont="1" applyFill="1" applyAlignment="1">
      <alignment horizontal="center" vertical="center"/>
    </xf>
    <xf numFmtId="3" fontId="55" fillId="6" borderId="0" xfId="33" applyNumberFormat="1" applyFont="1" applyBorder="1" applyAlignment="1">
      <alignment horizontal="right" wrapText="1" indent="1"/>
    </xf>
    <xf numFmtId="0" fontId="54" fillId="27" borderId="0" xfId="0" applyFont="1" applyFill="1" applyAlignment="1">
      <alignment horizontal="center" vertical="center"/>
    </xf>
    <xf numFmtId="0" fontId="54" fillId="28" borderId="60" xfId="40" applyFont="1" applyFill="1" applyBorder="1" applyAlignment="1">
      <alignment horizontal="center" vertical="center"/>
    </xf>
    <xf numFmtId="0" fontId="56" fillId="29" borderId="60" xfId="40" applyFont="1" applyFill="1" applyBorder="1" applyAlignment="1">
      <alignment horizontal="center" vertical="center"/>
    </xf>
    <xf numFmtId="0" fontId="54" fillId="21" borderId="0" xfId="0" applyFont="1" applyFill="1" applyAlignment="1">
      <alignment horizontal="center" vertical="center"/>
    </xf>
    <xf numFmtId="0" fontId="54" fillId="20" borderId="18" xfId="0" applyFont="1" applyFill="1" applyBorder="1" applyAlignment="1">
      <alignment horizontal="center" vertical="center"/>
    </xf>
    <xf numFmtId="0" fontId="2" fillId="26" borderId="0" xfId="0" applyFont="1" applyFill="1"/>
    <xf numFmtId="0" fontId="2" fillId="27" borderId="0" xfId="0" applyFont="1" applyFill="1" applyAlignment="1">
      <alignment horizontal="center"/>
    </xf>
    <xf numFmtId="0" fontId="2" fillId="20" borderId="0" xfId="0" applyFont="1" applyFill="1"/>
    <xf numFmtId="0" fontId="2" fillId="20" borderId="0" xfId="0" applyFont="1" applyFill="1" applyAlignment="1">
      <alignment horizontal="center"/>
    </xf>
    <xf numFmtId="3" fontId="20" fillId="6" borderId="0" xfId="33" applyNumberFormat="1" applyBorder="1" applyAlignment="1">
      <alignment horizontal="right" wrapText="1" indent="1"/>
    </xf>
    <xf numFmtId="9" fontId="6" fillId="19" borderId="0" xfId="43" applyFont="1" applyFill="1" applyBorder="1" applyAlignment="1">
      <alignment horizontal="right" vertical="center" indent="1"/>
    </xf>
    <xf numFmtId="0" fontId="45" fillId="21" borderId="0" xfId="0" applyFont="1" applyFill="1" applyBorder="1"/>
    <xf numFmtId="0" fontId="6" fillId="21" borderId="0" xfId="0" applyFont="1" applyFill="1" applyBorder="1" applyAlignment="1">
      <alignment horizontal="center"/>
    </xf>
    <xf numFmtId="0" fontId="45" fillId="21" borderId="0" xfId="0" applyFont="1" applyFill="1" applyBorder="1" applyAlignment="1">
      <alignment horizontal="center"/>
    </xf>
    <xf numFmtId="3" fontId="6" fillId="21" borderId="0" xfId="0" applyNumberFormat="1" applyFont="1" applyFill="1" applyBorder="1" applyAlignment="1">
      <alignment horizontal="center" vertical="center"/>
    </xf>
    <xf numFmtId="0" fontId="0" fillId="21" borderId="0" xfId="0" applyFill="1" applyBorder="1" applyAlignment="1">
      <alignment horizontal="center"/>
    </xf>
    <xf numFmtId="0" fontId="44" fillId="21" borderId="0" xfId="0" applyFont="1" applyFill="1" applyBorder="1"/>
    <xf numFmtId="0" fontId="44" fillId="21" borderId="0" xfId="0" applyFont="1" applyFill="1" applyBorder="1" applyAlignment="1">
      <alignment horizontal="center"/>
    </xf>
    <xf numFmtId="3" fontId="12" fillId="30" borderId="0" xfId="0" applyNumberFormat="1" applyFont="1" applyFill="1" applyBorder="1" applyAlignment="1">
      <alignment horizontal="right" vertical="center" indent="1"/>
    </xf>
    <xf numFmtId="0" fontId="0" fillId="30" borderId="0" xfId="0" applyFill="1" applyBorder="1"/>
    <xf numFmtId="0" fontId="12" fillId="30" borderId="0" xfId="0" applyFont="1" applyFill="1" applyBorder="1"/>
    <xf numFmtId="3" fontId="11" fillId="30" borderId="0" xfId="0" applyNumberFormat="1" applyFont="1" applyFill="1" applyBorder="1" applyAlignment="1">
      <alignment horizontal="right" vertical="center" indent="1"/>
    </xf>
    <xf numFmtId="3" fontId="12" fillId="30" borderId="38" xfId="0" applyNumberFormat="1" applyFont="1" applyFill="1" applyBorder="1" applyAlignment="1">
      <alignment horizontal="right" vertical="center" indent="1"/>
    </xf>
    <xf numFmtId="0" fontId="0" fillId="30" borderId="39" xfId="0" applyFill="1" applyBorder="1"/>
    <xf numFmtId="0" fontId="0" fillId="30" borderId="41" xfId="0" applyFill="1" applyBorder="1"/>
    <xf numFmtId="0" fontId="12" fillId="30" borderId="43" xfId="0" applyFont="1" applyFill="1" applyBorder="1"/>
    <xf numFmtId="0" fontId="0" fillId="30" borderId="44" xfId="0" applyFill="1" applyBorder="1"/>
    <xf numFmtId="3" fontId="11" fillId="30" borderId="38" xfId="0" applyNumberFormat="1" applyFont="1" applyFill="1" applyBorder="1" applyAlignment="1">
      <alignment horizontal="right" vertical="center" indent="1"/>
    </xf>
    <xf numFmtId="3" fontId="12" fillId="30" borderId="43" xfId="0" applyNumberFormat="1" applyFont="1" applyFill="1" applyBorder="1" applyAlignment="1">
      <alignment horizontal="right" vertical="center" indent="1"/>
    </xf>
    <xf numFmtId="3" fontId="11" fillId="30" borderId="43" xfId="0" applyNumberFormat="1" applyFont="1" applyFill="1" applyBorder="1" applyAlignment="1">
      <alignment horizontal="right" vertical="center" indent="1"/>
    </xf>
    <xf numFmtId="3" fontId="12" fillId="30" borderId="18" xfId="0" applyNumberFormat="1" applyFont="1" applyFill="1" applyBorder="1" applyAlignment="1">
      <alignment horizontal="right" vertical="center" indent="1"/>
    </xf>
    <xf numFmtId="3" fontId="11" fillId="30" borderId="18" xfId="0" applyNumberFormat="1" applyFont="1" applyFill="1" applyBorder="1" applyAlignment="1">
      <alignment horizontal="right" vertical="center" indent="1"/>
    </xf>
    <xf numFmtId="0" fontId="0" fillId="30" borderId="18" xfId="0" applyFill="1" applyBorder="1"/>
    <xf numFmtId="0" fontId="12" fillId="30" borderId="38" xfId="0" applyFont="1" applyFill="1" applyBorder="1"/>
    <xf numFmtId="3" fontId="12" fillId="30" borderId="0" xfId="0" applyNumberFormat="1" applyFont="1" applyFill="1" applyBorder="1" applyAlignment="1">
      <alignment horizontal="center"/>
    </xf>
    <xf numFmtId="0" fontId="12" fillId="30" borderId="0" xfId="0" applyFont="1" applyFill="1" applyBorder="1" applyAlignment="1">
      <alignment horizontal="center"/>
    </xf>
    <xf numFmtId="0" fontId="12" fillId="30" borderId="20" xfId="0" applyFont="1" applyFill="1" applyBorder="1" applyAlignment="1">
      <alignment horizontal="center"/>
    </xf>
    <xf numFmtId="0" fontId="12" fillId="30" borderId="21" xfId="0" applyFont="1" applyFill="1" applyBorder="1"/>
    <xf numFmtId="0" fontId="12" fillId="30" borderId="21" xfId="0" applyFont="1" applyFill="1" applyBorder="1" applyAlignment="1">
      <alignment horizontal="center"/>
    </xf>
    <xf numFmtId="0" fontId="12" fillId="30" borderId="23" xfId="0" applyFont="1" applyFill="1" applyBorder="1"/>
    <xf numFmtId="3" fontId="12" fillId="30" borderId="31" xfId="0" applyNumberFormat="1" applyFont="1" applyFill="1" applyBorder="1" applyAlignment="1">
      <alignment horizontal="right" vertical="center" indent="1"/>
    </xf>
    <xf numFmtId="0" fontId="57" fillId="30" borderId="0" xfId="0" applyFont="1" applyFill="1" applyBorder="1" applyAlignment="1">
      <alignment vertical="center" wrapText="1"/>
    </xf>
    <xf numFmtId="0" fontId="44" fillId="19" borderId="0" xfId="0" applyFont="1" applyFill="1" applyBorder="1" applyAlignment="1">
      <alignment vertical="top"/>
    </xf>
    <xf numFmtId="0" fontId="6" fillId="20" borderId="12" xfId="0" applyFont="1" applyFill="1" applyBorder="1"/>
    <xf numFmtId="3" fontId="12" fillId="0" borderId="0" xfId="0" applyNumberFormat="1" applyFont="1"/>
    <xf numFmtId="0" fontId="6" fillId="20" borderId="0" xfId="0" applyFont="1" applyFill="1" applyBorder="1" applyAlignment="1">
      <alignment horizontal="center"/>
    </xf>
    <xf numFmtId="0" fontId="8" fillId="19" borderId="0" xfId="0" applyFont="1" applyFill="1" applyBorder="1" applyAlignment="1">
      <alignment vertical="top"/>
    </xf>
    <xf numFmtId="3" fontId="6" fillId="19" borderId="0" xfId="0" applyNumberFormat="1" applyFont="1" applyFill="1" applyBorder="1" applyAlignment="1">
      <alignment horizontal="center" vertical="center"/>
    </xf>
    <xf numFmtId="0" fontId="11" fillId="19" borderId="0" xfId="0" applyFont="1" applyFill="1" applyBorder="1" applyAlignment="1">
      <alignment horizontal="center"/>
    </xf>
    <xf numFmtId="0" fontId="12" fillId="19" borderId="0" xfId="0" applyFont="1" applyFill="1" applyBorder="1" applyAlignment="1">
      <alignment horizontal="center"/>
    </xf>
    <xf numFmtId="0" fontId="8" fillId="19" borderId="0" xfId="0" applyFont="1" applyFill="1" applyBorder="1" applyAlignment="1">
      <alignment horizontal="center" wrapText="1"/>
    </xf>
    <xf numFmtId="0" fontId="12" fillId="19" borderId="0" xfId="0" applyFont="1" applyFill="1" applyBorder="1" applyAlignment="1">
      <alignment vertical="top" wrapText="1"/>
    </xf>
    <xf numFmtId="0" fontId="11" fillId="19" borderId="0" xfId="0" applyFont="1" applyFill="1" applyBorder="1" applyAlignment="1">
      <alignment horizontal="left"/>
    </xf>
    <xf numFmtId="3" fontId="8" fillId="19" borderId="0" xfId="0" applyNumberFormat="1" applyFont="1" applyFill="1" applyBorder="1" applyAlignment="1">
      <alignment horizontal="center" vertical="center"/>
    </xf>
    <xf numFmtId="3" fontId="41" fillId="24" borderId="0" xfId="0" applyNumberFormat="1" applyFont="1" applyFill="1" applyBorder="1" applyAlignment="1">
      <alignment horizontal="right" vertical="center" indent="1"/>
    </xf>
    <xf numFmtId="3" fontId="42" fillId="24" borderId="0" xfId="0" applyNumberFormat="1" applyFont="1" applyFill="1" applyBorder="1" applyAlignment="1">
      <alignment horizontal="right" vertical="center" indent="1"/>
    </xf>
    <xf numFmtId="0" fontId="1" fillId="24" borderId="0" xfId="0" applyFont="1" applyFill="1" applyBorder="1"/>
    <xf numFmtId="4" fontId="0" fillId="0" borderId="0" xfId="0" applyNumberFormat="1"/>
    <xf numFmtId="0" fontId="46" fillId="0" borderId="0" xfId="0" applyFont="1"/>
    <xf numFmtId="4" fontId="46" fillId="0" borderId="0" xfId="0" applyNumberFormat="1" applyFont="1"/>
    <xf numFmtId="0" fontId="56" fillId="24" borderId="0" xfId="0" applyFont="1" applyFill="1" applyBorder="1"/>
    <xf numFmtId="0" fontId="6" fillId="19" borderId="12" xfId="0" applyFont="1" applyFill="1" applyBorder="1" applyAlignment="1">
      <alignment vertical="center"/>
    </xf>
    <xf numFmtId="0" fontId="6" fillId="19" borderId="0" xfId="0" applyFont="1" applyFill="1" applyBorder="1" applyAlignment="1">
      <alignment vertical="center"/>
    </xf>
    <xf numFmtId="0" fontId="6" fillId="19" borderId="13" xfId="0" applyFont="1" applyFill="1" applyBorder="1" applyAlignment="1">
      <alignment vertical="center"/>
    </xf>
    <xf numFmtId="0" fontId="6" fillId="0" borderId="0" xfId="0" applyFont="1" applyAlignment="1">
      <alignment vertical="center"/>
    </xf>
    <xf numFmtId="0" fontId="0" fillId="19" borderId="0" xfId="0" applyFill="1" applyBorder="1" applyAlignment="1">
      <alignment vertical="center"/>
    </xf>
    <xf numFmtId="0" fontId="6" fillId="19" borderId="0" xfId="0" applyFont="1" applyFill="1" applyBorder="1" applyAlignment="1">
      <alignment horizontal="left" vertical="center"/>
    </xf>
    <xf numFmtId="0" fontId="8" fillId="19" borderId="0" xfId="0" applyFont="1" applyFill="1" applyBorder="1" applyAlignment="1">
      <alignment horizontal="right" vertical="center"/>
    </xf>
    <xf numFmtId="0" fontId="8" fillId="19" borderId="0" xfId="0" applyFont="1" applyFill="1" applyBorder="1" applyAlignment="1">
      <alignment vertical="center"/>
    </xf>
    <xf numFmtId="0" fontId="0" fillId="19" borderId="12" xfId="0" applyFill="1" applyBorder="1" applyAlignment="1">
      <alignment vertical="center"/>
    </xf>
    <xf numFmtId="0" fontId="12" fillId="19" borderId="0" xfId="0" applyFont="1" applyFill="1" applyBorder="1" applyAlignment="1">
      <alignment vertical="center"/>
    </xf>
    <xf numFmtId="0" fontId="0" fillId="22" borderId="0" xfId="0" applyFill="1" applyBorder="1" applyAlignment="1">
      <alignment vertical="center"/>
    </xf>
    <xf numFmtId="0" fontId="6" fillId="22" borderId="13" xfId="0" applyFont="1" applyFill="1" applyBorder="1" applyAlignment="1">
      <alignment vertical="center"/>
    </xf>
    <xf numFmtId="0" fontId="11" fillId="19" borderId="0" xfId="0" applyFont="1" applyFill="1" applyBorder="1" applyAlignment="1">
      <alignment vertical="center"/>
    </xf>
    <xf numFmtId="0" fontId="6" fillId="21" borderId="0" xfId="0" applyFont="1" applyFill="1" applyBorder="1" applyAlignment="1"/>
    <xf numFmtId="0" fontId="12" fillId="21" borderId="0" xfId="0" applyFont="1" applyFill="1" applyBorder="1"/>
    <xf numFmtId="0" fontId="44" fillId="21" borderId="0" xfId="0" applyFont="1" applyFill="1" applyAlignment="1">
      <alignment vertical="center"/>
    </xf>
    <xf numFmtId="0" fontId="0" fillId="30" borderId="13" xfId="0" applyFill="1" applyBorder="1"/>
    <xf numFmtId="0" fontId="40" fillId="24" borderId="18" xfId="0" applyFont="1" applyFill="1" applyBorder="1"/>
    <xf numFmtId="0" fontId="0" fillId="30" borderId="27" xfId="0" applyFill="1" applyBorder="1"/>
    <xf numFmtId="0" fontId="40" fillId="24" borderId="66" xfId="0" applyFont="1" applyFill="1" applyBorder="1"/>
    <xf numFmtId="0" fontId="0" fillId="24" borderId="67" xfId="0" applyFill="1" applyBorder="1"/>
    <xf numFmtId="0" fontId="0" fillId="24" borderId="12" xfId="0" applyFill="1" applyBorder="1"/>
    <xf numFmtId="0" fontId="0" fillId="24" borderId="17" xfId="0" applyFill="1" applyBorder="1"/>
    <xf numFmtId="0" fontId="6" fillId="19" borderId="15" xfId="0" applyFont="1" applyFill="1" applyBorder="1" applyAlignment="1">
      <alignment vertical="top"/>
    </xf>
    <xf numFmtId="3" fontId="11" fillId="22" borderId="15" xfId="0" applyNumberFormat="1" applyFont="1" applyFill="1" applyBorder="1" applyAlignment="1">
      <alignment horizontal="right" vertical="center" indent="1"/>
    </xf>
    <xf numFmtId="3" fontId="12" fillId="22" borderId="15" xfId="0" applyNumberFormat="1" applyFont="1" applyFill="1" applyBorder="1" applyAlignment="1">
      <alignment horizontal="right" vertical="center" indent="1"/>
    </xf>
    <xf numFmtId="0" fontId="6" fillId="19" borderId="18" xfId="0" applyFont="1" applyFill="1" applyBorder="1" applyAlignment="1"/>
    <xf numFmtId="3" fontId="12" fillId="19" borderId="18" xfId="0" applyNumberFormat="1" applyFont="1" applyFill="1" applyBorder="1" applyAlignment="1">
      <alignment horizontal="right" vertical="center" indent="1"/>
    </xf>
    <xf numFmtId="0" fontId="0" fillId="22" borderId="18" xfId="0" applyFill="1" applyBorder="1" applyAlignment="1">
      <alignment vertical="top"/>
    </xf>
    <xf numFmtId="0" fontId="12" fillId="22" borderId="18" xfId="0" applyFont="1" applyFill="1" applyBorder="1" applyAlignment="1">
      <alignment vertical="top"/>
    </xf>
    <xf numFmtId="3" fontId="8" fillId="19" borderId="18" xfId="0" applyNumberFormat="1" applyFont="1" applyFill="1" applyBorder="1" applyAlignment="1">
      <alignment horizontal="right" vertical="center" indent="1"/>
    </xf>
    <xf numFmtId="3" fontId="6" fillId="19" borderId="18" xfId="0" applyNumberFormat="1" applyFont="1" applyFill="1" applyBorder="1" applyAlignment="1">
      <alignment horizontal="right" vertical="center" indent="1"/>
    </xf>
    <xf numFmtId="3" fontId="11" fillId="22" borderId="0" xfId="0" applyNumberFormat="1" applyFont="1" applyFill="1" applyBorder="1" applyAlignment="1">
      <alignment vertical="center"/>
    </xf>
    <xf numFmtId="0" fontId="8" fillId="19" borderId="12" xfId="0" applyFont="1" applyFill="1" applyBorder="1" applyAlignment="1"/>
    <xf numFmtId="0" fontId="8" fillId="19" borderId="0" xfId="0" applyFont="1" applyFill="1" applyBorder="1" applyAlignment="1">
      <alignment horizontal="left"/>
    </xf>
    <xf numFmtId="0" fontId="3" fillId="20" borderId="16" xfId="0" applyFont="1" applyFill="1" applyBorder="1" applyAlignment="1">
      <alignment horizontal="center" vertical="top" wrapText="1"/>
    </xf>
    <xf numFmtId="0" fontId="0" fillId="21" borderId="0" xfId="0" applyFill="1" applyAlignment="1">
      <alignment horizontal="center"/>
    </xf>
    <xf numFmtId="0" fontId="0" fillId="0" borderId="0" xfId="0" applyAlignment="1">
      <alignment horizontal="center"/>
    </xf>
    <xf numFmtId="0" fontId="59" fillId="20" borderId="15" xfId="0" applyFont="1" applyFill="1" applyBorder="1" applyProtection="1">
      <protection locked="0"/>
    </xf>
    <xf numFmtId="0" fontId="12" fillId="19" borderId="0" xfId="0" applyFont="1" applyFill="1" applyBorder="1" applyAlignment="1">
      <alignment horizontal="right" indent="1"/>
    </xf>
    <xf numFmtId="0" fontId="0" fillId="19" borderId="0" xfId="0" applyFill="1" applyBorder="1" applyAlignment="1">
      <alignment horizontal="right" indent="1"/>
    </xf>
    <xf numFmtId="0" fontId="12" fillId="19" borderId="0" xfId="0" applyFont="1" applyFill="1" applyBorder="1" applyAlignment="1">
      <alignment horizontal="right" vertical="top" indent="1"/>
    </xf>
    <xf numFmtId="0" fontId="12" fillId="19" borderId="18" xfId="0" applyFont="1" applyFill="1" applyBorder="1" applyAlignment="1">
      <alignment horizontal="right" indent="1"/>
    </xf>
    <xf numFmtId="3" fontId="40" fillId="24" borderId="0" xfId="0" applyNumberFormat="1" applyFont="1" applyFill="1" applyBorder="1" applyAlignment="1">
      <alignment horizontal="right" indent="1"/>
    </xf>
    <xf numFmtId="0" fontId="6" fillId="20" borderId="67" xfId="0" applyFont="1" applyFill="1" applyBorder="1" applyAlignment="1"/>
    <xf numFmtId="0" fontId="6" fillId="20" borderId="66" xfId="0" applyFont="1" applyFill="1" applyBorder="1" applyAlignment="1"/>
    <xf numFmtId="0" fontId="6" fillId="20" borderId="68" xfId="0" applyFont="1" applyFill="1" applyBorder="1" applyAlignment="1"/>
    <xf numFmtId="0" fontId="0" fillId="19" borderId="67" xfId="0" applyFill="1" applyBorder="1"/>
    <xf numFmtId="0" fontId="0" fillId="19" borderId="66" xfId="0" applyFill="1" applyBorder="1"/>
    <xf numFmtId="0" fontId="0" fillId="19" borderId="68" xfId="0" applyFill="1" applyBorder="1"/>
    <xf numFmtId="0" fontId="0" fillId="19" borderId="71" xfId="0" applyFill="1" applyBorder="1" applyAlignment="1">
      <alignment vertical="top"/>
    </xf>
    <xf numFmtId="0" fontId="0" fillId="19" borderId="72" xfId="0" applyFill="1" applyBorder="1" applyAlignment="1">
      <alignment vertical="top"/>
    </xf>
    <xf numFmtId="0" fontId="12" fillId="19" borderId="72" xfId="0" applyFont="1" applyFill="1" applyBorder="1" applyAlignment="1">
      <alignment vertical="top"/>
    </xf>
    <xf numFmtId="0" fontId="12" fillId="19" borderId="72" xfId="0" applyFont="1" applyFill="1" applyBorder="1"/>
    <xf numFmtId="3" fontId="6" fillId="19" borderId="72" xfId="0" applyNumberFormat="1" applyFont="1" applyFill="1" applyBorder="1" applyAlignment="1">
      <alignment horizontal="right" vertical="center" indent="1"/>
    </xf>
    <xf numFmtId="3" fontId="12" fillId="30" borderId="72" xfId="0" applyNumberFormat="1" applyFont="1" applyFill="1" applyBorder="1" applyAlignment="1">
      <alignment horizontal="right" vertical="center" indent="1"/>
    </xf>
    <xf numFmtId="0" fontId="0" fillId="30" borderId="72" xfId="0" applyFill="1" applyBorder="1"/>
    <xf numFmtId="0" fontId="0" fillId="19" borderId="73" xfId="0" applyFill="1" applyBorder="1"/>
    <xf numFmtId="0" fontId="0" fillId="30" borderId="68" xfId="0" applyFill="1" applyBorder="1"/>
    <xf numFmtId="3" fontId="8" fillId="19" borderId="0" xfId="0" applyNumberFormat="1" applyFont="1" applyFill="1" applyBorder="1" applyAlignment="1">
      <alignment horizontal="center" wrapText="1"/>
    </xf>
    <xf numFmtId="0" fontId="12" fillId="19" borderId="0" xfId="0" applyFont="1" applyFill="1" applyBorder="1" applyAlignment="1" applyProtection="1">
      <alignment vertical="top"/>
      <protection locked="0"/>
    </xf>
    <xf numFmtId="0" fontId="40" fillId="24" borderId="66" xfId="0" applyFont="1" applyFill="1" applyBorder="1" applyProtection="1">
      <protection locked="0"/>
    </xf>
    <xf numFmtId="0" fontId="40" fillId="24" borderId="0" xfId="0" applyFont="1" applyFill="1" applyBorder="1" applyProtection="1">
      <protection locked="0"/>
    </xf>
    <xf numFmtId="3" fontId="2" fillId="17" borderId="0" xfId="0" applyNumberFormat="1" applyFont="1" applyFill="1"/>
    <xf numFmtId="3" fontId="6" fillId="19" borderId="0" xfId="0" applyNumberFormat="1" applyFont="1" applyFill="1" applyBorder="1" applyAlignment="1">
      <alignment horizontal="center"/>
    </xf>
    <xf numFmtId="3" fontId="6" fillId="19" borderId="0" xfId="0" applyNumberFormat="1" applyFont="1" applyFill="1" applyBorder="1" applyAlignment="1">
      <alignment horizontal="right"/>
    </xf>
    <xf numFmtId="0" fontId="8" fillId="19" borderId="0" xfId="0" applyFont="1" applyFill="1" applyBorder="1" applyAlignment="1">
      <alignment vertical="top"/>
    </xf>
    <xf numFmtId="3" fontId="11" fillId="22" borderId="0" xfId="0" applyNumberFormat="1" applyFont="1" applyFill="1" applyBorder="1" applyAlignment="1">
      <alignment horizontal="right" vertical="center" indent="1"/>
    </xf>
    <xf numFmtId="3" fontId="11" fillId="19" borderId="0" xfId="0" applyNumberFormat="1" applyFont="1" applyFill="1" applyBorder="1" applyAlignment="1">
      <alignment horizontal="center" vertical="center"/>
    </xf>
    <xf numFmtId="0" fontId="0" fillId="0" borderId="0" xfId="0" applyBorder="1" applyAlignment="1">
      <alignment horizontal="center" vertical="center"/>
    </xf>
    <xf numFmtId="0" fontId="8" fillId="19" borderId="0" xfId="0" applyFont="1" applyFill="1" applyBorder="1" applyAlignment="1">
      <alignment horizontal="center" vertical="center"/>
    </xf>
    <xf numFmtId="3" fontId="12" fillId="17" borderId="0" xfId="0" applyNumberFormat="1" applyFont="1" applyFill="1" applyBorder="1" applyAlignment="1" applyProtection="1">
      <alignment horizontal="right" vertical="center" indent="1"/>
      <protection locked="0"/>
    </xf>
    <xf numFmtId="3" fontId="12" fillId="19" borderId="0" xfId="0" applyNumberFormat="1" applyFont="1" applyFill="1" applyBorder="1" applyAlignment="1" applyProtection="1">
      <alignment horizontal="right" vertical="center" indent="1"/>
    </xf>
    <xf numFmtId="3" fontId="12" fillId="30" borderId="0" xfId="0" applyNumberFormat="1" applyFont="1" applyFill="1" applyBorder="1" applyAlignment="1" applyProtection="1">
      <alignment horizontal="right" vertical="center" indent="1"/>
    </xf>
    <xf numFmtId="0" fontId="12" fillId="30" borderId="0" xfId="0" applyFont="1" applyFill="1" applyBorder="1" applyProtection="1"/>
    <xf numFmtId="0" fontId="13" fillId="30" borderId="0" xfId="0" applyFont="1" applyFill="1" applyBorder="1" applyAlignment="1" applyProtection="1">
      <alignment horizontal="center"/>
    </xf>
    <xf numFmtId="0" fontId="12" fillId="30" borderId="0" xfId="0" applyFont="1" applyFill="1" applyBorder="1" applyAlignment="1" applyProtection="1">
      <alignment horizontal="center"/>
    </xf>
    <xf numFmtId="3" fontId="12" fillId="17" borderId="19" xfId="0" applyNumberFormat="1" applyFont="1" applyFill="1" applyBorder="1" applyAlignment="1" applyProtection="1">
      <alignment horizontal="right" vertical="center" indent="1"/>
    </xf>
    <xf numFmtId="0" fontId="12" fillId="17" borderId="20" xfId="0" applyFont="1" applyFill="1" applyBorder="1" applyProtection="1"/>
    <xf numFmtId="3" fontId="12" fillId="17" borderId="0" xfId="0" applyNumberFormat="1" applyFont="1" applyFill="1" applyBorder="1" applyAlignment="1" applyProtection="1">
      <alignment horizontal="center" vertical="center"/>
    </xf>
    <xf numFmtId="0" fontId="12" fillId="17" borderId="21" xfId="0" applyFont="1" applyFill="1" applyBorder="1" applyProtection="1"/>
    <xf numFmtId="3" fontId="12" fillId="17" borderId="0" xfId="0" applyNumberFormat="1" applyFont="1" applyFill="1" applyBorder="1" applyAlignment="1" applyProtection="1">
      <alignment horizontal="right" vertical="center" indent="1"/>
    </xf>
    <xf numFmtId="3" fontId="6" fillId="19" borderId="0" xfId="0" applyNumberFormat="1" applyFont="1" applyFill="1" applyBorder="1" applyAlignment="1">
      <alignment horizontal="center" vertical="center"/>
    </xf>
    <xf numFmtId="3" fontId="8"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3" fontId="8" fillId="19" borderId="0" xfId="0" applyNumberFormat="1" applyFont="1" applyFill="1" applyBorder="1" applyAlignment="1">
      <alignment horizontal="right" vertical="center" wrapText="1" indent="1"/>
    </xf>
    <xf numFmtId="3" fontId="0" fillId="19" borderId="0" xfId="0" applyNumberFormat="1" applyFill="1" applyBorder="1" applyAlignment="1">
      <alignment horizontal="right" vertical="center" indent="1"/>
    </xf>
    <xf numFmtId="3" fontId="0" fillId="19" borderId="0" xfId="0" applyNumberFormat="1" applyFill="1" applyBorder="1"/>
    <xf numFmtId="3" fontId="12" fillId="19" borderId="0" xfId="0" applyNumberFormat="1" applyFont="1" applyFill="1" applyBorder="1"/>
    <xf numFmtId="3" fontId="12" fillId="19" borderId="0" xfId="0" applyNumberFormat="1" applyFont="1" applyFill="1" applyBorder="1" applyAlignment="1">
      <alignment horizontal="right" indent="1"/>
    </xf>
    <xf numFmtId="3" fontId="11" fillId="22" borderId="75" xfId="0" applyNumberFormat="1" applyFont="1" applyFill="1" applyBorder="1" applyAlignment="1">
      <alignment horizontal="right" vertical="center" indent="1"/>
    </xf>
    <xf numFmtId="3" fontId="12" fillId="22" borderId="75" xfId="0" applyNumberFormat="1" applyFont="1" applyFill="1" applyBorder="1" applyAlignment="1">
      <alignment horizontal="right" vertical="center" indent="1"/>
    </xf>
    <xf numFmtId="0" fontId="6" fillId="19" borderId="0" xfId="0" applyFont="1" applyFill="1" applyBorder="1" applyAlignment="1"/>
    <xf numFmtId="0" fontId="0" fillId="19" borderId="71" xfId="0" applyFill="1" applyBorder="1"/>
    <xf numFmtId="0" fontId="0" fillId="19" borderId="72" xfId="0" applyFill="1" applyBorder="1"/>
    <xf numFmtId="3" fontId="6" fillId="19" borderId="72" xfId="0" applyNumberFormat="1" applyFont="1" applyFill="1" applyBorder="1" applyAlignment="1">
      <alignment horizontal="center" vertical="center"/>
    </xf>
    <xf numFmtId="0" fontId="6" fillId="19" borderId="73" xfId="0" applyFont="1" applyFill="1" applyBorder="1"/>
    <xf numFmtId="0" fontId="12" fillId="28" borderId="78" xfId="0" applyFont="1" applyFill="1" applyBorder="1"/>
    <xf numFmtId="0" fontId="12" fillId="28" borderId="76" xfId="0" applyFont="1" applyFill="1" applyBorder="1"/>
    <xf numFmtId="0" fontId="0" fillId="28" borderId="76" xfId="0" applyFill="1" applyBorder="1"/>
    <xf numFmtId="3" fontId="6" fillId="28" borderId="76" xfId="0" applyNumberFormat="1" applyFont="1" applyFill="1" applyBorder="1" applyAlignment="1">
      <alignment horizontal="center" vertical="center"/>
    </xf>
    <xf numFmtId="0" fontId="0" fillId="28" borderId="77" xfId="0" applyFill="1" applyBorder="1"/>
    <xf numFmtId="0" fontId="8" fillId="28" borderId="12" xfId="0" applyFont="1" applyFill="1" applyBorder="1"/>
    <xf numFmtId="0" fontId="12" fillId="28" borderId="0" xfId="0" applyFont="1" applyFill="1" applyBorder="1"/>
    <xf numFmtId="0" fontId="0" fillId="28" borderId="0" xfId="0" applyFill="1" applyBorder="1"/>
    <xf numFmtId="3" fontId="6" fillId="28" borderId="0" xfId="0" applyNumberFormat="1" applyFont="1" applyFill="1" applyBorder="1" applyAlignment="1">
      <alignment horizontal="center" vertical="center"/>
    </xf>
    <xf numFmtId="0" fontId="0" fillId="28" borderId="13" xfId="0" applyFill="1" applyBorder="1"/>
    <xf numFmtId="0" fontId="12" fillId="28" borderId="12" xfId="0" applyFont="1" applyFill="1" applyBorder="1"/>
    <xf numFmtId="0" fontId="8" fillId="28" borderId="0" xfId="0" applyFont="1" applyFill="1" applyBorder="1"/>
    <xf numFmtId="0" fontId="6" fillId="28" borderId="0" xfId="0" applyFont="1" applyFill="1" applyBorder="1" applyAlignment="1">
      <alignment vertical="center"/>
    </xf>
    <xf numFmtId="0" fontId="0" fillId="28" borderId="0" xfId="0" applyFill="1" applyBorder="1" applyAlignment="1">
      <alignment vertical="center"/>
    </xf>
    <xf numFmtId="0" fontId="6" fillId="28" borderId="0" xfId="53" applyFont="1" applyFill="1" applyBorder="1" applyAlignment="1">
      <alignment vertical="center"/>
    </xf>
    <xf numFmtId="0" fontId="12" fillId="28" borderId="17" xfId="0" applyFont="1" applyFill="1" applyBorder="1"/>
    <xf numFmtId="0" fontId="12" fillId="28" borderId="18" xfId="0" applyFont="1" applyFill="1" applyBorder="1"/>
    <xf numFmtId="0" fontId="0" fillId="28" borderId="18" xfId="0" applyFill="1" applyBorder="1"/>
    <xf numFmtId="3" fontId="6" fillId="28" borderId="18" xfId="0" applyNumberFormat="1" applyFont="1" applyFill="1" applyBorder="1" applyAlignment="1">
      <alignment horizontal="center" vertical="center"/>
    </xf>
    <xf numFmtId="0" fontId="0" fillId="28" borderId="27" xfId="0" applyFill="1" applyBorder="1"/>
    <xf numFmtId="0" fontId="3" fillId="20" borderId="0" xfId="0" applyFont="1" applyFill="1" applyBorder="1" applyAlignment="1">
      <alignment horizontal="center" vertical="top" wrapText="1"/>
    </xf>
    <xf numFmtId="0" fontId="0" fillId="28" borderId="0" xfId="0" applyFill="1" applyAlignment="1"/>
    <xf numFmtId="0" fontId="6" fillId="28" borderId="0" xfId="0" applyFont="1" applyFill="1" applyBorder="1"/>
    <xf numFmtId="0" fontId="16" fillId="21" borderId="0" xfId="25" applyFill="1"/>
    <xf numFmtId="0" fontId="16" fillId="21" borderId="0" xfId="25" applyFill="1" applyBorder="1"/>
    <xf numFmtId="0" fontId="62" fillId="21" borderId="0" xfId="25" applyFont="1" applyFill="1" applyBorder="1"/>
    <xf numFmtId="4" fontId="16" fillId="21" borderId="0" xfId="25" applyNumberFormat="1" applyFill="1"/>
    <xf numFmtId="0" fontId="63" fillId="0" borderId="0" xfId="0" applyFont="1"/>
    <xf numFmtId="0" fontId="64" fillId="21" borderId="0" xfId="25" applyFont="1" applyFill="1"/>
    <xf numFmtId="0" fontId="64" fillId="21" borderId="0" xfId="25" applyFont="1" applyFill="1" applyBorder="1"/>
    <xf numFmtId="0" fontId="64" fillId="21" borderId="0" xfId="25" applyFont="1" applyFill="1" applyBorder="1" applyAlignment="1">
      <alignment horizontal="right"/>
    </xf>
    <xf numFmtId="4" fontId="64" fillId="21" borderId="0" xfId="25" applyNumberFormat="1" applyFont="1" applyFill="1" applyBorder="1"/>
    <xf numFmtId="0" fontId="8" fillId="19" borderId="0" xfId="0" applyFont="1" applyFill="1" applyBorder="1" applyAlignment="1">
      <alignment vertical="top"/>
    </xf>
    <xf numFmtId="0" fontId="8" fillId="19" borderId="0" xfId="0" applyFont="1" applyFill="1" applyBorder="1" applyAlignment="1">
      <alignment horizontal="left" vertical="top"/>
    </xf>
    <xf numFmtId="0" fontId="11" fillId="19" borderId="0" xfId="0" applyFont="1" applyFill="1" applyBorder="1" applyAlignment="1">
      <alignment horizontal="center"/>
    </xf>
    <xf numFmtId="3" fontId="11" fillId="22" borderId="0" xfId="0" applyNumberFormat="1" applyFont="1" applyFill="1" applyBorder="1" applyAlignment="1">
      <alignment horizontal="right" vertical="center" indent="1"/>
    </xf>
    <xf numFmtId="0" fontId="12" fillId="19" borderId="0" xfId="0" applyFont="1" applyFill="1" applyBorder="1" applyAlignment="1">
      <alignment horizontal="center"/>
    </xf>
    <xf numFmtId="3" fontId="8" fillId="19" borderId="0" xfId="0" applyNumberFormat="1" applyFont="1" applyFill="1" applyBorder="1" applyAlignment="1">
      <alignment horizontal="center" vertical="center" wrapText="1"/>
    </xf>
    <xf numFmtId="0" fontId="11" fillId="19" borderId="0" xfId="0" applyFont="1" applyFill="1" applyBorder="1" applyAlignment="1">
      <alignment horizontal="center" wrapText="1"/>
    </xf>
    <xf numFmtId="0" fontId="8" fillId="19" borderId="0" xfId="0" applyFont="1" applyFill="1" applyBorder="1" applyAlignment="1">
      <alignment horizontal="left"/>
    </xf>
    <xf numFmtId="0" fontId="12" fillId="19" borderId="0" xfId="0" applyFont="1" applyFill="1" applyBorder="1" applyAlignment="1">
      <alignment vertical="top" wrapText="1"/>
    </xf>
    <xf numFmtId="0" fontId="11" fillId="19" borderId="0" xfId="0" applyFont="1" applyFill="1" applyBorder="1" applyAlignment="1">
      <alignment horizontal="left"/>
    </xf>
    <xf numFmtId="3" fontId="8" fillId="19" borderId="0" xfId="0" applyNumberFormat="1" applyFont="1" applyFill="1" applyBorder="1" applyAlignment="1">
      <alignment horizontal="center" vertical="center"/>
    </xf>
    <xf numFmtId="3" fontId="8" fillId="19" borderId="0" xfId="0" applyNumberFormat="1" applyFont="1" applyFill="1" applyBorder="1" applyAlignment="1">
      <alignment horizontal="right" vertical="center" indent="1"/>
    </xf>
    <xf numFmtId="0" fontId="6" fillId="19" borderId="0" xfId="0" applyFont="1" applyFill="1" applyBorder="1" applyProtection="1"/>
    <xf numFmtId="3" fontId="11" fillId="22" borderId="0" xfId="0" applyNumberFormat="1" applyFont="1" applyFill="1" applyBorder="1" applyAlignment="1" applyProtection="1">
      <alignment horizontal="right" vertical="center" indent="1"/>
    </xf>
    <xf numFmtId="3" fontId="12" fillId="22" borderId="0" xfId="0" applyNumberFormat="1" applyFont="1" applyFill="1" applyBorder="1" applyAlignment="1" applyProtection="1">
      <alignment horizontal="right" vertical="center" indent="1"/>
    </xf>
    <xf numFmtId="3" fontId="11" fillId="30" borderId="0" xfId="0" applyNumberFormat="1" applyFont="1" applyFill="1" applyBorder="1" applyAlignment="1" applyProtection="1">
      <alignment horizontal="right" vertical="center" indent="1"/>
    </xf>
    <xf numFmtId="0" fontId="12" fillId="19" borderId="0" xfId="0" applyFont="1" applyFill="1" applyBorder="1" applyProtection="1"/>
    <xf numFmtId="0" fontId="0" fillId="19" borderId="43" xfId="0" applyFill="1" applyBorder="1" applyProtection="1"/>
    <xf numFmtId="0" fontId="0" fillId="30" borderId="43" xfId="0" applyFill="1" applyBorder="1" applyProtection="1"/>
    <xf numFmtId="3" fontId="11" fillId="19" borderId="38" xfId="0" applyNumberFormat="1" applyFont="1" applyFill="1" applyBorder="1" applyAlignment="1" applyProtection="1">
      <alignment horizontal="right" vertical="center" indent="1"/>
    </xf>
    <xf numFmtId="3" fontId="12" fillId="19" borderId="38" xfId="0" applyNumberFormat="1" applyFont="1" applyFill="1" applyBorder="1" applyAlignment="1" applyProtection="1">
      <alignment horizontal="right" vertical="center" indent="1"/>
    </xf>
    <xf numFmtId="3" fontId="12" fillId="30" borderId="38" xfId="0" applyNumberFormat="1" applyFont="1" applyFill="1" applyBorder="1" applyAlignment="1" applyProtection="1">
      <alignment horizontal="right" vertical="center" indent="1"/>
    </xf>
    <xf numFmtId="3" fontId="11" fillId="30" borderId="38" xfId="0" applyNumberFormat="1" applyFont="1" applyFill="1" applyBorder="1" applyAlignment="1" applyProtection="1">
      <alignment horizontal="right" vertical="center" indent="1"/>
    </xf>
    <xf numFmtId="0" fontId="0" fillId="19" borderId="66" xfId="0" applyFill="1" applyBorder="1" applyProtection="1"/>
    <xf numFmtId="0" fontId="12" fillId="19" borderId="0" xfId="0" applyFont="1" applyFill="1" applyBorder="1" applyAlignment="1" applyProtection="1">
      <alignment horizontal="center"/>
    </xf>
    <xf numFmtId="0" fontId="11" fillId="19" borderId="0" xfId="0" applyFont="1" applyFill="1" applyBorder="1" applyAlignment="1" applyProtection="1">
      <alignment horizontal="center"/>
    </xf>
    <xf numFmtId="0" fontId="12" fillId="19" borderId="0" xfId="0" applyFont="1" applyFill="1" applyBorder="1" applyAlignment="1" applyProtection="1"/>
    <xf numFmtId="0" fontId="12" fillId="19" borderId="43" xfId="0" applyFont="1" applyFill="1" applyBorder="1" applyProtection="1"/>
    <xf numFmtId="3" fontId="12" fillId="23" borderId="0" xfId="0" applyNumberFormat="1" applyFont="1" applyFill="1" applyBorder="1" applyAlignment="1" applyProtection="1">
      <alignment horizontal="right" vertical="center" indent="1"/>
    </xf>
    <xf numFmtId="3" fontId="12" fillId="19" borderId="43" xfId="0" applyNumberFormat="1" applyFont="1" applyFill="1" applyBorder="1" applyAlignment="1" applyProtection="1">
      <alignment horizontal="right" vertical="center" indent="1"/>
    </xf>
    <xf numFmtId="3" fontId="12" fillId="19" borderId="18" xfId="0" applyNumberFormat="1" applyFont="1" applyFill="1" applyBorder="1" applyAlignment="1" applyProtection="1">
      <alignment horizontal="right" vertical="center" indent="1"/>
    </xf>
    <xf numFmtId="3" fontId="12" fillId="19" borderId="72" xfId="0" applyNumberFormat="1" applyFont="1" applyFill="1" applyBorder="1" applyAlignment="1" applyProtection="1">
      <alignment horizontal="right" vertical="center" indent="1"/>
    </xf>
    <xf numFmtId="3" fontId="12" fillId="22" borderId="18" xfId="0" applyNumberFormat="1" applyFont="1" applyFill="1" applyBorder="1" applyAlignment="1" applyProtection="1">
      <alignment horizontal="right" vertical="center" indent="1"/>
    </xf>
    <xf numFmtId="0" fontId="12" fillId="19" borderId="38" xfId="0" applyFont="1" applyFill="1" applyBorder="1" applyProtection="1"/>
    <xf numFmtId="0" fontId="0" fillId="19" borderId="0" xfId="0" applyFill="1" applyBorder="1" applyProtection="1"/>
    <xf numFmtId="0" fontId="40" fillId="24" borderId="66" xfId="0" applyFont="1" applyFill="1" applyBorder="1" applyProtection="1"/>
    <xf numFmtId="0" fontId="40" fillId="24" borderId="0" xfId="0" applyFont="1" applyFill="1" applyBorder="1" applyProtection="1"/>
    <xf numFmtId="3" fontId="40" fillId="24" borderId="0" xfId="0" applyNumberFormat="1" applyFont="1" applyFill="1" applyBorder="1" applyProtection="1"/>
    <xf numFmtId="3" fontId="40" fillId="24" borderId="0" xfId="0" applyNumberFormat="1" applyFont="1" applyFill="1" applyBorder="1" applyAlignment="1" applyProtection="1">
      <alignment horizontal="right" indent="1"/>
    </xf>
    <xf numFmtId="0" fontId="12" fillId="30" borderId="43" xfId="0" applyFont="1" applyFill="1" applyBorder="1" applyProtection="1"/>
    <xf numFmtId="3" fontId="12" fillId="30" borderId="43" xfId="0" applyNumberFormat="1" applyFont="1" applyFill="1" applyBorder="1" applyAlignment="1" applyProtection="1">
      <alignment horizontal="right" vertical="center" indent="1"/>
    </xf>
    <xf numFmtId="3" fontId="12" fillId="30" borderId="18" xfId="0" applyNumberFormat="1" applyFont="1" applyFill="1" applyBorder="1" applyAlignment="1" applyProtection="1">
      <alignment horizontal="right" vertical="center" indent="1"/>
    </xf>
    <xf numFmtId="3" fontId="12" fillId="30" borderId="72" xfId="0" applyNumberFormat="1" applyFont="1" applyFill="1" applyBorder="1" applyAlignment="1" applyProtection="1">
      <alignment horizontal="right" vertical="center" indent="1"/>
    </xf>
    <xf numFmtId="0" fontId="12" fillId="30" borderId="38" xfId="0" applyFont="1" applyFill="1" applyBorder="1" applyProtection="1"/>
    <xf numFmtId="0" fontId="12" fillId="19" borderId="0" xfId="0" applyFont="1" applyFill="1" applyBorder="1" applyAlignment="1" applyProtection="1">
      <alignment vertical="top"/>
    </xf>
    <xf numFmtId="3" fontId="6" fillId="19" borderId="0" xfId="0" applyNumberFormat="1" applyFont="1" applyFill="1" applyBorder="1" applyAlignment="1" applyProtection="1">
      <alignment horizontal="right" vertical="center" indent="1"/>
    </xf>
    <xf numFmtId="3" fontId="8" fillId="23" borderId="0" xfId="0" applyNumberFormat="1" applyFont="1" applyFill="1" applyBorder="1" applyAlignment="1" applyProtection="1">
      <alignment horizontal="right" vertical="center" indent="1"/>
    </xf>
    <xf numFmtId="0" fontId="44" fillId="19" borderId="0" xfId="0" applyFont="1" applyFill="1" applyBorder="1" applyAlignment="1" applyProtection="1">
      <alignment vertical="top"/>
    </xf>
    <xf numFmtId="3" fontId="8" fillId="22" borderId="0" xfId="0" applyNumberFormat="1" applyFont="1" applyFill="1" applyBorder="1" applyAlignment="1" applyProtection="1">
      <alignment horizontal="right" vertical="center" indent="1"/>
    </xf>
    <xf numFmtId="3" fontId="8" fillId="19" borderId="0" xfId="0" applyNumberFormat="1" applyFont="1" applyFill="1" applyBorder="1" applyAlignment="1" applyProtection="1">
      <alignment horizontal="right" vertical="center" indent="1"/>
    </xf>
    <xf numFmtId="3" fontId="11" fillId="19" borderId="0" xfId="0" applyNumberFormat="1" applyFont="1" applyFill="1" applyBorder="1" applyAlignment="1" applyProtection="1">
      <alignment horizontal="right" vertical="center" indent="1"/>
    </xf>
    <xf numFmtId="3" fontId="11" fillId="22" borderId="18" xfId="0" applyNumberFormat="1" applyFont="1" applyFill="1" applyBorder="1" applyAlignment="1" applyProtection="1">
      <alignment horizontal="right" vertical="center" indent="1"/>
    </xf>
    <xf numFmtId="3" fontId="11" fillId="30" borderId="18" xfId="0" applyNumberFormat="1" applyFont="1" applyFill="1" applyBorder="1" applyAlignment="1" applyProtection="1">
      <alignment horizontal="right" vertical="center" indent="1"/>
    </xf>
    <xf numFmtId="3" fontId="12" fillId="19" borderId="19" xfId="0" applyNumberFormat="1" applyFont="1" applyFill="1" applyBorder="1" applyAlignment="1" applyProtection="1">
      <alignment horizontal="right" vertical="center" indent="1"/>
    </xf>
    <xf numFmtId="3" fontId="11" fillId="19" borderId="19" xfId="0" applyNumberFormat="1" applyFont="1" applyFill="1" applyBorder="1" applyAlignment="1" applyProtection="1">
      <alignment horizontal="right" vertical="center" indent="1"/>
    </xf>
    <xf numFmtId="3" fontId="12" fillId="30" borderId="19" xfId="0" applyNumberFormat="1" applyFont="1" applyFill="1" applyBorder="1" applyAlignment="1" applyProtection="1">
      <alignment horizontal="right" vertical="center" indent="1"/>
    </xf>
    <xf numFmtId="3" fontId="11" fillId="30" borderId="19" xfId="0" applyNumberFormat="1" applyFont="1" applyFill="1" applyBorder="1" applyAlignment="1" applyProtection="1">
      <alignment horizontal="right" vertical="center" indent="1"/>
    </xf>
    <xf numFmtId="3" fontId="12" fillId="19" borderId="15" xfId="0" applyNumberFormat="1" applyFont="1" applyFill="1" applyBorder="1" applyAlignment="1" applyProtection="1">
      <alignment horizontal="right" vertical="center" indent="1"/>
    </xf>
    <xf numFmtId="3" fontId="12" fillId="19" borderId="22" xfId="0" applyNumberFormat="1" applyFont="1" applyFill="1" applyBorder="1" applyAlignment="1" applyProtection="1">
      <alignment horizontal="right" vertical="center" indent="1"/>
    </xf>
    <xf numFmtId="3" fontId="12" fillId="30" borderId="22" xfId="0" applyNumberFormat="1" applyFont="1" applyFill="1" applyBorder="1" applyAlignment="1" applyProtection="1">
      <alignment horizontal="right" vertical="center" indent="1"/>
    </xf>
    <xf numFmtId="49" fontId="44" fillId="19" borderId="0" xfId="0" applyNumberFormat="1" applyFont="1" applyFill="1" applyBorder="1" applyAlignment="1" applyProtection="1">
      <alignment vertical="center"/>
    </xf>
    <xf numFmtId="0" fontId="6" fillId="19" borderId="12" xfId="0" applyFont="1" applyFill="1" applyBorder="1" applyProtection="1"/>
    <xf numFmtId="0" fontId="6" fillId="19" borderId="0" xfId="0" applyFont="1" applyFill="1" applyBorder="1" applyAlignment="1" applyProtection="1">
      <alignment vertical="top"/>
    </xf>
    <xf numFmtId="0" fontId="11" fillId="19" borderId="0" xfId="0" applyFont="1" applyFill="1" applyBorder="1" applyAlignment="1">
      <alignment horizontal="center"/>
    </xf>
    <xf numFmtId="0" fontId="65" fillId="21" borderId="0" xfId="0" applyFont="1" applyFill="1" applyBorder="1" applyAlignment="1">
      <alignment horizontal="center"/>
    </xf>
    <xf numFmtId="0" fontId="65" fillId="21" borderId="0" xfId="0" applyFont="1" applyFill="1" applyBorder="1"/>
    <xf numFmtId="0" fontId="65" fillId="0" borderId="0" xfId="0" applyFont="1"/>
    <xf numFmtId="0" fontId="66" fillId="31" borderId="0" xfId="0" applyFont="1" applyFill="1" applyBorder="1" applyAlignment="1">
      <alignment horizontal="center"/>
    </xf>
    <xf numFmtId="0" fontId="66" fillId="31" borderId="0" xfId="0" applyFont="1" applyFill="1" applyBorder="1"/>
    <xf numFmtId="0" fontId="66" fillId="31" borderId="0" xfId="0" applyFont="1" applyFill="1"/>
    <xf numFmtId="0" fontId="66" fillId="31" borderId="59" xfId="0" applyFont="1" applyFill="1" applyBorder="1"/>
    <xf numFmtId="0" fontId="67" fillId="31" borderId="0" xfId="0" applyFont="1" applyFill="1" applyBorder="1"/>
    <xf numFmtId="0" fontId="66" fillId="31" borderId="61" xfId="0" applyFont="1" applyFill="1" applyBorder="1"/>
    <xf numFmtId="0" fontId="66" fillId="31" borderId="62" xfId="0" applyFont="1" applyFill="1" applyBorder="1"/>
    <xf numFmtId="0" fontId="66" fillId="31" borderId="60" xfId="0" applyFont="1" applyFill="1" applyBorder="1"/>
    <xf numFmtId="0" fontId="66" fillId="31" borderId="63" xfId="0" applyFont="1" applyFill="1" applyBorder="1"/>
    <xf numFmtId="3" fontId="11" fillId="22" borderId="0" xfId="0" applyNumberFormat="1" applyFont="1" applyFill="1" applyBorder="1" applyAlignment="1">
      <alignment horizontal="right" vertical="center" indent="1"/>
    </xf>
    <xf numFmtId="0" fontId="6" fillId="19" borderId="27" xfId="0" applyFont="1" applyFill="1" applyBorder="1"/>
    <xf numFmtId="0" fontId="44" fillId="19" borderId="0" xfId="0" applyFont="1" applyFill="1" applyBorder="1"/>
    <xf numFmtId="0" fontId="0" fillId="0" borderId="0" xfId="0" applyFill="1"/>
    <xf numFmtId="3" fontId="45" fillId="21" borderId="0" xfId="0" applyNumberFormat="1" applyFont="1" applyFill="1"/>
    <xf numFmtId="0" fontId="45" fillId="21" borderId="0" xfId="0" applyFont="1" applyFill="1"/>
    <xf numFmtId="3" fontId="45" fillId="0" borderId="0" xfId="0" applyNumberFormat="1" applyFont="1"/>
    <xf numFmtId="0" fontId="63" fillId="21" borderId="0" xfId="0" applyFont="1" applyFill="1"/>
    <xf numFmtId="3" fontId="6" fillId="28" borderId="0" xfId="0" applyNumberFormat="1" applyFont="1" applyFill="1" applyBorder="1" applyAlignment="1">
      <alignment horizontal="center"/>
    </xf>
    <xf numFmtId="3" fontId="8" fillId="28" borderId="0" xfId="0" applyNumberFormat="1" applyFont="1" applyFill="1" applyBorder="1" applyAlignment="1">
      <alignment horizontal="center" wrapText="1"/>
    </xf>
    <xf numFmtId="3" fontId="6" fillId="28" borderId="0" xfId="0" applyNumberFormat="1" applyFont="1" applyFill="1" applyBorder="1" applyAlignment="1">
      <alignment horizontal="right"/>
    </xf>
    <xf numFmtId="0" fontId="6" fillId="32" borderId="0" xfId="0" applyFont="1" applyFill="1" applyBorder="1" applyAlignment="1">
      <alignment vertical="top"/>
    </xf>
    <xf numFmtId="0" fontId="6" fillId="32" borderId="0" xfId="0" applyFont="1" applyFill="1"/>
    <xf numFmtId="0" fontId="6" fillId="32" borderId="0" xfId="0" applyFont="1" applyFill="1" applyBorder="1" applyAlignment="1"/>
    <xf numFmtId="3" fontId="6" fillId="32" borderId="0" xfId="0" applyNumberFormat="1" applyFont="1" applyFill="1" applyBorder="1" applyAlignment="1">
      <alignment horizontal="right" vertical="center" indent="1"/>
    </xf>
    <xf numFmtId="3" fontId="12" fillId="32" borderId="0" xfId="0" applyNumberFormat="1" applyFont="1" applyFill="1" applyBorder="1" applyAlignment="1" applyProtection="1">
      <alignment horizontal="right" vertical="center" indent="1"/>
    </xf>
    <xf numFmtId="0" fontId="7" fillId="20" borderId="0" xfId="0" applyFont="1" applyFill="1" applyBorder="1" applyAlignment="1">
      <alignment horizontal="center"/>
    </xf>
    <xf numFmtId="0" fontId="6" fillId="20" borderId="0" xfId="0" applyFont="1" applyFill="1" applyBorder="1" applyAlignment="1">
      <alignment horizontal="center"/>
    </xf>
    <xf numFmtId="0" fontId="63" fillId="17" borderId="0" xfId="0" applyFont="1" applyFill="1"/>
    <xf numFmtId="0" fontId="3" fillId="20" borderId="18" xfId="0" applyFont="1" applyFill="1" applyBorder="1" applyAlignment="1">
      <alignment horizontal="right"/>
    </xf>
    <xf numFmtId="167" fontId="2" fillId="20" borderId="18" xfId="0" applyNumberFormat="1" applyFont="1" applyFill="1" applyBorder="1" applyAlignment="1">
      <alignment horizontal="left"/>
    </xf>
    <xf numFmtId="167" fontId="3" fillId="20" borderId="18" xfId="0" applyNumberFormat="1" applyFont="1" applyFill="1" applyBorder="1" applyAlignment="1">
      <alignment horizontal="left"/>
    </xf>
    <xf numFmtId="0" fontId="6" fillId="20" borderId="18" xfId="0" applyFont="1" applyFill="1" applyBorder="1" applyAlignment="1">
      <alignment horizontal="right"/>
    </xf>
    <xf numFmtId="0" fontId="6" fillId="22" borderId="0" xfId="0" applyFont="1" applyFill="1" applyBorder="1" applyAlignment="1">
      <alignment vertical="center"/>
    </xf>
    <xf numFmtId="0" fontId="8" fillId="19" borderId="0" xfId="0" applyFont="1" applyFill="1" applyBorder="1" applyAlignment="1">
      <alignment vertical="top"/>
    </xf>
    <xf numFmtId="1" fontId="66" fillId="0" borderId="0" xfId="0" applyNumberFormat="1" applyFont="1"/>
    <xf numFmtId="1" fontId="66" fillId="21" borderId="0" xfId="0" applyNumberFormat="1" applyFont="1" applyFill="1"/>
    <xf numFmtId="1" fontId="66" fillId="21" borderId="0" xfId="0" applyNumberFormat="1" applyFont="1" applyFill="1" applyAlignment="1">
      <alignment vertical="center"/>
    </xf>
    <xf numFmtId="1" fontId="66" fillId="0" borderId="0" xfId="0" applyNumberFormat="1" applyFont="1" applyAlignment="1">
      <alignment vertical="center"/>
    </xf>
    <xf numFmtId="0" fontId="8" fillId="19" borderId="0" xfId="0" applyFont="1" applyFill="1" applyBorder="1" applyAlignment="1">
      <alignment vertical="top"/>
    </xf>
    <xf numFmtId="0" fontId="3" fillId="20" borderId="77" xfId="0" applyFont="1" applyFill="1" applyBorder="1" applyAlignment="1">
      <alignment horizontal="center" vertical="top" wrapText="1"/>
    </xf>
    <xf numFmtId="0" fontId="3" fillId="20" borderId="76" xfId="0" applyFont="1" applyFill="1" applyBorder="1" applyAlignment="1">
      <alignment horizontal="center" vertical="top" wrapText="1"/>
    </xf>
    <xf numFmtId="0" fontId="12" fillId="19" borderId="17" xfId="0" applyFont="1" applyFill="1" applyBorder="1"/>
    <xf numFmtId="0" fontId="12" fillId="19" borderId="27" xfId="0" applyFont="1" applyFill="1" applyBorder="1"/>
    <xf numFmtId="0" fontId="2" fillId="19" borderId="16" xfId="0" applyFont="1" applyFill="1" applyBorder="1"/>
    <xf numFmtId="0" fontId="2" fillId="19" borderId="13" xfId="0" applyFont="1" applyFill="1" applyBorder="1"/>
    <xf numFmtId="0" fontId="2" fillId="19" borderId="27" xfId="0" applyFont="1" applyFill="1" applyBorder="1"/>
    <xf numFmtId="0" fontId="8" fillId="19" borderId="72" xfId="0" applyFont="1" applyFill="1" applyBorder="1" applyAlignment="1">
      <alignment vertical="top"/>
    </xf>
    <xf numFmtId="1" fontId="0" fillId="0" borderId="0" xfId="0" applyNumberFormat="1"/>
    <xf numFmtId="0" fontId="3" fillId="0" borderId="0" xfId="0" applyFont="1"/>
    <xf numFmtId="0" fontId="2" fillId="25" borderId="0" xfId="0" applyFont="1" applyFill="1" applyBorder="1"/>
    <xf numFmtId="0" fontId="3" fillId="33" borderId="81" xfId="0" applyFont="1" applyFill="1" applyBorder="1"/>
    <xf numFmtId="0" fontId="3" fillId="33" borderId="81" xfId="0" applyFont="1" applyFill="1" applyBorder="1" applyAlignment="1">
      <alignment horizontal="center" wrapText="1"/>
    </xf>
    <xf numFmtId="1" fontId="3" fillId="33" borderId="81" xfId="0" applyNumberFormat="1" applyFont="1" applyFill="1" applyBorder="1" applyAlignment="1">
      <alignment horizontal="center" wrapText="1"/>
    </xf>
    <xf numFmtId="0" fontId="3" fillId="20" borderId="81" xfId="0" applyFont="1" applyFill="1" applyBorder="1" applyAlignment="1">
      <alignment horizontal="center"/>
    </xf>
    <xf numFmtId="1" fontId="3" fillId="33" borderId="81" xfId="0" applyNumberFormat="1" applyFont="1" applyFill="1" applyBorder="1" applyAlignment="1">
      <alignment horizontal="center" vertical="center" wrapText="1"/>
    </xf>
    <xf numFmtId="0" fontId="0" fillId="0" borderId="0" xfId="0" applyBorder="1" applyAlignment="1">
      <alignment wrapText="1"/>
    </xf>
    <xf numFmtId="0" fontId="0" fillId="0" borderId="12" xfId="0" applyBorder="1" applyAlignment="1">
      <alignment wrapText="1"/>
    </xf>
    <xf numFmtId="0" fontId="0" fillId="0" borderId="71" xfId="0" applyBorder="1"/>
    <xf numFmtId="0" fontId="0" fillId="0" borderId="76" xfId="0" applyBorder="1"/>
    <xf numFmtId="0" fontId="0" fillId="0" borderId="73" xfId="0" applyBorder="1"/>
    <xf numFmtId="0" fontId="0" fillId="0" borderId="12" xfId="0" applyBorder="1"/>
    <xf numFmtId="0" fontId="0" fillId="0" borderId="13" xfId="0" applyBorder="1"/>
    <xf numFmtId="0" fontId="3" fillId="0" borderId="12" xfId="0" applyFont="1" applyBorder="1"/>
    <xf numFmtId="0" fontId="2" fillId="0" borderId="0" xfId="0" applyFont="1" applyBorder="1" applyAlignment="1">
      <alignment vertical="center" wrapText="1"/>
    </xf>
    <xf numFmtId="0" fontId="2" fillId="0" borderId="13" xfId="0" applyFont="1" applyBorder="1" applyAlignment="1">
      <alignment vertical="center" wrapText="1"/>
    </xf>
    <xf numFmtId="0" fontId="58" fillId="0" borderId="12" xfId="54" applyBorder="1" applyAlignment="1">
      <alignment vertical="center" wrapText="1"/>
    </xf>
    <xf numFmtId="0" fontId="2" fillId="0" borderId="12" xfId="0" applyFont="1" applyBorder="1" applyAlignment="1">
      <alignment vertical="center" wrapText="1"/>
    </xf>
    <xf numFmtId="0" fontId="69" fillId="0" borderId="12" xfId="0" applyFont="1" applyBorder="1" applyAlignment="1">
      <alignment horizontal="justify" vertical="center"/>
    </xf>
    <xf numFmtId="0" fontId="2" fillId="0" borderId="12" xfId="0" applyFont="1" applyBorder="1"/>
    <xf numFmtId="0" fontId="0" fillId="0" borderId="17" xfId="0" applyBorder="1"/>
    <xf numFmtId="0" fontId="0" fillId="0" borderId="18" xfId="0" applyBorder="1"/>
    <xf numFmtId="0" fontId="0" fillId="0" borderId="27" xfId="0" applyBorder="1"/>
    <xf numFmtId="1" fontId="0" fillId="21" borderId="0" xfId="0" applyNumberFormat="1" applyFill="1"/>
    <xf numFmtId="1" fontId="2" fillId="21" borderId="0" xfId="0" applyNumberFormat="1" applyFont="1" applyFill="1" applyBorder="1"/>
    <xf numFmtId="0" fontId="3" fillId="21" borderId="0" xfId="0" applyFont="1" applyFill="1"/>
    <xf numFmtId="1" fontId="0" fillId="21" borderId="82" xfId="0" applyNumberFormat="1" applyFill="1" applyBorder="1"/>
    <xf numFmtId="1" fontId="0" fillId="21" borderId="80" xfId="0" applyNumberFormat="1" applyFill="1" applyBorder="1"/>
    <xf numFmtId="0" fontId="3" fillId="21" borderId="0" xfId="0" applyFont="1" applyFill="1" applyAlignment="1">
      <alignment wrapText="1"/>
    </xf>
    <xf numFmtId="0" fontId="3" fillId="21" borderId="0" xfId="0" applyFont="1" applyFill="1" applyBorder="1"/>
    <xf numFmtId="1" fontId="3" fillId="21" borderId="0" xfId="0" applyNumberFormat="1" applyFont="1" applyFill="1"/>
    <xf numFmtId="0" fontId="2" fillId="0" borderId="12" xfId="0" applyFont="1" applyBorder="1" applyAlignment="1">
      <alignment wrapText="1"/>
    </xf>
    <xf numFmtId="0" fontId="0" fillId="0" borderId="0" xfId="0" applyBorder="1" applyAlignment="1">
      <alignment wrapText="1"/>
    </xf>
    <xf numFmtId="0" fontId="0" fillId="0" borderId="13" xfId="0" applyBorder="1" applyAlignment="1">
      <alignment wrapText="1"/>
    </xf>
    <xf numFmtId="0" fontId="0" fillId="0" borderId="12" xfId="0" applyBorder="1" applyAlignment="1">
      <alignment wrapText="1"/>
    </xf>
    <xf numFmtId="0" fontId="2" fillId="0" borderId="12" xfId="0" applyFont="1" applyBorder="1" applyAlignment="1">
      <alignment horizontal="left" wrapText="1"/>
    </xf>
    <xf numFmtId="0" fontId="2" fillId="0" borderId="0" xfId="0" applyFont="1" applyBorder="1" applyAlignment="1">
      <alignment horizontal="left" wrapText="1"/>
    </xf>
    <xf numFmtId="0" fontId="58" fillId="0" borderId="12" xfId="54" applyBorder="1" applyAlignment="1">
      <alignment horizontal="left" vertical="center" wrapText="1"/>
    </xf>
    <xf numFmtId="0" fontId="58" fillId="0" borderId="0" xfId="54" applyBorder="1" applyAlignment="1">
      <alignment horizontal="left" vertical="center" wrapText="1"/>
    </xf>
    <xf numFmtId="0" fontId="2" fillId="0" borderId="12" xfId="0" applyFont="1" applyBorder="1" applyAlignment="1">
      <alignment horizontal="left" vertical="center" wrapText="1"/>
    </xf>
    <xf numFmtId="0" fontId="2" fillId="0" borderId="0" xfId="0" applyFont="1" applyBorder="1" applyAlignment="1">
      <alignment horizontal="left" vertical="center" wrapText="1"/>
    </xf>
    <xf numFmtId="3" fontId="8" fillId="17" borderId="33" xfId="0" applyNumberFormat="1" applyFont="1" applyFill="1" applyBorder="1" applyAlignment="1">
      <alignment horizontal="right" vertical="center" indent="1"/>
    </xf>
    <xf numFmtId="3" fontId="6" fillId="17" borderId="34" xfId="0" applyNumberFormat="1" applyFont="1" applyFill="1" applyBorder="1" applyAlignment="1">
      <alignment horizontal="right" vertical="center" indent="1"/>
    </xf>
    <xf numFmtId="166" fontId="9" fillId="19" borderId="0" xfId="0" applyNumberFormat="1" applyFont="1" applyFill="1" applyBorder="1" applyAlignment="1">
      <alignment horizontal="center" vertical="center"/>
    </xf>
    <xf numFmtId="3" fontId="39" fillId="19" borderId="0" xfId="0" applyNumberFormat="1" applyFont="1" applyFill="1" applyBorder="1" applyAlignment="1">
      <alignment horizontal="left" vertical="center"/>
    </xf>
    <xf numFmtId="0" fontId="39" fillId="0" borderId="0" xfId="0" applyFont="1" applyAlignment="1">
      <alignment horizontal="left" vertical="center"/>
    </xf>
    <xf numFmtId="3" fontId="9" fillId="19" borderId="0" xfId="0" applyNumberFormat="1" applyFont="1" applyFill="1" applyBorder="1" applyAlignment="1">
      <alignment horizontal="right" vertical="center"/>
    </xf>
    <xf numFmtId="165" fontId="37" fillId="19" borderId="0" xfId="0" applyNumberFormat="1" applyFont="1" applyFill="1" applyBorder="1" applyAlignment="1">
      <alignment horizontal="right" vertical="center"/>
    </xf>
    <xf numFmtId="0" fontId="6" fillId="19" borderId="0" xfId="0" applyFont="1" applyFill="1" applyBorder="1" applyAlignment="1">
      <alignment vertical="top" wrapText="1"/>
    </xf>
    <xf numFmtId="0" fontId="6" fillId="20" borderId="17" xfId="0" applyFont="1" applyFill="1" applyBorder="1" applyAlignment="1">
      <alignment horizontal="center"/>
    </xf>
    <xf numFmtId="0" fontId="6" fillId="20" borderId="18" xfId="0" applyFont="1" applyFill="1" applyBorder="1" applyAlignment="1">
      <alignment horizontal="center"/>
    </xf>
    <xf numFmtId="0" fontId="6" fillId="20" borderId="27" xfId="0" applyFont="1" applyFill="1" applyBorder="1" applyAlignment="1">
      <alignment horizontal="center"/>
    </xf>
    <xf numFmtId="0" fontId="6" fillId="20" borderId="0" xfId="0" applyFont="1" applyFill="1" applyBorder="1" applyAlignment="1" applyProtection="1">
      <alignment horizontal="center" vertical="top"/>
      <protection locked="0"/>
    </xf>
    <xf numFmtId="0" fontId="68" fillId="33" borderId="61" xfId="0" applyNumberFormat="1" applyFont="1" applyFill="1" applyBorder="1" applyAlignment="1" applyProtection="1">
      <alignment horizontal="left" vertical="top"/>
      <protection locked="0"/>
    </xf>
    <xf numFmtId="0" fontId="68" fillId="33" borderId="0" xfId="0" applyNumberFormat="1" applyFont="1" applyFill="1" applyBorder="1" applyAlignment="1" applyProtection="1">
      <alignment horizontal="left" vertical="top"/>
      <protection locked="0"/>
    </xf>
    <xf numFmtId="0" fontId="68" fillId="33" borderId="58" xfId="0" applyNumberFormat="1" applyFont="1" applyFill="1" applyBorder="1" applyAlignment="1" applyProtection="1">
      <alignment horizontal="left" vertical="top"/>
      <protection locked="0"/>
    </xf>
    <xf numFmtId="0" fontId="68" fillId="33" borderId="59" xfId="0" applyNumberFormat="1" applyFont="1" applyFill="1" applyBorder="1" applyAlignment="1" applyProtection="1">
      <alignment horizontal="left" vertical="top"/>
      <protection locked="0"/>
    </xf>
    <xf numFmtId="0" fontId="6" fillId="0" borderId="0" xfId="0" applyFont="1" applyAlignment="1">
      <alignment vertical="top" wrapText="1"/>
    </xf>
    <xf numFmtId="0" fontId="8" fillId="19" borderId="0" xfId="0" applyFont="1" applyFill="1" applyBorder="1" applyAlignment="1">
      <alignment vertical="top"/>
    </xf>
    <xf numFmtId="0" fontId="8" fillId="19" borderId="0" xfId="0" applyFont="1" applyFill="1" applyBorder="1" applyAlignment="1">
      <alignment horizontal="left" vertical="top"/>
    </xf>
    <xf numFmtId="0" fontId="8" fillId="19" borderId="0" xfId="0" applyFont="1" applyFill="1" applyBorder="1" applyAlignment="1">
      <alignment horizontal="center"/>
    </xf>
    <xf numFmtId="0" fontId="6" fillId="20" borderId="15" xfId="0" applyFont="1" applyFill="1" applyBorder="1" applyAlignment="1">
      <alignment horizontal="center"/>
    </xf>
    <xf numFmtId="0" fontId="7" fillId="20" borderId="12" xfId="0" applyFont="1" applyFill="1" applyBorder="1" applyAlignment="1">
      <alignment horizontal="center"/>
    </xf>
    <xf numFmtId="0" fontId="7" fillId="20" borderId="0" xfId="0" applyFont="1" applyFill="1" applyBorder="1" applyAlignment="1">
      <alignment horizontal="center"/>
    </xf>
    <xf numFmtId="0" fontId="7" fillId="20" borderId="13" xfId="0" applyFont="1" applyFill="1" applyBorder="1" applyAlignment="1">
      <alignment horizontal="center"/>
    </xf>
    <xf numFmtId="0" fontId="6" fillId="20" borderId="12" xfId="0" applyFont="1" applyFill="1" applyBorder="1" applyAlignment="1">
      <alignment horizontal="center"/>
    </xf>
    <xf numFmtId="0" fontId="6" fillId="20" borderId="0" xfId="0" applyFont="1" applyFill="1" applyBorder="1" applyAlignment="1">
      <alignment horizontal="center"/>
    </xf>
    <xf numFmtId="0" fontId="6" fillId="20" borderId="13"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Border="1" applyAlignment="1">
      <alignment horizontal="center"/>
    </xf>
    <xf numFmtId="0" fontId="11" fillId="20" borderId="13" xfId="0" applyFont="1" applyFill="1" applyBorder="1" applyAlignment="1">
      <alignment horizontal="center"/>
    </xf>
    <xf numFmtId="3" fontId="8" fillId="30" borderId="0" xfId="0" applyNumberFormat="1" applyFont="1" applyFill="1" applyBorder="1" applyAlignment="1" applyProtection="1">
      <alignment horizontal="center" vertical="center" wrapText="1"/>
    </xf>
    <xf numFmtId="3" fontId="11" fillId="30" borderId="33" xfId="0" applyNumberFormat="1" applyFont="1" applyFill="1" applyBorder="1" applyAlignment="1" applyProtection="1">
      <alignment horizontal="right" vertical="center" indent="1"/>
      <protection locked="0"/>
    </xf>
    <xf numFmtId="3" fontId="12" fillId="30" borderId="34" xfId="0" applyNumberFormat="1" applyFont="1" applyFill="1" applyBorder="1" applyAlignment="1" applyProtection="1">
      <alignment horizontal="right" vertical="center" indent="1"/>
      <protection locked="0"/>
    </xf>
    <xf numFmtId="3" fontId="11" fillId="21" borderId="33" xfId="0" applyNumberFormat="1" applyFont="1" applyFill="1" applyBorder="1" applyAlignment="1" applyProtection="1">
      <alignment horizontal="right" vertical="center" indent="1"/>
      <protection locked="0"/>
    </xf>
    <xf numFmtId="3" fontId="12" fillId="21" borderId="34" xfId="0" applyNumberFormat="1" applyFont="1" applyFill="1" applyBorder="1" applyAlignment="1" applyProtection="1">
      <alignment horizontal="right" vertical="center" indent="1"/>
      <protection locked="0"/>
    </xf>
    <xf numFmtId="0" fontId="57" fillId="19" borderId="0" xfId="0" applyFont="1" applyFill="1" applyBorder="1" applyAlignment="1" applyProtection="1">
      <alignment horizontal="center" vertical="center" wrapText="1"/>
    </xf>
    <xf numFmtId="0" fontId="8" fillId="30" borderId="0" xfId="0" applyFont="1" applyFill="1" applyBorder="1" applyAlignment="1" applyProtection="1">
      <alignment horizontal="center" wrapText="1"/>
    </xf>
    <xf numFmtId="0" fontId="11" fillId="30" borderId="0" xfId="0" applyFont="1" applyFill="1" applyBorder="1" applyAlignment="1" applyProtection="1">
      <alignment horizontal="center" wrapText="1"/>
    </xf>
    <xf numFmtId="3" fontId="8" fillId="19" borderId="0" xfId="0" applyNumberFormat="1" applyFont="1" applyFill="1" applyBorder="1" applyAlignment="1" applyProtection="1">
      <alignment horizontal="center" vertical="center" wrapText="1"/>
    </xf>
    <xf numFmtId="3" fontId="11" fillId="21" borderId="28" xfId="0" applyNumberFormat="1" applyFont="1" applyFill="1" applyBorder="1" applyAlignment="1" applyProtection="1">
      <alignment horizontal="right" vertical="center" indent="1"/>
      <protection locked="0"/>
    </xf>
    <xf numFmtId="3" fontId="11" fillId="21" borderId="29" xfId="0" applyNumberFormat="1" applyFont="1" applyFill="1" applyBorder="1" applyAlignment="1" applyProtection="1">
      <alignment horizontal="right" vertical="center" indent="1"/>
      <protection locked="0"/>
    </xf>
    <xf numFmtId="3" fontId="11" fillId="17" borderId="0" xfId="0" applyNumberFormat="1" applyFont="1" applyFill="1" applyBorder="1" applyAlignment="1" applyProtection="1">
      <alignment horizontal="center" vertical="center"/>
      <protection locked="0"/>
    </xf>
    <xf numFmtId="3" fontId="11" fillId="21" borderId="53" xfId="0" applyNumberFormat="1" applyFont="1" applyFill="1" applyBorder="1" applyAlignment="1" applyProtection="1">
      <alignment horizontal="right" vertical="center" indent="1"/>
    </xf>
    <xf numFmtId="3" fontId="11" fillId="21" borderId="54" xfId="0" applyNumberFormat="1" applyFont="1" applyFill="1" applyBorder="1" applyAlignment="1" applyProtection="1">
      <alignment horizontal="right" vertical="center" indent="1"/>
    </xf>
    <xf numFmtId="3" fontId="11" fillId="17" borderId="0" xfId="0" applyNumberFormat="1" applyFont="1" applyFill="1" applyBorder="1" applyAlignment="1" applyProtection="1">
      <alignment horizontal="center" vertical="center"/>
    </xf>
    <xf numFmtId="3" fontId="8" fillId="17" borderId="0" xfId="0" applyNumberFormat="1" applyFont="1" applyFill="1" applyBorder="1" applyAlignment="1" applyProtection="1">
      <alignment horizontal="center" vertical="center"/>
    </xf>
    <xf numFmtId="3" fontId="8" fillId="17" borderId="21" xfId="0" applyNumberFormat="1" applyFont="1" applyFill="1" applyBorder="1" applyAlignment="1" applyProtection="1">
      <alignment horizontal="center" vertical="center"/>
    </xf>
    <xf numFmtId="0" fontId="30" fillId="20" borderId="12" xfId="0" applyFont="1" applyFill="1" applyBorder="1" applyAlignment="1">
      <alignment horizontal="center"/>
    </xf>
    <xf numFmtId="0" fontId="0" fillId="0" borderId="0" xfId="0" applyBorder="1" applyAlignment="1">
      <alignment horizontal="center"/>
    </xf>
    <xf numFmtId="0" fontId="0" fillId="0" borderId="13" xfId="0" applyBorder="1" applyAlignment="1">
      <alignment horizontal="center"/>
    </xf>
    <xf numFmtId="0" fontId="11" fillId="30" borderId="0" xfId="0" applyFont="1" applyFill="1" applyBorder="1" applyAlignment="1">
      <alignment horizontal="center"/>
    </xf>
    <xf numFmtId="0" fontId="3" fillId="19" borderId="0" xfId="0" applyFont="1" applyFill="1" applyBorder="1" applyAlignment="1">
      <alignment horizontal="left"/>
    </xf>
    <xf numFmtId="0" fontId="12" fillId="19" borderId="0" xfId="0" applyFont="1" applyFill="1" applyBorder="1" applyAlignment="1">
      <alignment vertical="top" wrapText="1"/>
    </xf>
    <xf numFmtId="0" fontId="0" fillId="0" borderId="0" xfId="0" applyAlignment="1">
      <alignment vertical="top" wrapText="1"/>
    </xf>
    <xf numFmtId="3" fontId="11" fillId="30" borderId="33" xfId="0" applyNumberFormat="1" applyFont="1" applyFill="1" applyBorder="1" applyAlignment="1" applyProtection="1">
      <alignment horizontal="right" vertical="center" indent="1"/>
    </xf>
    <xf numFmtId="3" fontId="12" fillId="30" borderId="34" xfId="0" applyNumberFormat="1" applyFont="1" applyFill="1" applyBorder="1" applyAlignment="1" applyProtection="1">
      <alignment horizontal="right" vertical="center" indent="1"/>
    </xf>
    <xf numFmtId="3" fontId="11" fillId="22" borderId="0" xfId="0" applyNumberFormat="1" applyFont="1" applyFill="1" applyBorder="1" applyAlignment="1">
      <alignment horizontal="right" vertical="center" indent="1"/>
    </xf>
    <xf numFmtId="0" fontId="11" fillId="19" borderId="0" xfId="0" applyFont="1" applyFill="1" applyBorder="1" applyAlignment="1">
      <alignment horizontal="center"/>
    </xf>
    <xf numFmtId="0" fontId="6" fillId="19" borderId="0" xfId="0" applyFont="1" applyFill="1" applyBorder="1" applyAlignment="1">
      <alignment horizontal="center"/>
    </xf>
    <xf numFmtId="0" fontId="12" fillId="19" borderId="0" xfId="0" applyFont="1" applyFill="1" applyBorder="1" applyAlignment="1">
      <alignment horizontal="center"/>
    </xf>
    <xf numFmtId="0" fontId="8" fillId="19" borderId="0" xfId="0" applyFont="1" applyFill="1" applyBorder="1" applyAlignment="1">
      <alignment horizontal="center" wrapText="1"/>
    </xf>
    <xf numFmtId="0" fontId="11" fillId="19" borderId="0" xfId="0" applyFont="1" applyFill="1" applyBorder="1" applyAlignment="1">
      <alignment horizontal="center" wrapText="1"/>
    </xf>
    <xf numFmtId="0" fontId="12" fillId="0" borderId="0" xfId="0" applyFont="1" applyBorder="1" applyAlignment="1">
      <alignment wrapText="1"/>
    </xf>
    <xf numFmtId="0" fontId="8" fillId="22" borderId="0" xfId="0" applyFont="1" applyFill="1" applyAlignment="1">
      <alignment horizontal="left" vertical="top" wrapText="1"/>
    </xf>
    <xf numFmtId="0" fontId="6" fillId="22" borderId="0" xfId="0" applyFont="1" applyFill="1" applyAlignment="1">
      <alignment horizontal="left" vertical="top" wrapText="1"/>
    </xf>
    <xf numFmtId="0" fontId="8" fillId="19" borderId="0" xfId="0" applyFont="1" applyFill="1" applyBorder="1" applyAlignment="1">
      <alignment horizontal="center" vertical="center" wrapText="1"/>
    </xf>
    <xf numFmtId="0" fontId="44" fillId="19" borderId="0" xfId="0" applyFont="1" applyFill="1" applyBorder="1" applyAlignment="1">
      <alignment horizontal="left" vertical="center" wrapText="1"/>
    </xf>
    <xf numFmtId="3" fontId="8" fillId="19" borderId="18" xfId="0" applyNumberFormat="1" applyFont="1" applyFill="1" applyBorder="1" applyAlignment="1" applyProtection="1">
      <alignment horizontal="center" vertical="center" wrapText="1"/>
    </xf>
    <xf numFmtId="3" fontId="6" fillId="19" borderId="0" xfId="0" applyNumberFormat="1" applyFont="1" applyFill="1" applyBorder="1" applyAlignment="1" applyProtection="1">
      <alignment horizontal="center" vertical="center"/>
    </xf>
    <xf numFmtId="0" fontId="0" fillId="0" borderId="0" xfId="0" applyAlignment="1"/>
    <xf numFmtId="3" fontId="8"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3" fontId="12" fillId="19" borderId="0" xfId="0" applyNumberFormat="1" applyFont="1" applyFill="1" applyBorder="1" applyAlignment="1" applyProtection="1">
      <alignment horizontal="center" vertical="center"/>
    </xf>
    <xf numFmtId="0" fontId="57" fillId="19" borderId="0" xfId="0" applyFont="1" applyFill="1" applyBorder="1" applyAlignment="1">
      <alignment horizontal="center" vertical="center" wrapText="1"/>
    </xf>
    <xf numFmtId="0" fontId="57" fillId="30" borderId="0" xfId="0" applyFont="1" applyFill="1" applyBorder="1" applyAlignment="1">
      <alignment horizontal="center" vertical="center" wrapText="1"/>
    </xf>
    <xf numFmtId="0" fontId="8" fillId="19" borderId="18" xfId="0" applyFont="1" applyFill="1" applyBorder="1" applyAlignment="1">
      <alignment horizontal="center"/>
    </xf>
    <xf numFmtId="0" fontId="6" fillId="23" borderId="0" xfId="0" applyFont="1" applyFill="1" applyBorder="1" applyAlignment="1">
      <alignment vertical="top" wrapText="1"/>
    </xf>
    <xf numFmtId="0" fontId="2" fillId="0" borderId="0" xfId="0" applyFont="1" applyAlignment="1">
      <alignment vertical="top" wrapText="1"/>
    </xf>
    <xf numFmtId="0" fontId="0" fillId="0" borderId="0" xfId="0" applyBorder="1" applyAlignment="1">
      <alignment vertical="top" wrapText="1"/>
    </xf>
    <xf numFmtId="3" fontId="11" fillId="21" borderId="69" xfId="0" applyNumberFormat="1" applyFont="1" applyFill="1" applyBorder="1" applyAlignment="1">
      <alignment horizontal="right" vertical="center" indent="1"/>
    </xf>
    <xf numFmtId="3" fontId="12" fillId="21" borderId="70" xfId="0" applyNumberFormat="1" applyFont="1" applyFill="1" applyBorder="1" applyAlignment="1">
      <alignment horizontal="right" vertical="center" indent="1"/>
    </xf>
    <xf numFmtId="0" fontId="8" fillId="22" borderId="0" xfId="0" applyFont="1" applyFill="1" applyBorder="1" applyAlignment="1">
      <alignment horizontal="left" vertical="top" wrapText="1"/>
    </xf>
    <xf numFmtId="3" fontId="11" fillId="30" borderId="69" xfId="0" applyNumberFormat="1" applyFont="1" applyFill="1" applyBorder="1" applyAlignment="1">
      <alignment horizontal="right" vertical="center" indent="1"/>
    </xf>
    <xf numFmtId="3" fontId="12" fillId="30" borderId="70" xfId="0" applyNumberFormat="1" applyFont="1" applyFill="1" applyBorder="1" applyAlignment="1">
      <alignment horizontal="right" vertical="center" indent="1"/>
    </xf>
    <xf numFmtId="3" fontId="41" fillId="24" borderId="33" xfId="0" applyNumberFormat="1" applyFont="1" applyFill="1" applyBorder="1" applyAlignment="1">
      <alignment horizontal="right" vertical="center" indent="1"/>
    </xf>
    <xf numFmtId="3" fontId="42" fillId="24" borderId="34" xfId="0" applyNumberFormat="1" applyFont="1" applyFill="1" applyBorder="1" applyAlignment="1">
      <alignment horizontal="right" vertical="center" indent="1"/>
    </xf>
    <xf numFmtId="3" fontId="41" fillId="24" borderId="33" xfId="0" applyNumberFormat="1" applyFont="1" applyFill="1" applyBorder="1" applyAlignment="1" applyProtection="1">
      <alignment horizontal="right" vertical="center" indent="1"/>
    </xf>
    <xf numFmtId="3" fontId="42" fillId="24" borderId="34" xfId="0" applyNumberFormat="1" applyFont="1" applyFill="1" applyBorder="1" applyAlignment="1" applyProtection="1">
      <alignment horizontal="right" vertical="center" indent="1"/>
    </xf>
    <xf numFmtId="3" fontId="11" fillId="30" borderId="69" xfId="0" applyNumberFormat="1" applyFont="1" applyFill="1" applyBorder="1" applyAlignment="1" applyProtection="1">
      <alignment horizontal="right" vertical="center" indent="1"/>
      <protection locked="0"/>
    </xf>
    <xf numFmtId="3" fontId="12" fillId="30" borderId="70" xfId="0" applyNumberFormat="1" applyFont="1" applyFill="1" applyBorder="1" applyAlignment="1" applyProtection="1">
      <alignment horizontal="right" vertical="center" indent="1"/>
      <protection locked="0"/>
    </xf>
    <xf numFmtId="0" fontId="3" fillId="19" borderId="66" xfId="0" applyFont="1" applyFill="1" applyBorder="1" applyAlignment="1">
      <alignment horizontal="left"/>
    </xf>
    <xf numFmtId="3" fontId="8" fillId="17" borderId="28" xfId="0" applyNumberFormat="1" applyFont="1" applyFill="1" applyBorder="1" applyAlignment="1" applyProtection="1">
      <alignment horizontal="right" vertical="center" indent="1"/>
      <protection locked="0"/>
    </xf>
    <xf numFmtId="3" fontId="8" fillId="17" borderId="29" xfId="0" applyNumberFormat="1" applyFont="1" applyFill="1" applyBorder="1" applyAlignment="1" applyProtection="1">
      <alignment horizontal="right" vertical="center" indent="1"/>
      <protection locked="0"/>
    </xf>
    <xf numFmtId="0" fontId="6" fillId="19" borderId="0" xfId="0" applyFont="1" applyFill="1" applyBorder="1" applyAlignment="1">
      <alignment horizontal="left" vertical="top" wrapText="1"/>
    </xf>
    <xf numFmtId="0" fontId="11" fillId="19" borderId="0" xfId="0" applyFont="1" applyFill="1" applyBorder="1" applyAlignment="1">
      <alignment horizontal="left"/>
    </xf>
    <xf numFmtId="3" fontId="11" fillId="19" borderId="0" xfId="0" applyNumberFormat="1" applyFont="1" applyFill="1" applyBorder="1" applyAlignment="1">
      <alignment horizontal="center" vertical="center"/>
    </xf>
    <xf numFmtId="0" fontId="0" fillId="0" borderId="0" xfId="0" applyBorder="1" applyAlignment="1">
      <alignment horizontal="center" vertical="center"/>
    </xf>
    <xf numFmtId="3" fontId="60" fillId="24" borderId="74" xfId="0" applyNumberFormat="1" applyFont="1" applyFill="1" applyBorder="1" applyAlignment="1">
      <alignment horizontal="center" vertical="center"/>
    </xf>
    <xf numFmtId="3" fontId="11" fillId="30" borderId="0" xfId="0" applyNumberFormat="1" applyFont="1" applyFill="1" applyBorder="1" applyAlignment="1">
      <alignment horizontal="center" vertical="center"/>
    </xf>
    <xf numFmtId="0" fontId="0" fillId="30" borderId="0" xfId="0" applyFill="1" applyBorder="1" applyAlignment="1">
      <alignment horizontal="center" vertical="center"/>
    </xf>
    <xf numFmtId="0" fontId="2" fillId="0" borderId="0" xfId="0" applyFont="1" applyAlignment="1">
      <alignment wrapText="1"/>
    </xf>
    <xf numFmtId="3" fontId="11" fillId="17" borderId="33" xfId="0" applyNumberFormat="1" applyFont="1" applyFill="1" applyBorder="1" applyAlignment="1">
      <alignment horizontal="right" vertical="center" indent="1"/>
    </xf>
    <xf numFmtId="3" fontId="12" fillId="17" borderId="34" xfId="0" applyNumberFormat="1" applyFont="1" applyFill="1" applyBorder="1" applyAlignment="1">
      <alignment horizontal="right" vertical="center" indent="1"/>
    </xf>
    <xf numFmtId="3" fontId="8" fillId="17" borderId="64" xfId="0" applyNumberFormat="1" applyFont="1" applyFill="1" applyBorder="1" applyAlignment="1">
      <alignment horizontal="right" vertical="center" indent="1"/>
    </xf>
    <xf numFmtId="3" fontId="6" fillId="17" borderId="65" xfId="0" applyNumberFormat="1" applyFont="1" applyFill="1" applyBorder="1" applyAlignment="1">
      <alignment horizontal="right" vertical="center" indent="1"/>
    </xf>
    <xf numFmtId="3" fontId="11" fillId="17" borderId="64" xfId="0" applyNumberFormat="1" applyFont="1" applyFill="1" applyBorder="1" applyAlignment="1">
      <alignment horizontal="right" vertical="center" indent="1"/>
    </xf>
    <xf numFmtId="3" fontId="11" fillId="17" borderId="65" xfId="0" applyNumberFormat="1" applyFont="1" applyFill="1" applyBorder="1" applyAlignment="1">
      <alignment horizontal="right" vertical="center" indent="1"/>
    </xf>
    <xf numFmtId="3" fontId="8" fillId="17" borderId="69" xfId="0" applyNumberFormat="1" applyFont="1" applyFill="1" applyBorder="1" applyAlignment="1">
      <alignment horizontal="right" vertical="center" indent="1"/>
    </xf>
    <xf numFmtId="3" fontId="6" fillId="17" borderId="70" xfId="0" applyNumberFormat="1" applyFont="1" applyFill="1" applyBorder="1" applyAlignment="1">
      <alignment horizontal="right" vertical="center" indent="1"/>
    </xf>
    <xf numFmtId="3" fontId="8" fillId="17" borderId="70" xfId="0" applyNumberFormat="1" applyFont="1" applyFill="1" applyBorder="1" applyAlignment="1">
      <alignment horizontal="right" vertical="center" indent="1"/>
    </xf>
    <xf numFmtId="3" fontId="8" fillId="17" borderId="64" xfId="0" applyNumberFormat="1" applyFont="1" applyFill="1" applyBorder="1" applyAlignment="1" applyProtection="1">
      <alignment horizontal="right" vertical="center" indent="1"/>
    </xf>
    <xf numFmtId="3" fontId="6" fillId="17" borderId="65" xfId="0" applyNumberFormat="1" applyFont="1" applyFill="1" applyBorder="1" applyAlignment="1" applyProtection="1">
      <alignment horizontal="right" vertical="center" indent="1"/>
    </xf>
    <xf numFmtId="3" fontId="11" fillId="17" borderId="69" xfId="0" applyNumberFormat="1" applyFont="1" applyFill="1" applyBorder="1" applyAlignment="1">
      <alignment horizontal="right" vertical="center" indent="1"/>
    </xf>
    <xf numFmtId="3" fontId="11" fillId="17" borderId="70" xfId="0" applyNumberFormat="1" applyFont="1" applyFill="1" applyBorder="1" applyAlignment="1">
      <alignment horizontal="right" vertical="center" indent="1"/>
    </xf>
    <xf numFmtId="9" fontId="8" fillId="17" borderId="69" xfId="43" applyFont="1" applyFill="1" applyBorder="1" applyAlignment="1">
      <alignment horizontal="center" vertical="center"/>
    </xf>
    <xf numFmtId="9" fontId="8" fillId="17" borderId="70" xfId="43" applyFont="1" applyFill="1" applyBorder="1" applyAlignment="1">
      <alignment horizontal="center" vertical="center"/>
    </xf>
    <xf numFmtId="3" fontId="8" fillId="19" borderId="0" xfId="0" applyNumberFormat="1" applyFont="1" applyFill="1" applyBorder="1" applyAlignment="1">
      <alignment horizontal="center" wrapText="1"/>
    </xf>
    <xf numFmtId="0" fontId="6" fillId="22" borderId="0" xfId="0" applyFont="1" applyFill="1" applyBorder="1" applyAlignment="1">
      <alignment horizontal="left" vertical="top" wrapText="1"/>
    </xf>
    <xf numFmtId="0" fontId="3" fillId="19" borderId="15" xfId="0" applyFont="1" applyFill="1" applyBorder="1" applyAlignment="1">
      <alignment horizontal="left"/>
    </xf>
    <xf numFmtId="3" fontId="11" fillId="17" borderId="64" xfId="0" applyNumberFormat="1" applyFont="1" applyFill="1" applyBorder="1" applyAlignment="1" applyProtection="1">
      <alignment horizontal="right" vertical="center" indent="1"/>
    </xf>
    <xf numFmtId="3" fontId="11" fillId="17" borderId="65" xfId="0" applyNumberFormat="1" applyFont="1" applyFill="1" applyBorder="1" applyAlignment="1" applyProtection="1">
      <alignment horizontal="right" vertical="center" indent="1"/>
    </xf>
    <xf numFmtId="3" fontId="11" fillId="30" borderId="70" xfId="0" applyNumberFormat="1" applyFont="1" applyFill="1" applyBorder="1" applyAlignment="1">
      <alignment horizontal="right" vertical="center" indent="1"/>
    </xf>
    <xf numFmtId="0" fontId="6" fillId="19" borderId="12" xfId="0" applyFont="1" applyFill="1" applyBorder="1" applyAlignment="1">
      <alignment wrapText="1"/>
    </xf>
    <xf numFmtId="3" fontId="8" fillId="17" borderId="35" xfId="0" applyNumberFormat="1" applyFont="1" applyFill="1" applyBorder="1" applyAlignment="1">
      <alignment horizontal="right" vertical="center" indent="1"/>
    </xf>
    <xf numFmtId="3" fontId="6" fillId="17" borderId="36" xfId="0" applyNumberFormat="1" applyFont="1" applyFill="1" applyBorder="1" applyAlignment="1">
      <alignment horizontal="right" vertical="center" indent="1"/>
    </xf>
    <xf numFmtId="3" fontId="6" fillId="19" borderId="0" xfId="0" applyNumberFormat="1" applyFont="1" applyFill="1" applyBorder="1" applyAlignment="1">
      <alignment horizontal="center" vertical="center"/>
    </xf>
    <xf numFmtId="3" fontId="11" fillId="17" borderId="34" xfId="0" applyNumberFormat="1" applyFont="1" applyFill="1" applyBorder="1" applyAlignment="1">
      <alignment horizontal="right" vertical="center" indent="1"/>
    </xf>
    <xf numFmtId="0" fontId="8" fillId="19" borderId="0" xfId="0" applyFont="1" applyFill="1" applyBorder="1" applyAlignment="1">
      <alignment horizontal="center" vertical="center"/>
    </xf>
    <xf numFmtId="3" fontId="11" fillId="30" borderId="33" xfId="0" applyNumberFormat="1" applyFont="1" applyFill="1" applyBorder="1" applyAlignment="1">
      <alignment horizontal="right" vertical="center" indent="1"/>
    </xf>
    <xf numFmtId="3" fontId="12" fillId="30" borderId="34" xfId="0" applyNumberFormat="1" applyFont="1" applyFill="1" applyBorder="1" applyAlignment="1">
      <alignment horizontal="right" vertical="center" indent="1"/>
    </xf>
    <xf numFmtId="3" fontId="8" fillId="17" borderId="64" xfId="0" applyNumberFormat="1" applyFont="1" applyFill="1" applyBorder="1" applyAlignment="1" applyProtection="1">
      <alignment horizontal="right" vertical="center" indent="1"/>
      <protection locked="0"/>
    </xf>
    <xf numFmtId="3" fontId="8" fillId="17" borderId="65" xfId="0" applyNumberFormat="1" applyFont="1" applyFill="1" applyBorder="1" applyAlignment="1" applyProtection="1">
      <alignment horizontal="right" vertical="center" indent="1"/>
      <protection locked="0"/>
    </xf>
    <xf numFmtId="3" fontId="8" fillId="17" borderId="34" xfId="0" applyNumberFormat="1" applyFont="1" applyFill="1" applyBorder="1" applyAlignment="1">
      <alignment horizontal="right" vertical="center" indent="1"/>
    </xf>
    <xf numFmtId="3" fontId="8" fillId="17" borderId="65" xfId="0" applyNumberFormat="1" applyFont="1" applyFill="1" applyBorder="1" applyAlignment="1" applyProtection="1">
      <alignment horizontal="right" vertical="center" indent="1"/>
    </xf>
    <xf numFmtId="3" fontId="8" fillId="19" borderId="0" xfId="0" applyNumberFormat="1" applyFont="1" applyFill="1" applyBorder="1" applyAlignment="1">
      <alignment horizontal="right" vertical="center" indent="1"/>
    </xf>
    <xf numFmtId="3" fontId="8" fillId="19" borderId="0" xfId="0" applyNumberFormat="1" applyFont="1" applyFill="1" applyBorder="1" applyAlignment="1">
      <alignment horizontal="center" vertical="center"/>
    </xf>
    <xf numFmtId="9" fontId="8" fillId="17" borderId="33" xfId="43" applyFont="1" applyFill="1" applyBorder="1" applyAlignment="1">
      <alignment horizontal="right" vertical="center" indent="1"/>
    </xf>
    <xf numFmtId="9" fontId="8" fillId="17" borderId="34" xfId="43" applyFont="1" applyFill="1" applyBorder="1" applyAlignment="1">
      <alignment horizontal="right" vertical="center" indent="1"/>
    </xf>
    <xf numFmtId="0" fontId="6" fillId="19" borderId="0" xfId="0" applyFont="1" applyFill="1" applyBorder="1" applyAlignment="1">
      <alignment wrapText="1"/>
    </xf>
    <xf numFmtId="0" fontId="6" fillId="0" borderId="0" xfId="0" applyFont="1" applyBorder="1" applyAlignment="1">
      <alignment wrapText="1"/>
    </xf>
    <xf numFmtId="0" fontId="0" fillId="0" borderId="0" xfId="0" applyAlignment="1">
      <alignment wrapText="1"/>
    </xf>
    <xf numFmtId="3" fontId="8" fillId="28" borderId="33" xfId="0" applyNumberFormat="1" applyFont="1" applyFill="1" applyBorder="1" applyAlignment="1">
      <alignment horizontal="right" vertical="center" indent="1"/>
    </xf>
    <xf numFmtId="3" fontId="8" fillId="28" borderId="34" xfId="0" applyNumberFormat="1" applyFont="1" applyFill="1" applyBorder="1" applyAlignment="1">
      <alignment horizontal="right" vertical="center" indent="1"/>
    </xf>
    <xf numFmtId="3" fontId="8" fillId="28" borderId="64" xfId="0" applyNumberFormat="1" applyFont="1" applyFill="1" applyBorder="1" applyAlignment="1" applyProtection="1">
      <alignment horizontal="right" vertical="center" indent="1"/>
    </xf>
    <xf numFmtId="3" fontId="8" fillId="28" borderId="65" xfId="0" applyNumberFormat="1" applyFont="1" applyFill="1" applyBorder="1" applyAlignment="1" applyProtection="1">
      <alignment horizontal="right" vertical="center" indent="1"/>
    </xf>
    <xf numFmtId="3" fontId="8" fillId="28" borderId="53" xfId="0" applyNumberFormat="1" applyFont="1" applyFill="1" applyBorder="1" applyAlignment="1">
      <alignment horizontal="right" vertical="center" indent="1"/>
    </xf>
    <xf numFmtId="3" fontId="8" fillId="28" borderId="54" xfId="0" applyNumberFormat="1" applyFont="1" applyFill="1" applyBorder="1" applyAlignment="1">
      <alignment horizontal="right" vertical="center" indent="1"/>
    </xf>
    <xf numFmtId="0" fontId="6" fillId="28" borderId="0" xfId="0" applyFont="1" applyFill="1" applyBorder="1" applyAlignment="1">
      <alignment vertical="center" wrapText="1"/>
    </xf>
    <xf numFmtId="3" fontId="8" fillId="28" borderId="0" xfId="0" applyNumberFormat="1" applyFont="1" applyFill="1" applyBorder="1" applyAlignment="1">
      <alignment horizontal="center" wrapText="1"/>
    </xf>
    <xf numFmtId="0" fontId="6" fillId="28" borderId="0" xfId="0" applyFont="1" applyFill="1" applyBorder="1" applyAlignment="1">
      <alignment wrapText="1"/>
    </xf>
    <xf numFmtId="3" fontId="8" fillId="28" borderId="79" xfId="0" applyNumberFormat="1" applyFont="1" applyFill="1" applyBorder="1" applyAlignment="1">
      <alignment horizontal="center" vertical="center"/>
    </xf>
    <xf numFmtId="3" fontId="6" fillId="0" borderId="0" xfId="0" applyNumberFormat="1" applyFont="1" applyAlignment="1">
      <alignment horizontal="center"/>
    </xf>
    <xf numFmtId="0" fontId="6" fillId="0" borderId="0" xfId="0" applyFont="1" applyAlignment="1">
      <alignment horizontal="center"/>
    </xf>
    <xf numFmtId="0" fontId="44" fillId="19" borderId="0" xfId="0" applyFont="1" applyFill="1" applyBorder="1" applyAlignment="1">
      <alignment horizontal="center" vertical="center"/>
    </xf>
    <xf numFmtId="0" fontId="53" fillId="29" borderId="32" xfId="40" applyFont="1" applyFill="1" applyBorder="1" applyAlignment="1">
      <alignment horizontal="center" wrapText="1"/>
    </xf>
    <xf numFmtId="3" fontId="51" fillId="6" borderId="60" xfId="33" applyNumberFormat="1" applyFont="1" applyBorder="1" applyAlignment="1">
      <alignment horizontal="center" vertical="center" wrapText="1"/>
    </xf>
    <xf numFmtId="0" fontId="3" fillId="20" borderId="0" xfId="0" applyFont="1" applyFill="1" applyAlignment="1">
      <alignment horizontal="center"/>
    </xf>
    <xf numFmtId="1" fontId="3" fillId="33" borderId="81" xfId="0" applyNumberFormat="1" applyFont="1" applyFill="1" applyBorder="1" applyAlignment="1">
      <alignment horizontal="center" wrapText="1"/>
    </xf>
    <xf numFmtId="0" fontId="3" fillId="33" borderId="81" xfId="0" applyFont="1" applyFill="1" applyBorder="1" applyAlignment="1">
      <alignment horizontal="center" wrapText="1"/>
    </xf>
    <xf numFmtId="0" fontId="3" fillId="33" borderId="81" xfId="0" applyFont="1" applyFill="1" applyBorder="1" applyAlignment="1">
      <alignment horizontal="center" wrapText="1" shrinkToFit="1"/>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cellStyle name="CellBAValue 2" xfId="47"/>
    <cellStyle name="CellNationValue" xfId="28"/>
    <cellStyle name="CellUAValue" xfId="29"/>
    <cellStyle name="CellUAValue 2" xfId="48"/>
    <cellStyle name="Check Cell" xfId="30" builtinId="23" customBuiltin="1"/>
    <cellStyle name="Comma 2" xfId="31"/>
    <cellStyle name="Comma 2 2" xfId="50"/>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4" builtinId="8"/>
    <cellStyle name="Hyperlink 2" xfId="51"/>
    <cellStyle name="Input" xfId="38" builtinId="20" customBuiltin="1"/>
    <cellStyle name="Linked Cell" xfId="39" builtinId="24" customBuiltin="1"/>
    <cellStyle name="Neutral" xfId="40" builtinId="28" customBuiltin="1"/>
    <cellStyle name="Normal" xfId="0" builtinId="0"/>
    <cellStyle name="Normal 2" xfId="49"/>
    <cellStyle name="Normal 3" xfId="53"/>
    <cellStyle name="Normal 5" xfId="52"/>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
    <dxf>
      <fill>
        <patternFill>
          <bgColor indexed="43"/>
        </patternFill>
      </fill>
    </dxf>
    <dxf>
      <fill>
        <patternFill>
          <bgColor indexed="43"/>
        </patternFill>
      </fill>
    </dxf>
    <dxf>
      <fill>
        <patternFill>
          <bgColor theme="0" tint="-0.24994659260841701"/>
        </patternFill>
      </fill>
    </dxf>
  </dxfs>
  <tableStyles count="0" defaultTableStyle="TableStyleMedium9" defaultPivotStyle="PivotStyleLight16"/>
  <colors>
    <mruColors>
      <color rgb="FF99CCFF"/>
      <color rgb="FF0000FF"/>
      <color rgb="FFB7DEE8"/>
      <color rgb="FFC5D9F1"/>
      <color rgb="FFFFFFFF"/>
      <color rgb="FFD8E4BC"/>
      <color rgb="FFFDE9D9"/>
      <color rgb="FFDA9694"/>
      <color rgb="FFE4DF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List" dx="16" fmlaLink="F1" fmlaRange="Datasheet1!$C$6:$C$332" noThreeD="1" sel="327" val="32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122464</xdr:colOff>
      <xdr:row>1</xdr:row>
      <xdr:rowOff>136072</xdr:rowOff>
    </xdr:from>
    <xdr:to>
      <xdr:col>4</xdr:col>
      <xdr:colOff>231321</xdr:colOff>
      <xdr:row>6</xdr:row>
      <xdr:rowOff>155842</xdr:rowOff>
    </xdr:to>
    <xdr:pic>
      <xdr:nvPicPr>
        <xdr:cNvPr id="2" name="Picture 1"/>
        <xdr:cNvPicPr>
          <a:picLocks noChangeAspect="1"/>
        </xdr:cNvPicPr>
      </xdr:nvPicPr>
      <xdr:blipFill>
        <a:blip xmlns:r="http://schemas.openxmlformats.org/officeDocument/2006/relationships" r:embed="rId1"/>
        <a:stretch>
          <a:fillRect/>
        </a:stretch>
      </xdr:blipFill>
      <xdr:spPr>
        <a:xfrm>
          <a:off x="394607" y="462643"/>
          <a:ext cx="1945821" cy="836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123825</xdr:rowOff>
    </xdr:from>
    <xdr:to>
      <xdr:col>4</xdr:col>
      <xdr:colOff>542926</xdr:colOff>
      <xdr:row>6</xdr:row>
      <xdr:rowOff>68388</xdr:rowOff>
    </xdr:to>
    <xdr:pic>
      <xdr:nvPicPr>
        <xdr:cNvPr id="3" name="Picture 1" descr="DCLG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23825"/>
          <a:ext cx="2162176" cy="1106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571500</xdr:colOff>
          <xdr:row>9</xdr:row>
          <xdr:rowOff>9525</xdr:rowOff>
        </xdr:from>
        <xdr:to>
          <xdr:col>16</xdr:col>
          <xdr:colOff>581025</xdr:colOff>
          <xdr:row>13</xdr:row>
          <xdr:rowOff>38100</xdr:rowOff>
        </xdr:to>
        <xdr:sp macro="" textlink="">
          <xdr:nvSpPr>
            <xdr:cNvPr id="2055" name="List Box 7" hidden="1">
              <a:extLst>
                <a:ext uri="{63B3BB69-23CF-44E3-9099-C40C66FF867C}">
                  <a14:compatExt spid="_x0000_s2055"/>
                </a:ext>
              </a:extLst>
            </xdr:cNvPr>
            <xdr:cNvSpPr/>
          </xdr:nvSpPr>
          <xdr:spPr>
            <a:xfrm>
              <a:off x="0" y="0"/>
              <a:ext cx="0" cy="0"/>
            </a:xfrm>
            <a:prstGeom prst="rect">
              <a:avLst/>
            </a:prstGeom>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127000</xdr:colOff>
      <xdr:row>40</xdr:row>
      <xdr:rowOff>127000</xdr:rowOff>
    </xdr:from>
    <xdr:to>
      <xdr:col>17</xdr:col>
      <xdr:colOff>31750</xdr:colOff>
      <xdr:row>40</xdr:row>
      <xdr:rowOff>127000</xdr:rowOff>
    </xdr:to>
    <xdr:cxnSp macro="">
      <xdr:nvCxnSpPr>
        <xdr:cNvPr id="3" name="Straight Connector 2"/>
        <xdr:cNvCxnSpPr/>
      </xdr:nvCxnSpPr>
      <xdr:spPr>
        <a:xfrm>
          <a:off x="9906000" y="9906000"/>
          <a:ext cx="26987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40</xdr:row>
      <xdr:rowOff>142875</xdr:rowOff>
    </xdr:from>
    <xdr:to>
      <xdr:col>17</xdr:col>
      <xdr:colOff>79375</xdr:colOff>
      <xdr:row>49</xdr:row>
      <xdr:rowOff>111125</xdr:rowOff>
    </xdr:to>
    <xdr:cxnSp macro="">
      <xdr:nvCxnSpPr>
        <xdr:cNvPr id="5" name="Straight Connector 4"/>
        <xdr:cNvCxnSpPr/>
      </xdr:nvCxnSpPr>
      <xdr:spPr>
        <a:xfrm>
          <a:off x="10175875" y="9921875"/>
          <a:ext cx="47625" cy="22225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49</xdr:row>
      <xdr:rowOff>127000</xdr:rowOff>
    </xdr:from>
    <xdr:to>
      <xdr:col>17</xdr:col>
      <xdr:colOff>269875</xdr:colOff>
      <xdr:row>49</xdr:row>
      <xdr:rowOff>127000</xdr:rowOff>
    </xdr:to>
    <xdr:cxnSp macro="">
      <xdr:nvCxnSpPr>
        <xdr:cNvPr id="12" name="Straight Arrow Connector 11"/>
        <xdr:cNvCxnSpPr/>
      </xdr:nvCxnSpPr>
      <xdr:spPr>
        <a:xfrm>
          <a:off x="10223500" y="1216025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GF3Data\QRC4\2014-15\Draft\150409%20Draft%20QRC4%20form%20201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row r="20">
          <cell r="E20" t="str">
            <v>E3831</v>
          </cell>
        </row>
      </sheetData>
      <sheetData sheetId="2" refreshError="1"/>
      <sheetData sheetId="3" refreshError="1"/>
      <sheetData sheetId="4" refreshError="1"/>
      <sheetData sheetId="5">
        <row r="12">
          <cell r="A12">
            <v>1</v>
          </cell>
          <cell r="B12" t="str">
            <v>Adur</v>
          </cell>
          <cell r="C12" t="str">
            <v>E3831</v>
          </cell>
        </row>
        <row r="13">
          <cell r="A13">
            <v>2</v>
          </cell>
          <cell r="B13" t="str">
            <v>Allerdale</v>
          </cell>
          <cell r="C13" t="str">
            <v>E0931</v>
          </cell>
        </row>
        <row r="14">
          <cell r="A14">
            <v>3</v>
          </cell>
          <cell r="B14" t="str">
            <v>Amber Valley</v>
          </cell>
          <cell r="C14" t="str">
            <v>E1031</v>
          </cell>
        </row>
        <row r="15">
          <cell r="A15">
            <v>4</v>
          </cell>
          <cell r="B15" t="str">
            <v>Arun</v>
          </cell>
          <cell r="C15" t="str">
            <v>E3832</v>
          </cell>
        </row>
        <row r="16">
          <cell r="A16">
            <v>5</v>
          </cell>
          <cell r="B16" t="str">
            <v>Ashfield</v>
          </cell>
          <cell r="C16" t="str">
            <v>E3031</v>
          </cell>
        </row>
        <row r="17">
          <cell r="A17">
            <v>6</v>
          </cell>
          <cell r="B17" t="str">
            <v>Ashford</v>
          </cell>
          <cell r="C17" t="str">
            <v>E2231</v>
          </cell>
        </row>
        <row r="18">
          <cell r="A18">
            <v>7</v>
          </cell>
          <cell r="B18" t="str">
            <v>Aylesbury Vale</v>
          </cell>
          <cell r="C18" t="str">
            <v>E0431</v>
          </cell>
        </row>
        <row r="19">
          <cell r="A19">
            <v>8</v>
          </cell>
          <cell r="B19" t="str">
            <v>Babergh</v>
          </cell>
          <cell r="C19" t="str">
            <v>E3531</v>
          </cell>
        </row>
        <row r="20">
          <cell r="A20">
            <v>9</v>
          </cell>
          <cell r="B20" t="str">
            <v>Barking and Dagenham</v>
          </cell>
          <cell r="C20" t="str">
            <v>E5030</v>
          </cell>
        </row>
        <row r="21">
          <cell r="A21">
            <v>10</v>
          </cell>
          <cell r="B21" t="str">
            <v>Barnet</v>
          </cell>
          <cell r="C21" t="str">
            <v>E5031</v>
          </cell>
        </row>
        <row r="22">
          <cell r="A22">
            <v>11</v>
          </cell>
          <cell r="B22" t="str">
            <v>Barnsley</v>
          </cell>
          <cell r="C22" t="str">
            <v>E4401</v>
          </cell>
        </row>
        <row r="23">
          <cell r="A23">
            <v>12</v>
          </cell>
          <cell r="B23" t="str">
            <v>Barrow-in-Furness</v>
          </cell>
          <cell r="C23" t="str">
            <v>E0932</v>
          </cell>
        </row>
        <row r="24">
          <cell r="A24">
            <v>13</v>
          </cell>
          <cell r="B24" t="str">
            <v>Basildon</v>
          </cell>
          <cell r="C24" t="str">
            <v>E1531</v>
          </cell>
        </row>
        <row r="25">
          <cell r="A25">
            <v>14</v>
          </cell>
          <cell r="B25" t="str">
            <v>Basingstoke &amp; Deane</v>
          </cell>
          <cell r="C25" t="str">
            <v>E1731</v>
          </cell>
        </row>
        <row r="26">
          <cell r="A26">
            <v>15</v>
          </cell>
          <cell r="B26" t="str">
            <v>Bassetlaw</v>
          </cell>
          <cell r="C26" t="str">
            <v>E3032</v>
          </cell>
        </row>
        <row r="27">
          <cell r="A27">
            <v>16</v>
          </cell>
          <cell r="B27" t="str">
            <v>Bath &amp; North East Somerset</v>
          </cell>
          <cell r="C27" t="str">
            <v>E0101</v>
          </cell>
        </row>
        <row r="28">
          <cell r="A28">
            <v>17</v>
          </cell>
          <cell r="B28" t="str">
            <v>Bedford</v>
          </cell>
          <cell r="C28" t="str">
            <v>E0202</v>
          </cell>
        </row>
        <row r="29">
          <cell r="A29">
            <v>18</v>
          </cell>
          <cell r="B29" t="str">
            <v>Bexley</v>
          </cell>
          <cell r="C29" t="str">
            <v>E5032</v>
          </cell>
        </row>
        <row r="30">
          <cell r="A30">
            <v>19</v>
          </cell>
          <cell r="B30" t="str">
            <v>Birmingham</v>
          </cell>
          <cell r="C30" t="str">
            <v>E4601</v>
          </cell>
        </row>
        <row r="31">
          <cell r="A31">
            <v>20</v>
          </cell>
          <cell r="B31" t="str">
            <v>Blaby</v>
          </cell>
          <cell r="C31" t="str">
            <v>E2431</v>
          </cell>
        </row>
        <row r="32">
          <cell r="A32">
            <v>21</v>
          </cell>
          <cell r="B32" t="str">
            <v>Blackburn with Darwen</v>
          </cell>
          <cell r="C32" t="str">
            <v>E2301</v>
          </cell>
        </row>
        <row r="33">
          <cell r="A33">
            <v>22</v>
          </cell>
          <cell r="B33" t="str">
            <v>Blackpool</v>
          </cell>
          <cell r="C33" t="str">
            <v>E2302</v>
          </cell>
        </row>
        <row r="34">
          <cell r="A34">
            <v>23</v>
          </cell>
          <cell r="B34" t="str">
            <v>Bolsover</v>
          </cell>
          <cell r="C34" t="str">
            <v>E1032</v>
          </cell>
        </row>
        <row r="35">
          <cell r="A35">
            <v>24</v>
          </cell>
          <cell r="B35" t="str">
            <v>Bolton</v>
          </cell>
          <cell r="C35" t="str">
            <v>E4201</v>
          </cell>
        </row>
        <row r="36">
          <cell r="A36">
            <v>25</v>
          </cell>
          <cell r="B36" t="str">
            <v>Boston</v>
          </cell>
          <cell r="C36" t="str">
            <v>E2531</v>
          </cell>
        </row>
        <row r="37">
          <cell r="A37">
            <v>26</v>
          </cell>
          <cell r="B37" t="str">
            <v>Bournemouth</v>
          </cell>
          <cell r="C37" t="str">
            <v>E1202</v>
          </cell>
        </row>
        <row r="38">
          <cell r="A38">
            <v>27</v>
          </cell>
          <cell r="B38" t="str">
            <v>Bracknell Forest</v>
          </cell>
          <cell r="C38" t="str">
            <v>E0301</v>
          </cell>
        </row>
        <row r="39">
          <cell r="A39">
            <v>28</v>
          </cell>
          <cell r="B39" t="str">
            <v>Bradford</v>
          </cell>
          <cell r="C39" t="str">
            <v>E4701</v>
          </cell>
        </row>
        <row r="40">
          <cell r="A40">
            <v>29</v>
          </cell>
          <cell r="B40" t="str">
            <v>Braintree</v>
          </cell>
          <cell r="C40" t="str">
            <v>E1532</v>
          </cell>
        </row>
        <row r="41">
          <cell r="A41">
            <v>30</v>
          </cell>
          <cell r="B41" t="str">
            <v>Breckland</v>
          </cell>
          <cell r="C41" t="str">
            <v>E2631</v>
          </cell>
        </row>
        <row r="42">
          <cell r="A42">
            <v>31</v>
          </cell>
          <cell r="B42" t="str">
            <v>Brent</v>
          </cell>
          <cell r="C42" t="str">
            <v>E5033</v>
          </cell>
        </row>
        <row r="43">
          <cell r="A43">
            <v>32</v>
          </cell>
          <cell r="B43" t="str">
            <v>Brentwood</v>
          </cell>
          <cell r="C43" t="str">
            <v>E1533</v>
          </cell>
        </row>
        <row r="44">
          <cell r="A44">
            <v>33</v>
          </cell>
          <cell r="B44" t="str">
            <v>Brighton &amp; Hove</v>
          </cell>
          <cell r="C44" t="str">
            <v>E1401</v>
          </cell>
        </row>
        <row r="45">
          <cell r="A45">
            <v>34</v>
          </cell>
          <cell r="B45" t="str">
            <v>Bristol</v>
          </cell>
          <cell r="C45" t="str">
            <v>E0102</v>
          </cell>
        </row>
        <row r="46">
          <cell r="A46">
            <v>35</v>
          </cell>
          <cell r="B46" t="str">
            <v>Broadland</v>
          </cell>
          <cell r="C46" t="str">
            <v>E2632</v>
          </cell>
        </row>
        <row r="47">
          <cell r="A47">
            <v>36</v>
          </cell>
          <cell r="B47" t="str">
            <v>Bromley</v>
          </cell>
          <cell r="C47" t="str">
            <v>E5034</v>
          </cell>
        </row>
        <row r="48">
          <cell r="A48">
            <v>37</v>
          </cell>
          <cell r="B48" t="str">
            <v>Bromsgrove</v>
          </cell>
          <cell r="C48" t="str">
            <v>E1831</v>
          </cell>
        </row>
        <row r="49">
          <cell r="A49">
            <v>38</v>
          </cell>
          <cell r="B49" t="str">
            <v>Broxbourne</v>
          </cell>
          <cell r="C49" t="str">
            <v>E1931</v>
          </cell>
        </row>
        <row r="50">
          <cell r="A50">
            <v>39</v>
          </cell>
          <cell r="B50" t="str">
            <v>Broxtowe</v>
          </cell>
          <cell r="C50" t="str">
            <v>E3033</v>
          </cell>
        </row>
        <row r="51">
          <cell r="A51">
            <v>40</v>
          </cell>
          <cell r="B51" t="str">
            <v>Burnley</v>
          </cell>
          <cell r="C51" t="str">
            <v>E2333</v>
          </cell>
        </row>
        <row r="52">
          <cell r="A52">
            <v>41</v>
          </cell>
          <cell r="B52" t="str">
            <v>Bury</v>
          </cell>
          <cell r="C52" t="str">
            <v>E4202</v>
          </cell>
        </row>
        <row r="53">
          <cell r="A53">
            <v>42</v>
          </cell>
          <cell r="B53" t="str">
            <v>Calderdale</v>
          </cell>
          <cell r="C53" t="str">
            <v>E4702</v>
          </cell>
        </row>
        <row r="54">
          <cell r="A54">
            <v>43</v>
          </cell>
          <cell r="B54" t="str">
            <v>Cambridge</v>
          </cell>
          <cell r="C54" t="str">
            <v>E0531</v>
          </cell>
        </row>
        <row r="55">
          <cell r="A55">
            <v>44</v>
          </cell>
          <cell r="B55" t="str">
            <v>Camden</v>
          </cell>
          <cell r="C55" t="str">
            <v>E5011</v>
          </cell>
        </row>
        <row r="56">
          <cell r="A56">
            <v>45</v>
          </cell>
          <cell r="B56" t="str">
            <v>Cannock Chase</v>
          </cell>
          <cell r="C56" t="str">
            <v>E3431</v>
          </cell>
        </row>
        <row r="57">
          <cell r="A57">
            <v>46</v>
          </cell>
          <cell r="B57" t="str">
            <v>Canterbury</v>
          </cell>
          <cell r="C57" t="str">
            <v>E2232</v>
          </cell>
        </row>
        <row r="58">
          <cell r="A58">
            <v>47</v>
          </cell>
          <cell r="B58" t="str">
            <v>Carlisle</v>
          </cell>
          <cell r="C58" t="str">
            <v>E0933</v>
          </cell>
        </row>
        <row r="59">
          <cell r="A59">
            <v>48</v>
          </cell>
          <cell r="B59" t="str">
            <v>Castle Point</v>
          </cell>
          <cell r="C59" t="str">
            <v>E1534</v>
          </cell>
        </row>
        <row r="60">
          <cell r="A60">
            <v>49</v>
          </cell>
          <cell r="B60" t="str">
            <v>Central Bedfordshire UA</v>
          </cell>
          <cell r="C60" t="str">
            <v>E0203</v>
          </cell>
        </row>
        <row r="61">
          <cell r="A61">
            <v>50</v>
          </cell>
          <cell r="B61" t="str">
            <v>Charnwood</v>
          </cell>
          <cell r="C61" t="str">
            <v>E2432</v>
          </cell>
        </row>
        <row r="62">
          <cell r="A62">
            <v>51</v>
          </cell>
          <cell r="B62" t="str">
            <v>Chelmsford</v>
          </cell>
          <cell r="C62" t="str">
            <v>E1535</v>
          </cell>
        </row>
        <row r="63">
          <cell r="A63">
            <v>52</v>
          </cell>
          <cell r="B63" t="str">
            <v>Cheltenham</v>
          </cell>
          <cell r="C63" t="str">
            <v>E1631</v>
          </cell>
        </row>
        <row r="64">
          <cell r="A64">
            <v>53</v>
          </cell>
          <cell r="B64" t="str">
            <v>Cherwell</v>
          </cell>
          <cell r="C64" t="str">
            <v>E3131</v>
          </cell>
        </row>
        <row r="65">
          <cell r="A65">
            <v>54</v>
          </cell>
          <cell r="B65" t="str">
            <v>Cheshire East UA</v>
          </cell>
          <cell r="C65" t="str">
            <v>E0603</v>
          </cell>
        </row>
        <row r="66">
          <cell r="A66">
            <v>55</v>
          </cell>
          <cell r="B66" t="str">
            <v>Cheshire West and Chester UA</v>
          </cell>
          <cell r="C66" t="str">
            <v>E0604</v>
          </cell>
        </row>
        <row r="67">
          <cell r="A67">
            <v>56</v>
          </cell>
          <cell r="B67" t="str">
            <v>Chesterfield</v>
          </cell>
          <cell r="C67" t="str">
            <v>E1033</v>
          </cell>
        </row>
        <row r="68">
          <cell r="A68">
            <v>57</v>
          </cell>
          <cell r="B68" t="str">
            <v>Chichester</v>
          </cell>
          <cell r="C68" t="str">
            <v>E3833</v>
          </cell>
        </row>
        <row r="69">
          <cell r="A69">
            <v>58</v>
          </cell>
          <cell r="B69" t="str">
            <v>Chiltern</v>
          </cell>
          <cell r="C69" t="str">
            <v>E0432</v>
          </cell>
        </row>
        <row r="70">
          <cell r="A70">
            <v>59</v>
          </cell>
          <cell r="B70" t="str">
            <v>Chorley</v>
          </cell>
          <cell r="C70" t="str">
            <v>E2334</v>
          </cell>
        </row>
        <row r="71">
          <cell r="A71">
            <v>60</v>
          </cell>
          <cell r="B71" t="str">
            <v>Christchurch</v>
          </cell>
          <cell r="C71" t="str">
            <v>E1232</v>
          </cell>
        </row>
        <row r="72">
          <cell r="A72">
            <v>61</v>
          </cell>
          <cell r="B72" t="str">
            <v>City of London</v>
          </cell>
          <cell r="C72" t="str">
            <v>E5010</v>
          </cell>
        </row>
        <row r="73">
          <cell r="A73">
            <v>62</v>
          </cell>
          <cell r="B73" t="str">
            <v>Colchester</v>
          </cell>
          <cell r="C73" t="str">
            <v>E1536</v>
          </cell>
        </row>
        <row r="74">
          <cell r="A74">
            <v>63</v>
          </cell>
          <cell r="B74" t="str">
            <v>Copeland</v>
          </cell>
          <cell r="C74" t="str">
            <v>E0934</v>
          </cell>
        </row>
        <row r="75">
          <cell r="A75">
            <v>64</v>
          </cell>
          <cell r="B75" t="str">
            <v>Corby</v>
          </cell>
          <cell r="C75" t="str">
            <v>E2831</v>
          </cell>
        </row>
        <row r="76">
          <cell r="A76">
            <v>65</v>
          </cell>
          <cell r="B76" t="str">
            <v>Cornwall UA</v>
          </cell>
          <cell r="C76" t="str">
            <v>E0801</v>
          </cell>
        </row>
        <row r="77">
          <cell r="A77">
            <v>66</v>
          </cell>
          <cell r="B77" t="str">
            <v>Cotswold</v>
          </cell>
          <cell r="C77" t="str">
            <v>E1632</v>
          </cell>
        </row>
        <row r="78">
          <cell r="A78">
            <v>67</v>
          </cell>
          <cell r="B78" t="str">
            <v>Coventry</v>
          </cell>
          <cell r="C78" t="str">
            <v>E4602</v>
          </cell>
        </row>
        <row r="79">
          <cell r="A79">
            <v>68</v>
          </cell>
          <cell r="B79" t="str">
            <v>Craven</v>
          </cell>
          <cell r="C79" t="str">
            <v>E2731</v>
          </cell>
        </row>
        <row r="80">
          <cell r="A80">
            <v>69</v>
          </cell>
          <cell r="B80" t="str">
            <v>Crawley</v>
          </cell>
          <cell r="C80" t="str">
            <v>E3834</v>
          </cell>
        </row>
        <row r="81">
          <cell r="A81">
            <v>70</v>
          </cell>
          <cell r="B81" t="str">
            <v>Croydon</v>
          </cell>
          <cell r="C81" t="str">
            <v>E5035</v>
          </cell>
        </row>
        <row r="82">
          <cell r="A82">
            <v>71</v>
          </cell>
          <cell r="B82" t="str">
            <v>Dacorum</v>
          </cell>
          <cell r="C82" t="str">
            <v>E1932</v>
          </cell>
        </row>
        <row r="83">
          <cell r="A83">
            <v>72</v>
          </cell>
          <cell r="B83" t="str">
            <v>Darlington</v>
          </cell>
          <cell r="C83" t="str">
            <v>E1301</v>
          </cell>
        </row>
        <row r="84">
          <cell r="A84">
            <v>73</v>
          </cell>
          <cell r="B84" t="str">
            <v>Dartford</v>
          </cell>
          <cell r="C84" t="str">
            <v>E2233</v>
          </cell>
        </row>
        <row r="85">
          <cell r="A85">
            <v>74</v>
          </cell>
          <cell r="B85" t="str">
            <v>Daventry</v>
          </cell>
          <cell r="C85" t="str">
            <v>E2832</v>
          </cell>
        </row>
        <row r="86">
          <cell r="A86">
            <v>75</v>
          </cell>
          <cell r="B86" t="str">
            <v>Derby</v>
          </cell>
          <cell r="C86" t="str">
            <v>E1001</v>
          </cell>
        </row>
        <row r="87">
          <cell r="A87">
            <v>76</v>
          </cell>
          <cell r="B87" t="str">
            <v>Derbyshire Dales</v>
          </cell>
          <cell r="C87" t="str">
            <v>E1035</v>
          </cell>
        </row>
        <row r="88">
          <cell r="A88">
            <v>77</v>
          </cell>
          <cell r="B88" t="str">
            <v>Doncaster</v>
          </cell>
          <cell r="C88" t="str">
            <v>E4402</v>
          </cell>
        </row>
        <row r="89">
          <cell r="A89">
            <v>78</v>
          </cell>
          <cell r="B89" t="str">
            <v>Dover</v>
          </cell>
          <cell r="C89" t="str">
            <v>E2234</v>
          </cell>
        </row>
        <row r="90">
          <cell r="A90">
            <v>79</v>
          </cell>
          <cell r="B90" t="str">
            <v>Dudley</v>
          </cell>
          <cell r="C90" t="str">
            <v>E4603</v>
          </cell>
        </row>
        <row r="91">
          <cell r="A91">
            <v>80</v>
          </cell>
          <cell r="B91" t="str">
            <v>Durham</v>
          </cell>
          <cell r="C91" t="str">
            <v>E1302</v>
          </cell>
        </row>
        <row r="92">
          <cell r="A92">
            <v>81</v>
          </cell>
          <cell r="B92" t="str">
            <v>Ealing</v>
          </cell>
          <cell r="C92" t="str">
            <v>E5036</v>
          </cell>
        </row>
        <row r="93">
          <cell r="A93">
            <v>82</v>
          </cell>
          <cell r="B93" t="str">
            <v>East Cambridgeshire</v>
          </cell>
          <cell r="C93" t="str">
            <v>E0532</v>
          </cell>
        </row>
        <row r="94">
          <cell r="A94">
            <v>83</v>
          </cell>
          <cell r="B94" t="str">
            <v>East Devon</v>
          </cell>
          <cell r="C94" t="str">
            <v>E1131</v>
          </cell>
        </row>
        <row r="95">
          <cell r="A95">
            <v>84</v>
          </cell>
          <cell r="B95" t="str">
            <v>East Dorset</v>
          </cell>
          <cell r="C95" t="str">
            <v>E1233</v>
          </cell>
        </row>
        <row r="96">
          <cell r="A96">
            <v>85</v>
          </cell>
          <cell r="B96" t="str">
            <v>East Hampshire</v>
          </cell>
          <cell r="C96" t="str">
            <v>E1732</v>
          </cell>
        </row>
        <row r="97">
          <cell r="A97">
            <v>86</v>
          </cell>
          <cell r="B97" t="str">
            <v>East Hertfordshire</v>
          </cell>
          <cell r="C97" t="str">
            <v>E1933</v>
          </cell>
        </row>
        <row r="98">
          <cell r="A98">
            <v>87</v>
          </cell>
          <cell r="B98" t="str">
            <v>East Lindsey</v>
          </cell>
          <cell r="C98" t="str">
            <v>E2532</v>
          </cell>
        </row>
        <row r="99">
          <cell r="A99">
            <v>88</v>
          </cell>
          <cell r="B99" t="str">
            <v>East Northamptonshire</v>
          </cell>
          <cell r="C99" t="str">
            <v>E2833</v>
          </cell>
        </row>
        <row r="100">
          <cell r="A100">
            <v>89</v>
          </cell>
          <cell r="B100" t="str">
            <v>East Riding of Yorkshire</v>
          </cell>
          <cell r="C100" t="str">
            <v>E2001</v>
          </cell>
        </row>
        <row r="101">
          <cell r="A101">
            <v>90</v>
          </cell>
          <cell r="B101" t="str">
            <v>East Staffordshire</v>
          </cell>
          <cell r="C101" t="str">
            <v>E3432</v>
          </cell>
        </row>
        <row r="102">
          <cell r="A102">
            <v>91</v>
          </cell>
          <cell r="B102" t="str">
            <v>Eastbourne</v>
          </cell>
          <cell r="C102" t="str">
            <v>E1432</v>
          </cell>
        </row>
        <row r="103">
          <cell r="A103">
            <v>92</v>
          </cell>
          <cell r="B103" t="str">
            <v>Eastleigh</v>
          </cell>
          <cell r="C103" t="str">
            <v>E1733</v>
          </cell>
        </row>
        <row r="104">
          <cell r="A104">
            <v>93</v>
          </cell>
          <cell r="B104" t="str">
            <v>Eden</v>
          </cell>
          <cell r="C104" t="str">
            <v>E0935</v>
          </cell>
        </row>
        <row r="105">
          <cell r="A105">
            <v>94</v>
          </cell>
          <cell r="B105" t="str">
            <v>Elmbridge</v>
          </cell>
          <cell r="C105" t="str">
            <v>E3631</v>
          </cell>
        </row>
        <row r="106">
          <cell r="A106">
            <v>95</v>
          </cell>
          <cell r="B106" t="str">
            <v>Enfield</v>
          </cell>
          <cell r="C106" t="str">
            <v>E5037</v>
          </cell>
        </row>
        <row r="107">
          <cell r="A107">
            <v>96</v>
          </cell>
          <cell r="B107" t="str">
            <v>Epping Forest</v>
          </cell>
          <cell r="C107" t="str">
            <v>E1537</v>
          </cell>
        </row>
        <row r="108">
          <cell r="A108">
            <v>97</v>
          </cell>
          <cell r="B108" t="str">
            <v>Epsom &amp; Ewell</v>
          </cell>
          <cell r="C108" t="str">
            <v>E3632</v>
          </cell>
        </row>
        <row r="109">
          <cell r="A109">
            <v>98</v>
          </cell>
          <cell r="B109" t="str">
            <v>Erewash</v>
          </cell>
          <cell r="C109" t="str">
            <v>E1036</v>
          </cell>
        </row>
        <row r="110">
          <cell r="A110">
            <v>99</v>
          </cell>
          <cell r="B110" t="str">
            <v>Exeter</v>
          </cell>
          <cell r="C110" t="str">
            <v>E1132</v>
          </cell>
        </row>
        <row r="111">
          <cell r="A111">
            <v>100</v>
          </cell>
          <cell r="B111" t="str">
            <v>Fareham</v>
          </cell>
          <cell r="C111" t="str">
            <v>E1734</v>
          </cell>
        </row>
        <row r="112">
          <cell r="A112">
            <v>101</v>
          </cell>
          <cell r="B112" t="str">
            <v>Fenland</v>
          </cell>
          <cell r="C112" t="str">
            <v>E0533</v>
          </cell>
        </row>
        <row r="113">
          <cell r="A113">
            <v>102</v>
          </cell>
          <cell r="B113" t="str">
            <v>Forest Heath</v>
          </cell>
          <cell r="C113" t="str">
            <v>E3532</v>
          </cell>
        </row>
        <row r="114">
          <cell r="A114">
            <v>103</v>
          </cell>
          <cell r="B114" t="str">
            <v>Forest of Dean</v>
          </cell>
          <cell r="C114" t="str">
            <v>E1633</v>
          </cell>
        </row>
        <row r="115">
          <cell r="A115">
            <v>104</v>
          </cell>
          <cell r="B115" t="str">
            <v>Fylde</v>
          </cell>
          <cell r="C115" t="str">
            <v>E2335</v>
          </cell>
        </row>
        <row r="116">
          <cell r="A116">
            <v>105</v>
          </cell>
          <cell r="B116" t="str">
            <v>Gateshead</v>
          </cell>
          <cell r="C116" t="str">
            <v>E4501</v>
          </cell>
        </row>
        <row r="117">
          <cell r="A117">
            <v>106</v>
          </cell>
          <cell r="B117" t="str">
            <v>Gedling</v>
          </cell>
          <cell r="C117" t="str">
            <v>E3034</v>
          </cell>
        </row>
        <row r="118">
          <cell r="A118">
            <v>107</v>
          </cell>
          <cell r="B118" t="str">
            <v>Gloucester</v>
          </cell>
          <cell r="C118" t="str">
            <v>E1634</v>
          </cell>
        </row>
        <row r="119">
          <cell r="A119">
            <v>108</v>
          </cell>
          <cell r="B119" t="str">
            <v>Gosport</v>
          </cell>
          <cell r="C119" t="str">
            <v>E1735</v>
          </cell>
        </row>
        <row r="120">
          <cell r="A120">
            <v>109</v>
          </cell>
          <cell r="B120" t="str">
            <v>Gravesham</v>
          </cell>
          <cell r="C120" t="str">
            <v>E2236</v>
          </cell>
        </row>
        <row r="121">
          <cell r="A121">
            <v>110</v>
          </cell>
          <cell r="B121" t="str">
            <v>Great Yarmouth</v>
          </cell>
          <cell r="C121" t="str">
            <v>E2633</v>
          </cell>
        </row>
        <row r="122">
          <cell r="A122">
            <v>111</v>
          </cell>
          <cell r="B122" t="str">
            <v>Greenwich</v>
          </cell>
          <cell r="C122" t="str">
            <v>E5012</v>
          </cell>
        </row>
        <row r="123">
          <cell r="A123">
            <v>112</v>
          </cell>
          <cell r="B123" t="str">
            <v>Guildford</v>
          </cell>
          <cell r="C123" t="str">
            <v>E3633</v>
          </cell>
        </row>
        <row r="124">
          <cell r="A124">
            <v>113</v>
          </cell>
          <cell r="B124" t="str">
            <v>Hackney</v>
          </cell>
          <cell r="C124" t="str">
            <v>E5013</v>
          </cell>
        </row>
        <row r="125">
          <cell r="A125">
            <v>114</v>
          </cell>
          <cell r="B125" t="str">
            <v>Halton</v>
          </cell>
          <cell r="C125" t="str">
            <v>E0601</v>
          </cell>
        </row>
        <row r="126">
          <cell r="A126">
            <v>115</v>
          </cell>
          <cell r="B126" t="str">
            <v>Hambleton</v>
          </cell>
          <cell r="C126" t="str">
            <v>E2732</v>
          </cell>
        </row>
        <row r="127">
          <cell r="A127">
            <v>116</v>
          </cell>
          <cell r="B127" t="str">
            <v>Hammersmith and Fulham</v>
          </cell>
          <cell r="C127" t="str">
            <v>E5014</v>
          </cell>
        </row>
        <row r="128">
          <cell r="A128">
            <v>117</v>
          </cell>
          <cell r="B128" t="str">
            <v>Harborough</v>
          </cell>
          <cell r="C128" t="str">
            <v>E2433</v>
          </cell>
        </row>
        <row r="129">
          <cell r="A129">
            <v>118</v>
          </cell>
          <cell r="B129" t="str">
            <v>Haringey</v>
          </cell>
          <cell r="C129" t="str">
            <v>E5038</v>
          </cell>
        </row>
        <row r="130">
          <cell r="A130">
            <v>119</v>
          </cell>
          <cell r="B130" t="str">
            <v>Harlow</v>
          </cell>
          <cell r="C130" t="str">
            <v>E1538</v>
          </cell>
        </row>
        <row r="131">
          <cell r="A131">
            <v>120</v>
          </cell>
          <cell r="B131" t="str">
            <v>Harrogate</v>
          </cell>
          <cell r="C131" t="str">
            <v>E2753</v>
          </cell>
        </row>
        <row r="132">
          <cell r="A132">
            <v>121</v>
          </cell>
          <cell r="B132" t="str">
            <v>Harrow</v>
          </cell>
          <cell r="C132" t="str">
            <v>E5039</v>
          </cell>
        </row>
        <row r="133">
          <cell r="A133">
            <v>122</v>
          </cell>
          <cell r="B133" t="str">
            <v>Hart</v>
          </cell>
          <cell r="C133" t="str">
            <v>E1736</v>
          </cell>
        </row>
        <row r="134">
          <cell r="A134">
            <v>123</v>
          </cell>
          <cell r="B134" t="str">
            <v>Hartlepool</v>
          </cell>
          <cell r="C134" t="str">
            <v>E0701</v>
          </cell>
        </row>
        <row r="135">
          <cell r="A135">
            <v>124</v>
          </cell>
          <cell r="B135" t="str">
            <v>Hastings</v>
          </cell>
          <cell r="C135" t="str">
            <v>E1433</v>
          </cell>
        </row>
        <row r="136">
          <cell r="A136">
            <v>125</v>
          </cell>
          <cell r="B136" t="str">
            <v>Havant</v>
          </cell>
          <cell r="C136" t="str">
            <v>E1737</v>
          </cell>
        </row>
        <row r="137">
          <cell r="A137">
            <v>126</v>
          </cell>
          <cell r="B137" t="str">
            <v>Havering</v>
          </cell>
          <cell r="C137" t="str">
            <v>E5040</v>
          </cell>
        </row>
        <row r="138">
          <cell r="A138">
            <v>127</v>
          </cell>
          <cell r="B138" t="str">
            <v>Herefordshire</v>
          </cell>
          <cell r="C138" t="str">
            <v>E1801</v>
          </cell>
        </row>
        <row r="139">
          <cell r="A139">
            <v>128</v>
          </cell>
          <cell r="B139" t="str">
            <v>Hertsmere</v>
          </cell>
          <cell r="C139" t="str">
            <v>E1934</v>
          </cell>
        </row>
        <row r="140">
          <cell r="A140">
            <v>129</v>
          </cell>
          <cell r="B140" t="str">
            <v>High Peak</v>
          </cell>
          <cell r="C140" t="str">
            <v>E1037</v>
          </cell>
        </row>
        <row r="141">
          <cell r="A141">
            <v>130</v>
          </cell>
          <cell r="B141" t="str">
            <v>Hillingdon</v>
          </cell>
          <cell r="C141" t="str">
            <v>E5041</v>
          </cell>
        </row>
        <row r="142">
          <cell r="A142">
            <v>131</v>
          </cell>
          <cell r="B142" t="str">
            <v>Hinckley and Bosworth</v>
          </cell>
          <cell r="C142" t="str">
            <v>E2434</v>
          </cell>
        </row>
        <row r="143">
          <cell r="A143">
            <v>132</v>
          </cell>
          <cell r="B143" t="str">
            <v>Horsham</v>
          </cell>
          <cell r="C143" t="str">
            <v>E3835</v>
          </cell>
        </row>
        <row r="144">
          <cell r="A144">
            <v>133</v>
          </cell>
          <cell r="B144" t="str">
            <v>Hounslow</v>
          </cell>
          <cell r="C144" t="str">
            <v>E5042</v>
          </cell>
        </row>
        <row r="145">
          <cell r="A145">
            <v>134</v>
          </cell>
          <cell r="B145" t="str">
            <v>Huntingdonshire</v>
          </cell>
          <cell r="C145" t="str">
            <v>E0551</v>
          </cell>
        </row>
        <row r="146">
          <cell r="A146">
            <v>135</v>
          </cell>
          <cell r="B146" t="str">
            <v>Hyndburn</v>
          </cell>
          <cell r="C146" t="str">
            <v>E2336</v>
          </cell>
        </row>
        <row r="147">
          <cell r="A147">
            <v>136</v>
          </cell>
          <cell r="B147" t="str">
            <v>Ipswich</v>
          </cell>
          <cell r="C147" t="str">
            <v>E3533</v>
          </cell>
        </row>
        <row r="148">
          <cell r="A148">
            <v>137</v>
          </cell>
          <cell r="B148" t="str">
            <v>Isle of Wight Council</v>
          </cell>
          <cell r="C148" t="str">
            <v>E2101</v>
          </cell>
        </row>
        <row r="149">
          <cell r="A149">
            <v>138</v>
          </cell>
          <cell r="B149" t="str">
            <v>Isles of Scilly</v>
          </cell>
          <cell r="C149" t="str">
            <v>E4001</v>
          </cell>
        </row>
        <row r="150">
          <cell r="A150">
            <v>139</v>
          </cell>
          <cell r="B150" t="str">
            <v>Islington</v>
          </cell>
          <cell r="C150" t="str">
            <v>E5015</v>
          </cell>
        </row>
        <row r="151">
          <cell r="A151">
            <v>140</v>
          </cell>
          <cell r="B151" t="str">
            <v>Kensington and Chelsea</v>
          </cell>
          <cell r="C151" t="str">
            <v>E5016</v>
          </cell>
        </row>
        <row r="152">
          <cell r="A152">
            <v>141</v>
          </cell>
          <cell r="B152" t="str">
            <v>Kettering</v>
          </cell>
          <cell r="C152" t="str">
            <v>E2834</v>
          </cell>
        </row>
        <row r="153">
          <cell r="A153">
            <v>142</v>
          </cell>
          <cell r="B153" t="str">
            <v>Kings Lynn and West Norfolk</v>
          </cell>
          <cell r="C153" t="str">
            <v>E2634</v>
          </cell>
        </row>
        <row r="154">
          <cell r="A154">
            <v>143</v>
          </cell>
          <cell r="B154" t="str">
            <v>Kingston upon Hull</v>
          </cell>
          <cell r="C154" t="str">
            <v>E2002</v>
          </cell>
        </row>
        <row r="155">
          <cell r="A155">
            <v>144</v>
          </cell>
          <cell r="B155" t="str">
            <v>Kingston upon Thames</v>
          </cell>
          <cell r="C155" t="str">
            <v>E5043</v>
          </cell>
        </row>
        <row r="156">
          <cell r="A156">
            <v>145</v>
          </cell>
          <cell r="B156" t="str">
            <v>Kirklees</v>
          </cell>
          <cell r="C156" t="str">
            <v>E4703</v>
          </cell>
        </row>
        <row r="157">
          <cell r="A157">
            <v>146</v>
          </cell>
          <cell r="B157" t="str">
            <v>Knowsley</v>
          </cell>
          <cell r="C157" t="str">
            <v>E4301</v>
          </cell>
        </row>
        <row r="158">
          <cell r="A158">
            <v>147</v>
          </cell>
          <cell r="B158" t="str">
            <v>Lambeth</v>
          </cell>
          <cell r="C158" t="str">
            <v>E5017</v>
          </cell>
        </row>
        <row r="159">
          <cell r="A159">
            <v>148</v>
          </cell>
          <cell r="B159" t="str">
            <v>Lancaster</v>
          </cell>
          <cell r="C159" t="str">
            <v>E2337</v>
          </cell>
        </row>
        <row r="160">
          <cell r="A160">
            <v>149</v>
          </cell>
          <cell r="B160" t="str">
            <v>Leeds</v>
          </cell>
          <cell r="C160" t="str">
            <v>E4704</v>
          </cell>
        </row>
        <row r="161">
          <cell r="A161">
            <v>150</v>
          </cell>
          <cell r="B161" t="str">
            <v>Leicester</v>
          </cell>
          <cell r="C161" t="str">
            <v>E2401</v>
          </cell>
        </row>
        <row r="162">
          <cell r="A162">
            <v>151</v>
          </cell>
          <cell r="B162" t="str">
            <v>Lewes</v>
          </cell>
          <cell r="C162" t="str">
            <v>E1435</v>
          </cell>
        </row>
        <row r="163">
          <cell r="A163">
            <v>152</v>
          </cell>
          <cell r="B163" t="str">
            <v>Lewisham</v>
          </cell>
          <cell r="C163" t="str">
            <v>E5018</v>
          </cell>
        </row>
        <row r="164">
          <cell r="A164">
            <v>153</v>
          </cell>
          <cell r="B164" t="str">
            <v>Lichfield</v>
          </cell>
          <cell r="C164" t="str">
            <v>E3433</v>
          </cell>
        </row>
        <row r="165">
          <cell r="A165">
            <v>154</v>
          </cell>
          <cell r="B165" t="str">
            <v>Lincoln</v>
          </cell>
          <cell r="C165" t="str">
            <v>E2533</v>
          </cell>
        </row>
        <row r="166">
          <cell r="A166">
            <v>155</v>
          </cell>
          <cell r="B166" t="str">
            <v>Liverpool</v>
          </cell>
          <cell r="C166" t="str">
            <v>E4302</v>
          </cell>
        </row>
        <row r="167">
          <cell r="A167">
            <v>156</v>
          </cell>
          <cell r="B167" t="str">
            <v>Luton</v>
          </cell>
          <cell r="C167" t="str">
            <v>E0201</v>
          </cell>
        </row>
        <row r="168">
          <cell r="A168">
            <v>157</v>
          </cell>
          <cell r="B168" t="str">
            <v>Maidstone</v>
          </cell>
          <cell r="C168" t="str">
            <v>E2237</v>
          </cell>
        </row>
        <row r="169">
          <cell r="A169">
            <v>158</v>
          </cell>
          <cell r="B169" t="str">
            <v>Maldon</v>
          </cell>
          <cell r="C169" t="str">
            <v>E1539</v>
          </cell>
        </row>
        <row r="170">
          <cell r="A170">
            <v>159</v>
          </cell>
          <cell r="B170" t="str">
            <v>Malvern Hills</v>
          </cell>
          <cell r="C170" t="str">
            <v>E1851</v>
          </cell>
        </row>
        <row r="171">
          <cell r="A171">
            <v>160</v>
          </cell>
          <cell r="B171" t="str">
            <v>Manchester</v>
          </cell>
          <cell r="C171" t="str">
            <v>E4203</v>
          </cell>
        </row>
        <row r="172">
          <cell r="A172">
            <v>161</v>
          </cell>
          <cell r="B172" t="str">
            <v>Mansfield</v>
          </cell>
          <cell r="C172" t="str">
            <v>E3035</v>
          </cell>
        </row>
        <row r="173">
          <cell r="A173">
            <v>162</v>
          </cell>
          <cell r="B173" t="str">
            <v>Medway</v>
          </cell>
          <cell r="C173" t="str">
            <v>E2201</v>
          </cell>
        </row>
        <row r="174">
          <cell r="A174">
            <v>163</v>
          </cell>
          <cell r="B174" t="str">
            <v>Melton</v>
          </cell>
          <cell r="C174" t="str">
            <v>E2436</v>
          </cell>
        </row>
        <row r="175">
          <cell r="A175">
            <v>164</v>
          </cell>
          <cell r="B175" t="str">
            <v>Mendip</v>
          </cell>
          <cell r="C175" t="str">
            <v>E3331</v>
          </cell>
        </row>
        <row r="176">
          <cell r="A176">
            <v>165</v>
          </cell>
          <cell r="B176" t="str">
            <v>Merton</v>
          </cell>
          <cell r="C176" t="str">
            <v>E5044</v>
          </cell>
        </row>
        <row r="177">
          <cell r="A177">
            <v>166</v>
          </cell>
          <cell r="B177" t="str">
            <v>Mid Devon</v>
          </cell>
          <cell r="C177" t="str">
            <v>E1133</v>
          </cell>
        </row>
        <row r="178">
          <cell r="A178">
            <v>167</v>
          </cell>
          <cell r="B178" t="str">
            <v>Mid Suffolk</v>
          </cell>
          <cell r="C178" t="str">
            <v>E3534</v>
          </cell>
        </row>
        <row r="179">
          <cell r="A179">
            <v>168</v>
          </cell>
          <cell r="B179" t="str">
            <v>Mid Sussex</v>
          </cell>
          <cell r="C179" t="str">
            <v>E3836</v>
          </cell>
        </row>
        <row r="180">
          <cell r="A180">
            <v>169</v>
          </cell>
          <cell r="B180" t="str">
            <v>Middlesbrough</v>
          </cell>
          <cell r="C180" t="str">
            <v>E0702</v>
          </cell>
        </row>
        <row r="181">
          <cell r="A181">
            <v>170</v>
          </cell>
          <cell r="B181" t="str">
            <v>Milton Keynes</v>
          </cell>
          <cell r="C181" t="str">
            <v>E0401</v>
          </cell>
        </row>
        <row r="182">
          <cell r="A182">
            <v>171</v>
          </cell>
          <cell r="B182" t="str">
            <v>Mole Valley</v>
          </cell>
          <cell r="C182" t="str">
            <v>E3634</v>
          </cell>
        </row>
        <row r="183">
          <cell r="A183">
            <v>172</v>
          </cell>
          <cell r="B183" t="str">
            <v>New Forest</v>
          </cell>
          <cell r="C183" t="str">
            <v>E1738</v>
          </cell>
        </row>
        <row r="184">
          <cell r="A184">
            <v>173</v>
          </cell>
          <cell r="B184" t="str">
            <v>Newark and Sherwood</v>
          </cell>
          <cell r="C184" t="str">
            <v>E3036</v>
          </cell>
        </row>
        <row r="185">
          <cell r="A185">
            <v>174</v>
          </cell>
          <cell r="B185" t="str">
            <v>Newcastle upon Tyne</v>
          </cell>
          <cell r="C185" t="str">
            <v>E4502</v>
          </cell>
        </row>
        <row r="186">
          <cell r="A186">
            <v>175</v>
          </cell>
          <cell r="B186" t="str">
            <v>Newcastle-under-Lyme</v>
          </cell>
          <cell r="C186" t="str">
            <v>E3434</v>
          </cell>
        </row>
        <row r="187">
          <cell r="A187">
            <v>176</v>
          </cell>
          <cell r="B187" t="str">
            <v>Newham</v>
          </cell>
          <cell r="C187" t="str">
            <v>E5045</v>
          </cell>
        </row>
        <row r="188">
          <cell r="A188">
            <v>177</v>
          </cell>
          <cell r="B188" t="str">
            <v>North Devon</v>
          </cell>
          <cell r="C188" t="str">
            <v>E1134</v>
          </cell>
        </row>
        <row r="189">
          <cell r="A189">
            <v>178</v>
          </cell>
          <cell r="B189" t="str">
            <v>North Dorset</v>
          </cell>
          <cell r="C189" t="str">
            <v>E1234</v>
          </cell>
        </row>
        <row r="190">
          <cell r="A190">
            <v>179</v>
          </cell>
          <cell r="B190" t="str">
            <v>North East Derbyshire</v>
          </cell>
          <cell r="C190" t="str">
            <v>E1038</v>
          </cell>
        </row>
        <row r="191">
          <cell r="A191">
            <v>180</v>
          </cell>
          <cell r="B191" t="str">
            <v>North East Lincolnshire</v>
          </cell>
          <cell r="C191" t="str">
            <v>E2003</v>
          </cell>
        </row>
        <row r="192">
          <cell r="A192">
            <v>181</v>
          </cell>
          <cell r="B192" t="str">
            <v>North Hertfordshire</v>
          </cell>
          <cell r="C192" t="str">
            <v>E1935</v>
          </cell>
        </row>
        <row r="193">
          <cell r="A193">
            <v>182</v>
          </cell>
          <cell r="B193" t="str">
            <v>North Kesteven</v>
          </cell>
          <cell r="C193" t="str">
            <v>E2534</v>
          </cell>
        </row>
        <row r="194">
          <cell r="A194">
            <v>183</v>
          </cell>
          <cell r="B194" t="str">
            <v>North Lincolnshire</v>
          </cell>
          <cell r="C194" t="str">
            <v>E2004</v>
          </cell>
        </row>
        <row r="195">
          <cell r="A195">
            <v>184</v>
          </cell>
          <cell r="B195" t="str">
            <v>North Norfolk</v>
          </cell>
          <cell r="C195" t="str">
            <v>E2635</v>
          </cell>
        </row>
        <row r="196">
          <cell r="A196">
            <v>185</v>
          </cell>
          <cell r="B196" t="str">
            <v>North Somerset</v>
          </cell>
          <cell r="C196" t="str">
            <v>E0104</v>
          </cell>
        </row>
        <row r="197">
          <cell r="A197">
            <v>186</v>
          </cell>
          <cell r="B197" t="str">
            <v>North Tyneside</v>
          </cell>
          <cell r="C197" t="str">
            <v>E4503</v>
          </cell>
        </row>
        <row r="198">
          <cell r="A198">
            <v>187</v>
          </cell>
          <cell r="B198" t="str">
            <v>North Warwickshire</v>
          </cell>
          <cell r="C198" t="str">
            <v>E3731</v>
          </cell>
        </row>
        <row r="199">
          <cell r="A199">
            <v>188</v>
          </cell>
          <cell r="B199" t="str">
            <v>North West Leicestershire</v>
          </cell>
          <cell r="C199" t="str">
            <v>E2437</v>
          </cell>
        </row>
        <row r="200">
          <cell r="A200">
            <v>189</v>
          </cell>
          <cell r="B200" t="str">
            <v>Northampton</v>
          </cell>
          <cell r="C200" t="str">
            <v>E2835</v>
          </cell>
        </row>
        <row r="201">
          <cell r="A201">
            <v>190</v>
          </cell>
          <cell r="B201" t="str">
            <v>Northumberland UA</v>
          </cell>
          <cell r="C201" t="str">
            <v>E2901</v>
          </cell>
        </row>
        <row r="202">
          <cell r="A202">
            <v>191</v>
          </cell>
          <cell r="B202" t="str">
            <v>Norwich</v>
          </cell>
          <cell r="C202" t="str">
            <v>E2636</v>
          </cell>
        </row>
        <row r="203">
          <cell r="A203">
            <v>192</v>
          </cell>
          <cell r="B203" t="str">
            <v>Nottingham</v>
          </cell>
          <cell r="C203" t="str">
            <v>E3001</v>
          </cell>
        </row>
        <row r="204">
          <cell r="A204">
            <v>193</v>
          </cell>
          <cell r="B204" t="str">
            <v>Nuneaton and Bedworth</v>
          </cell>
          <cell r="C204" t="str">
            <v>E3732</v>
          </cell>
        </row>
        <row r="205">
          <cell r="A205">
            <v>194</v>
          </cell>
          <cell r="B205" t="str">
            <v>Oadby and Wigston</v>
          </cell>
          <cell r="C205" t="str">
            <v>E2438</v>
          </cell>
        </row>
        <row r="206">
          <cell r="A206">
            <v>195</v>
          </cell>
          <cell r="B206" t="str">
            <v>Oldham</v>
          </cell>
          <cell r="C206" t="str">
            <v>E4204</v>
          </cell>
        </row>
        <row r="207">
          <cell r="A207">
            <v>196</v>
          </cell>
          <cell r="B207" t="str">
            <v>Oxford</v>
          </cell>
          <cell r="C207" t="str">
            <v>E3132</v>
          </cell>
        </row>
        <row r="208">
          <cell r="A208">
            <v>197</v>
          </cell>
          <cell r="B208" t="str">
            <v>Pendle</v>
          </cell>
          <cell r="C208" t="str">
            <v>E2338</v>
          </cell>
        </row>
        <row r="209">
          <cell r="A209">
            <v>198</v>
          </cell>
          <cell r="B209" t="str">
            <v>Peterborough</v>
          </cell>
          <cell r="C209" t="str">
            <v>E0501</v>
          </cell>
        </row>
        <row r="210">
          <cell r="A210">
            <v>199</v>
          </cell>
          <cell r="B210" t="str">
            <v>Plymouth</v>
          </cell>
          <cell r="C210" t="str">
            <v>E1101</v>
          </cell>
        </row>
        <row r="211">
          <cell r="A211">
            <v>200</v>
          </cell>
          <cell r="B211" t="str">
            <v>Poole</v>
          </cell>
          <cell r="C211" t="str">
            <v>E1201</v>
          </cell>
        </row>
        <row r="212">
          <cell r="A212">
            <v>201</v>
          </cell>
          <cell r="B212" t="str">
            <v>Portsmouth</v>
          </cell>
          <cell r="C212" t="str">
            <v>E1701</v>
          </cell>
        </row>
        <row r="213">
          <cell r="A213">
            <v>202</v>
          </cell>
          <cell r="B213" t="str">
            <v>Preston</v>
          </cell>
          <cell r="C213" t="str">
            <v>E2339</v>
          </cell>
        </row>
        <row r="214">
          <cell r="A214">
            <v>203</v>
          </cell>
          <cell r="B214" t="str">
            <v>Purbeck</v>
          </cell>
          <cell r="C214" t="str">
            <v>E1236</v>
          </cell>
        </row>
        <row r="215">
          <cell r="A215">
            <v>204</v>
          </cell>
          <cell r="B215" t="str">
            <v>Reading</v>
          </cell>
          <cell r="C215" t="str">
            <v>E0303</v>
          </cell>
        </row>
        <row r="216">
          <cell r="A216">
            <v>205</v>
          </cell>
          <cell r="B216" t="str">
            <v>Redbridge</v>
          </cell>
          <cell r="C216" t="str">
            <v>E5046</v>
          </cell>
        </row>
        <row r="217">
          <cell r="A217">
            <v>206</v>
          </cell>
          <cell r="B217" t="str">
            <v>Redcar and Cleveland</v>
          </cell>
          <cell r="C217" t="str">
            <v>E0703</v>
          </cell>
        </row>
        <row r="218">
          <cell r="A218">
            <v>207</v>
          </cell>
          <cell r="B218" t="str">
            <v>Redditch</v>
          </cell>
          <cell r="C218" t="str">
            <v>E1835</v>
          </cell>
        </row>
        <row r="219">
          <cell r="A219">
            <v>208</v>
          </cell>
          <cell r="B219" t="str">
            <v>Reigate and Banstead</v>
          </cell>
          <cell r="C219" t="str">
            <v>E3635</v>
          </cell>
        </row>
        <row r="220">
          <cell r="A220">
            <v>209</v>
          </cell>
          <cell r="B220" t="str">
            <v>Ribble Valley</v>
          </cell>
          <cell r="C220" t="str">
            <v>E2340</v>
          </cell>
        </row>
        <row r="221">
          <cell r="A221">
            <v>210</v>
          </cell>
          <cell r="B221" t="str">
            <v>Richmond upon Thames</v>
          </cell>
          <cell r="C221" t="str">
            <v>E5047</v>
          </cell>
        </row>
        <row r="222">
          <cell r="A222">
            <v>211</v>
          </cell>
          <cell r="B222" t="str">
            <v>Richmondshire</v>
          </cell>
          <cell r="C222" t="str">
            <v>E2734</v>
          </cell>
        </row>
        <row r="223">
          <cell r="A223">
            <v>212</v>
          </cell>
          <cell r="B223" t="str">
            <v>Rochdale</v>
          </cell>
          <cell r="C223" t="str">
            <v>E4205</v>
          </cell>
        </row>
        <row r="224">
          <cell r="A224">
            <v>213</v>
          </cell>
          <cell r="B224" t="str">
            <v>Rochford</v>
          </cell>
          <cell r="C224" t="str">
            <v>E1540</v>
          </cell>
        </row>
        <row r="225">
          <cell r="A225">
            <v>214</v>
          </cell>
          <cell r="B225" t="str">
            <v>Rossendale</v>
          </cell>
          <cell r="C225" t="str">
            <v>E2341</v>
          </cell>
        </row>
        <row r="226">
          <cell r="A226">
            <v>215</v>
          </cell>
          <cell r="B226" t="str">
            <v>Rother</v>
          </cell>
          <cell r="C226" t="str">
            <v>E1436</v>
          </cell>
        </row>
        <row r="227">
          <cell r="A227">
            <v>216</v>
          </cell>
          <cell r="B227" t="str">
            <v>Rotherham</v>
          </cell>
          <cell r="C227" t="str">
            <v>E4403</v>
          </cell>
        </row>
        <row r="228">
          <cell r="A228">
            <v>217</v>
          </cell>
          <cell r="B228" t="str">
            <v>Rugby</v>
          </cell>
          <cell r="C228" t="str">
            <v>E3733</v>
          </cell>
        </row>
        <row r="229">
          <cell r="A229">
            <v>218</v>
          </cell>
          <cell r="B229" t="str">
            <v>Runnymede</v>
          </cell>
          <cell r="C229" t="str">
            <v>E3636</v>
          </cell>
        </row>
        <row r="230">
          <cell r="A230">
            <v>219</v>
          </cell>
          <cell r="B230" t="str">
            <v>Rushcliffe</v>
          </cell>
          <cell r="C230" t="str">
            <v>E3038</v>
          </cell>
        </row>
        <row r="231">
          <cell r="A231">
            <v>220</v>
          </cell>
          <cell r="B231" t="str">
            <v>Rushmoor</v>
          </cell>
          <cell r="C231" t="str">
            <v>E1740</v>
          </cell>
        </row>
        <row r="232">
          <cell r="A232">
            <v>221</v>
          </cell>
          <cell r="B232" t="str">
            <v>Rutland</v>
          </cell>
          <cell r="C232" t="str">
            <v>E2402</v>
          </cell>
        </row>
        <row r="233">
          <cell r="A233">
            <v>222</v>
          </cell>
          <cell r="B233" t="str">
            <v>Ryedale</v>
          </cell>
          <cell r="C233" t="str">
            <v>E2755</v>
          </cell>
        </row>
        <row r="234">
          <cell r="A234">
            <v>223</v>
          </cell>
          <cell r="B234" t="str">
            <v>Salford</v>
          </cell>
          <cell r="C234" t="str">
            <v>E4206</v>
          </cell>
        </row>
        <row r="235">
          <cell r="A235">
            <v>224</v>
          </cell>
          <cell r="B235" t="str">
            <v>Sandwell</v>
          </cell>
          <cell r="C235" t="str">
            <v>E4604</v>
          </cell>
        </row>
        <row r="236">
          <cell r="A236">
            <v>225</v>
          </cell>
          <cell r="B236" t="str">
            <v>Scarborough</v>
          </cell>
          <cell r="C236" t="str">
            <v>E2736</v>
          </cell>
        </row>
        <row r="237">
          <cell r="A237">
            <v>226</v>
          </cell>
          <cell r="B237" t="str">
            <v>Sedgemoor</v>
          </cell>
          <cell r="C237" t="str">
            <v>E3332</v>
          </cell>
        </row>
        <row r="238">
          <cell r="A238">
            <v>227</v>
          </cell>
          <cell r="B238" t="str">
            <v>Sefton</v>
          </cell>
          <cell r="C238" t="str">
            <v>E4304</v>
          </cell>
        </row>
        <row r="239">
          <cell r="A239">
            <v>228</v>
          </cell>
          <cell r="B239" t="str">
            <v>Selby</v>
          </cell>
          <cell r="C239" t="str">
            <v>E2757</v>
          </cell>
        </row>
        <row r="240">
          <cell r="A240">
            <v>229</v>
          </cell>
          <cell r="B240" t="str">
            <v>Sevenoaks</v>
          </cell>
          <cell r="C240" t="str">
            <v>E2239</v>
          </cell>
        </row>
        <row r="241">
          <cell r="A241">
            <v>230</v>
          </cell>
          <cell r="B241" t="str">
            <v>Sheffield</v>
          </cell>
          <cell r="C241" t="str">
            <v>E4404</v>
          </cell>
        </row>
        <row r="242">
          <cell r="A242">
            <v>231</v>
          </cell>
          <cell r="B242" t="str">
            <v>Shepway</v>
          </cell>
          <cell r="C242" t="str">
            <v>E2240</v>
          </cell>
        </row>
        <row r="243">
          <cell r="A243">
            <v>232</v>
          </cell>
          <cell r="B243" t="str">
            <v>Shropshire UA</v>
          </cell>
          <cell r="C243" t="str">
            <v>E3202</v>
          </cell>
        </row>
        <row r="244">
          <cell r="A244">
            <v>233</v>
          </cell>
          <cell r="B244" t="str">
            <v>Slough</v>
          </cell>
          <cell r="C244" t="str">
            <v>E0304</v>
          </cell>
        </row>
        <row r="245">
          <cell r="A245">
            <v>234</v>
          </cell>
          <cell r="B245" t="str">
            <v>Solihull</v>
          </cell>
          <cell r="C245" t="str">
            <v>E4605</v>
          </cell>
        </row>
        <row r="246">
          <cell r="A246">
            <v>235</v>
          </cell>
          <cell r="B246" t="str">
            <v>South Bucks</v>
          </cell>
          <cell r="C246" t="str">
            <v>E0434</v>
          </cell>
        </row>
        <row r="247">
          <cell r="A247">
            <v>236</v>
          </cell>
          <cell r="B247" t="str">
            <v>South Cambridgeshire</v>
          </cell>
          <cell r="C247" t="str">
            <v>E0536</v>
          </cell>
        </row>
        <row r="248">
          <cell r="A248">
            <v>237</v>
          </cell>
          <cell r="B248" t="str">
            <v>South Derbyshire</v>
          </cell>
          <cell r="C248" t="str">
            <v>E1039</v>
          </cell>
        </row>
        <row r="249">
          <cell r="A249">
            <v>238</v>
          </cell>
          <cell r="B249" t="str">
            <v>South Gloucestershire</v>
          </cell>
          <cell r="C249" t="str">
            <v>E0103</v>
          </cell>
        </row>
        <row r="250">
          <cell r="A250">
            <v>239</v>
          </cell>
          <cell r="B250" t="str">
            <v>South Hams</v>
          </cell>
          <cell r="C250" t="str">
            <v>E1136</v>
          </cell>
        </row>
        <row r="251">
          <cell r="A251">
            <v>240</v>
          </cell>
          <cell r="B251" t="str">
            <v>South Holland</v>
          </cell>
          <cell r="C251" t="str">
            <v>E2535</v>
          </cell>
        </row>
        <row r="252">
          <cell r="A252">
            <v>241</v>
          </cell>
          <cell r="B252" t="str">
            <v>South Kesteven</v>
          </cell>
          <cell r="C252" t="str">
            <v>E2536</v>
          </cell>
        </row>
        <row r="253">
          <cell r="A253">
            <v>242</v>
          </cell>
          <cell r="B253" t="str">
            <v>South Lakeland</v>
          </cell>
          <cell r="C253" t="str">
            <v>E0936</v>
          </cell>
        </row>
        <row r="254">
          <cell r="A254">
            <v>243</v>
          </cell>
          <cell r="B254" t="str">
            <v>South Norfolk</v>
          </cell>
          <cell r="C254" t="str">
            <v>E2637</v>
          </cell>
        </row>
        <row r="255">
          <cell r="A255">
            <v>244</v>
          </cell>
          <cell r="B255" t="str">
            <v>South Northamptonshire</v>
          </cell>
          <cell r="C255" t="str">
            <v>E2836</v>
          </cell>
        </row>
        <row r="256">
          <cell r="A256">
            <v>245</v>
          </cell>
          <cell r="B256" t="str">
            <v>South Oxfordshire</v>
          </cell>
          <cell r="C256" t="str">
            <v>E3133</v>
          </cell>
        </row>
        <row r="257">
          <cell r="A257">
            <v>246</v>
          </cell>
          <cell r="B257" t="str">
            <v>South Ribble</v>
          </cell>
          <cell r="C257" t="str">
            <v>E2342</v>
          </cell>
        </row>
        <row r="258">
          <cell r="A258">
            <v>247</v>
          </cell>
          <cell r="B258" t="str">
            <v>South Somerset</v>
          </cell>
          <cell r="C258" t="str">
            <v>E3334</v>
          </cell>
        </row>
        <row r="259">
          <cell r="A259">
            <v>248</v>
          </cell>
          <cell r="B259" t="str">
            <v>South Staffordshire</v>
          </cell>
          <cell r="C259" t="str">
            <v>E3435</v>
          </cell>
        </row>
        <row r="260">
          <cell r="A260">
            <v>249</v>
          </cell>
          <cell r="B260" t="str">
            <v>South Tyneside</v>
          </cell>
          <cell r="C260" t="str">
            <v>E4504</v>
          </cell>
        </row>
        <row r="261">
          <cell r="A261">
            <v>250</v>
          </cell>
          <cell r="B261" t="str">
            <v>Southampton</v>
          </cell>
          <cell r="C261" t="str">
            <v>E1702</v>
          </cell>
        </row>
        <row r="262">
          <cell r="A262">
            <v>251</v>
          </cell>
          <cell r="B262" t="str">
            <v>Southend-on-Sea</v>
          </cell>
          <cell r="C262" t="str">
            <v>E1501</v>
          </cell>
        </row>
        <row r="263">
          <cell r="A263">
            <v>252</v>
          </cell>
          <cell r="B263" t="str">
            <v>Southwark</v>
          </cell>
          <cell r="C263" t="str">
            <v>E5019</v>
          </cell>
        </row>
        <row r="264">
          <cell r="A264">
            <v>253</v>
          </cell>
          <cell r="B264" t="str">
            <v>Spelthorne</v>
          </cell>
          <cell r="C264" t="str">
            <v>E3637</v>
          </cell>
        </row>
        <row r="265">
          <cell r="A265">
            <v>254</v>
          </cell>
          <cell r="B265" t="str">
            <v>St Albans</v>
          </cell>
          <cell r="C265" t="str">
            <v>E1936</v>
          </cell>
        </row>
        <row r="266">
          <cell r="A266">
            <v>255</v>
          </cell>
          <cell r="B266" t="str">
            <v>St Edmundsbury</v>
          </cell>
          <cell r="C266" t="str">
            <v>E3535</v>
          </cell>
        </row>
        <row r="267">
          <cell r="A267">
            <v>256</v>
          </cell>
          <cell r="B267" t="str">
            <v>St Helens</v>
          </cell>
          <cell r="C267" t="str">
            <v>E4303</v>
          </cell>
        </row>
        <row r="268">
          <cell r="A268">
            <v>257</v>
          </cell>
          <cell r="B268" t="str">
            <v>Stafford</v>
          </cell>
          <cell r="C268" t="str">
            <v>E3436</v>
          </cell>
        </row>
        <row r="269">
          <cell r="A269">
            <v>258</v>
          </cell>
          <cell r="B269" t="str">
            <v>Staffordshire Moorlands</v>
          </cell>
          <cell r="C269" t="str">
            <v>E3437</v>
          </cell>
        </row>
        <row r="270">
          <cell r="A270">
            <v>259</v>
          </cell>
          <cell r="B270" t="str">
            <v>Stevenage</v>
          </cell>
          <cell r="C270" t="str">
            <v>E1937</v>
          </cell>
        </row>
        <row r="271">
          <cell r="A271">
            <v>260</v>
          </cell>
          <cell r="B271" t="str">
            <v>Stockport</v>
          </cell>
          <cell r="C271" t="str">
            <v>E4207</v>
          </cell>
        </row>
        <row r="272">
          <cell r="A272">
            <v>261</v>
          </cell>
          <cell r="B272" t="str">
            <v>Stockton-on-Tees</v>
          </cell>
          <cell r="C272" t="str">
            <v>E0704</v>
          </cell>
        </row>
        <row r="273">
          <cell r="A273">
            <v>262</v>
          </cell>
          <cell r="B273" t="str">
            <v>Stoke-on-Trent</v>
          </cell>
          <cell r="C273" t="str">
            <v>E3401</v>
          </cell>
        </row>
        <row r="274">
          <cell r="A274">
            <v>263</v>
          </cell>
          <cell r="B274" t="str">
            <v>Stratford-on-Avon</v>
          </cell>
          <cell r="C274" t="str">
            <v>E3734</v>
          </cell>
        </row>
        <row r="275">
          <cell r="A275">
            <v>264</v>
          </cell>
          <cell r="B275" t="str">
            <v>Stroud</v>
          </cell>
          <cell r="C275" t="str">
            <v>E1635</v>
          </cell>
        </row>
        <row r="276">
          <cell r="A276">
            <v>265</v>
          </cell>
          <cell r="B276" t="str">
            <v>Suffolk Coastal</v>
          </cell>
          <cell r="C276" t="str">
            <v>E3536</v>
          </cell>
        </row>
        <row r="277">
          <cell r="A277">
            <v>266</v>
          </cell>
          <cell r="B277" t="str">
            <v>Sunderland</v>
          </cell>
          <cell r="C277" t="str">
            <v>E4505</v>
          </cell>
        </row>
        <row r="278">
          <cell r="A278">
            <v>267</v>
          </cell>
          <cell r="B278" t="str">
            <v>Surrey Heath</v>
          </cell>
          <cell r="C278" t="str">
            <v>E3638</v>
          </cell>
        </row>
        <row r="279">
          <cell r="A279">
            <v>268</v>
          </cell>
          <cell r="B279" t="str">
            <v>Sutton</v>
          </cell>
          <cell r="C279" t="str">
            <v>E5048</v>
          </cell>
        </row>
        <row r="280">
          <cell r="A280">
            <v>269</v>
          </cell>
          <cell r="B280" t="str">
            <v>Swale</v>
          </cell>
          <cell r="C280" t="str">
            <v>E2241</v>
          </cell>
        </row>
        <row r="281">
          <cell r="A281">
            <v>270</v>
          </cell>
          <cell r="B281" t="str">
            <v>Swindon</v>
          </cell>
          <cell r="C281" t="str">
            <v>E3901</v>
          </cell>
        </row>
        <row r="282">
          <cell r="A282">
            <v>271</v>
          </cell>
          <cell r="B282" t="str">
            <v>Tameside</v>
          </cell>
          <cell r="C282" t="str">
            <v>E4208</v>
          </cell>
        </row>
        <row r="283">
          <cell r="A283">
            <v>272</v>
          </cell>
          <cell r="B283" t="str">
            <v>Tamworth</v>
          </cell>
          <cell r="C283" t="str">
            <v>E3439</v>
          </cell>
        </row>
        <row r="284">
          <cell r="A284">
            <v>273</v>
          </cell>
          <cell r="B284" t="str">
            <v>Tandridge</v>
          </cell>
          <cell r="C284" t="str">
            <v>E3639</v>
          </cell>
        </row>
        <row r="285">
          <cell r="A285">
            <v>274</v>
          </cell>
          <cell r="B285" t="str">
            <v>Taunton Deane</v>
          </cell>
          <cell r="C285" t="str">
            <v>E3333</v>
          </cell>
        </row>
        <row r="286">
          <cell r="A286">
            <v>275</v>
          </cell>
          <cell r="B286" t="str">
            <v>Teignbridge</v>
          </cell>
          <cell r="C286" t="str">
            <v>E1137</v>
          </cell>
        </row>
        <row r="287">
          <cell r="A287">
            <v>276</v>
          </cell>
          <cell r="B287" t="str">
            <v>Telford and the Wrekin</v>
          </cell>
          <cell r="C287" t="str">
            <v>E3201</v>
          </cell>
        </row>
        <row r="288">
          <cell r="A288">
            <v>277</v>
          </cell>
          <cell r="B288" t="str">
            <v>Tendring</v>
          </cell>
          <cell r="C288" t="str">
            <v>E1542</v>
          </cell>
        </row>
        <row r="289">
          <cell r="A289">
            <v>278</v>
          </cell>
          <cell r="B289" t="str">
            <v>Test Valley</v>
          </cell>
          <cell r="C289" t="str">
            <v>E1742</v>
          </cell>
        </row>
        <row r="290">
          <cell r="A290">
            <v>279</v>
          </cell>
          <cell r="B290" t="str">
            <v>Tewkesbury</v>
          </cell>
          <cell r="C290" t="str">
            <v>E1636</v>
          </cell>
        </row>
        <row r="291">
          <cell r="A291">
            <v>280</v>
          </cell>
          <cell r="B291" t="str">
            <v>Thanet</v>
          </cell>
          <cell r="C291" t="str">
            <v>E2242</v>
          </cell>
        </row>
        <row r="292">
          <cell r="A292">
            <v>281</v>
          </cell>
          <cell r="B292" t="str">
            <v>Three Rivers</v>
          </cell>
          <cell r="C292" t="str">
            <v>E1938</v>
          </cell>
        </row>
        <row r="293">
          <cell r="A293">
            <v>282</v>
          </cell>
          <cell r="B293" t="str">
            <v>Thurrock</v>
          </cell>
          <cell r="C293" t="str">
            <v>E1502</v>
          </cell>
        </row>
        <row r="294">
          <cell r="A294">
            <v>283</v>
          </cell>
          <cell r="B294" t="str">
            <v>Tonbridge and Malling</v>
          </cell>
          <cell r="C294" t="str">
            <v>E2243</v>
          </cell>
        </row>
        <row r="295">
          <cell r="A295">
            <v>284</v>
          </cell>
          <cell r="B295" t="str">
            <v>Torbay</v>
          </cell>
          <cell r="C295" t="str">
            <v>E1102</v>
          </cell>
        </row>
        <row r="296">
          <cell r="A296">
            <v>285</v>
          </cell>
          <cell r="B296" t="str">
            <v>Torridge</v>
          </cell>
          <cell r="C296" t="str">
            <v>E1139</v>
          </cell>
        </row>
        <row r="297">
          <cell r="A297">
            <v>286</v>
          </cell>
          <cell r="B297" t="str">
            <v>Tower Hamlets</v>
          </cell>
          <cell r="C297" t="str">
            <v>E5020</v>
          </cell>
        </row>
        <row r="298">
          <cell r="A298">
            <v>287</v>
          </cell>
          <cell r="B298" t="str">
            <v>Trafford</v>
          </cell>
          <cell r="C298" t="str">
            <v>E4209</v>
          </cell>
        </row>
        <row r="299">
          <cell r="A299">
            <v>288</v>
          </cell>
          <cell r="B299" t="str">
            <v>Tunbridge Wells</v>
          </cell>
          <cell r="C299" t="str">
            <v>E2244</v>
          </cell>
        </row>
        <row r="300">
          <cell r="A300">
            <v>289</v>
          </cell>
          <cell r="B300" t="str">
            <v>Uttlesford</v>
          </cell>
          <cell r="C300" t="str">
            <v>E1544</v>
          </cell>
        </row>
        <row r="301">
          <cell r="A301">
            <v>290</v>
          </cell>
          <cell r="B301" t="str">
            <v>Vale of White Horse</v>
          </cell>
          <cell r="C301" t="str">
            <v>E3134</v>
          </cell>
        </row>
        <row r="302">
          <cell r="A302">
            <v>291</v>
          </cell>
          <cell r="B302" t="str">
            <v>Wakefield</v>
          </cell>
          <cell r="C302" t="str">
            <v>E4705</v>
          </cell>
        </row>
        <row r="303">
          <cell r="A303">
            <v>292</v>
          </cell>
          <cell r="B303" t="str">
            <v>Walsall</v>
          </cell>
          <cell r="C303" t="str">
            <v>E4606</v>
          </cell>
        </row>
        <row r="304">
          <cell r="A304">
            <v>293</v>
          </cell>
          <cell r="B304" t="str">
            <v>Waltham Forest</v>
          </cell>
          <cell r="C304" t="str">
            <v>E5049</v>
          </cell>
        </row>
        <row r="305">
          <cell r="A305">
            <v>294</v>
          </cell>
          <cell r="B305" t="str">
            <v>Wandsworth</v>
          </cell>
          <cell r="C305" t="str">
            <v>E5021</v>
          </cell>
        </row>
        <row r="306">
          <cell r="A306">
            <v>295</v>
          </cell>
          <cell r="B306" t="str">
            <v>Warrington</v>
          </cell>
          <cell r="C306" t="str">
            <v>E0602</v>
          </cell>
        </row>
        <row r="307">
          <cell r="A307">
            <v>296</v>
          </cell>
          <cell r="B307" t="str">
            <v>Warwick</v>
          </cell>
          <cell r="C307" t="str">
            <v>E3735</v>
          </cell>
        </row>
        <row r="308">
          <cell r="A308">
            <v>297</v>
          </cell>
          <cell r="B308" t="str">
            <v>Watford</v>
          </cell>
          <cell r="C308" t="str">
            <v>E1939</v>
          </cell>
        </row>
        <row r="309">
          <cell r="A309">
            <v>298</v>
          </cell>
          <cell r="B309" t="str">
            <v>Waveney</v>
          </cell>
          <cell r="C309" t="str">
            <v>E3537</v>
          </cell>
        </row>
        <row r="310">
          <cell r="A310">
            <v>299</v>
          </cell>
          <cell r="B310" t="str">
            <v>Waverley</v>
          </cell>
          <cell r="C310" t="str">
            <v>E3640</v>
          </cell>
        </row>
        <row r="311">
          <cell r="A311">
            <v>300</v>
          </cell>
          <cell r="B311" t="str">
            <v>Wealden</v>
          </cell>
          <cell r="C311" t="str">
            <v>E1437</v>
          </cell>
        </row>
        <row r="312">
          <cell r="A312">
            <v>301</v>
          </cell>
          <cell r="B312" t="str">
            <v>Wellingborough</v>
          </cell>
          <cell r="C312" t="str">
            <v>E2837</v>
          </cell>
        </row>
        <row r="313">
          <cell r="A313">
            <v>302</v>
          </cell>
          <cell r="B313" t="str">
            <v>Welwyn Hatfield</v>
          </cell>
          <cell r="C313" t="str">
            <v>E1940</v>
          </cell>
        </row>
        <row r="314">
          <cell r="A314">
            <v>303</v>
          </cell>
          <cell r="B314" t="str">
            <v>West Berkshire</v>
          </cell>
          <cell r="C314" t="str">
            <v>E0302</v>
          </cell>
        </row>
        <row r="315">
          <cell r="A315">
            <v>304</v>
          </cell>
          <cell r="B315" t="str">
            <v>West Devon</v>
          </cell>
          <cell r="C315" t="str">
            <v>E1140</v>
          </cell>
        </row>
        <row r="316">
          <cell r="A316">
            <v>305</v>
          </cell>
          <cell r="B316" t="str">
            <v>West Dorset</v>
          </cell>
          <cell r="C316" t="str">
            <v>E1237</v>
          </cell>
        </row>
        <row r="317">
          <cell r="A317">
            <v>306</v>
          </cell>
          <cell r="B317" t="str">
            <v>West Lancashire</v>
          </cell>
          <cell r="C317" t="str">
            <v>E2343</v>
          </cell>
        </row>
        <row r="318">
          <cell r="A318">
            <v>307</v>
          </cell>
          <cell r="B318" t="str">
            <v>West Lindsey</v>
          </cell>
          <cell r="C318" t="str">
            <v>E2537</v>
          </cell>
        </row>
        <row r="319">
          <cell r="A319">
            <v>308</v>
          </cell>
          <cell r="B319" t="str">
            <v>West Oxfordshire</v>
          </cell>
          <cell r="C319" t="str">
            <v>E3135</v>
          </cell>
        </row>
        <row r="320">
          <cell r="A320">
            <v>309</v>
          </cell>
          <cell r="B320" t="str">
            <v>West Somerset</v>
          </cell>
          <cell r="C320" t="str">
            <v>E3335</v>
          </cell>
        </row>
        <row r="321">
          <cell r="A321">
            <v>310</v>
          </cell>
          <cell r="B321" t="str">
            <v>Westminster</v>
          </cell>
          <cell r="C321" t="str">
            <v>E5022</v>
          </cell>
        </row>
        <row r="322">
          <cell r="A322">
            <v>311</v>
          </cell>
          <cell r="B322" t="str">
            <v>Weymouth and Portland</v>
          </cell>
          <cell r="C322" t="str">
            <v>E1238</v>
          </cell>
        </row>
        <row r="323">
          <cell r="A323">
            <v>312</v>
          </cell>
          <cell r="B323" t="str">
            <v>Wigan</v>
          </cell>
          <cell r="C323" t="str">
            <v>E4210</v>
          </cell>
        </row>
        <row r="324">
          <cell r="A324">
            <v>313</v>
          </cell>
          <cell r="B324" t="str">
            <v>Wiltshire UA</v>
          </cell>
          <cell r="C324" t="str">
            <v>E3902</v>
          </cell>
        </row>
        <row r="325">
          <cell r="A325">
            <v>314</v>
          </cell>
          <cell r="B325" t="str">
            <v>Winchester</v>
          </cell>
          <cell r="C325" t="str">
            <v>E1743</v>
          </cell>
        </row>
        <row r="326">
          <cell r="A326">
            <v>315</v>
          </cell>
          <cell r="B326" t="str">
            <v>Windsor and Maidenhead</v>
          </cell>
          <cell r="C326" t="str">
            <v>E0305</v>
          </cell>
        </row>
        <row r="327">
          <cell r="A327">
            <v>316</v>
          </cell>
          <cell r="B327" t="str">
            <v>Wirral</v>
          </cell>
          <cell r="C327" t="str">
            <v>E4305</v>
          </cell>
        </row>
        <row r="328">
          <cell r="A328">
            <v>317</v>
          </cell>
          <cell r="B328" t="str">
            <v>Woking</v>
          </cell>
          <cell r="C328" t="str">
            <v>E3641</v>
          </cell>
        </row>
        <row r="329">
          <cell r="A329">
            <v>318</v>
          </cell>
          <cell r="B329" t="str">
            <v>Wokingham</v>
          </cell>
          <cell r="C329" t="str">
            <v>E0306</v>
          </cell>
        </row>
        <row r="330">
          <cell r="A330">
            <v>319</v>
          </cell>
          <cell r="B330" t="str">
            <v>Wolverhampton</v>
          </cell>
          <cell r="C330" t="str">
            <v>E4607</v>
          </cell>
        </row>
        <row r="331">
          <cell r="A331">
            <v>320</v>
          </cell>
          <cell r="B331" t="str">
            <v>Worcester</v>
          </cell>
          <cell r="C331" t="str">
            <v>E1837</v>
          </cell>
        </row>
        <row r="332">
          <cell r="A332">
            <v>321</v>
          </cell>
          <cell r="B332" t="str">
            <v>Worthing</v>
          </cell>
          <cell r="C332" t="str">
            <v>E3837</v>
          </cell>
        </row>
        <row r="333">
          <cell r="A333">
            <v>322</v>
          </cell>
          <cell r="B333" t="str">
            <v>Wychavon</v>
          </cell>
          <cell r="C333" t="str">
            <v>E1838</v>
          </cell>
        </row>
        <row r="334">
          <cell r="A334">
            <v>323</v>
          </cell>
          <cell r="B334" t="str">
            <v>Wycombe</v>
          </cell>
          <cell r="C334" t="str">
            <v>E0435</v>
          </cell>
        </row>
        <row r="335">
          <cell r="A335">
            <v>324</v>
          </cell>
          <cell r="B335" t="str">
            <v>Wyre</v>
          </cell>
          <cell r="C335" t="str">
            <v>E2344</v>
          </cell>
        </row>
        <row r="336">
          <cell r="A336">
            <v>325</v>
          </cell>
          <cell r="B336" t="str">
            <v>Wyre Forest</v>
          </cell>
          <cell r="C336" t="str">
            <v>E1839</v>
          </cell>
        </row>
        <row r="337">
          <cell r="A337">
            <v>326</v>
          </cell>
          <cell r="B337" t="str">
            <v>York</v>
          </cell>
          <cell r="C337" t="str">
            <v>E2701</v>
          </cell>
        </row>
        <row r="338">
          <cell r="A338">
            <v>327</v>
          </cell>
          <cell r="B338" t="str">
            <v>ZZZZ</v>
          </cell>
          <cell r="C338" t="str">
            <v>EZZZZ</v>
          </cell>
        </row>
      </sheetData>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gov.uk/government/collections/national-non-domestic-rates-collected-by-council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2"/>
  <sheetViews>
    <sheetView showGridLines="0" tabSelected="1" zoomScale="70" zoomScaleNormal="70" workbookViewId="0"/>
  </sheetViews>
  <sheetFormatPr defaultRowHeight="12.75" x14ac:dyDescent="0.2"/>
  <cols>
    <col min="1" max="1" width="4" customWidth="1"/>
  </cols>
  <sheetData>
    <row r="1" spans="2:22" ht="13.5" thickBot="1" x14ac:dyDescent="0.25"/>
    <row r="2" spans="2:22" x14ac:dyDescent="0.2">
      <c r="B2" s="618"/>
      <c r="C2" s="619"/>
      <c r="D2" s="619"/>
      <c r="E2" s="619"/>
      <c r="F2" s="619"/>
      <c r="G2" s="619"/>
      <c r="H2" s="619"/>
      <c r="I2" s="619"/>
      <c r="J2" s="619"/>
      <c r="K2" s="619"/>
      <c r="L2" s="619"/>
      <c r="M2" s="619"/>
      <c r="N2" s="619"/>
      <c r="O2" s="620"/>
    </row>
    <row r="3" spans="2:22" x14ac:dyDescent="0.2">
      <c r="B3" s="621"/>
      <c r="C3" s="44"/>
      <c r="D3" s="44"/>
      <c r="E3" s="44"/>
      <c r="F3" s="44"/>
      <c r="G3" s="44"/>
      <c r="H3" s="44"/>
      <c r="I3" s="44"/>
      <c r="J3" s="44"/>
      <c r="K3" s="44"/>
      <c r="L3" s="44"/>
      <c r="M3" s="44"/>
      <c r="N3" s="44"/>
      <c r="O3" s="622"/>
    </row>
    <row r="4" spans="2:22" x14ac:dyDescent="0.2">
      <c r="B4" s="621"/>
      <c r="C4" s="44"/>
      <c r="D4" s="44"/>
      <c r="E4" s="44"/>
      <c r="F4" s="44"/>
      <c r="G4" s="44"/>
      <c r="H4" s="44"/>
      <c r="I4" s="44"/>
      <c r="J4" s="44"/>
      <c r="K4" s="44"/>
      <c r="L4" s="44"/>
      <c r="M4" s="44"/>
      <c r="N4" s="44"/>
      <c r="O4" s="622"/>
    </row>
    <row r="5" spans="2:22" x14ac:dyDescent="0.2">
      <c r="B5" s="621"/>
      <c r="C5" s="44"/>
      <c r="D5" s="44"/>
      <c r="E5" s="44"/>
      <c r="F5" s="44"/>
      <c r="G5" s="44"/>
      <c r="H5" s="44"/>
      <c r="I5" s="44"/>
      <c r="J5" s="44"/>
      <c r="K5" s="44"/>
      <c r="L5" s="44"/>
      <c r="M5" s="44"/>
      <c r="N5" s="44"/>
      <c r="O5" s="622"/>
    </row>
    <row r="6" spans="2:22" x14ac:dyDescent="0.2">
      <c r="B6" s="621"/>
      <c r="C6" s="44"/>
      <c r="D6" s="44"/>
      <c r="E6" s="44"/>
      <c r="F6" s="44"/>
      <c r="G6" s="44"/>
      <c r="H6" s="44"/>
      <c r="I6" s="44"/>
      <c r="J6" s="44"/>
      <c r="K6" s="44"/>
      <c r="L6" s="44"/>
      <c r="M6" s="44"/>
      <c r="N6" s="44"/>
      <c r="O6" s="622"/>
    </row>
    <row r="7" spans="2:22" x14ac:dyDescent="0.2">
      <c r="B7" s="621"/>
      <c r="C7" s="44"/>
      <c r="D7" s="44"/>
      <c r="E7" s="44"/>
      <c r="F7" s="44"/>
      <c r="G7" s="44"/>
      <c r="H7" s="44"/>
      <c r="I7" s="44"/>
      <c r="J7" s="44"/>
      <c r="K7" s="44"/>
      <c r="L7" s="44"/>
      <c r="M7" s="44"/>
      <c r="N7" s="44"/>
      <c r="O7" s="622"/>
    </row>
    <row r="8" spans="2:22" x14ac:dyDescent="0.2">
      <c r="B8" s="621"/>
      <c r="C8" s="44"/>
      <c r="D8" s="44"/>
      <c r="E8" s="44"/>
      <c r="F8" s="44"/>
      <c r="G8" s="44"/>
      <c r="H8" s="44"/>
      <c r="I8" s="44"/>
      <c r="J8" s="44"/>
      <c r="K8" s="44"/>
      <c r="L8" s="44"/>
      <c r="M8" s="44"/>
      <c r="N8" s="44"/>
      <c r="O8" s="622"/>
    </row>
    <row r="9" spans="2:22" x14ac:dyDescent="0.2">
      <c r="B9" s="621"/>
      <c r="C9" s="44"/>
      <c r="D9" s="44"/>
      <c r="E9" s="44"/>
      <c r="F9" s="44"/>
      <c r="G9" s="44"/>
      <c r="H9" s="44"/>
      <c r="I9" s="44"/>
      <c r="J9" s="44"/>
      <c r="K9" s="44"/>
      <c r="L9" s="44"/>
      <c r="M9" s="44"/>
      <c r="N9" s="44"/>
      <c r="O9" s="622"/>
    </row>
    <row r="10" spans="2:22" x14ac:dyDescent="0.2">
      <c r="B10" s="623" t="s">
        <v>1298</v>
      </c>
      <c r="C10" s="44"/>
      <c r="D10" s="44"/>
      <c r="E10" s="44"/>
      <c r="F10" s="44"/>
      <c r="G10" s="44"/>
      <c r="H10" s="44"/>
      <c r="I10" s="44"/>
      <c r="J10" s="44"/>
      <c r="K10" s="44"/>
      <c r="L10" s="44"/>
      <c r="M10" s="44"/>
      <c r="N10" s="44"/>
      <c r="O10" s="622"/>
    </row>
    <row r="11" spans="2:22" ht="44.25" customHeight="1" x14ac:dyDescent="0.2">
      <c r="B11" s="645" t="s">
        <v>1302</v>
      </c>
      <c r="C11" s="646"/>
      <c r="D11" s="646"/>
      <c r="E11" s="646"/>
      <c r="F11" s="646"/>
      <c r="G11" s="646"/>
      <c r="H11" s="646"/>
      <c r="I11" s="646"/>
      <c r="J11" s="646"/>
      <c r="K11" s="646"/>
      <c r="L11" s="646"/>
      <c r="M11" s="646"/>
      <c r="N11" s="646"/>
      <c r="O11" s="622"/>
      <c r="V11" s="212"/>
    </row>
    <row r="12" spans="2:22" ht="16.5" customHeight="1" x14ac:dyDescent="0.2">
      <c r="B12" s="621"/>
      <c r="C12" s="624"/>
      <c r="D12" s="624"/>
      <c r="E12" s="624"/>
      <c r="F12" s="624"/>
      <c r="G12" s="624"/>
      <c r="H12" s="624"/>
      <c r="I12" s="624"/>
      <c r="J12" s="624"/>
      <c r="K12" s="624"/>
      <c r="L12" s="624"/>
      <c r="M12" s="624"/>
      <c r="N12" s="624"/>
      <c r="O12" s="625"/>
      <c r="V12" s="212"/>
    </row>
    <row r="13" spans="2:22" ht="26.25" customHeight="1" x14ac:dyDescent="0.2">
      <c r="B13" s="645" t="s">
        <v>1303</v>
      </c>
      <c r="C13" s="646"/>
      <c r="D13" s="646"/>
      <c r="E13" s="646"/>
      <c r="F13" s="646"/>
      <c r="G13" s="646"/>
      <c r="H13" s="646"/>
      <c r="I13" s="646"/>
      <c r="J13" s="646"/>
      <c r="K13" s="646"/>
      <c r="L13" s="646"/>
      <c r="M13" s="646"/>
      <c r="N13" s="646"/>
      <c r="O13" s="625"/>
      <c r="V13" s="212"/>
    </row>
    <row r="14" spans="2:22" ht="32.25" customHeight="1" x14ac:dyDescent="0.2">
      <c r="B14" s="647" t="s">
        <v>1304</v>
      </c>
      <c r="C14" s="648"/>
      <c r="D14" s="648"/>
      <c r="E14" s="648"/>
      <c r="F14" s="648"/>
      <c r="G14" s="648"/>
      <c r="H14" s="648"/>
      <c r="I14" s="648"/>
      <c r="J14" s="648"/>
      <c r="K14" s="648"/>
      <c r="L14" s="648"/>
      <c r="M14" s="648"/>
      <c r="N14" s="648"/>
      <c r="O14" s="625"/>
    </row>
    <row r="15" spans="2:22" x14ac:dyDescent="0.2">
      <c r="B15" s="649" t="s">
        <v>1305</v>
      </c>
      <c r="C15" s="650"/>
      <c r="D15" s="650"/>
      <c r="E15" s="650"/>
      <c r="F15" s="650"/>
      <c r="G15" s="650"/>
      <c r="H15" s="650"/>
      <c r="I15" s="650"/>
      <c r="J15" s="650"/>
      <c r="K15" s="650"/>
      <c r="L15" s="650"/>
      <c r="M15" s="650"/>
      <c r="N15" s="650"/>
      <c r="O15" s="625"/>
      <c r="V15" s="212"/>
    </row>
    <row r="16" spans="2:22" ht="23.25" customHeight="1" x14ac:dyDescent="0.2">
      <c r="B16" s="626" t="s">
        <v>1306</v>
      </c>
      <c r="C16" s="650" t="s">
        <v>1315</v>
      </c>
      <c r="D16" s="650"/>
      <c r="E16" s="650"/>
      <c r="F16" s="650"/>
      <c r="G16" s="650"/>
      <c r="H16" s="650"/>
      <c r="I16" s="650"/>
      <c r="J16" s="650"/>
      <c r="K16" s="650"/>
      <c r="L16" s="650"/>
      <c r="M16" s="650"/>
      <c r="N16" s="650"/>
      <c r="O16" s="625"/>
      <c r="V16" s="212"/>
    </row>
    <row r="17" spans="2:15" x14ac:dyDescent="0.2">
      <c r="B17" s="627"/>
      <c r="C17" s="624"/>
      <c r="D17" s="624"/>
      <c r="E17" s="624"/>
      <c r="F17" s="624"/>
      <c r="G17" s="624"/>
      <c r="H17" s="624"/>
      <c r="I17" s="624"/>
      <c r="J17" s="624"/>
      <c r="K17" s="624"/>
      <c r="L17" s="624"/>
      <c r="M17" s="624"/>
      <c r="N17" s="624"/>
      <c r="O17" s="625"/>
    </row>
    <row r="18" spans="2:15" ht="50.1" customHeight="1" x14ac:dyDescent="0.2">
      <c r="B18" s="626" t="s">
        <v>1307</v>
      </c>
      <c r="C18" s="650" t="s">
        <v>1314</v>
      </c>
      <c r="D18" s="650"/>
      <c r="E18" s="650"/>
      <c r="F18" s="650"/>
      <c r="G18" s="650"/>
      <c r="H18" s="650"/>
      <c r="I18" s="650"/>
      <c r="J18" s="650"/>
      <c r="K18" s="650"/>
      <c r="L18" s="650"/>
      <c r="M18" s="650"/>
      <c r="N18" s="650"/>
      <c r="O18" s="625"/>
    </row>
    <row r="19" spans="2:15" x14ac:dyDescent="0.2">
      <c r="B19" s="627"/>
      <c r="C19" s="624"/>
      <c r="D19" s="624"/>
      <c r="E19" s="624"/>
      <c r="F19" s="624"/>
      <c r="G19" s="624"/>
      <c r="H19" s="624"/>
      <c r="I19" s="624"/>
      <c r="J19" s="624"/>
      <c r="K19" s="624"/>
      <c r="L19" s="624"/>
      <c r="M19" s="624"/>
      <c r="N19" s="624"/>
      <c r="O19" s="625"/>
    </row>
    <row r="20" spans="2:15" ht="52.5" customHeight="1" x14ac:dyDescent="0.2">
      <c r="B20" s="626" t="s">
        <v>1308</v>
      </c>
      <c r="C20" s="650" t="s">
        <v>1311</v>
      </c>
      <c r="D20" s="650"/>
      <c r="E20" s="650"/>
      <c r="F20" s="650"/>
      <c r="G20" s="650"/>
      <c r="H20" s="650"/>
      <c r="I20" s="650"/>
      <c r="J20" s="650"/>
      <c r="K20" s="650"/>
      <c r="L20" s="650"/>
      <c r="M20" s="650"/>
      <c r="N20" s="650"/>
      <c r="O20" s="625"/>
    </row>
    <row r="21" spans="2:15" x14ac:dyDescent="0.2">
      <c r="B21" s="627"/>
      <c r="C21" s="624"/>
      <c r="D21" s="624"/>
      <c r="E21" s="624"/>
      <c r="F21" s="624"/>
      <c r="G21" s="624"/>
      <c r="H21" s="624"/>
      <c r="I21" s="624"/>
      <c r="J21" s="624"/>
      <c r="K21" s="624"/>
      <c r="L21" s="624"/>
      <c r="M21" s="624"/>
      <c r="N21" s="624"/>
      <c r="O21" s="625"/>
    </row>
    <row r="22" spans="2:15" x14ac:dyDescent="0.2">
      <c r="B22" s="626" t="s">
        <v>1309</v>
      </c>
      <c r="C22" s="650" t="s">
        <v>1312</v>
      </c>
      <c r="D22" s="650"/>
      <c r="E22" s="650"/>
      <c r="F22" s="650"/>
      <c r="G22" s="650"/>
      <c r="H22" s="650"/>
      <c r="I22" s="650"/>
      <c r="J22" s="650"/>
      <c r="K22" s="650"/>
      <c r="L22" s="650"/>
      <c r="M22" s="650"/>
      <c r="N22" s="650"/>
      <c r="O22" s="625"/>
    </row>
    <row r="23" spans="2:15" x14ac:dyDescent="0.2">
      <c r="B23" s="627"/>
      <c r="C23" s="624"/>
      <c r="D23" s="624"/>
      <c r="E23" s="624"/>
      <c r="F23" s="624"/>
      <c r="G23" s="624"/>
      <c r="H23" s="624"/>
      <c r="I23" s="624"/>
      <c r="J23" s="624"/>
      <c r="K23" s="624"/>
      <c r="L23" s="624"/>
      <c r="M23" s="624"/>
      <c r="N23" s="624"/>
      <c r="O23" s="625"/>
    </row>
    <row r="24" spans="2:15" ht="27" customHeight="1" x14ac:dyDescent="0.2">
      <c r="B24" s="626" t="s">
        <v>1310</v>
      </c>
      <c r="C24" s="650" t="s">
        <v>1313</v>
      </c>
      <c r="D24" s="650"/>
      <c r="E24" s="650"/>
      <c r="F24" s="650"/>
      <c r="G24" s="650"/>
      <c r="H24" s="650"/>
      <c r="I24" s="650"/>
      <c r="J24" s="650"/>
      <c r="K24" s="650"/>
      <c r="L24" s="650"/>
      <c r="M24" s="650"/>
      <c r="N24" s="650"/>
      <c r="O24" s="625"/>
    </row>
    <row r="25" spans="2:15" x14ac:dyDescent="0.2">
      <c r="B25" s="627"/>
      <c r="C25" s="624"/>
      <c r="D25" s="624"/>
      <c r="E25" s="624"/>
      <c r="F25" s="624"/>
      <c r="G25" s="624"/>
      <c r="H25" s="624"/>
      <c r="I25" s="624"/>
      <c r="J25" s="624"/>
      <c r="K25" s="624"/>
      <c r="L25" s="624"/>
      <c r="M25" s="624"/>
      <c r="N25" s="624"/>
      <c r="O25" s="625"/>
    </row>
    <row r="26" spans="2:15" x14ac:dyDescent="0.2">
      <c r="B26" s="617"/>
      <c r="C26" s="616"/>
      <c r="D26" s="616"/>
      <c r="E26" s="616"/>
      <c r="F26" s="616"/>
      <c r="G26" s="616"/>
      <c r="H26" s="616"/>
      <c r="I26" s="616"/>
      <c r="J26" s="616"/>
      <c r="K26" s="616"/>
      <c r="L26" s="616"/>
      <c r="M26" s="616"/>
      <c r="N26" s="44"/>
      <c r="O26" s="622"/>
    </row>
    <row r="27" spans="2:15" x14ac:dyDescent="0.2">
      <c r="B27" s="623" t="s">
        <v>1316</v>
      </c>
      <c r="C27" s="44"/>
      <c r="D27" s="44"/>
      <c r="E27" s="44"/>
      <c r="F27" s="44"/>
      <c r="G27" s="44"/>
      <c r="H27" s="44"/>
      <c r="I27" s="44"/>
      <c r="J27" s="44"/>
      <c r="K27" s="44"/>
      <c r="L27" s="44"/>
      <c r="M27" s="44"/>
      <c r="N27" s="44"/>
      <c r="O27" s="622"/>
    </row>
    <row r="28" spans="2:15" x14ac:dyDescent="0.2">
      <c r="B28" s="623"/>
      <c r="C28" s="44"/>
      <c r="D28" s="44"/>
      <c r="E28" s="44"/>
      <c r="F28" s="44"/>
      <c r="G28" s="44"/>
      <c r="H28" s="44"/>
      <c r="I28" s="44"/>
      <c r="J28" s="44"/>
      <c r="K28" s="44"/>
      <c r="L28" s="44"/>
      <c r="M28" s="44"/>
      <c r="N28" s="44"/>
      <c r="O28" s="622"/>
    </row>
    <row r="29" spans="2:15" ht="12.75" customHeight="1" x14ac:dyDescent="0.2">
      <c r="B29" s="645" t="s">
        <v>1317</v>
      </c>
      <c r="C29" s="646"/>
      <c r="D29" s="646"/>
      <c r="E29" s="646"/>
      <c r="F29" s="646"/>
      <c r="G29" s="646"/>
      <c r="H29" s="646"/>
      <c r="I29" s="646"/>
      <c r="J29" s="646"/>
      <c r="K29" s="646"/>
      <c r="L29" s="646"/>
      <c r="M29" s="646"/>
      <c r="N29" s="646"/>
      <c r="O29" s="622"/>
    </row>
    <row r="30" spans="2:15" x14ac:dyDescent="0.2">
      <c r="B30" s="617"/>
      <c r="C30" s="616"/>
      <c r="D30" s="616"/>
      <c r="E30" s="616"/>
      <c r="F30" s="616"/>
      <c r="G30" s="616"/>
      <c r="H30" s="616"/>
      <c r="I30" s="616"/>
      <c r="J30" s="616"/>
      <c r="K30" s="616"/>
      <c r="L30" s="616"/>
      <c r="M30" s="616"/>
      <c r="N30" s="44"/>
      <c r="O30" s="622"/>
    </row>
    <row r="31" spans="2:15" x14ac:dyDescent="0.2">
      <c r="B31" s="623" t="s">
        <v>1299</v>
      </c>
      <c r="C31" s="44"/>
      <c r="D31" s="44"/>
      <c r="E31" s="44"/>
      <c r="F31" s="44"/>
      <c r="G31" s="44"/>
      <c r="H31" s="44"/>
      <c r="I31" s="44"/>
      <c r="J31" s="44"/>
      <c r="K31" s="44"/>
      <c r="L31" s="44"/>
      <c r="M31" s="44"/>
      <c r="N31" s="44"/>
      <c r="O31" s="622"/>
    </row>
    <row r="32" spans="2:15" ht="15" x14ac:dyDescent="0.2">
      <c r="B32" s="628"/>
      <c r="C32" s="44"/>
      <c r="D32" s="44"/>
      <c r="E32" s="44"/>
      <c r="F32" s="44"/>
      <c r="G32" s="44"/>
      <c r="H32" s="44"/>
      <c r="I32" s="44"/>
      <c r="J32" s="44"/>
      <c r="K32" s="44"/>
      <c r="L32" s="44"/>
      <c r="M32" s="44"/>
      <c r="N32" s="44"/>
      <c r="O32" s="622"/>
    </row>
    <row r="33" spans="2:15" x14ac:dyDescent="0.2">
      <c r="B33" s="641" t="s">
        <v>1318</v>
      </c>
      <c r="C33" s="642"/>
      <c r="D33" s="642"/>
      <c r="E33" s="642"/>
      <c r="F33" s="642"/>
      <c r="G33" s="642"/>
      <c r="H33" s="642"/>
      <c r="I33" s="642"/>
      <c r="J33" s="642"/>
      <c r="K33" s="642"/>
      <c r="L33" s="642"/>
      <c r="M33" s="642"/>
      <c r="N33" s="642"/>
      <c r="O33" s="643"/>
    </row>
    <row r="34" spans="2:15" ht="27" customHeight="1" x14ac:dyDescent="0.2">
      <c r="B34" s="644"/>
      <c r="C34" s="642"/>
      <c r="D34" s="642"/>
      <c r="E34" s="642"/>
      <c r="F34" s="642"/>
      <c r="G34" s="642"/>
      <c r="H34" s="642"/>
      <c r="I34" s="642"/>
      <c r="J34" s="642"/>
      <c r="K34" s="642"/>
      <c r="L34" s="642"/>
      <c r="M34" s="642"/>
      <c r="N34" s="642"/>
      <c r="O34" s="643"/>
    </row>
    <row r="35" spans="2:15" x14ac:dyDescent="0.2">
      <c r="B35" s="621"/>
      <c r="C35" s="44"/>
      <c r="D35" s="44"/>
      <c r="E35" s="44"/>
      <c r="F35" s="44"/>
      <c r="G35" s="44"/>
      <c r="H35" s="44"/>
      <c r="I35" s="44"/>
      <c r="J35" s="44"/>
      <c r="K35" s="44"/>
      <c r="L35" s="44"/>
      <c r="M35" s="44"/>
      <c r="N35" s="44"/>
      <c r="O35" s="622"/>
    </row>
    <row r="36" spans="2:15" x14ac:dyDescent="0.2">
      <c r="B36" s="623" t="s">
        <v>1300</v>
      </c>
      <c r="C36" s="44"/>
      <c r="D36" s="44"/>
      <c r="E36" s="44"/>
      <c r="F36" s="44"/>
      <c r="G36" s="44"/>
      <c r="H36" s="44"/>
      <c r="I36" s="44"/>
      <c r="J36" s="44"/>
      <c r="K36" s="44"/>
      <c r="L36" s="44"/>
      <c r="M36" s="44"/>
      <c r="N36" s="44"/>
      <c r="O36" s="622"/>
    </row>
    <row r="37" spans="2:15" x14ac:dyDescent="0.2">
      <c r="B37" s="621"/>
      <c r="C37" s="44"/>
      <c r="D37" s="44"/>
      <c r="E37" s="44"/>
      <c r="F37" s="44"/>
      <c r="G37" s="44"/>
      <c r="H37" s="44"/>
      <c r="I37" s="44"/>
      <c r="J37" s="44"/>
      <c r="K37" s="44"/>
      <c r="L37" s="44"/>
      <c r="M37" s="44"/>
      <c r="N37" s="44"/>
      <c r="O37" s="622"/>
    </row>
    <row r="38" spans="2:15" x14ac:dyDescent="0.2">
      <c r="B38" s="629" t="s">
        <v>1301</v>
      </c>
      <c r="C38" s="44"/>
      <c r="D38" s="44"/>
      <c r="E38" s="44"/>
      <c r="F38" s="44"/>
      <c r="G38" s="44"/>
      <c r="H38" s="44"/>
      <c r="I38" s="44"/>
      <c r="J38" s="44"/>
      <c r="K38" s="44"/>
      <c r="L38" s="44"/>
      <c r="M38" s="44"/>
      <c r="N38" s="44"/>
      <c r="O38" s="622"/>
    </row>
    <row r="39" spans="2:15" x14ac:dyDescent="0.2">
      <c r="B39" s="621"/>
      <c r="C39" s="44"/>
      <c r="D39" s="44"/>
      <c r="E39" s="44"/>
      <c r="F39" s="44"/>
      <c r="G39" s="44"/>
      <c r="H39" s="44"/>
      <c r="I39" s="44"/>
      <c r="J39" s="44"/>
      <c r="K39" s="44"/>
      <c r="L39" s="44"/>
      <c r="M39" s="44"/>
      <c r="N39" s="44"/>
      <c r="O39" s="622"/>
    </row>
    <row r="40" spans="2:15" x14ac:dyDescent="0.2">
      <c r="B40" s="623" t="s">
        <v>1322</v>
      </c>
      <c r="C40" s="44"/>
      <c r="D40" s="44"/>
      <c r="E40" s="44"/>
      <c r="F40" s="44"/>
      <c r="G40" s="44"/>
      <c r="H40" s="44"/>
      <c r="I40" s="44"/>
      <c r="J40" s="44"/>
      <c r="K40" s="44"/>
      <c r="L40" s="44"/>
      <c r="M40" s="44"/>
      <c r="N40" s="44"/>
      <c r="O40" s="622"/>
    </row>
    <row r="41" spans="2:15" x14ac:dyDescent="0.2">
      <c r="B41" s="629" t="s">
        <v>1319</v>
      </c>
      <c r="C41" s="44"/>
      <c r="D41" s="44"/>
      <c r="E41" s="44"/>
      <c r="F41" s="44"/>
      <c r="G41" s="44"/>
      <c r="H41" s="44"/>
      <c r="I41" s="44"/>
      <c r="J41" s="44"/>
      <c r="K41" s="44"/>
      <c r="L41" s="44"/>
      <c r="M41" s="44"/>
      <c r="N41" s="44"/>
      <c r="O41" s="622"/>
    </row>
    <row r="42" spans="2:15" ht="13.5" thickBot="1" x14ac:dyDescent="0.25">
      <c r="B42" s="630"/>
      <c r="C42" s="631"/>
      <c r="D42" s="631"/>
      <c r="E42" s="631"/>
      <c r="F42" s="631"/>
      <c r="G42" s="631"/>
      <c r="H42" s="631"/>
      <c r="I42" s="631"/>
      <c r="J42" s="631"/>
      <c r="K42" s="631"/>
      <c r="L42" s="631"/>
      <c r="M42" s="631"/>
      <c r="N42" s="631"/>
      <c r="O42" s="632"/>
    </row>
  </sheetData>
  <mergeCells count="11">
    <mergeCell ref="B33:O34"/>
    <mergeCell ref="B11:N11"/>
    <mergeCell ref="B13:N13"/>
    <mergeCell ref="B14:N14"/>
    <mergeCell ref="B15:N15"/>
    <mergeCell ref="C16:N16"/>
    <mergeCell ref="C24:N24"/>
    <mergeCell ref="C22:N22"/>
    <mergeCell ref="C20:N20"/>
    <mergeCell ref="C18:N18"/>
    <mergeCell ref="B29:N29"/>
  </mergeCells>
  <hyperlinks>
    <hyperlink ref="B14" r:id="rId1"/>
    <hyperlink ref="B24" location="'Part 5'!Print_Area" display="Part 5 –"/>
    <hyperlink ref="B22" location="'Part 4'!A1" display="Part 4 –"/>
    <hyperlink ref="B20" location="'Part 3'!A1" display="Part 3 –"/>
    <hyperlink ref="B18" location="'Part 2'!A1" display="Part 2 –"/>
    <hyperlink ref="B16" location="'Part 1'!A1" display="Part 1 – "/>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33"/>
  <sheetViews>
    <sheetView workbookViewId="0"/>
  </sheetViews>
  <sheetFormatPr defaultRowHeight="12.75" x14ac:dyDescent="0.2"/>
  <cols>
    <col min="1" max="1" width="4.28515625" style="214" customWidth="1"/>
    <col min="2" max="2" width="8.42578125" customWidth="1"/>
    <col min="3" max="3" width="27.7109375" customWidth="1"/>
    <col min="4" max="4" width="14.140625" style="633" customWidth="1"/>
    <col min="5" max="5" width="11.7109375" style="633" customWidth="1"/>
    <col min="6" max="6" width="14.42578125" style="633" customWidth="1"/>
    <col min="7" max="7" width="10" style="633" customWidth="1"/>
    <col min="8" max="8" width="9.42578125" style="633" bestFit="1" customWidth="1"/>
    <col min="9" max="9" width="9.7109375" style="633" bestFit="1" customWidth="1"/>
    <col min="10" max="10" width="12" style="633" customWidth="1"/>
    <col min="11" max="11" width="9.42578125" style="633" bestFit="1" customWidth="1"/>
    <col min="12" max="12" width="11.5703125" style="633" customWidth="1"/>
    <col min="13" max="13" width="14.5703125" style="633" customWidth="1"/>
    <col min="14" max="14" width="9.42578125" style="633" bestFit="1" customWidth="1"/>
    <col min="15" max="15" width="11" style="633" customWidth="1"/>
    <col min="16" max="16" width="11.42578125" style="633" customWidth="1"/>
    <col min="17" max="17" width="9.42578125" style="633" bestFit="1" customWidth="1"/>
    <col min="18" max="18" width="13.85546875" style="633" customWidth="1"/>
    <col min="19" max="19" width="14" style="633" customWidth="1"/>
    <col min="20" max="20" width="9.42578125" style="633" bestFit="1" customWidth="1"/>
    <col min="21" max="21" width="11.28515625" style="633" customWidth="1"/>
    <col min="22" max="22" width="13.42578125" style="633" customWidth="1"/>
    <col min="23" max="23" width="9.7109375" style="633" bestFit="1" customWidth="1"/>
    <col min="24" max="24" width="13.28515625" style="633" customWidth="1"/>
    <col min="25" max="25" width="14.140625" style="633" customWidth="1"/>
    <col min="26" max="26" width="11.5703125" style="633" customWidth="1"/>
    <col min="27" max="27" width="13.85546875" style="633" bestFit="1" customWidth="1"/>
    <col min="28" max="28" width="11.28515625" style="633" customWidth="1"/>
    <col min="29" max="30" width="10.140625" style="633" bestFit="1" customWidth="1"/>
    <col min="31" max="31" width="10.7109375" style="633" customWidth="1"/>
    <col min="32" max="32" width="10.140625" style="633" bestFit="1" customWidth="1"/>
    <col min="33" max="34" width="9.42578125" style="633" bestFit="1" customWidth="1"/>
    <col min="35" max="35" width="13" style="633" customWidth="1"/>
    <col min="36" max="37" width="9.42578125" style="633" bestFit="1" customWidth="1"/>
    <col min="38" max="38" width="11.140625" style="633" customWidth="1"/>
    <col min="39" max="39" width="10.140625" style="633" bestFit="1" customWidth="1"/>
    <col min="40" max="40" width="12" style="633" customWidth="1"/>
    <col min="41" max="41" width="10.140625" style="633" bestFit="1" customWidth="1"/>
    <col min="42" max="42" width="9.42578125" style="633" bestFit="1" customWidth="1"/>
    <col min="43" max="43" width="17.5703125" style="633" customWidth="1"/>
    <col min="44" max="44" width="14.5703125" style="633" customWidth="1"/>
    <col min="45" max="45" width="33.140625" style="214" customWidth="1"/>
    <col min="46" max="46" width="27.28515625" style="214" customWidth="1"/>
    <col min="47" max="47" width="30.42578125" style="214" customWidth="1"/>
    <col min="48" max="48" width="28.140625" style="214" customWidth="1"/>
    <col min="49" max="49" width="27.85546875" style="214" customWidth="1"/>
    <col min="50" max="16384" width="9.140625" style="214"/>
  </cols>
  <sheetData>
    <row r="1" spans="2:50" x14ac:dyDescent="0.2">
      <c r="B1" s="214"/>
      <c r="C1" s="214"/>
      <c r="D1" s="633">
        <v>3</v>
      </c>
      <c r="E1" s="633">
        <v>4</v>
      </c>
      <c r="F1" s="633">
        <v>5</v>
      </c>
      <c r="G1" s="633">
        <v>6</v>
      </c>
      <c r="H1" s="633">
        <v>7</v>
      </c>
      <c r="I1" s="633">
        <v>8</v>
      </c>
      <c r="J1" s="633">
        <v>9</v>
      </c>
      <c r="K1" s="633">
        <v>10</v>
      </c>
      <c r="L1" s="633">
        <v>11</v>
      </c>
      <c r="M1" s="633">
        <v>12</v>
      </c>
      <c r="N1" s="633">
        <v>13</v>
      </c>
      <c r="O1" s="633">
        <v>14</v>
      </c>
      <c r="P1" s="633">
        <v>15</v>
      </c>
      <c r="Q1" s="633">
        <v>16</v>
      </c>
      <c r="R1" s="633">
        <v>17</v>
      </c>
      <c r="S1" s="633">
        <v>18</v>
      </c>
      <c r="T1" s="633">
        <v>19</v>
      </c>
      <c r="U1" s="633">
        <v>20</v>
      </c>
      <c r="V1" s="633">
        <v>21</v>
      </c>
      <c r="W1" s="633">
        <v>22</v>
      </c>
      <c r="X1" s="633">
        <v>23</v>
      </c>
      <c r="Y1" s="633">
        <v>24</v>
      </c>
      <c r="Z1" s="633">
        <v>25</v>
      </c>
      <c r="AA1" s="633">
        <v>26</v>
      </c>
      <c r="AB1" s="633">
        <v>27</v>
      </c>
      <c r="AC1" s="633">
        <v>28</v>
      </c>
      <c r="AD1" s="633">
        <v>29</v>
      </c>
      <c r="AE1" s="633">
        <v>30</v>
      </c>
      <c r="AF1" s="633">
        <v>31</v>
      </c>
      <c r="AG1" s="633">
        <v>32</v>
      </c>
      <c r="AH1" s="633">
        <v>33</v>
      </c>
      <c r="AI1" s="633">
        <v>34</v>
      </c>
      <c r="AJ1" s="633">
        <v>35</v>
      </c>
      <c r="AK1" s="633">
        <v>36</v>
      </c>
      <c r="AL1" s="633">
        <v>37</v>
      </c>
      <c r="AM1" s="633">
        <v>38</v>
      </c>
      <c r="AN1" s="633">
        <v>39</v>
      </c>
      <c r="AO1" s="633">
        <v>40</v>
      </c>
      <c r="AP1" s="633">
        <v>41</v>
      </c>
      <c r="AQ1" s="633">
        <v>42</v>
      </c>
      <c r="AR1" s="633">
        <v>43</v>
      </c>
      <c r="AS1" s="214">
        <v>44</v>
      </c>
      <c r="AT1" s="214">
        <v>45</v>
      </c>
      <c r="AU1" s="214">
        <v>46</v>
      </c>
      <c r="AV1" s="214">
        <v>47</v>
      </c>
      <c r="AW1" s="214">
        <v>48</v>
      </c>
    </row>
    <row r="2" spans="2:50" s="609" customFormat="1" ht="41.25" customHeight="1" x14ac:dyDescent="0.2">
      <c r="B2" s="635"/>
      <c r="C2" s="611"/>
      <c r="D2" s="808" t="s">
        <v>1145</v>
      </c>
      <c r="E2" s="808"/>
      <c r="F2" s="808"/>
      <c r="G2" s="808" t="s">
        <v>1146</v>
      </c>
      <c r="H2" s="808"/>
      <c r="I2" s="808"/>
      <c r="J2" s="808" t="s">
        <v>1147</v>
      </c>
      <c r="K2" s="808"/>
      <c r="L2" s="808"/>
      <c r="M2" s="808" t="s">
        <v>1148</v>
      </c>
      <c r="N2" s="808"/>
      <c r="O2" s="808"/>
      <c r="P2" s="808" t="s">
        <v>1149</v>
      </c>
      <c r="Q2" s="808"/>
      <c r="R2" s="808"/>
      <c r="S2" s="808" t="s">
        <v>1150</v>
      </c>
      <c r="T2" s="808"/>
      <c r="U2" s="808"/>
      <c r="V2" s="808" t="s">
        <v>1151</v>
      </c>
      <c r="W2" s="808"/>
      <c r="X2" s="808"/>
      <c r="Y2" s="808" t="s">
        <v>1152</v>
      </c>
      <c r="Z2" s="808"/>
      <c r="AA2" s="808"/>
      <c r="AB2" s="808" t="s">
        <v>1152</v>
      </c>
      <c r="AC2" s="808"/>
      <c r="AD2" s="808"/>
      <c r="AE2" s="808" t="s">
        <v>1153</v>
      </c>
      <c r="AF2" s="808"/>
      <c r="AG2" s="808"/>
      <c r="AH2" s="808"/>
      <c r="AI2" s="808" t="s">
        <v>1154</v>
      </c>
      <c r="AJ2" s="808"/>
      <c r="AK2" s="808"/>
      <c r="AL2" s="808" t="s">
        <v>1155</v>
      </c>
      <c r="AM2" s="808"/>
      <c r="AN2" s="808" t="s">
        <v>1156</v>
      </c>
      <c r="AO2" s="808"/>
      <c r="AP2" s="808"/>
      <c r="AQ2" s="613" t="s">
        <v>1157</v>
      </c>
      <c r="AR2" s="613" t="s">
        <v>1158</v>
      </c>
    </row>
    <row r="3" spans="2:50" x14ac:dyDescent="0.2">
      <c r="B3" s="214"/>
      <c r="C3" s="214" t="s">
        <v>1128</v>
      </c>
      <c r="D3" s="633">
        <v>1</v>
      </c>
      <c r="G3" s="633">
        <v>2</v>
      </c>
      <c r="J3" s="633">
        <v>3</v>
      </c>
      <c r="M3" s="633">
        <v>4</v>
      </c>
      <c r="P3" s="633">
        <v>5</v>
      </c>
      <c r="S3" s="633">
        <v>6</v>
      </c>
      <c r="V3" s="633">
        <v>7</v>
      </c>
      <c r="Y3" s="633">
        <v>8</v>
      </c>
      <c r="AB3" s="633">
        <v>9</v>
      </c>
      <c r="AE3" s="633">
        <v>10</v>
      </c>
      <c r="AI3" s="633">
        <v>11</v>
      </c>
      <c r="AL3" s="633">
        <v>12</v>
      </c>
      <c r="AN3" s="633">
        <v>13</v>
      </c>
      <c r="AQ3" s="633">
        <v>14</v>
      </c>
      <c r="AR3" s="633">
        <v>15</v>
      </c>
    </row>
    <row r="4" spans="2:50" x14ac:dyDescent="0.2">
      <c r="B4" s="214"/>
      <c r="C4" s="214" t="s">
        <v>1141</v>
      </c>
      <c r="D4" s="633">
        <v>1</v>
      </c>
      <c r="E4" s="633">
        <v>2</v>
      </c>
      <c r="F4" s="633">
        <v>3</v>
      </c>
      <c r="G4" s="633">
        <v>1</v>
      </c>
      <c r="H4" s="633">
        <v>2</v>
      </c>
      <c r="I4" s="633">
        <v>3</v>
      </c>
      <c r="J4" s="633">
        <v>1</v>
      </c>
      <c r="K4" s="633">
        <v>2</v>
      </c>
      <c r="L4" s="633">
        <v>3</v>
      </c>
      <c r="M4" s="633">
        <v>1</v>
      </c>
      <c r="N4" s="633">
        <v>2</v>
      </c>
      <c r="O4" s="633">
        <v>3</v>
      </c>
      <c r="P4" s="633">
        <v>1</v>
      </c>
      <c r="Q4" s="633">
        <v>2</v>
      </c>
      <c r="R4" s="633">
        <v>3</v>
      </c>
      <c r="S4" s="633">
        <v>1</v>
      </c>
      <c r="T4" s="633">
        <v>2</v>
      </c>
      <c r="U4" s="633">
        <v>3</v>
      </c>
      <c r="V4" s="633">
        <v>1</v>
      </c>
      <c r="W4" s="633">
        <v>2</v>
      </c>
      <c r="X4" s="633">
        <v>3</v>
      </c>
      <c r="Y4" s="633">
        <v>1</v>
      </c>
      <c r="Z4" s="633">
        <v>2</v>
      </c>
      <c r="AA4" s="633">
        <v>3</v>
      </c>
      <c r="AB4" s="633">
        <v>2</v>
      </c>
      <c r="AC4" s="633">
        <v>4</v>
      </c>
      <c r="AD4" s="633">
        <v>5</v>
      </c>
      <c r="AE4" s="633">
        <v>1</v>
      </c>
      <c r="AF4" s="633">
        <v>3</v>
      </c>
      <c r="AG4" s="633">
        <v>4</v>
      </c>
      <c r="AH4" s="633">
        <v>5</v>
      </c>
      <c r="AI4" s="633">
        <v>3</v>
      </c>
      <c r="AJ4" s="633">
        <v>4</v>
      </c>
      <c r="AK4" s="633">
        <v>5</v>
      </c>
      <c r="AL4" s="633">
        <v>4</v>
      </c>
      <c r="AM4" s="633">
        <v>5</v>
      </c>
      <c r="AN4" s="633">
        <v>2</v>
      </c>
      <c r="AO4" s="633">
        <v>4</v>
      </c>
      <c r="AP4" s="633">
        <v>5</v>
      </c>
      <c r="AQ4" s="633">
        <v>3</v>
      </c>
      <c r="AR4" s="633">
        <v>3</v>
      </c>
    </row>
    <row r="5" spans="2:50" s="635" customFormat="1" x14ac:dyDescent="0.2">
      <c r="B5" s="635" t="s">
        <v>1142</v>
      </c>
      <c r="C5" s="635" t="s">
        <v>1143</v>
      </c>
      <c r="D5" s="640"/>
      <c r="E5" s="640"/>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40"/>
      <c r="AP5" s="640"/>
      <c r="AQ5" s="640"/>
      <c r="AR5" s="640"/>
      <c r="AS5" s="635" t="s">
        <v>21</v>
      </c>
      <c r="AT5" s="635" t="s">
        <v>1280</v>
      </c>
      <c r="AU5" s="635" t="s">
        <v>1281</v>
      </c>
      <c r="AV5" s="635" t="s">
        <v>1282</v>
      </c>
      <c r="AW5" s="635" t="s">
        <v>1283</v>
      </c>
      <c r="AX5" s="635" t="s">
        <v>1293</v>
      </c>
    </row>
    <row r="6" spans="2:50" x14ac:dyDescent="0.2">
      <c r="B6" s="610" t="s">
        <v>95</v>
      </c>
      <c r="C6" s="610" t="s">
        <v>94</v>
      </c>
      <c r="D6" s="239">
        <v>19201042</v>
      </c>
      <c r="E6" s="239">
        <v>0</v>
      </c>
      <c r="F6" s="239">
        <v>19201042</v>
      </c>
      <c r="G6" s="239">
        <v>0</v>
      </c>
      <c r="H6" s="239">
        <v>0</v>
      </c>
      <c r="I6" s="239">
        <v>0</v>
      </c>
      <c r="J6" s="239">
        <v>-56677</v>
      </c>
      <c r="K6" s="239">
        <v>0</v>
      </c>
      <c r="L6" s="239">
        <v>-56677</v>
      </c>
      <c r="M6" s="239">
        <v>0</v>
      </c>
      <c r="N6" s="239">
        <v>0</v>
      </c>
      <c r="O6" s="239">
        <v>0</v>
      </c>
      <c r="P6" s="239">
        <v>-107109</v>
      </c>
      <c r="Q6" s="239">
        <v>0</v>
      </c>
      <c r="R6" s="239">
        <v>-107109</v>
      </c>
      <c r="S6" s="239">
        <v>151755</v>
      </c>
      <c r="T6" s="239">
        <v>0</v>
      </c>
      <c r="U6" s="239">
        <v>151755</v>
      </c>
      <c r="V6" s="239">
        <v>-903941</v>
      </c>
      <c r="W6" s="239">
        <v>0</v>
      </c>
      <c r="X6" s="239">
        <v>-903941</v>
      </c>
      <c r="Y6" s="239">
        <v>18341747</v>
      </c>
      <c r="Z6" s="239">
        <v>0</v>
      </c>
      <c r="AA6" s="239">
        <v>18341747</v>
      </c>
      <c r="AB6" s="239">
        <v>0</v>
      </c>
      <c r="AC6" s="239">
        <v>0</v>
      </c>
      <c r="AD6" s="239">
        <v>0</v>
      </c>
      <c r="AE6" s="239">
        <v>0</v>
      </c>
      <c r="AF6" s="239">
        <v>0</v>
      </c>
      <c r="AG6" s="239">
        <v>0</v>
      </c>
      <c r="AH6" s="239">
        <v>0</v>
      </c>
      <c r="AI6" s="239">
        <v>0</v>
      </c>
      <c r="AJ6" s="239">
        <v>0</v>
      </c>
      <c r="AK6" s="239">
        <v>0</v>
      </c>
      <c r="AL6" s="239">
        <v>0</v>
      </c>
      <c r="AM6" s="239">
        <v>0</v>
      </c>
      <c r="AN6" s="239">
        <v>0</v>
      </c>
      <c r="AO6" s="239">
        <v>0</v>
      </c>
      <c r="AP6" s="239">
        <v>0</v>
      </c>
      <c r="AQ6" s="239">
        <v>589345</v>
      </c>
      <c r="AR6" s="239">
        <v>-45097</v>
      </c>
      <c r="AS6" s="214" t="s">
        <v>94</v>
      </c>
      <c r="AT6" s="214" t="s">
        <v>764</v>
      </c>
      <c r="AU6" s="214" t="s">
        <v>763</v>
      </c>
      <c r="AV6" s="214" t="s">
        <v>1088</v>
      </c>
      <c r="AW6" s="214" t="s">
        <v>1088</v>
      </c>
      <c r="AX6" s="214" t="s">
        <v>1294</v>
      </c>
    </row>
    <row r="7" spans="2:50" x14ac:dyDescent="0.2">
      <c r="B7" s="610" t="s">
        <v>97</v>
      </c>
      <c r="C7" s="610" t="s">
        <v>96</v>
      </c>
      <c r="D7" s="239">
        <v>26380597</v>
      </c>
      <c r="E7" s="239">
        <v>0</v>
      </c>
      <c r="F7" s="239">
        <v>26380597</v>
      </c>
      <c r="G7" s="239">
        <v>0</v>
      </c>
      <c r="H7" s="239">
        <v>0</v>
      </c>
      <c r="I7" s="239">
        <v>0</v>
      </c>
      <c r="J7" s="239">
        <v>-111652</v>
      </c>
      <c r="K7" s="239">
        <v>0</v>
      </c>
      <c r="L7" s="239">
        <v>-111652</v>
      </c>
      <c r="M7" s="239">
        <v>0</v>
      </c>
      <c r="N7" s="239">
        <v>0</v>
      </c>
      <c r="O7" s="239">
        <v>0</v>
      </c>
      <c r="P7" s="239">
        <v>-140198</v>
      </c>
      <c r="Q7" s="239">
        <v>0</v>
      </c>
      <c r="R7" s="239">
        <v>-140198</v>
      </c>
      <c r="S7" s="239">
        <v>1465744</v>
      </c>
      <c r="T7" s="239">
        <v>0</v>
      </c>
      <c r="U7" s="239">
        <v>1465744</v>
      </c>
      <c r="V7" s="239">
        <v>-1453299</v>
      </c>
      <c r="W7" s="239">
        <v>0</v>
      </c>
      <c r="X7" s="239">
        <v>-1453299</v>
      </c>
      <c r="Y7" s="239">
        <v>26252844</v>
      </c>
      <c r="Z7" s="239">
        <v>0</v>
      </c>
      <c r="AA7" s="239">
        <v>26252844</v>
      </c>
      <c r="AB7" s="239">
        <v>0</v>
      </c>
      <c r="AC7" s="239">
        <v>0</v>
      </c>
      <c r="AD7" s="239">
        <v>0</v>
      </c>
      <c r="AE7" s="239">
        <v>420937</v>
      </c>
      <c r="AF7" s="239">
        <v>420937</v>
      </c>
      <c r="AG7" s="239">
        <v>0</v>
      </c>
      <c r="AH7" s="239">
        <v>0</v>
      </c>
      <c r="AI7" s="239">
        <v>0</v>
      </c>
      <c r="AJ7" s="239">
        <v>0</v>
      </c>
      <c r="AK7" s="239">
        <v>0</v>
      </c>
      <c r="AL7" s="239">
        <v>0</v>
      </c>
      <c r="AM7" s="239">
        <v>0</v>
      </c>
      <c r="AN7" s="239">
        <v>0</v>
      </c>
      <c r="AO7" s="239">
        <v>0</v>
      </c>
      <c r="AP7" s="239">
        <v>0</v>
      </c>
      <c r="AQ7" s="239">
        <v>989105</v>
      </c>
      <c r="AR7" s="239">
        <v>-319616</v>
      </c>
      <c r="AS7" s="214" t="s">
        <v>96</v>
      </c>
      <c r="AT7" s="214" t="s">
        <v>851</v>
      </c>
      <c r="AU7" s="214" t="s">
        <v>763</v>
      </c>
      <c r="AV7" s="214" t="s">
        <v>1088</v>
      </c>
      <c r="AW7" s="214" t="s">
        <v>1088</v>
      </c>
      <c r="AX7" s="214" t="s">
        <v>1294</v>
      </c>
    </row>
    <row r="8" spans="2:50" x14ac:dyDescent="0.2">
      <c r="B8" s="610" t="s">
        <v>99</v>
      </c>
      <c r="C8" s="610" t="s">
        <v>98</v>
      </c>
      <c r="D8" s="239">
        <v>31485373</v>
      </c>
      <c r="E8" s="239">
        <v>0</v>
      </c>
      <c r="F8" s="239">
        <v>31485373</v>
      </c>
      <c r="G8" s="239">
        <v>0</v>
      </c>
      <c r="H8" s="239">
        <v>0</v>
      </c>
      <c r="I8" s="239">
        <v>0</v>
      </c>
      <c r="J8" s="239">
        <v>-127316</v>
      </c>
      <c r="K8" s="239">
        <v>0</v>
      </c>
      <c r="L8" s="239">
        <v>-127316</v>
      </c>
      <c r="M8" s="239">
        <v>0</v>
      </c>
      <c r="N8" s="239">
        <v>0</v>
      </c>
      <c r="O8" s="239">
        <v>0</v>
      </c>
      <c r="P8" s="239">
        <v>-72316</v>
      </c>
      <c r="Q8" s="239">
        <v>0</v>
      </c>
      <c r="R8" s="239">
        <v>-72316</v>
      </c>
      <c r="S8" s="239">
        <v>87209</v>
      </c>
      <c r="T8" s="239">
        <v>0</v>
      </c>
      <c r="U8" s="239">
        <v>87209</v>
      </c>
      <c r="V8" s="239">
        <v>-787209</v>
      </c>
      <c r="W8" s="239">
        <v>0</v>
      </c>
      <c r="X8" s="239">
        <v>-787209</v>
      </c>
      <c r="Y8" s="239">
        <v>30713057</v>
      </c>
      <c r="Z8" s="239">
        <v>0</v>
      </c>
      <c r="AA8" s="239">
        <v>30713057</v>
      </c>
      <c r="AB8" s="239">
        <v>0</v>
      </c>
      <c r="AC8" s="239">
        <v>0</v>
      </c>
      <c r="AD8" s="239">
        <v>0</v>
      </c>
      <c r="AE8" s="239">
        <v>0</v>
      </c>
      <c r="AF8" s="239">
        <v>0</v>
      </c>
      <c r="AG8" s="239">
        <v>0</v>
      </c>
      <c r="AH8" s="239">
        <v>0</v>
      </c>
      <c r="AI8" s="239">
        <v>0</v>
      </c>
      <c r="AJ8" s="239">
        <v>0</v>
      </c>
      <c r="AK8" s="239">
        <v>0</v>
      </c>
      <c r="AL8" s="239">
        <v>0</v>
      </c>
      <c r="AM8" s="239">
        <v>0</v>
      </c>
      <c r="AN8" s="239">
        <v>0</v>
      </c>
      <c r="AO8" s="239">
        <v>0</v>
      </c>
      <c r="AP8" s="239">
        <v>0</v>
      </c>
      <c r="AQ8" s="239">
        <v>400966</v>
      </c>
      <c r="AR8" s="239">
        <v>-750782</v>
      </c>
      <c r="AS8" s="214" t="s">
        <v>98</v>
      </c>
      <c r="AT8" s="214" t="s">
        <v>858</v>
      </c>
      <c r="AU8" s="214" t="s">
        <v>856</v>
      </c>
      <c r="AV8" s="214" t="s">
        <v>1088</v>
      </c>
      <c r="AW8" s="214" t="s">
        <v>1088</v>
      </c>
      <c r="AX8" s="214" t="s">
        <v>1294</v>
      </c>
    </row>
    <row r="9" spans="2:50" x14ac:dyDescent="0.2">
      <c r="B9" s="610" t="s">
        <v>101</v>
      </c>
      <c r="C9" s="610" t="s">
        <v>100</v>
      </c>
      <c r="D9" s="239">
        <v>33869826</v>
      </c>
      <c r="E9" s="239">
        <v>0</v>
      </c>
      <c r="F9" s="239">
        <v>33869826</v>
      </c>
      <c r="G9" s="239">
        <v>0</v>
      </c>
      <c r="H9" s="239">
        <v>0</v>
      </c>
      <c r="I9" s="239">
        <v>0</v>
      </c>
      <c r="J9" s="239">
        <v>-179914</v>
      </c>
      <c r="K9" s="239">
        <v>0</v>
      </c>
      <c r="L9" s="239">
        <v>-179914</v>
      </c>
      <c r="M9" s="239">
        <v>0</v>
      </c>
      <c r="N9" s="239">
        <v>0</v>
      </c>
      <c r="O9" s="239">
        <v>0</v>
      </c>
      <c r="P9" s="239">
        <v>-64914</v>
      </c>
      <c r="Q9" s="239">
        <v>0</v>
      </c>
      <c r="R9" s="239">
        <v>-64914</v>
      </c>
      <c r="S9" s="239">
        <v>1110842</v>
      </c>
      <c r="T9" s="239">
        <v>0</v>
      </c>
      <c r="U9" s="239">
        <v>1110842</v>
      </c>
      <c r="V9" s="239">
        <v>-3129842</v>
      </c>
      <c r="W9" s="239">
        <v>0</v>
      </c>
      <c r="X9" s="239">
        <v>-3129842</v>
      </c>
      <c r="Y9" s="239">
        <v>31785912</v>
      </c>
      <c r="Z9" s="239">
        <v>0</v>
      </c>
      <c r="AA9" s="239">
        <v>31785912</v>
      </c>
      <c r="AB9" s="239">
        <v>0</v>
      </c>
      <c r="AC9" s="239">
        <v>0</v>
      </c>
      <c r="AD9" s="239">
        <v>0</v>
      </c>
      <c r="AE9" s="239">
        <v>0</v>
      </c>
      <c r="AF9" s="239">
        <v>0</v>
      </c>
      <c r="AG9" s="239">
        <v>0</v>
      </c>
      <c r="AH9" s="239">
        <v>0</v>
      </c>
      <c r="AI9" s="239">
        <v>0</v>
      </c>
      <c r="AJ9" s="239">
        <v>0</v>
      </c>
      <c r="AK9" s="239">
        <v>0</v>
      </c>
      <c r="AL9" s="239">
        <v>0</v>
      </c>
      <c r="AM9" s="239">
        <v>0</v>
      </c>
      <c r="AN9" s="239">
        <v>0</v>
      </c>
      <c r="AO9" s="239">
        <v>0</v>
      </c>
      <c r="AP9" s="239">
        <v>0</v>
      </c>
      <c r="AQ9" s="239">
        <v>718760</v>
      </c>
      <c r="AR9" s="239">
        <v>-605390</v>
      </c>
      <c r="AS9" s="214" t="s">
        <v>100</v>
      </c>
      <c r="AT9" s="214" t="s">
        <v>764</v>
      </c>
      <c r="AU9" s="214" t="s">
        <v>763</v>
      </c>
      <c r="AV9" s="214" t="s">
        <v>1088</v>
      </c>
      <c r="AW9" s="214" t="s">
        <v>1088</v>
      </c>
      <c r="AX9" s="214" t="s">
        <v>1294</v>
      </c>
    </row>
    <row r="10" spans="2:50" x14ac:dyDescent="0.2">
      <c r="B10" s="610" t="s">
        <v>103</v>
      </c>
      <c r="C10" s="610" t="s">
        <v>102</v>
      </c>
      <c r="D10" s="239">
        <v>33666971</v>
      </c>
      <c r="E10" s="239">
        <v>0</v>
      </c>
      <c r="F10" s="239">
        <v>33666971</v>
      </c>
      <c r="G10" s="239">
        <v>-4793</v>
      </c>
      <c r="H10" s="239">
        <v>0</v>
      </c>
      <c r="I10" s="239">
        <v>-4793</v>
      </c>
      <c r="J10" s="239">
        <v>-317097</v>
      </c>
      <c r="K10" s="239">
        <v>0</v>
      </c>
      <c r="L10" s="239">
        <v>-317097</v>
      </c>
      <c r="M10" s="239">
        <v>0</v>
      </c>
      <c r="N10" s="239">
        <v>0</v>
      </c>
      <c r="O10" s="239">
        <v>0</v>
      </c>
      <c r="P10" s="239">
        <v>-91147</v>
      </c>
      <c r="Q10" s="239">
        <v>0</v>
      </c>
      <c r="R10" s="239">
        <v>-91147</v>
      </c>
      <c r="S10" s="239">
        <v>221288</v>
      </c>
      <c r="T10" s="239">
        <v>0</v>
      </c>
      <c r="U10" s="239">
        <v>221288</v>
      </c>
      <c r="V10" s="239">
        <v>243614</v>
      </c>
      <c r="W10" s="239">
        <v>0</v>
      </c>
      <c r="X10" s="239">
        <v>243614</v>
      </c>
      <c r="Y10" s="239">
        <v>34035933</v>
      </c>
      <c r="Z10" s="239">
        <v>0</v>
      </c>
      <c r="AA10" s="239">
        <v>34035933</v>
      </c>
      <c r="AB10" s="239">
        <v>0</v>
      </c>
      <c r="AC10" s="239">
        <v>0</v>
      </c>
      <c r="AD10" s="239">
        <v>0</v>
      </c>
      <c r="AE10" s="239">
        <v>0</v>
      </c>
      <c r="AF10" s="239">
        <v>0</v>
      </c>
      <c r="AG10" s="239">
        <v>0</v>
      </c>
      <c r="AH10" s="239">
        <v>0</v>
      </c>
      <c r="AI10" s="239">
        <v>0</v>
      </c>
      <c r="AJ10" s="239">
        <v>0</v>
      </c>
      <c r="AK10" s="239">
        <v>0</v>
      </c>
      <c r="AL10" s="239">
        <v>0</v>
      </c>
      <c r="AM10" s="239">
        <v>0</v>
      </c>
      <c r="AN10" s="239">
        <v>0</v>
      </c>
      <c r="AO10" s="239">
        <v>0</v>
      </c>
      <c r="AP10" s="239">
        <v>0</v>
      </c>
      <c r="AQ10" s="239">
        <v>1537749</v>
      </c>
      <c r="AR10" s="239">
        <v>-88251</v>
      </c>
      <c r="AS10" s="214" t="s">
        <v>102</v>
      </c>
      <c r="AT10" s="214" t="s">
        <v>874</v>
      </c>
      <c r="AU10" s="214" t="s">
        <v>872</v>
      </c>
      <c r="AV10" s="214" t="s">
        <v>1088</v>
      </c>
      <c r="AW10" s="214" t="s">
        <v>1088</v>
      </c>
      <c r="AX10" s="214" t="s">
        <v>1294</v>
      </c>
    </row>
    <row r="11" spans="2:50" x14ac:dyDescent="0.2">
      <c r="B11" s="610" t="s">
        <v>105</v>
      </c>
      <c r="C11" s="610" t="s">
        <v>104</v>
      </c>
      <c r="D11" s="239">
        <v>45687215</v>
      </c>
      <c r="E11" s="239">
        <v>0</v>
      </c>
      <c r="F11" s="239">
        <v>45687215</v>
      </c>
      <c r="G11" s="239">
        <v>0</v>
      </c>
      <c r="H11" s="239">
        <v>0</v>
      </c>
      <c r="I11" s="239">
        <v>0</v>
      </c>
      <c r="J11" s="239">
        <v>-42013</v>
      </c>
      <c r="K11" s="239">
        <v>0</v>
      </c>
      <c r="L11" s="239">
        <v>-42013</v>
      </c>
      <c r="M11" s="239">
        <v>0</v>
      </c>
      <c r="N11" s="239">
        <v>0</v>
      </c>
      <c r="O11" s="239">
        <v>0</v>
      </c>
      <c r="P11" s="239">
        <v>-42311</v>
      </c>
      <c r="Q11" s="239">
        <v>0</v>
      </c>
      <c r="R11" s="239">
        <v>-42311</v>
      </c>
      <c r="S11" s="239">
        <v>1613307</v>
      </c>
      <c r="T11" s="239">
        <v>0</v>
      </c>
      <c r="U11" s="239">
        <v>1613307</v>
      </c>
      <c r="V11" s="239">
        <v>-1233134</v>
      </c>
      <c r="W11" s="239">
        <v>0</v>
      </c>
      <c r="X11" s="239">
        <v>-1233134</v>
      </c>
      <c r="Y11" s="239">
        <v>46025077</v>
      </c>
      <c r="Z11" s="239">
        <v>0</v>
      </c>
      <c r="AA11" s="239">
        <v>46025077</v>
      </c>
      <c r="AB11" s="239">
        <v>0</v>
      </c>
      <c r="AC11" s="239">
        <v>0</v>
      </c>
      <c r="AD11" s="239">
        <v>0</v>
      </c>
      <c r="AE11" s="239">
        <v>56656</v>
      </c>
      <c r="AF11" s="239">
        <v>56656</v>
      </c>
      <c r="AG11" s="239">
        <v>0</v>
      </c>
      <c r="AH11" s="239">
        <v>0</v>
      </c>
      <c r="AI11" s="239">
        <v>0</v>
      </c>
      <c r="AJ11" s="239">
        <v>0</v>
      </c>
      <c r="AK11" s="239">
        <v>0</v>
      </c>
      <c r="AL11" s="239">
        <v>0</v>
      </c>
      <c r="AM11" s="239">
        <v>0</v>
      </c>
      <c r="AN11" s="239">
        <v>0</v>
      </c>
      <c r="AO11" s="239">
        <v>0</v>
      </c>
      <c r="AP11" s="239">
        <v>0</v>
      </c>
      <c r="AQ11" s="239">
        <v>761725</v>
      </c>
      <c r="AR11" s="239">
        <v>-317067</v>
      </c>
      <c r="AS11" s="214" t="s">
        <v>104</v>
      </c>
      <c r="AT11" s="214" t="s">
        <v>826</v>
      </c>
      <c r="AU11" s="214" t="s">
        <v>824</v>
      </c>
      <c r="AV11" s="214" t="s">
        <v>1088</v>
      </c>
      <c r="AW11" s="214" t="s">
        <v>1088</v>
      </c>
      <c r="AX11" s="214" t="s">
        <v>1294</v>
      </c>
    </row>
    <row r="12" spans="2:50" x14ac:dyDescent="0.2">
      <c r="B12" s="610" t="s">
        <v>107</v>
      </c>
      <c r="C12" s="610" t="s">
        <v>106</v>
      </c>
      <c r="D12" s="239">
        <v>50519562</v>
      </c>
      <c r="E12" s="239">
        <v>0</v>
      </c>
      <c r="F12" s="239">
        <v>50519562</v>
      </c>
      <c r="G12" s="239">
        <v>-468</v>
      </c>
      <c r="H12" s="239">
        <v>0</v>
      </c>
      <c r="I12" s="239">
        <v>-468</v>
      </c>
      <c r="J12" s="239">
        <v>0</v>
      </c>
      <c r="K12" s="239">
        <v>0</v>
      </c>
      <c r="L12" s="239">
        <v>0</v>
      </c>
      <c r="M12" s="239">
        <v>-126566</v>
      </c>
      <c r="N12" s="239">
        <v>0</v>
      </c>
      <c r="O12" s="239">
        <v>-126566</v>
      </c>
      <c r="P12" s="239">
        <v>0</v>
      </c>
      <c r="Q12" s="239">
        <v>0</v>
      </c>
      <c r="R12" s="239">
        <v>0</v>
      </c>
      <c r="S12" s="239">
        <v>558698</v>
      </c>
      <c r="T12" s="239">
        <v>0</v>
      </c>
      <c r="U12" s="239">
        <v>558698</v>
      </c>
      <c r="V12" s="239">
        <v>-847072</v>
      </c>
      <c r="W12" s="239">
        <v>0</v>
      </c>
      <c r="X12" s="239">
        <v>-847072</v>
      </c>
      <c r="Y12" s="239">
        <v>50104154</v>
      </c>
      <c r="Z12" s="239">
        <v>0</v>
      </c>
      <c r="AA12" s="239">
        <v>50104154</v>
      </c>
      <c r="AB12" s="239">
        <v>0</v>
      </c>
      <c r="AC12" s="239">
        <v>0</v>
      </c>
      <c r="AD12" s="239">
        <v>0</v>
      </c>
      <c r="AE12" s="239">
        <v>0</v>
      </c>
      <c r="AF12" s="239">
        <v>0</v>
      </c>
      <c r="AG12" s="239">
        <v>0</v>
      </c>
      <c r="AH12" s="239">
        <v>0</v>
      </c>
      <c r="AI12" s="239">
        <v>0</v>
      </c>
      <c r="AJ12" s="239">
        <v>0</v>
      </c>
      <c r="AK12" s="239">
        <v>0</v>
      </c>
      <c r="AL12" s="239">
        <v>0</v>
      </c>
      <c r="AM12" s="239">
        <v>0</v>
      </c>
      <c r="AN12" s="239">
        <v>0</v>
      </c>
      <c r="AO12" s="239">
        <v>0</v>
      </c>
      <c r="AP12" s="239">
        <v>0</v>
      </c>
      <c r="AQ12" s="239">
        <v>159997</v>
      </c>
      <c r="AR12" s="239">
        <v>-1125382</v>
      </c>
      <c r="AS12" s="214" t="s">
        <v>106</v>
      </c>
      <c r="AT12" s="214" t="s">
        <v>761</v>
      </c>
      <c r="AU12" s="214" t="s">
        <v>759</v>
      </c>
      <c r="AV12" s="214" t="s">
        <v>1088</v>
      </c>
      <c r="AW12" s="214" t="s">
        <v>1088</v>
      </c>
      <c r="AX12" s="214" t="s">
        <v>1294</v>
      </c>
    </row>
    <row r="13" spans="2:50" x14ac:dyDescent="0.2">
      <c r="B13" s="610" t="s">
        <v>109</v>
      </c>
      <c r="C13" s="610" t="s">
        <v>108</v>
      </c>
      <c r="D13" s="239">
        <v>23155401</v>
      </c>
      <c r="E13" s="239">
        <v>0</v>
      </c>
      <c r="F13" s="239">
        <v>23155401</v>
      </c>
      <c r="G13" s="239">
        <v>0</v>
      </c>
      <c r="H13" s="239">
        <v>0</v>
      </c>
      <c r="I13" s="239">
        <v>0</v>
      </c>
      <c r="J13" s="239">
        <v>-262623</v>
      </c>
      <c r="K13" s="239">
        <v>0</v>
      </c>
      <c r="L13" s="239">
        <v>-262623</v>
      </c>
      <c r="M13" s="239">
        <v>0</v>
      </c>
      <c r="N13" s="239">
        <v>0</v>
      </c>
      <c r="O13" s="239">
        <v>0</v>
      </c>
      <c r="P13" s="239">
        <v>-291102</v>
      </c>
      <c r="Q13" s="239">
        <v>0</v>
      </c>
      <c r="R13" s="239">
        <v>-291102</v>
      </c>
      <c r="S13" s="239">
        <v>51061</v>
      </c>
      <c r="T13" s="239">
        <v>0</v>
      </c>
      <c r="U13" s="239">
        <v>51061</v>
      </c>
      <c r="V13" s="239">
        <v>-842161</v>
      </c>
      <c r="W13" s="239">
        <v>0</v>
      </c>
      <c r="X13" s="239">
        <v>-842161</v>
      </c>
      <c r="Y13" s="239">
        <v>22073199</v>
      </c>
      <c r="Z13" s="239">
        <v>0</v>
      </c>
      <c r="AA13" s="239">
        <v>22073199</v>
      </c>
      <c r="AB13" s="239">
        <v>0</v>
      </c>
      <c r="AC13" s="239">
        <v>0</v>
      </c>
      <c r="AD13" s="239">
        <v>0</v>
      </c>
      <c r="AE13" s="239">
        <v>0</v>
      </c>
      <c r="AF13" s="239">
        <v>0</v>
      </c>
      <c r="AG13" s="239">
        <v>0</v>
      </c>
      <c r="AH13" s="239">
        <v>0</v>
      </c>
      <c r="AI13" s="239">
        <v>0</v>
      </c>
      <c r="AJ13" s="239">
        <v>0</v>
      </c>
      <c r="AK13" s="239">
        <v>0</v>
      </c>
      <c r="AL13" s="239">
        <v>0</v>
      </c>
      <c r="AM13" s="239">
        <v>0</v>
      </c>
      <c r="AN13" s="239">
        <v>0</v>
      </c>
      <c r="AO13" s="239">
        <v>0</v>
      </c>
      <c r="AP13" s="239">
        <v>0</v>
      </c>
      <c r="AQ13" s="239">
        <v>664798</v>
      </c>
      <c r="AR13" s="239">
        <v>-200030</v>
      </c>
      <c r="AS13" s="214" t="s">
        <v>108</v>
      </c>
      <c r="AT13" s="214" t="s">
        <v>811</v>
      </c>
      <c r="AU13" s="214" t="s">
        <v>763</v>
      </c>
      <c r="AV13" s="214" t="s">
        <v>1088</v>
      </c>
      <c r="AW13" s="214" t="s">
        <v>1088</v>
      </c>
      <c r="AX13" s="214" t="s">
        <v>1294</v>
      </c>
    </row>
    <row r="14" spans="2:50" x14ac:dyDescent="0.2">
      <c r="B14" s="610" t="s">
        <v>111</v>
      </c>
      <c r="C14" s="610" t="s">
        <v>110</v>
      </c>
      <c r="D14" s="239">
        <v>54925976</v>
      </c>
      <c r="E14" s="239">
        <v>0</v>
      </c>
      <c r="F14" s="239">
        <v>54925976</v>
      </c>
      <c r="G14" s="239">
        <v>0</v>
      </c>
      <c r="H14" s="239">
        <v>0</v>
      </c>
      <c r="I14" s="239">
        <v>0</v>
      </c>
      <c r="J14" s="239">
        <v>0</v>
      </c>
      <c r="K14" s="239">
        <v>0</v>
      </c>
      <c r="L14" s="239">
        <v>0</v>
      </c>
      <c r="M14" s="239">
        <v>-806346</v>
      </c>
      <c r="N14" s="239">
        <v>0</v>
      </c>
      <c r="O14" s="239">
        <v>-806346</v>
      </c>
      <c r="P14" s="239">
        <v>306000</v>
      </c>
      <c r="Q14" s="239">
        <v>0</v>
      </c>
      <c r="R14" s="239">
        <v>306000</v>
      </c>
      <c r="S14" s="239">
        <v>0</v>
      </c>
      <c r="T14" s="239">
        <v>0</v>
      </c>
      <c r="U14" s="239">
        <v>0</v>
      </c>
      <c r="V14" s="239">
        <v>-3401136</v>
      </c>
      <c r="W14" s="239">
        <v>0</v>
      </c>
      <c r="X14" s="239">
        <v>-3401136</v>
      </c>
      <c r="Y14" s="239">
        <v>51024494</v>
      </c>
      <c r="Z14" s="239">
        <v>0</v>
      </c>
      <c r="AA14" s="239">
        <v>51024494</v>
      </c>
      <c r="AB14" s="239">
        <v>0</v>
      </c>
      <c r="AC14" s="239">
        <v>0</v>
      </c>
      <c r="AD14" s="239">
        <v>0</v>
      </c>
      <c r="AE14" s="239">
        <v>0</v>
      </c>
      <c r="AF14" s="239">
        <v>0</v>
      </c>
      <c r="AG14" s="239">
        <v>0</v>
      </c>
      <c r="AH14" s="239">
        <v>0</v>
      </c>
      <c r="AI14" s="239">
        <v>0</v>
      </c>
      <c r="AJ14" s="239">
        <v>0</v>
      </c>
      <c r="AK14" s="239">
        <v>0</v>
      </c>
      <c r="AL14" s="239">
        <v>0</v>
      </c>
      <c r="AM14" s="239">
        <v>0</v>
      </c>
      <c r="AN14" s="239">
        <v>0</v>
      </c>
      <c r="AO14" s="239">
        <v>0</v>
      </c>
      <c r="AP14" s="239">
        <v>0</v>
      </c>
      <c r="AQ14" s="239">
        <v>5228783</v>
      </c>
      <c r="AR14" s="239">
        <v>-571916</v>
      </c>
      <c r="AS14" s="214" t="s">
        <v>927</v>
      </c>
      <c r="AT14" s="214" t="s">
        <v>790</v>
      </c>
      <c r="AU14" s="214" t="s">
        <v>749</v>
      </c>
      <c r="AV14" s="214" t="s">
        <v>1088</v>
      </c>
      <c r="AW14" s="214" t="s">
        <v>1088</v>
      </c>
      <c r="AX14" s="214" t="s">
        <v>1295</v>
      </c>
    </row>
    <row r="15" spans="2:50" x14ac:dyDescent="0.2">
      <c r="B15" s="610" t="s">
        <v>113</v>
      </c>
      <c r="C15" s="610" t="s">
        <v>112</v>
      </c>
      <c r="D15" s="239">
        <v>108617649</v>
      </c>
      <c r="E15" s="239">
        <v>0</v>
      </c>
      <c r="F15" s="239">
        <v>108617649</v>
      </c>
      <c r="G15" s="239">
        <v>-14203</v>
      </c>
      <c r="H15" s="239">
        <v>0</v>
      </c>
      <c r="I15" s="239">
        <v>-14203</v>
      </c>
      <c r="J15" s="239">
        <v>-4926565</v>
      </c>
      <c r="K15" s="239">
        <v>0</v>
      </c>
      <c r="L15" s="239">
        <v>-4926565</v>
      </c>
      <c r="M15" s="239">
        <v>0</v>
      </c>
      <c r="N15" s="239">
        <v>0</v>
      </c>
      <c r="O15" s="239">
        <v>0</v>
      </c>
      <c r="P15" s="239">
        <v>-1543205</v>
      </c>
      <c r="Q15" s="239">
        <v>0</v>
      </c>
      <c r="R15" s="239">
        <v>-1543205</v>
      </c>
      <c r="S15" s="239">
        <v>0</v>
      </c>
      <c r="T15" s="239">
        <v>0</v>
      </c>
      <c r="U15" s="239">
        <v>0</v>
      </c>
      <c r="V15" s="239">
        <v>-1473301</v>
      </c>
      <c r="W15" s="239">
        <v>0</v>
      </c>
      <c r="X15" s="239">
        <v>-1473301</v>
      </c>
      <c r="Y15" s="239">
        <v>105586940</v>
      </c>
      <c r="Z15" s="239">
        <v>0</v>
      </c>
      <c r="AA15" s="239">
        <v>105586940</v>
      </c>
      <c r="AB15" s="239">
        <v>0</v>
      </c>
      <c r="AC15" s="239">
        <v>0</v>
      </c>
      <c r="AD15" s="239">
        <v>0</v>
      </c>
      <c r="AE15" s="239">
        <v>0</v>
      </c>
      <c r="AF15" s="239">
        <v>0</v>
      </c>
      <c r="AG15" s="239">
        <v>0</v>
      </c>
      <c r="AH15" s="239">
        <v>0</v>
      </c>
      <c r="AI15" s="239">
        <v>0</v>
      </c>
      <c r="AJ15" s="239">
        <v>0</v>
      </c>
      <c r="AK15" s="239">
        <v>0</v>
      </c>
      <c r="AL15" s="239">
        <v>0</v>
      </c>
      <c r="AM15" s="239">
        <v>0</v>
      </c>
      <c r="AN15" s="239">
        <v>0</v>
      </c>
      <c r="AO15" s="239">
        <v>0</v>
      </c>
      <c r="AP15" s="239">
        <v>0</v>
      </c>
      <c r="AQ15" s="239">
        <v>9366074</v>
      </c>
      <c r="AR15" s="239">
        <v>-3501586</v>
      </c>
      <c r="AS15" s="214" t="s">
        <v>112</v>
      </c>
      <c r="AT15" s="214" t="s">
        <v>790</v>
      </c>
      <c r="AU15" s="214" t="s">
        <v>749</v>
      </c>
      <c r="AV15" s="214" t="s">
        <v>1088</v>
      </c>
      <c r="AW15" s="214" t="s">
        <v>1088</v>
      </c>
      <c r="AX15" s="214" t="s">
        <v>1295</v>
      </c>
    </row>
    <row r="16" spans="2:50" x14ac:dyDescent="0.2">
      <c r="B16" s="610" t="s">
        <v>115</v>
      </c>
      <c r="C16" s="610" t="s">
        <v>114</v>
      </c>
      <c r="D16" s="239">
        <v>52839771</v>
      </c>
      <c r="E16" s="239">
        <v>311783</v>
      </c>
      <c r="F16" s="239">
        <v>53151554</v>
      </c>
      <c r="G16" s="239">
        <v>-24747</v>
      </c>
      <c r="H16" s="239">
        <v>0</v>
      </c>
      <c r="I16" s="239">
        <v>-24747</v>
      </c>
      <c r="J16" s="239">
        <v>-792230</v>
      </c>
      <c r="K16" s="239">
        <v>0</v>
      </c>
      <c r="L16" s="239">
        <v>-792230</v>
      </c>
      <c r="M16" s="239">
        <v>0</v>
      </c>
      <c r="N16" s="239">
        <v>0</v>
      </c>
      <c r="O16" s="239">
        <v>0</v>
      </c>
      <c r="P16" s="239">
        <v>-838232</v>
      </c>
      <c r="Q16" s="239">
        <v>0</v>
      </c>
      <c r="R16" s="239">
        <v>-838232</v>
      </c>
      <c r="S16" s="239">
        <v>2101525</v>
      </c>
      <c r="T16" s="239">
        <v>0</v>
      </c>
      <c r="U16" s="239">
        <v>2101525</v>
      </c>
      <c r="V16" s="239">
        <v>-3142125</v>
      </c>
      <c r="W16" s="239">
        <v>0</v>
      </c>
      <c r="X16" s="239">
        <v>-3142125</v>
      </c>
      <c r="Y16" s="239">
        <v>50936192</v>
      </c>
      <c r="Z16" s="239">
        <v>311783</v>
      </c>
      <c r="AA16" s="239">
        <v>51247975</v>
      </c>
      <c r="AB16" s="239">
        <v>311783</v>
      </c>
      <c r="AC16" s="239">
        <v>311783</v>
      </c>
      <c r="AD16" s="239">
        <v>0</v>
      </c>
      <c r="AE16" s="239">
        <v>16563</v>
      </c>
      <c r="AF16" s="239">
        <v>16563</v>
      </c>
      <c r="AG16" s="239">
        <v>0</v>
      </c>
      <c r="AH16" s="239">
        <v>0</v>
      </c>
      <c r="AI16" s="239">
        <v>0</v>
      </c>
      <c r="AJ16" s="239">
        <v>0</v>
      </c>
      <c r="AK16" s="239">
        <v>0</v>
      </c>
      <c r="AL16" s="239">
        <v>89102</v>
      </c>
      <c r="AM16" s="239">
        <v>0</v>
      </c>
      <c r="AN16" s="239">
        <v>222681</v>
      </c>
      <c r="AO16" s="239">
        <v>222681</v>
      </c>
      <c r="AP16" s="239">
        <v>0</v>
      </c>
      <c r="AQ16" s="239">
        <v>2634285</v>
      </c>
      <c r="AR16" s="239">
        <v>-1412442</v>
      </c>
      <c r="AS16" s="214" t="s">
        <v>114</v>
      </c>
      <c r="AT16" s="214" t="s">
        <v>768</v>
      </c>
      <c r="AU16" s="214" t="s">
        <v>865</v>
      </c>
      <c r="AV16" s="214" t="s">
        <v>1090</v>
      </c>
      <c r="AW16" s="214" t="s">
        <v>1088</v>
      </c>
      <c r="AX16" s="214" t="s">
        <v>1296</v>
      </c>
    </row>
    <row r="17" spans="2:50" x14ac:dyDescent="0.2">
      <c r="B17" s="610" t="s">
        <v>117</v>
      </c>
      <c r="C17" s="610" t="s">
        <v>116</v>
      </c>
      <c r="D17" s="239">
        <v>22505825</v>
      </c>
      <c r="E17" s="239">
        <v>0</v>
      </c>
      <c r="F17" s="239">
        <v>22505825</v>
      </c>
      <c r="G17" s="239">
        <v>0</v>
      </c>
      <c r="H17" s="239">
        <v>0</v>
      </c>
      <c r="I17" s="239">
        <v>0</v>
      </c>
      <c r="J17" s="239">
        <v>-65582</v>
      </c>
      <c r="K17" s="239">
        <v>0</v>
      </c>
      <c r="L17" s="239">
        <v>-65582</v>
      </c>
      <c r="M17" s="239">
        <v>0</v>
      </c>
      <c r="N17" s="239">
        <v>0</v>
      </c>
      <c r="O17" s="239">
        <v>0</v>
      </c>
      <c r="P17" s="239">
        <v>-48512</v>
      </c>
      <c r="Q17" s="239">
        <v>0</v>
      </c>
      <c r="R17" s="239">
        <v>-48512</v>
      </c>
      <c r="S17" s="239">
        <v>197941</v>
      </c>
      <c r="T17" s="239">
        <v>0</v>
      </c>
      <c r="U17" s="239">
        <v>197941</v>
      </c>
      <c r="V17" s="239">
        <v>-578323</v>
      </c>
      <c r="W17" s="239">
        <v>0</v>
      </c>
      <c r="X17" s="239">
        <v>-578323</v>
      </c>
      <c r="Y17" s="239">
        <v>22076931</v>
      </c>
      <c r="Z17" s="239">
        <v>0</v>
      </c>
      <c r="AA17" s="239">
        <v>22076931</v>
      </c>
      <c r="AB17" s="239">
        <v>0</v>
      </c>
      <c r="AC17" s="239">
        <v>0</v>
      </c>
      <c r="AD17" s="239">
        <v>0</v>
      </c>
      <c r="AE17" s="239">
        <v>43067</v>
      </c>
      <c r="AF17" s="239">
        <v>43067</v>
      </c>
      <c r="AG17" s="239">
        <v>0</v>
      </c>
      <c r="AH17" s="239">
        <v>0</v>
      </c>
      <c r="AI17" s="239">
        <v>0</v>
      </c>
      <c r="AJ17" s="239">
        <v>0</v>
      </c>
      <c r="AK17" s="239">
        <v>0</v>
      </c>
      <c r="AL17" s="239">
        <v>0</v>
      </c>
      <c r="AM17" s="239">
        <v>0</v>
      </c>
      <c r="AN17" s="239">
        <v>0</v>
      </c>
      <c r="AO17" s="239">
        <v>0</v>
      </c>
      <c r="AP17" s="239">
        <v>0</v>
      </c>
      <c r="AQ17" s="239">
        <v>1185418</v>
      </c>
      <c r="AR17" s="239">
        <v>-914972</v>
      </c>
      <c r="AS17" s="214" t="s">
        <v>116</v>
      </c>
      <c r="AT17" s="214" t="s">
        <v>851</v>
      </c>
      <c r="AU17" s="214" t="s">
        <v>763</v>
      </c>
      <c r="AV17" s="214" t="s">
        <v>1088</v>
      </c>
      <c r="AW17" s="214" t="s">
        <v>1088</v>
      </c>
      <c r="AX17" s="214" t="s">
        <v>1294</v>
      </c>
    </row>
    <row r="18" spans="2:50" x14ac:dyDescent="0.2">
      <c r="B18" s="610" t="s">
        <v>119</v>
      </c>
      <c r="C18" s="610" t="s">
        <v>118</v>
      </c>
      <c r="D18" s="239">
        <v>80891725</v>
      </c>
      <c r="E18" s="239">
        <v>0</v>
      </c>
      <c r="F18" s="239">
        <v>80891725</v>
      </c>
      <c r="G18" s="239">
        <v>-17012</v>
      </c>
      <c r="H18" s="239">
        <v>0</v>
      </c>
      <c r="I18" s="239">
        <v>-17012</v>
      </c>
      <c r="J18" s="239">
        <v>-221508</v>
      </c>
      <c r="K18" s="239">
        <v>0</v>
      </c>
      <c r="L18" s="239">
        <v>-221508</v>
      </c>
      <c r="M18" s="239">
        <v>0</v>
      </c>
      <c r="N18" s="239">
        <v>0</v>
      </c>
      <c r="O18" s="239">
        <v>0</v>
      </c>
      <c r="P18" s="239">
        <v>-322208</v>
      </c>
      <c r="Q18" s="239">
        <v>0</v>
      </c>
      <c r="R18" s="239">
        <v>-322208</v>
      </c>
      <c r="S18" s="239">
        <v>3522883</v>
      </c>
      <c r="T18" s="239">
        <v>0</v>
      </c>
      <c r="U18" s="239">
        <v>3522883</v>
      </c>
      <c r="V18" s="239">
        <v>-6972883</v>
      </c>
      <c r="W18" s="239">
        <v>0</v>
      </c>
      <c r="X18" s="239">
        <v>-6972883</v>
      </c>
      <c r="Y18" s="239">
        <v>77102505</v>
      </c>
      <c r="Z18" s="239">
        <v>0</v>
      </c>
      <c r="AA18" s="239">
        <v>77102505</v>
      </c>
      <c r="AB18" s="239">
        <v>0</v>
      </c>
      <c r="AC18" s="239">
        <v>0</v>
      </c>
      <c r="AD18" s="239">
        <v>0</v>
      </c>
      <c r="AE18" s="239">
        <v>54</v>
      </c>
      <c r="AF18" s="239">
        <v>54</v>
      </c>
      <c r="AG18" s="239">
        <v>0</v>
      </c>
      <c r="AH18" s="239">
        <v>0</v>
      </c>
      <c r="AI18" s="239">
        <v>0</v>
      </c>
      <c r="AJ18" s="239">
        <v>0</v>
      </c>
      <c r="AK18" s="239">
        <v>0</v>
      </c>
      <c r="AL18" s="239">
        <v>0</v>
      </c>
      <c r="AM18" s="239">
        <v>0</v>
      </c>
      <c r="AN18" s="239">
        <v>0</v>
      </c>
      <c r="AO18" s="239">
        <v>0</v>
      </c>
      <c r="AP18" s="239">
        <v>0</v>
      </c>
      <c r="AQ18" s="239">
        <v>1966381</v>
      </c>
      <c r="AR18" s="239">
        <v>-1760504</v>
      </c>
      <c r="AS18" s="214" t="s">
        <v>118</v>
      </c>
      <c r="AT18" s="214" t="s">
        <v>822</v>
      </c>
      <c r="AU18" s="214" t="s">
        <v>820</v>
      </c>
      <c r="AV18" s="214" t="s">
        <v>1088</v>
      </c>
      <c r="AW18" s="214" t="s">
        <v>1088</v>
      </c>
      <c r="AX18" s="214" t="s">
        <v>1294</v>
      </c>
    </row>
    <row r="19" spans="2:50" x14ac:dyDescent="0.2">
      <c r="B19" s="610" t="s">
        <v>121</v>
      </c>
      <c r="C19" s="610" t="s">
        <v>120</v>
      </c>
      <c r="D19" s="239">
        <v>73259488</v>
      </c>
      <c r="E19" s="239">
        <v>0</v>
      </c>
      <c r="F19" s="239">
        <v>73259488</v>
      </c>
      <c r="G19" s="239">
        <v>-49211</v>
      </c>
      <c r="H19" s="239">
        <v>0</v>
      </c>
      <c r="I19" s="239">
        <v>-49211</v>
      </c>
      <c r="J19" s="239">
        <v>-314217</v>
      </c>
      <c r="K19" s="239">
        <v>0</v>
      </c>
      <c r="L19" s="239">
        <v>-314217</v>
      </c>
      <c r="M19" s="239">
        <v>0</v>
      </c>
      <c r="N19" s="239">
        <v>0</v>
      </c>
      <c r="O19" s="239">
        <v>0</v>
      </c>
      <c r="P19" s="239">
        <v>-339218</v>
      </c>
      <c r="Q19" s="239">
        <v>0</v>
      </c>
      <c r="R19" s="239">
        <v>-339218</v>
      </c>
      <c r="S19" s="239">
        <v>3204197</v>
      </c>
      <c r="T19" s="239">
        <v>0</v>
      </c>
      <c r="U19" s="239">
        <v>3204197</v>
      </c>
      <c r="V19" s="239">
        <v>-3504197</v>
      </c>
      <c r="W19" s="239">
        <v>0</v>
      </c>
      <c r="X19" s="239">
        <v>-3504197</v>
      </c>
      <c r="Y19" s="239">
        <v>72571059</v>
      </c>
      <c r="Z19" s="239">
        <v>0</v>
      </c>
      <c r="AA19" s="239">
        <v>72571059</v>
      </c>
      <c r="AB19" s="239">
        <v>0</v>
      </c>
      <c r="AC19" s="239">
        <v>0</v>
      </c>
      <c r="AD19" s="239">
        <v>0</v>
      </c>
      <c r="AE19" s="239">
        <v>270843</v>
      </c>
      <c r="AF19" s="239">
        <v>270843</v>
      </c>
      <c r="AG19" s="239">
        <v>0</v>
      </c>
      <c r="AH19" s="239">
        <v>0</v>
      </c>
      <c r="AI19" s="239">
        <v>0</v>
      </c>
      <c r="AJ19" s="239">
        <v>0</v>
      </c>
      <c r="AK19" s="239">
        <v>0</v>
      </c>
      <c r="AL19" s="239">
        <v>0</v>
      </c>
      <c r="AM19" s="239">
        <v>0</v>
      </c>
      <c r="AN19" s="239">
        <v>0</v>
      </c>
      <c r="AO19" s="239">
        <v>0</v>
      </c>
      <c r="AP19" s="239">
        <v>0</v>
      </c>
      <c r="AQ19" s="239">
        <v>1977921</v>
      </c>
      <c r="AR19" s="239">
        <v>-1318063</v>
      </c>
      <c r="AS19" s="214" t="s">
        <v>120</v>
      </c>
      <c r="AT19" s="214" t="s">
        <v>779</v>
      </c>
      <c r="AU19" s="214" t="s">
        <v>777</v>
      </c>
      <c r="AV19" s="214" t="s">
        <v>1088</v>
      </c>
      <c r="AW19" s="214" t="s">
        <v>1088</v>
      </c>
      <c r="AX19" s="214" t="s">
        <v>1294</v>
      </c>
    </row>
    <row r="20" spans="2:50" x14ac:dyDescent="0.2">
      <c r="B20" s="610" t="s">
        <v>123</v>
      </c>
      <c r="C20" s="610" t="s">
        <v>122</v>
      </c>
      <c r="D20" s="239">
        <v>53592040</v>
      </c>
      <c r="E20" s="239">
        <v>0</v>
      </c>
      <c r="F20" s="239">
        <v>53592040</v>
      </c>
      <c r="G20" s="239">
        <v>-110</v>
      </c>
      <c r="H20" s="239">
        <v>0</v>
      </c>
      <c r="I20" s="239">
        <v>-110</v>
      </c>
      <c r="J20" s="239">
        <v>-693774</v>
      </c>
      <c r="K20" s="239">
        <v>0</v>
      </c>
      <c r="L20" s="239">
        <v>-693774</v>
      </c>
      <c r="M20" s="239">
        <v>0</v>
      </c>
      <c r="N20" s="239">
        <v>0</v>
      </c>
      <c r="O20" s="239">
        <v>0</v>
      </c>
      <c r="P20" s="239">
        <v>-633490</v>
      </c>
      <c r="Q20" s="239">
        <v>0</v>
      </c>
      <c r="R20" s="239">
        <v>-633490</v>
      </c>
      <c r="S20" s="239">
        <v>1231982</v>
      </c>
      <c r="T20" s="239">
        <v>0</v>
      </c>
      <c r="U20" s="239">
        <v>1231982</v>
      </c>
      <c r="V20" s="239">
        <v>-6844580</v>
      </c>
      <c r="W20" s="239">
        <v>0</v>
      </c>
      <c r="X20" s="239">
        <v>-6844580</v>
      </c>
      <c r="Y20" s="239">
        <v>47345842</v>
      </c>
      <c r="Z20" s="239">
        <v>0</v>
      </c>
      <c r="AA20" s="239">
        <v>47345842</v>
      </c>
      <c r="AB20" s="239">
        <v>0</v>
      </c>
      <c r="AC20" s="239">
        <v>0</v>
      </c>
      <c r="AD20" s="239">
        <v>0</v>
      </c>
      <c r="AE20" s="239">
        <v>541112</v>
      </c>
      <c r="AF20" s="239">
        <v>541112</v>
      </c>
      <c r="AG20" s="239">
        <v>0</v>
      </c>
      <c r="AH20" s="239">
        <v>0</v>
      </c>
      <c r="AI20" s="239">
        <v>0</v>
      </c>
      <c r="AJ20" s="239">
        <v>0</v>
      </c>
      <c r="AK20" s="239">
        <v>0</v>
      </c>
      <c r="AL20" s="239">
        <v>0</v>
      </c>
      <c r="AM20" s="239">
        <v>0</v>
      </c>
      <c r="AN20" s="239">
        <v>0</v>
      </c>
      <c r="AO20" s="239">
        <v>0</v>
      </c>
      <c r="AP20" s="239">
        <v>0</v>
      </c>
      <c r="AQ20" s="239">
        <v>2144936</v>
      </c>
      <c r="AR20" s="239">
        <v>-1219043</v>
      </c>
      <c r="AS20" s="214" t="s">
        <v>122</v>
      </c>
      <c r="AT20" s="214" t="s">
        <v>874</v>
      </c>
      <c r="AU20" s="214" t="s">
        <v>872</v>
      </c>
      <c r="AV20" s="214" t="s">
        <v>1088</v>
      </c>
      <c r="AW20" s="214" t="s">
        <v>1088</v>
      </c>
      <c r="AX20" s="214" t="s">
        <v>1294</v>
      </c>
    </row>
    <row r="21" spans="2:50" x14ac:dyDescent="0.2">
      <c r="B21" s="610" t="s">
        <v>125</v>
      </c>
      <c r="C21" s="610" t="s">
        <v>124</v>
      </c>
      <c r="D21" s="239">
        <v>60503744</v>
      </c>
      <c r="E21" s="239">
        <v>6053334</v>
      </c>
      <c r="F21" s="239">
        <v>66557078</v>
      </c>
      <c r="G21" s="239">
        <v>0</v>
      </c>
      <c r="H21" s="239">
        <v>0</v>
      </c>
      <c r="I21" s="239">
        <v>0</v>
      </c>
      <c r="J21" s="239">
        <v>-506697</v>
      </c>
      <c r="K21" s="239">
        <v>0</v>
      </c>
      <c r="L21" s="239">
        <v>-506697</v>
      </c>
      <c r="M21" s="239">
        <v>-307667</v>
      </c>
      <c r="N21" s="239">
        <v>0</v>
      </c>
      <c r="O21" s="239">
        <v>-307667</v>
      </c>
      <c r="P21" s="239">
        <v>-728291</v>
      </c>
      <c r="Q21" s="239">
        <v>-5759</v>
      </c>
      <c r="R21" s="239">
        <v>-734050</v>
      </c>
      <c r="S21" s="239">
        <v>567585</v>
      </c>
      <c r="T21" s="239">
        <v>8032</v>
      </c>
      <c r="U21" s="239">
        <v>575617</v>
      </c>
      <c r="V21" s="239">
        <v>-3045766</v>
      </c>
      <c r="W21" s="239">
        <v>-634185</v>
      </c>
      <c r="X21" s="239">
        <v>-3679951</v>
      </c>
      <c r="Y21" s="239">
        <v>56989605</v>
      </c>
      <c r="Z21" s="239">
        <v>5421422</v>
      </c>
      <c r="AA21" s="239">
        <v>62411027</v>
      </c>
      <c r="AB21" s="239">
        <v>5421422</v>
      </c>
      <c r="AC21" s="239">
        <v>5421422</v>
      </c>
      <c r="AD21" s="239">
        <v>0</v>
      </c>
      <c r="AE21" s="239">
        <v>1461</v>
      </c>
      <c r="AF21" s="239">
        <v>1461</v>
      </c>
      <c r="AG21" s="239">
        <v>0</v>
      </c>
      <c r="AH21" s="239">
        <v>0</v>
      </c>
      <c r="AI21" s="239">
        <v>-1450</v>
      </c>
      <c r="AJ21" s="239">
        <v>-1450</v>
      </c>
      <c r="AK21" s="239">
        <v>0</v>
      </c>
      <c r="AL21" s="239">
        <v>4886323</v>
      </c>
      <c r="AM21" s="239">
        <v>0</v>
      </c>
      <c r="AN21" s="239">
        <v>533649</v>
      </c>
      <c r="AO21" s="239">
        <v>533649</v>
      </c>
      <c r="AP21" s="239">
        <v>0</v>
      </c>
      <c r="AQ21" s="239">
        <v>2901759</v>
      </c>
      <c r="AR21" s="239">
        <v>-1434423</v>
      </c>
      <c r="AS21" s="214" t="s">
        <v>926</v>
      </c>
      <c r="AT21" s="214" t="s">
        <v>748</v>
      </c>
      <c r="AU21" s="214" t="s">
        <v>853</v>
      </c>
      <c r="AV21" s="214" t="s">
        <v>1091</v>
      </c>
      <c r="AW21" s="214" t="s">
        <v>1088</v>
      </c>
      <c r="AX21" s="214" t="s">
        <v>748</v>
      </c>
    </row>
    <row r="22" spans="2:50" x14ac:dyDescent="0.2">
      <c r="B22" s="610" t="s">
        <v>127</v>
      </c>
      <c r="C22" s="610" t="s">
        <v>126</v>
      </c>
      <c r="D22" s="239">
        <v>65439194</v>
      </c>
      <c r="E22" s="239">
        <v>0</v>
      </c>
      <c r="F22" s="239">
        <v>65439194</v>
      </c>
      <c r="G22" s="239">
        <v>0</v>
      </c>
      <c r="H22" s="239">
        <v>0</v>
      </c>
      <c r="I22" s="239">
        <v>0</v>
      </c>
      <c r="J22" s="239">
        <v>-260612</v>
      </c>
      <c r="K22" s="239">
        <v>0</v>
      </c>
      <c r="L22" s="239">
        <v>-260612</v>
      </c>
      <c r="M22" s="239">
        <v>0</v>
      </c>
      <c r="N22" s="239">
        <v>0</v>
      </c>
      <c r="O22" s="239">
        <v>0</v>
      </c>
      <c r="P22" s="239">
        <v>-710000</v>
      </c>
      <c r="Q22" s="239">
        <v>0</v>
      </c>
      <c r="R22" s="239">
        <v>-710000</v>
      </c>
      <c r="S22" s="239">
        <v>3124964</v>
      </c>
      <c r="T22" s="239">
        <v>0</v>
      </c>
      <c r="U22" s="239">
        <v>3124964</v>
      </c>
      <c r="V22" s="239">
        <v>-3530907</v>
      </c>
      <c r="W22" s="239">
        <v>0</v>
      </c>
      <c r="X22" s="239">
        <v>-3530907</v>
      </c>
      <c r="Y22" s="239">
        <v>64323251</v>
      </c>
      <c r="Z22" s="239">
        <v>0</v>
      </c>
      <c r="AA22" s="239">
        <v>64323251</v>
      </c>
      <c r="AB22" s="239">
        <v>0</v>
      </c>
      <c r="AC22" s="239">
        <v>0</v>
      </c>
      <c r="AD22" s="239">
        <v>0</v>
      </c>
      <c r="AE22" s="239">
        <v>250744</v>
      </c>
      <c r="AF22" s="239">
        <v>250744</v>
      </c>
      <c r="AG22" s="239">
        <v>0</v>
      </c>
      <c r="AH22" s="239">
        <v>0</v>
      </c>
      <c r="AI22" s="239">
        <v>0</v>
      </c>
      <c r="AJ22" s="239">
        <v>0</v>
      </c>
      <c r="AK22" s="239">
        <v>0</v>
      </c>
      <c r="AL22" s="239">
        <v>0</v>
      </c>
      <c r="AM22" s="239">
        <v>0</v>
      </c>
      <c r="AN22" s="239">
        <v>0</v>
      </c>
      <c r="AO22" s="239">
        <v>0</v>
      </c>
      <c r="AP22" s="239">
        <v>0</v>
      </c>
      <c r="AQ22" s="239">
        <v>2728563.8600000218</v>
      </c>
      <c r="AR22" s="239">
        <v>-903817</v>
      </c>
      <c r="AS22" s="214" t="s">
        <v>126</v>
      </c>
      <c r="AT22" s="214" t="s">
        <v>748</v>
      </c>
      <c r="AU22" s="214" t="s">
        <v>898</v>
      </c>
      <c r="AV22" s="214" t="s">
        <v>1088</v>
      </c>
      <c r="AW22" s="214" t="s">
        <v>1088</v>
      </c>
      <c r="AX22" s="214" t="s">
        <v>748</v>
      </c>
    </row>
    <row r="23" spans="2:50" x14ac:dyDescent="0.2">
      <c r="B23" s="610" t="s">
        <v>129</v>
      </c>
      <c r="C23" s="610" t="s">
        <v>128</v>
      </c>
      <c r="D23" s="239">
        <v>70381461</v>
      </c>
      <c r="E23" s="239">
        <v>0</v>
      </c>
      <c r="F23" s="239">
        <v>70381461</v>
      </c>
      <c r="G23" s="239">
        <v>0</v>
      </c>
      <c r="H23" s="239">
        <v>0</v>
      </c>
      <c r="I23" s="239">
        <v>0</v>
      </c>
      <c r="J23" s="239">
        <v>0</v>
      </c>
      <c r="K23" s="239">
        <v>0</v>
      </c>
      <c r="L23" s="239">
        <v>0</v>
      </c>
      <c r="M23" s="239">
        <v>-708976</v>
      </c>
      <c r="N23" s="239">
        <v>0</v>
      </c>
      <c r="O23" s="239">
        <v>-708976</v>
      </c>
      <c r="P23" s="239">
        <v>261000</v>
      </c>
      <c r="Q23" s="239">
        <v>0</v>
      </c>
      <c r="R23" s="239">
        <v>261000</v>
      </c>
      <c r="S23" s="239">
        <v>0</v>
      </c>
      <c r="T23" s="239">
        <v>0</v>
      </c>
      <c r="U23" s="239">
        <v>0</v>
      </c>
      <c r="V23" s="239">
        <v>-1602419</v>
      </c>
      <c r="W23" s="239">
        <v>0</v>
      </c>
      <c r="X23" s="239">
        <v>-1602419</v>
      </c>
      <c r="Y23" s="239">
        <v>68331066</v>
      </c>
      <c r="Z23" s="239">
        <v>0</v>
      </c>
      <c r="AA23" s="239">
        <v>68331066</v>
      </c>
      <c r="AB23" s="239">
        <v>0</v>
      </c>
      <c r="AC23" s="239">
        <v>0</v>
      </c>
      <c r="AD23" s="239">
        <v>0</v>
      </c>
      <c r="AE23" s="239">
        <v>0</v>
      </c>
      <c r="AF23" s="239">
        <v>0</v>
      </c>
      <c r="AG23" s="239">
        <v>0</v>
      </c>
      <c r="AH23" s="239">
        <v>0</v>
      </c>
      <c r="AI23" s="239">
        <v>0</v>
      </c>
      <c r="AJ23" s="239">
        <v>0</v>
      </c>
      <c r="AK23" s="239">
        <v>0</v>
      </c>
      <c r="AL23" s="239">
        <v>0</v>
      </c>
      <c r="AM23" s="239">
        <v>0</v>
      </c>
      <c r="AN23" s="239">
        <v>0</v>
      </c>
      <c r="AO23" s="239">
        <v>0</v>
      </c>
      <c r="AP23" s="239">
        <v>0</v>
      </c>
      <c r="AQ23" s="239">
        <v>2027543</v>
      </c>
      <c r="AR23" s="239">
        <v>-1939018</v>
      </c>
      <c r="AS23" s="214" t="s">
        <v>128</v>
      </c>
      <c r="AT23" s="214" t="s">
        <v>790</v>
      </c>
      <c r="AU23" s="214" t="s">
        <v>749</v>
      </c>
      <c r="AV23" s="214" t="s">
        <v>1088</v>
      </c>
      <c r="AW23" s="214" t="s">
        <v>1088</v>
      </c>
      <c r="AX23" s="214" t="s">
        <v>1295</v>
      </c>
    </row>
    <row r="24" spans="2:50" x14ac:dyDescent="0.2">
      <c r="B24" s="610" t="s">
        <v>131</v>
      </c>
      <c r="C24" s="610" t="s">
        <v>130</v>
      </c>
      <c r="D24" s="239">
        <v>398286119</v>
      </c>
      <c r="E24" s="239">
        <v>5263552</v>
      </c>
      <c r="F24" s="239">
        <v>403549671</v>
      </c>
      <c r="G24" s="239">
        <v>-101824</v>
      </c>
      <c r="H24" s="239">
        <v>0</v>
      </c>
      <c r="I24" s="239">
        <v>-101824</v>
      </c>
      <c r="J24" s="239">
        <v>-10787422</v>
      </c>
      <c r="K24" s="239">
        <v>-72716</v>
      </c>
      <c r="L24" s="239">
        <v>-10860138</v>
      </c>
      <c r="M24" s="239">
        <v>0</v>
      </c>
      <c r="N24" s="239">
        <v>0</v>
      </c>
      <c r="O24" s="239">
        <v>0</v>
      </c>
      <c r="P24" s="239">
        <v>-12597820</v>
      </c>
      <c r="Q24" s="239">
        <v>-75258</v>
      </c>
      <c r="R24" s="239">
        <v>-12673078</v>
      </c>
      <c r="S24" s="239">
        <v>31482750</v>
      </c>
      <c r="T24" s="239">
        <v>2248064</v>
      </c>
      <c r="U24" s="239">
        <v>33730814</v>
      </c>
      <c r="V24" s="239">
        <v>-37499511</v>
      </c>
      <c r="W24" s="239">
        <v>-2458638</v>
      </c>
      <c r="X24" s="239">
        <v>-39958149</v>
      </c>
      <c r="Y24" s="239">
        <v>379569714</v>
      </c>
      <c r="Z24" s="239">
        <v>4977720</v>
      </c>
      <c r="AA24" s="239">
        <v>384547434</v>
      </c>
      <c r="AB24" s="239">
        <v>4977720</v>
      </c>
      <c r="AC24" s="239">
        <v>4977720</v>
      </c>
      <c r="AD24" s="239">
        <v>0</v>
      </c>
      <c r="AE24" s="239">
        <v>0</v>
      </c>
      <c r="AF24" s="239">
        <v>0</v>
      </c>
      <c r="AG24" s="239">
        <v>0</v>
      </c>
      <c r="AH24" s="239">
        <v>0</v>
      </c>
      <c r="AI24" s="239">
        <v>425422</v>
      </c>
      <c r="AJ24" s="239">
        <v>425422</v>
      </c>
      <c r="AK24" s="239">
        <v>0</v>
      </c>
      <c r="AL24" s="239">
        <v>4026547</v>
      </c>
      <c r="AM24" s="239">
        <v>0</v>
      </c>
      <c r="AN24" s="239">
        <v>1376595</v>
      </c>
      <c r="AO24" s="239">
        <v>1376595</v>
      </c>
      <c r="AP24" s="239">
        <v>0</v>
      </c>
      <c r="AQ24" s="239">
        <v>97661096</v>
      </c>
      <c r="AR24" s="239">
        <v>-18267058</v>
      </c>
      <c r="AS24" s="214" t="s">
        <v>130</v>
      </c>
      <c r="AT24" s="214" t="s">
        <v>768</v>
      </c>
      <c r="AU24" s="214" t="s">
        <v>766</v>
      </c>
      <c r="AV24" s="214" t="s">
        <v>1092</v>
      </c>
      <c r="AW24" s="214" t="s">
        <v>1088</v>
      </c>
      <c r="AX24" s="214" t="s">
        <v>1296</v>
      </c>
    </row>
    <row r="25" spans="2:50" x14ac:dyDescent="0.2">
      <c r="B25" s="610" t="s">
        <v>133</v>
      </c>
      <c r="C25" s="610" t="s">
        <v>132</v>
      </c>
      <c r="D25" s="239">
        <v>43338531</v>
      </c>
      <c r="E25" s="239">
        <v>0</v>
      </c>
      <c r="F25" s="239">
        <v>43338531</v>
      </c>
      <c r="G25" s="239">
        <v>-436</v>
      </c>
      <c r="H25" s="239">
        <v>0</v>
      </c>
      <c r="I25" s="239">
        <v>-436</v>
      </c>
      <c r="J25" s="239">
        <v>0</v>
      </c>
      <c r="K25" s="239">
        <v>0</v>
      </c>
      <c r="L25" s="239">
        <v>0</v>
      </c>
      <c r="M25" s="239">
        <v>-221348</v>
      </c>
      <c r="N25" s="239">
        <v>0</v>
      </c>
      <c r="O25" s="239">
        <v>-221348</v>
      </c>
      <c r="P25" s="239">
        <v>-467375</v>
      </c>
      <c r="Q25" s="239">
        <v>0</v>
      </c>
      <c r="R25" s="239">
        <v>-467375</v>
      </c>
      <c r="S25" s="239">
        <v>675135</v>
      </c>
      <c r="T25" s="239">
        <v>0</v>
      </c>
      <c r="U25" s="239">
        <v>675135</v>
      </c>
      <c r="V25" s="239">
        <v>-470899</v>
      </c>
      <c r="W25" s="239">
        <v>0</v>
      </c>
      <c r="X25" s="239">
        <v>-470899</v>
      </c>
      <c r="Y25" s="239">
        <v>42853608</v>
      </c>
      <c r="Z25" s="239">
        <v>0</v>
      </c>
      <c r="AA25" s="239">
        <v>42853608</v>
      </c>
      <c r="AB25" s="239">
        <v>0</v>
      </c>
      <c r="AC25" s="239">
        <v>0</v>
      </c>
      <c r="AD25" s="239">
        <v>0</v>
      </c>
      <c r="AE25" s="239">
        <v>0</v>
      </c>
      <c r="AF25" s="239">
        <v>0</v>
      </c>
      <c r="AG25" s="239">
        <v>0</v>
      </c>
      <c r="AH25" s="239">
        <v>0</v>
      </c>
      <c r="AI25" s="239">
        <v>0</v>
      </c>
      <c r="AJ25" s="239">
        <v>0</v>
      </c>
      <c r="AK25" s="239">
        <v>0</v>
      </c>
      <c r="AL25" s="239">
        <v>0</v>
      </c>
      <c r="AM25" s="239">
        <v>0</v>
      </c>
      <c r="AN25" s="239">
        <v>0</v>
      </c>
      <c r="AO25" s="239">
        <v>0</v>
      </c>
      <c r="AP25" s="239">
        <v>0</v>
      </c>
      <c r="AQ25" s="239">
        <v>1839724</v>
      </c>
      <c r="AR25" s="239">
        <v>-1033860</v>
      </c>
      <c r="AS25" s="214" t="s">
        <v>132</v>
      </c>
      <c r="AT25" s="214" t="s">
        <v>884</v>
      </c>
      <c r="AU25" s="214" t="s">
        <v>869</v>
      </c>
      <c r="AV25" s="214" t="s">
        <v>1088</v>
      </c>
      <c r="AW25" s="214" t="s">
        <v>1088</v>
      </c>
      <c r="AX25" s="214" t="s">
        <v>1294</v>
      </c>
    </row>
    <row r="26" spans="2:50" x14ac:dyDescent="0.2">
      <c r="B26" s="610" t="s">
        <v>135</v>
      </c>
      <c r="C26" s="610" t="s">
        <v>134</v>
      </c>
      <c r="D26" s="239">
        <v>46514699</v>
      </c>
      <c r="E26" s="239">
        <v>0</v>
      </c>
      <c r="F26" s="239">
        <v>46514699</v>
      </c>
      <c r="G26" s="239">
        <v>0</v>
      </c>
      <c r="H26" s="239">
        <v>0</v>
      </c>
      <c r="I26" s="239">
        <v>0</v>
      </c>
      <c r="J26" s="239">
        <v>-572981</v>
      </c>
      <c r="K26" s="239">
        <v>0</v>
      </c>
      <c r="L26" s="239">
        <v>-572981</v>
      </c>
      <c r="M26" s="239">
        <v>0</v>
      </c>
      <c r="N26" s="239">
        <v>0</v>
      </c>
      <c r="O26" s="239">
        <v>0</v>
      </c>
      <c r="P26" s="239">
        <v>-619981</v>
      </c>
      <c r="Q26" s="239">
        <v>0</v>
      </c>
      <c r="R26" s="239">
        <v>-619981</v>
      </c>
      <c r="S26" s="239">
        <v>2157334</v>
      </c>
      <c r="T26" s="239">
        <v>0</v>
      </c>
      <c r="U26" s="239">
        <v>2157334</v>
      </c>
      <c r="V26" s="239">
        <v>-2720650</v>
      </c>
      <c r="W26" s="239">
        <v>0</v>
      </c>
      <c r="X26" s="239">
        <v>-2720650</v>
      </c>
      <c r="Y26" s="239">
        <v>45331402</v>
      </c>
      <c r="Z26" s="239">
        <v>0</v>
      </c>
      <c r="AA26" s="239">
        <v>45331402</v>
      </c>
      <c r="AB26" s="239">
        <v>0</v>
      </c>
      <c r="AC26" s="239">
        <v>0</v>
      </c>
      <c r="AD26" s="239">
        <v>0</v>
      </c>
      <c r="AE26" s="239">
        <v>0</v>
      </c>
      <c r="AF26" s="239">
        <v>0</v>
      </c>
      <c r="AG26" s="239">
        <v>0</v>
      </c>
      <c r="AH26" s="239">
        <v>0</v>
      </c>
      <c r="AI26" s="239">
        <v>0</v>
      </c>
      <c r="AJ26" s="239">
        <v>0</v>
      </c>
      <c r="AK26" s="239">
        <v>0</v>
      </c>
      <c r="AL26" s="239">
        <v>0</v>
      </c>
      <c r="AM26" s="239">
        <v>0</v>
      </c>
      <c r="AN26" s="239">
        <v>0</v>
      </c>
      <c r="AO26" s="239">
        <v>0</v>
      </c>
      <c r="AP26" s="239">
        <v>0</v>
      </c>
      <c r="AQ26" s="239">
        <v>2577468</v>
      </c>
      <c r="AR26" s="239">
        <v>-967798</v>
      </c>
      <c r="AS26" s="214" t="s">
        <v>925</v>
      </c>
      <c r="AT26" s="214" t="s">
        <v>748</v>
      </c>
      <c r="AU26" s="214" t="s">
        <v>755</v>
      </c>
      <c r="AV26" s="214" t="s">
        <v>1088</v>
      </c>
      <c r="AW26" s="214" t="s">
        <v>1088</v>
      </c>
      <c r="AX26" s="214" t="s">
        <v>748</v>
      </c>
    </row>
    <row r="27" spans="2:50" x14ac:dyDescent="0.2">
      <c r="B27" s="610" t="s">
        <v>137</v>
      </c>
      <c r="C27" s="610" t="s">
        <v>136</v>
      </c>
      <c r="D27" s="239">
        <v>47256319</v>
      </c>
      <c r="E27" s="239">
        <v>0</v>
      </c>
      <c r="F27" s="239">
        <v>47256319</v>
      </c>
      <c r="G27" s="239">
        <v>0</v>
      </c>
      <c r="H27" s="239">
        <v>0</v>
      </c>
      <c r="I27" s="239">
        <v>0</v>
      </c>
      <c r="J27" s="239">
        <v>-1676464</v>
      </c>
      <c r="K27" s="239">
        <v>0</v>
      </c>
      <c r="L27" s="239">
        <v>-1676464</v>
      </c>
      <c r="M27" s="239">
        <v>0</v>
      </c>
      <c r="N27" s="239">
        <v>0</v>
      </c>
      <c r="O27" s="239">
        <v>0</v>
      </c>
      <c r="P27" s="239">
        <v>-1700000</v>
      </c>
      <c r="Q27" s="239">
        <v>0</v>
      </c>
      <c r="R27" s="239">
        <v>-1700000</v>
      </c>
      <c r="S27" s="239">
        <v>5773596</v>
      </c>
      <c r="T27" s="239">
        <v>0</v>
      </c>
      <c r="U27" s="239">
        <v>5773596</v>
      </c>
      <c r="V27" s="239">
        <v>-2500000</v>
      </c>
      <c r="W27" s="239">
        <v>0</v>
      </c>
      <c r="X27" s="239">
        <v>-2500000</v>
      </c>
      <c r="Y27" s="239">
        <v>48829915</v>
      </c>
      <c r="Z27" s="239">
        <v>0</v>
      </c>
      <c r="AA27" s="239">
        <v>48829915</v>
      </c>
      <c r="AB27" s="239">
        <v>0</v>
      </c>
      <c r="AC27" s="239">
        <v>0</v>
      </c>
      <c r="AD27" s="239">
        <v>0</v>
      </c>
      <c r="AE27" s="239">
        <v>0</v>
      </c>
      <c r="AF27" s="239">
        <v>0</v>
      </c>
      <c r="AG27" s="239">
        <v>0</v>
      </c>
      <c r="AH27" s="239">
        <v>0</v>
      </c>
      <c r="AI27" s="239">
        <v>0</v>
      </c>
      <c r="AJ27" s="239">
        <v>0</v>
      </c>
      <c r="AK27" s="239">
        <v>0</v>
      </c>
      <c r="AL27" s="239">
        <v>0</v>
      </c>
      <c r="AM27" s="239">
        <v>0</v>
      </c>
      <c r="AN27" s="239">
        <v>0</v>
      </c>
      <c r="AO27" s="239">
        <v>0</v>
      </c>
      <c r="AP27" s="239">
        <v>0</v>
      </c>
      <c r="AQ27" s="239">
        <v>4613736</v>
      </c>
      <c r="AR27" s="239">
        <v>-392185</v>
      </c>
      <c r="AS27" s="214" t="s">
        <v>924</v>
      </c>
      <c r="AT27" s="214" t="s">
        <v>748</v>
      </c>
      <c r="AU27" s="214" t="s">
        <v>755</v>
      </c>
      <c r="AV27" s="214" t="s">
        <v>1088</v>
      </c>
      <c r="AW27" s="214" t="s">
        <v>1088</v>
      </c>
      <c r="AX27" s="214" t="s">
        <v>748</v>
      </c>
    </row>
    <row r="28" spans="2:50" x14ac:dyDescent="0.2">
      <c r="B28" s="610" t="s">
        <v>139</v>
      </c>
      <c r="C28" s="610" t="s">
        <v>138</v>
      </c>
      <c r="D28" s="239">
        <v>23596815</v>
      </c>
      <c r="E28" s="239">
        <v>0</v>
      </c>
      <c r="F28" s="239">
        <v>23596815</v>
      </c>
      <c r="G28" s="239">
        <v>-11730</v>
      </c>
      <c r="H28" s="239">
        <v>0</v>
      </c>
      <c r="I28" s="239">
        <v>-11730</v>
      </c>
      <c r="J28" s="239">
        <v>0</v>
      </c>
      <c r="K28" s="239">
        <v>0</v>
      </c>
      <c r="L28" s="239">
        <v>0</v>
      </c>
      <c r="M28" s="239">
        <v>-25300</v>
      </c>
      <c r="N28" s="239">
        <v>0</v>
      </c>
      <c r="O28" s="239">
        <v>-25300</v>
      </c>
      <c r="P28" s="239">
        <v>16988</v>
      </c>
      <c r="Q28" s="239">
        <v>0</v>
      </c>
      <c r="R28" s="239">
        <v>16988</v>
      </c>
      <c r="S28" s="239">
        <v>1090684</v>
      </c>
      <c r="T28" s="239">
        <v>0</v>
      </c>
      <c r="U28" s="239">
        <v>1090684</v>
      </c>
      <c r="V28" s="239">
        <v>-894021</v>
      </c>
      <c r="W28" s="239">
        <v>0</v>
      </c>
      <c r="X28" s="239">
        <v>-894021</v>
      </c>
      <c r="Y28" s="239">
        <v>23773436</v>
      </c>
      <c r="Z28" s="239">
        <v>0</v>
      </c>
      <c r="AA28" s="239">
        <v>23773436</v>
      </c>
      <c r="AB28" s="239">
        <v>0</v>
      </c>
      <c r="AC28" s="239">
        <v>0</v>
      </c>
      <c r="AD28" s="239">
        <v>0</v>
      </c>
      <c r="AE28" s="239">
        <v>0</v>
      </c>
      <c r="AF28" s="239">
        <v>0</v>
      </c>
      <c r="AG28" s="239">
        <v>0</v>
      </c>
      <c r="AH28" s="239">
        <v>0</v>
      </c>
      <c r="AI28" s="239">
        <v>0</v>
      </c>
      <c r="AJ28" s="239">
        <v>0</v>
      </c>
      <c r="AK28" s="239">
        <v>0</v>
      </c>
      <c r="AL28" s="239">
        <v>0</v>
      </c>
      <c r="AM28" s="239">
        <v>0</v>
      </c>
      <c r="AN28" s="239">
        <v>0</v>
      </c>
      <c r="AO28" s="239">
        <v>0</v>
      </c>
      <c r="AP28" s="239">
        <v>0</v>
      </c>
      <c r="AQ28" s="239">
        <v>551243</v>
      </c>
      <c r="AR28" s="239">
        <v>-306832</v>
      </c>
      <c r="AS28" s="214" t="s">
        <v>138</v>
      </c>
      <c r="AT28" s="214" t="s">
        <v>858</v>
      </c>
      <c r="AU28" s="214" t="s">
        <v>856</v>
      </c>
      <c r="AV28" s="214" t="s">
        <v>1088</v>
      </c>
      <c r="AW28" s="214" t="s">
        <v>1088</v>
      </c>
      <c r="AX28" s="214" t="s">
        <v>1294</v>
      </c>
    </row>
    <row r="29" spans="2:50" x14ac:dyDescent="0.2">
      <c r="B29" s="610" t="s">
        <v>141</v>
      </c>
      <c r="C29" s="610" t="s">
        <v>140</v>
      </c>
      <c r="D29" s="239">
        <v>82564014</v>
      </c>
      <c r="E29" s="239">
        <v>0</v>
      </c>
      <c r="F29" s="239">
        <v>82564014</v>
      </c>
      <c r="G29" s="239">
        <v>0</v>
      </c>
      <c r="H29" s="239">
        <v>0</v>
      </c>
      <c r="I29" s="239">
        <v>0</v>
      </c>
      <c r="J29" s="239">
        <v>-2405495</v>
      </c>
      <c r="K29" s="239">
        <v>0</v>
      </c>
      <c r="L29" s="239">
        <v>-2405495</v>
      </c>
      <c r="M29" s="239">
        <v>0</v>
      </c>
      <c r="N29" s="239">
        <v>0</v>
      </c>
      <c r="O29" s="239">
        <v>0</v>
      </c>
      <c r="P29" s="239">
        <v>-3190709</v>
      </c>
      <c r="Q29" s="239">
        <v>0</v>
      </c>
      <c r="R29" s="239">
        <v>-3190709</v>
      </c>
      <c r="S29" s="239">
        <v>6069130</v>
      </c>
      <c r="T29" s="239">
        <v>0</v>
      </c>
      <c r="U29" s="239">
        <v>6069130</v>
      </c>
      <c r="V29" s="239">
        <v>-3470471</v>
      </c>
      <c r="W29" s="239">
        <v>0</v>
      </c>
      <c r="X29" s="239">
        <v>-3470471</v>
      </c>
      <c r="Y29" s="239">
        <v>81971964</v>
      </c>
      <c r="Z29" s="239">
        <v>0</v>
      </c>
      <c r="AA29" s="239">
        <v>81971964</v>
      </c>
      <c r="AB29" s="239">
        <v>0</v>
      </c>
      <c r="AC29" s="239">
        <v>0</v>
      </c>
      <c r="AD29" s="239">
        <v>0</v>
      </c>
      <c r="AE29" s="239">
        <v>0</v>
      </c>
      <c r="AF29" s="239">
        <v>0</v>
      </c>
      <c r="AG29" s="239">
        <v>0</v>
      </c>
      <c r="AH29" s="239">
        <v>0</v>
      </c>
      <c r="AI29" s="239">
        <v>0</v>
      </c>
      <c r="AJ29" s="239">
        <v>0</v>
      </c>
      <c r="AK29" s="239">
        <v>0</v>
      </c>
      <c r="AL29" s="239">
        <v>0</v>
      </c>
      <c r="AM29" s="239">
        <v>0</v>
      </c>
      <c r="AN29" s="239">
        <v>0</v>
      </c>
      <c r="AO29" s="239">
        <v>0</v>
      </c>
      <c r="AP29" s="239">
        <v>0</v>
      </c>
      <c r="AQ29" s="239">
        <v>7252516</v>
      </c>
      <c r="AR29" s="239">
        <v>-2560763</v>
      </c>
      <c r="AS29" s="214" t="s">
        <v>140</v>
      </c>
      <c r="AT29" s="214" t="s">
        <v>768</v>
      </c>
      <c r="AU29" s="214" t="s">
        <v>783</v>
      </c>
      <c r="AV29" s="214" t="s">
        <v>1088</v>
      </c>
      <c r="AW29" s="214" t="s">
        <v>1088</v>
      </c>
      <c r="AX29" s="214" t="s">
        <v>1296</v>
      </c>
    </row>
    <row r="30" spans="2:50" x14ac:dyDescent="0.2">
      <c r="B30" s="610" t="s">
        <v>143</v>
      </c>
      <c r="C30" s="610" t="s">
        <v>142</v>
      </c>
      <c r="D30" s="239">
        <v>18503670</v>
      </c>
      <c r="E30" s="239">
        <v>0</v>
      </c>
      <c r="F30" s="239">
        <v>18503670</v>
      </c>
      <c r="G30" s="239">
        <v>0</v>
      </c>
      <c r="H30" s="239">
        <v>0</v>
      </c>
      <c r="I30" s="239">
        <v>0</v>
      </c>
      <c r="J30" s="239">
        <v>-359862</v>
      </c>
      <c r="K30" s="239">
        <v>0</v>
      </c>
      <c r="L30" s="239">
        <v>-359862</v>
      </c>
      <c r="M30" s="239">
        <v>0</v>
      </c>
      <c r="N30" s="239">
        <v>0</v>
      </c>
      <c r="O30" s="239">
        <v>0</v>
      </c>
      <c r="P30" s="239">
        <v>-111862</v>
      </c>
      <c r="Q30" s="239">
        <v>0</v>
      </c>
      <c r="R30" s="239">
        <v>-111862</v>
      </c>
      <c r="S30" s="239">
        <v>0</v>
      </c>
      <c r="T30" s="239">
        <v>0</v>
      </c>
      <c r="U30" s="239">
        <v>0</v>
      </c>
      <c r="V30" s="239">
        <v>0</v>
      </c>
      <c r="W30" s="239">
        <v>0</v>
      </c>
      <c r="X30" s="239">
        <v>0</v>
      </c>
      <c r="Y30" s="239">
        <v>18391808</v>
      </c>
      <c r="Z30" s="239">
        <v>0</v>
      </c>
      <c r="AA30" s="239">
        <v>18391808</v>
      </c>
      <c r="AB30" s="239">
        <v>0</v>
      </c>
      <c r="AC30" s="239">
        <v>0</v>
      </c>
      <c r="AD30" s="239">
        <v>0</v>
      </c>
      <c r="AE30" s="239">
        <v>110374</v>
      </c>
      <c r="AF30" s="239">
        <v>110374</v>
      </c>
      <c r="AG30" s="239">
        <v>0</v>
      </c>
      <c r="AH30" s="239">
        <v>0</v>
      </c>
      <c r="AI30" s="239">
        <v>0</v>
      </c>
      <c r="AJ30" s="239">
        <v>0</v>
      </c>
      <c r="AK30" s="239">
        <v>0</v>
      </c>
      <c r="AL30" s="239">
        <v>0</v>
      </c>
      <c r="AM30" s="239">
        <v>0</v>
      </c>
      <c r="AN30" s="239">
        <v>0</v>
      </c>
      <c r="AO30" s="239">
        <v>0</v>
      </c>
      <c r="AP30" s="239">
        <v>0</v>
      </c>
      <c r="AQ30" s="239">
        <v>803515</v>
      </c>
      <c r="AR30" s="239">
        <v>-1423153</v>
      </c>
      <c r="AS30" s="214" t="s">
        <v>142</v>
      </c>
      <c r="AT30" s="214" t="s">
        <v>798</v>
      </c>
      <c r="AU30" s="214" t="s">
        <v>763</v>
      </c>
      <c r="AV30" s="214" t="s">
        <v>1088</v>
      </c>
      <c r="AW30" s="214" t="s">
        <v>1088</v>
      </c>
      <c r="AX30" s="214" t="s">
        <v>1294</v>
      </c>
    </row>
    <row r="31" spans="2:50" x14ac:dyDescent="0.2">
      <c r="B31" s="610" t="s">
        <v>145</v>
      </c>
      <c r="C31" s="610" t="s">
        <v>144</v>
      </c>
      <c r="D31" s="239">
        <v>66953297</v>
      </c>
      <c r="E31" s="239">
        <v>0</v>
      </c>
      <c r="F31" s="239">
        <v>66953297</v>
      </c>
      <c r="G31" s="239">
        <v>0</v>
      </c>
      <c r="H31" s="239">
        <v>0</v>
      </c>
      <c r="I31" s="239">
        <v>0</v>
      </c>
      <c r="J31" s="239">
        <v>-489391</v>
      </c>
      <c r="K31" s="239">
        <v>0</v>
      </c>
      <c r="L31" s="239">
        <v>-489391</v>
      </c>
      <c r="M31" s="239">
        <v>0</v>
      </c>
      <c r="N31" s="239">
        <v>0</v>
      </c>
      <c r="O31" s="239">
        <v>0</v>
      </c>
      <c r="P31" s="239">
        <v>-656984</v>
      </c>
      <c r="Q31" s="239">
        <v>0</v>
      </c>
      <c r="R31" s="239">
        <v>-656984</v>
      </c>
      <c r="S31" s="239">
        <v>834943</v>
      </c>
      <c r="T31" s="239">
        <v>0</v>
      </c>
      <c r="U31" s="239">
        <v>834943</v>
      </c>
      <c r="V31" s="239">
        <v>0</v>
      </c>
      <c r="W31" s="239">
        <v>0</v>
      </c>
      <c r="X31" s="239">
        <v>0</v>
      </c>
      <c r="Y31" s="239">
        <v>67131256</v>
      </c>
      <c r="Z31" s="239">
        <v>0</v>
      </c>
      <c r="AA31" s="239">
        <v>67131256</v>
      </c>
      <c r="AB31" s="239">
        <v>0</v>
      </c>
      <c r="AC31" s="239">
        <v>0</v>
      </c>
      <c r="AD31" s="239">
        <v>0</v>
      </c>
      <c r="AE31" s="239">
        <v>0</v>
      </c>
      <c r="AF31" s="239">
        <v>189</v>
      </c>
      <c r="AG31" s="239">
        <v>189</v>
      </c>
      <c r="AH31" s="239">
        <v>0</v>
      </c>
      <c r="AI31" s="239">
        <v>0</v>
      </c>
      <c r="AJ31" s="239">
        <v>0</v>
      </c>
      <c r="AK31" s="239">
        <v>0</v>
      </c>
      <c r="AL31" s="239">
        <v>0</v>
      </c>
      <c r="AM31" s="239">
        <v>0</v>
      </c>
      <c r="AN31" s="239">
        <v>0</v>
      </c>
      <c r="AO31" s="239">
        <v>0</v>
      </c>
      <c r="AP31" s="239">
        <v>0</v>
      </c>
      <c r="AQ31" s="239">
        <v>3693038</v>
      </c>
      <c r="AR31" s="239">
        <v>-304880</v>
      </c>
      <c r="AS31" s="214" t="s">
        <v>923</v>
      </c>
      <c r="AT31" s="214" t="s">
        <v>748</v>
      </c>
      <c r="AU31" s="214" t="s">
        <v>785</v>
      </c>
      <c r="AV31" s="214" t="s">
        <v>1088</v>
      </c>
      <c r="AW31" s="214" t="s">
        <v>1088</v>
      </c>
      <c r="AX31" s="214" t="s">
        <v>748</v>
      </c>
    </row>
    <row r="32" spans="2:50" x14ac:dyDescent="0.2">
      <c r="B32" s="610" t="s">
        <v>147</v>
      </c>
      <c r="C32" s="610" t="s">
        <v>146</v>
      </c>
      <c r="D32" s="239">
        <v>53415092</v>
      </c>
      <c r="E32" s="239">
        <v>0</v>
      </c>
      <c r="F32" s="239">
        <v>53415092</v>
      </c>
      <c r="G32" s="239">
        <v>0</v>
      </c>
      <c r="H32" s="239">
        <v>0</v>
      </c>
      <c r="I32" s="239">
        <v>0</v>
      </c>
      <c r="J32" s="239">
        <v>0</v>
      </c>
      <c r="K32" s="239">
        <v>0</v>
      </c>
      <c r="L32" s="239">
        <v>0</v>
      </c>
      <c r="M32" s="239">
        <v>-183479</v>
      </c>
      <c r="N32" s="239">
        <v>0</v>
      </c>
      <c r="O32" s="239">
        <v>-183479</v>
      </c>
      <c r="P32" s="239">
        <v>1612800</v>
      </c>
      <c r="Q32" s="239">
        <v>0</v>
      </c>
      <c r="R32" s="239">
        <v>1612800</v>
      </c>
      <c r="S32" s="239">
        <v>20316941</v>
      </c>
      <c r="T32" s="239">
        <v>0</v>
      </c>
      <c r="U32" s="239">
        <v>20316941</v>
      </c>
      <c r="V32" s="239">
        <v>-1877779</v>
      </c>
      <c r="W32" s="239">
        <v>0</v>
      </c>
      <c r="X32" s="239">
        <v>-1877779</v>
      </c>
      <c r="Y32" s="239">
        <v>73283575</v>
      </c>
      <c r="Z32" s="239">
        <v>0</v>
      </c>
      <c r="AA32" s="239">
        <v>73283575</v>
      </c>
      <c r="AB32" s="239">
        <v>0</v>
      </c>
      <c r="AC32" s="239">
        <v>0</v>
      </c>
      <c r="AD32" s="239">
        <v>0</v>
      </c>
      <c r="AE32" s="239">
        <v>758</v>
      </c>
      <c r="AF32" s="239">
        <v>758</v>
      </c>
      <c r="AG32" s="239">
        <v>0</v>
      </c>
      <c r="AH32" s="239">
        <v>0</v>
      </c>
      <c r="AI32" s="239">
        <v>0</v>
      </c>
      <c r="AJ32" s="239">
        <v>0</v>
      </c>
      <c r="AK32" s="239">
        <v>0</v>
      </c>
      <c r="AL32" s="239">
        <v>0</v>
      </c>
      <c r="AM32" s="239">
        <v>0</v>
      </c>
      <c r="AN32" s="239">
        <v>0</v>
      </c>
      <c r="AO32" s="239">
        <v>0</v>
      </c>
      <c r="AP32" s="239">
        <v>0</v>
      </c>
      <c r="AQ32" s="239">
        <v>1597320</v>
      </c>
      <c r="AR32" s="239">
        <v>-17159129</v>
      </c>
      <c r="AS32" s="214" t="s">
        <v>922</v>
      </c>
      <c r="AT32" s="214" t="s">
        <v>748</v>
      </c>
      <c r="AU32" s="214" t="s">
        <v>769</v>
      </c>
      <c r="AV32" s="214" t="s">
        <v>1088</v>
      </c>
      <c r="AW32" s="214" t="s">
        <v>1088</v>
      </c>
      <c r="AX32" s="214" t="s">
        <v>748</v>
      </c>
    </row>
    <row r="33" spans="1:50" x14ac:dyDescent="0.2">
      <c r="B33" s="610" t="s">
        <v>149</v>
      </c>
      <c r="C33" s="610" t="s">
        <v>148</v>
      </c>
      <c r="D33" s="239">
        <v>132635348</v>
      </c>
      <c r="E33" s="239">
        <v>0</v>
      </c>
      <c r="F33" s="239">
        <v>132635348</v>
      </c>
      <c r="G33" s="239">
        <v>-159020</v>
      </c>
      <c r="H33" s="239">
        <v>0</v>
      </c>
      <c r="I33" s="239">
        <v>-159020</v>
      </c>
      <c r="J33" s="239">
        <v>-3040642</v>
      </c>
      <c r="K33" s="239">
        <v>0</v>
      </c>
      <c r="L33" s="239">
        <v>-3040642</v>
      </c>
      <c r="M33" s="239">
        <v>0</v>
      </c>
      <c r="N33" s="239">
        <v>0</v>
      </c>
      <c r="O33" s="239">
        <v>0</v>
      </c>
      <c r="P33" s="239">
        <v>-3237521</v>
      </c>
      <c r="Q33" s="239">
        <v>0</v>
      </c>
      <c r="R33" s="239">
        <v>-3237521</v>
      </c>
      <c r="S33" s="239">
        <v>10033573</v>
      </c>
      <c r="T33" s="239">
        <v>0</v>
      </c>
      <c r="U33" s="239">
        <v>10033573</v>
      </c>
      <c r="V33" s="239">
        <v>-6913876</v>
      </c>
      <c r="W33" s="239">
        <v>0</v>
      </c>
      <c r="X33" s="239">
        <v>-6913876</v>
      </c>
      <c r="Y33" s="239">
        <v>132358504</v>
      </c>
      <c r="Z33" s="239">
        <v>0</v>
      </c>
      <c r="AA33" s="239">
        <v>132358504</v>
      </c>
      <c r="AB33" s="239">
        <v>0</v>
      </c>
      <c r="AC33" s="239">
        <v>0</v>
      </c>
      <c r="AD33" s="239">
        <v>0</v>
      </c>
      <c r="AE33" s="239">
        <v>0</v>
      </c>
      <c r="AF33" s="239">
        <v>0</v>
      </c>
      <c r="AG33" s="239">
        <v>0</v>
      </c>
      <c r="AH33" s="239">
        <v>0</v>
      </c>
      <c r="AI33" s="239">
        <v>0</v>
      </c>
      <c r="AJ33" s="239">
        <v>0</v>
      </c>
      <c r="AK33" s="239">
        <v>0</v>
      </c>
      <c r="AL33" s="239">
        <v>0</v>
      </c>
      <c r="AM33" s="239">
        <v>0</v>
      </c>
      <c r="AN33" s="239">
        <v>0</v>
      </c>
      <c r="AO33" s="239">
        <v>0</v>
      </c>
      <c r="AP33" s="239">
        <v>0</v>
      </c>
      <c r="AQ33" s="239">
        <v>10898529</v>
      </c>
      <c r="AR33" s="239">
        <v>-1122909</v>
      </c>
      <c r="AS33" s="214" t="s">
        <v>148</v>
      </c>
      <c r="AT33" s="214" t="s">
        <v>768</v>
      </c>
      <c r="AU33" s="214" t="s">
        <v>818</v>
      </c>
      <c r="AV33" s="214" t="s">
        <v>1088</v>
      </c>
      <c r="AW33" s="214" t="s">
        <v>1088</v>
      </c>
      <c r="AX33" s="214" t="s">
        <v>1296</v>
      </c>
    </row>
    <row r="34" spans="1:50" x14ac:dyDescent="0.2">
      <c r="B34" s="610" t="s">
        <v>151</v>
      </c>
      <c r="C34" s="610" t="s">
        <v>150</v>
      </c>
      <c r="D34" s="239">
        <v>44032934</v>
      </c>
      <c r="E34" s="239">
        <v>0</v>
      </c>
      <c r="F34" s="239">
        <v>44032934</v>
      </c>
      <c r="G34" s="239">
        <v>0</v>
      </c>
      <c r="H34" s="239">
        <v>0</v>
      </c>
      <c r="I34" s="239">
        <v>0</v>
      </c>
      <c r="J34" s="239">
        <v>-203282</v>
      </c>
      <c r="K34" s="239">
        <v>0</v>
      </c>
      <c r="L34" s="239">
        <v>-203282</v>
      </c>
      <c r="M34" s="239">
        <v>0</v>
      </c>
      <c r="N34" s="239">
        <v>0</v>
      </c>
      <c r="O34" s="239">
        <v>0</v>
      </c>
      <c r="P34" s="239">
        <v>-138307</v>
      </c>
      <c r="Q34" s="239">
        <v>0</v>
      </c>
      <c r="R34" s="239">
        <v>-138307</v>
      </c>
      <c r="S34" s="239">
        <v>567379</v>
      </c>
      <c r="T34" s="239">
        <v>0</v>
      </c>
      <c r="U34" s="239">
        <v>567379</v>
      </c>
      <c r="V34" s="239">
        <v>-1708379</v>
      </c>
      <c r="W34" s="239">
        <v>0</v>
      </c>
      <c r="X34" s="239">
        <v>-1708379</v>
      </c>
      <c r="Y34" s="239">
        <v>42753627</v>
      </c>
      <c r="Z34" s="239">
        <v>0</v>
      </c>
      <c r="AA34" s="239">
        <v>42753627</v>
      </c>
      <c r="AB34" s="239">
        <v>0</v>
      </c>
      <c r="AC34" s="239">
        <v>0</v>
      </c>
      <c r="AD34" s="239">
        <v>0</v>
      </c>
      <c r="AE34" s="239">
        <v>0</v>
      </c>
      <c r="AF34" s="239">
        <v>0</v>
      </c>
      <c r="AG34" s="239">
        <v>0</v>
      </c>
      <c r="AH34" s="239">
        <v>0</v>
      </c>
      <c r="AI34" s="239">
        <v>0</v>
      </c>
      <c r="AJ34" s="239">
        <v>0</v>
      </c>
      <c r="AK34" s="239">
        <v>0</v>
      </c>
      <c r="AL34" s="239">
        <v>0</v>
      </c>
      <c r="AM34" s="239">
        <v>0</v>
      </c>
      <c r="AN34" s="239">
        <v>0</v>
      </c>
      <c r="AO34" s="239">
        <v>0</v>
      </c>
      <c r="AP34" s="239">
        <v>0</v>
      </c>
      <c r="AQ34" s="239">
        <v>1089624</v>
      </c>
      <c r="AR34" s="239">
        <v>-362551</v>
      </c>
      <c r="AS34" s="214" t="s">
        <v>150</v>
      </c>
      <c r="AT34" s="214" t="s">
        <v>822</v>
      </c>
      <c r="AU34" s="214" t="s">
        <v>820</v>
      </c>
      <c r="AV34" s="214" t="s">
        <v>1088</v>
      </c>
      <c r="AW34" s="214" t="s">
        <v>1088</v>
      </c>
      <c r="AX34" s="214" t="s">
        <v>1294</v>
      </c>
    </row>
    <row r="35" spans="1:50" x14ac:dyDescent="0.2">
      <c r="B35" s="610" t="s">
        <v>153</v>
      </c>
      <c r="C35" s="610" t="s">
        <v>152</v>
      </c>
      <c r="D35" s="239">
        <v>30189817</v>
      </c>
      <c r="E35" s="239">
        <v>0</v>
      </c>
      <c r="F35" s="239">
        <v>30189817</v>
      </c>
      <c r="G35" s="239">
        <v>0</v>
      </c>
      <c r="H35" s="239">
        <v>0</v>
      </c>
      <c r="I35" s="239">
        <v>0</v>
      </c>
      <c r="J35" s="239">
        <v>-65246</v>
      </c>
      <c r="K35" s="239">
        <v>0</v>
      </c>
      <c r="L35" s="239">
        <v>-65246</v>
      </c>
      <c r="M35" s="239">
        <v>0</v>
      </c>
      <c r="N35" s="239">
        <v>0</v>
      </c>
      <c r="O35" s="239">
        <v>0</v>
      </c>
      <c r="P35" s="239">
        <v>-163011</v>
      </c>
      <c r="Q35" s="239">
        <v>0</v>
      </c>
      <c r="R35" s="239">
        <v>-163011</v>
      </c>
      <c r="S35" s="239">
        <v>802436</v>
      </c>
      <c r="T35" s="239">
        <v>0</v>
      </c>
      <c r="U35" s="239">
        <v>802436</v>
      </c>
      <c r="V35" s="239">
        <v>-2727405</v>
      </c>
      <c r="W35" s="239">
        <v>0</v>
      </c>
      <c r="X35" s="239">
        <v>-2727405</v>
      </c>
      <c r="Y35" s="239">
        <v>28101837</v>
      </c>
      <c r="Z35" s="239">
        <v>0</v>
      </c>
      <c r="AA35" s="239">
        <v>28101837</v>
      </c>
      <c r="AB35" s="239">
        <v>0</v>
      </c>
      <c r="AC35" s="239">
        <v>0</v>
      </c>
      <c r="AD35" s="239">
        <v>0</v>
      </c>
      <c r="AE35" s="239">
        <v>181483</v>
      </c>
      <c r="AF35" s="239">
        <v>181483</v>
      </c>
      <c r="AG35" s="239">
        <v>0</v>
      </c>
      <c r="AH35" s="239">
        <v>0</v>
      </c>
      <c r="AI35" s="239">
        <v>0</v>
      </c>
      <c r="AJ35" s="239">
        <v>0</v>
      </c>
      <c r="AK35" s="239">
        <v>0</v>
      </c>
      <c r="AL35" s="239">
        <v>0</v>
      </c>
      <c r="AM35" s="239">
        <v>0</v>
      </c>
      <c r="AN35" s="239">
        <v>0</v>
      </c>
      <c r="AO35" s="239">
        <v>0</v>
      </c>
      <c r="AP35" s="239">
        <v>0</v>
      </c>
      <c r="AQ35" s="239">
        <v>1397187</v>
      </c>
      <c r="AR35" s="239">
        <v>-393505</v>
      </c>
      <c r="AS35" s="214" t="s">
        <v>152</v>
      </c>
      <c r="AT35" s="214" t="s">
        <v>849</v>
      </c>
      <c r="AU35" s="214" t="s">
        <v>763</v>
      </c>
      <c r="AV35" s="214" t="s">
        <v>1088</v>
      </c>
      <c r="AW35" s="214" t="s">
        <v>1088</v>
      </c>
      <c r="AX35" s="214" t="s">
        <v>1294</v>
      </c>
    </row>
    <row r="36" spans="1:50" x14ac:dyDescent="0.2">
      <c r="B36" s="610" t="s">
        <v>155</v>
      </c>
      <c r="C36" s="610" t="s">
        <v>154</v>
      </c>
      <c r="D36" s="239">
        <v>119355071</v>
      </c>
      <c r="E36" s="239">
        <v>0</v>
      </c>
      <c r="F36" s="239">
        <v>119355071</v>
      </c>
      <c r="G36" s="239">
        <v>-2666</v>
      </c>
      <c r="H36" s="239">
        <v>0</v>
      </c>
      <c r="I36" s="239">
        <v>-2666</v>
      </c>
      <c r="J36" s="239">
        <v>-1212476</v>
      </c>
      <c r="K36" s="239">
        <v>0</v>
      </c>
      <c r="L36" s="239">
        <v>-1212476</v>
      </c>
      <c r="M36" s="239">
        <v>0</v>
      </c>
      <c r="N36" s="239">
        <v>0</v>
      </c>
      <c r="O36" s="239">
        <v>0</v>
      </c>
      <c r="P36" s="239">
        <v>-855989</v>
      </c>
      <c r="Q36" s="239">
        <v>0</v>
      </c>
      <c r="R36" s="239">
        <v>-855989</v>
      </c>
      <c r="S36" s="239">
        <v>1343168</v>
      </c>
      <c r="T36" s="239">
        <v>0</v>
      </c>
      <c r="U36" s="239">
        <v>1343168</v>
      </c>
      <c r="V36" s="239">
        <v>-6036624</v>
      </c>
      <c r="W36" s="239">
        <v>0</v>
      </c>
      <c r="X36" s="239">
        <v>-6036624</v>
      </c>
      <c r="Y36" s="239">
        <v>113802960</v>
      </c>
      <c r="Z36" s="239">
        <v>0</v>
      </c>
      <c r="AA36" s="239">
        <v>113802960</v>
      </c>
      <c r="AB36" s="239">
        <v>0</v>
      </c>
      <c r="AC36" s="239">
        <v>0</v>
      </c>
      <c r="AD36" s="239">
        <v>0</v>
      </c>
      <c r="AE36" s="239">
        <v>0</v>
      </c>
      <c r="AF36" s="239">
        <v>0</v>
      </c>
      <c r="AG36" s="239">
        <v>0</v>
      </c>
      <c r="AH36" s="239">
        <v>0</v>
      </c>
      <c r="AI36" s="239">
        <v>0</v>
      </c>
      <c r="AJ36" s="239">
        <v>0</v>
      </c>
      <c r="AK36" s="239">
        <v>0</v>
      </c>
      <c r="AL36" s="239">
        <v>0</v>
      </c>
      <c r="AM36" s="239">
        <v>0</v>
      </c>
      <c r="AN36" s="239">
        <v>0</v>
      </c>
      <c r="AO36" s="239">
        <v>0</v>
      </c>
      <c r="AP36" s="239">
        <v>0</v>
      </c>
      <c r="AQ36" s="239">
        <v>5628091</v>
      </c>
      <c r="AR36" s="239">
        <v>-2010046</v>
      </c>
      <c r="AS36" s="214" t="s">
        <v>154</v>
      </c>
      <c r="AT36" s="214" t="s">
        <v>790</v>
      </c>
      <c r="AU36" s="214" t="s">
        <v>749</v>
      </c>
      <c r="AV36" s="214" t="s">
        <v>1088</v>
      </c>
      <c r="AW36" s="214" t="s">
        <v>1088</v>
      </c>
      <c r="AX36" s="214" t="s">
        <v>1295</v>
      </c>
    </row>
    <row r="37" spans="1:50" x14ac:dyDescent="0.2">
      <c r="B37" s="610" t="s">
        <v>157</v>
      </c>
      <c r="C37" s="610" t="s">
        <v>156</v>
      </c>
      <c r="D37" s="239">
        <v>31060808</v>
      </c>
      <c r="E37" s="239">
        <v>0</v>
      </c>
      <c r="F37" s="239">
        <v>31060808</v>
      </c>
      <c r="G37" s="239">
        <v>-6569</v>
      </c>
      <c r="H37" s="239">
        <v>0</v>
      </c>
      <c r="I37" s="239">
        <v>-6569</v>
      </c>
      <c r="J37" s="239">
        <v>-309039</v>
      </c>
      <c r="K37" s="239">
        <v>0</v>
      </c>
      <c r="L37" s="239">
        <v>-309039</v>
      </c>
      <c r="M37" s="239">
        <v>0</v>
      </c>
      <c r="N37" s="239">
        <v>0</v>
      </c>
      <c r="O37" s="239">
        <v>0</v>
      </c>
      <c r="P37" s="239">
        <v>-855214</v>
      </c>
      <c r="Q37" s="239">
        <v>0</v>
      </c>
      <c r="R37" s="239">
        <v>-855214</v>
      </c>
      <c r="S37" s="239">
        <v>786000</v>
      </c>
      <c r="T37" s="239">
        <v>0</v>
      </c>
      <c r="U37" s="239">
        <v>786000</v>
      </c>
      <c r="V37" s="239">
        <v>-2601050</v>
      </c>
      <c r="W37" s="239">
        <v>0</v>
      </c>
      <c r="X37" s="239">
        <v>-2601050</v>
      </c>
      <c r="Y37" s="239">
        <v>28383975</v>
      </c>
      <c r="Z37" s="239">
        <v>0</v>
      </c>
      <c r="AA37" s="239">
        <v>28383975</v>
      </c>
      <c r="AB37" s="239">
        <v>0</v>
      </c>
      <c r="AC37" s="239">
        <v>0</v>
      </c>
      <c r="AD37" s="239">
        <v>0</v>
      </c>
      <c r="AE37" s="239">
        <v>0</v>
      </c>
      <c r="AF37" s="239">
        <v>0</v>
      </c>
      <c r="AG37" s="239">
        <v>0</v>
      </c>
      <c r="AH37" s="239">
        <v>0</v>
      </c>
      <c r="AI37" s="239">
        <v>0</v>
      </c>
      <c r="AJ37" s="239">
        <v>0</v>
      </c>
      <c r="AK37" s="239">
        <v>0</v>
      </c>
      <c r="AL37" s="239">
        <v>0</v>
      </c>
      <c r="AM37" s="239">
        <v>0</v>
      </c>
      <c r="AN37" s="239">
        <v>0</v>
      </c>
      <c r="AO37" s="239">
        <v>0</v>
      </c>
      <c r="AP37" s="239">
        <v>0</v>
      </c>
      <c r="AQ37" s="239">
        <v>2688223</v>
      </c>
      <c r="AR37" s="239">
        <v>-508382</v>
      </c>
      <c r="AS37" s="214" t="s">
        <v>156</v>
      </c>
      <c r="AT37" s="214" t="s">
        <v>822</v>
      </c>
      <c r="AU37" s="214" t="s">
        <v>820</v>
      </c>
      <c r="AV37" s="214" t="s">
        <v>1088</v>
      </c>
      <c r="AW37" s="214" t="s">
        <v>1088</v>
      </c>
      <c r="AX37" s="214" t="s">
        <v>1294</v>
      </c>
    </row>
    <row r="38" spans="1:50" x14ac:dyDescent="0.2">
      <c r="B38" s="610" t="s">
        <v>159</v>
      </c>
      <c r="C38" s="610" t="s">
        <v>158</v>
      </c>
      <c r="D38" s="239">
        <v>105911796</v>
      </c>
      <c r="E38" s="239">
        <v>0</v>
      </c>
      <c r="F38" s="239">
        <v>105911796</v>
      </c>
      <c r="G38" s="239">
        <v>-35</v>
      </c>
      <c r="H38" s="239">
        <v>0</v>
      </c>
      <c r="I38" s="239">
        <v>-35</v>
      </c>
      <c r="J38" s="239">
        <v>-1196682</v>
      </c>
      <c r="K38" s="239">
        <v>0</v>
      </c>
      <c r="L38" s="239">
        <v>-1196682</v>
      </c>
      <c r="M38" s="239">
        <v>-310832</v>
      </c>
      <c r="N38" s="239">
        <v>0</v>
      </c>
      <c r="O38" s="239">
        <v>-310832</v>
      </c>
      <c r="P38" s="239">
        <v>-160374</v>
      </c>
      <c r="Q38" s="239">
        <v>0</v>
      </c>
      <c r="R38" s="239">
        <v>-160374</v>
      </c>
      <c r="S38" s="239">
        <v>1727482</v>
      </c>
      <c r="T38" s="239">
        <v>0</v>
      </c>
      <c r="U38" s="239">
        <v>1727482</v>
      </c>
      <c r="V38" s="239">
        <v>-3054194</v>
      </c>
      <c r="W38" s="239">
        <v>0</v>
      </c>
      <c r="X38" s="239">
        <v>-3054194</v>
      </c>
      <c r="Y38" s="239">
        <v>104113843</v>
      </c>
      <c r="Z38" s="239">
        <v>0</v>
      </c>
      <c r="AA38" s="239">
        <v>104113843</v>
      </c>
      <c r="AB38" s="239">
        <v>0</v>
      </c>
      <c r="AC38" s="239">
        <v>0</v>
      </c>
      <c r="AD38" s="239">
        <v>0</v>
      </c>
      <c r="AE38" s="239">
        <v>0</v>
      </c>
      <c r="AF38" s="239">
        <v>0</v>
      </c>
      <c r="AG38" s="239">
        <v>0</v>
      </c>
      <c r="AH38" s="239">
        <v>0</v>
      </c>
      <c r="AI38" s="239">
        <v>0</v>
      </c>
      <c r="AJ38" s="239">
        <v>0</v>
      </c>
      <c r="AK38" s="239">
        <v>0</v>
      </c>
      <c r="AL38" s="239">
        <v>0</v>
      </c>
      <c r="AM38" s="239">
        <v>0</v>
      </c>
      <c r="AN38" s="239">
        <v>0</v>
      </c>
      <c r="AO38" s="239">
        <v>0</v>
      </c>
      <c r="AP38" s="239">
        <v>0</v>
      </c>
      <c r="AQ38" s="239">
        <v>4032294</v>
      </c>
      <c r="AR38" s="239">
        <v>-3854846</v>
      </c>
      <c r="AS38" s="214" t="s">
        <v>921</v>
      </c>
      <c r="AT38" s="214" t="s">
        <v>748</v>
      </c>
      <c r="AU38" s="214" t="s">
        <v>807</v>
      </c>
      <c r="AV38" s="214" t="s">
        <v>1088</v>
      </c>
      <c r="AW38" s="214" t="s">
        <v>1088</v>
      </c>
      <c r="AX38" s="214" t="s">
        <v>748</v>
      </c>
    </row>
    <row r="39" spans="1:50" x14ac:dyDescent="0.2">
      <c r="B39" s="610" t="s">
        <v>161</v>
      </c>
      <c r="C39" s="610" t="s">
        <v>160</v>
      </c>
      <c r="D39" s="239">
        <v>189706368</v>
      </c>
      <c r="E39" s="239">
        <v>18578963</v>
      </c>
      <c r="F39" s="239">
        <v>208285331</v>
      </c>
      <c r="G39" s="239">
        <v>-16542</v>
      </c>
      <c r="H39" s="239">
        <v>0</v>
      </c>
      <c r="I39" s="239">
        <v>-16542</v>
      </c>
      <c r="J39" s="239">
        <v>-1536368</v>
      </c>
      <c r="K39" s="239">
        <v>-8632</v>
      </c>
      <c r="L39" s="239">
        <v>-1545000</v>
      </c>
      <c r="M39" s="239">
        <v>-54918</v>
      </c>
      <c r="N39" s="239">
        <v>-67543</v>
      </c>
      <c r="O39" s="239">
        <v>-122461</v>
      </c>
      <c r="P39" s="239">
        <v>-1652000</v>
      </c>
      <c r="Q39" s="239">
        <v>0</v>
      </c>
      <c r="R39" s="239">
        <v>-1652000</v>
      </c>
      <c r="S39" s="239">
        <v>7023178</v>
      </c>
      <c r="T39" s="239">
        <v>13014</v>
      </c>
      <c r="U39" s="239">
        <v>7036192</v>
      </c>
      <c r="V39" s="239">
        <v>-3582800</v>
      </c>
      <c r="W39" s="239">
        <v>-537450</v>
      </c>
      <c r="X39" s="239">
        <v>-4120250</v>
      </c>
      <c r="Y39" s="239">
        <v>191423286</v>
      </c>
      <c r="Z39" s="239">
        <v>17986984</v>
      </c>
      <c r="AA39" s="239">
        <v>209410270</v>
      </c>
      <c r="AB39" s="239">
        <v>17986984</v>
      </c>
      <c r="AC39" s="239">
        <v>12712078</v>
      </c>
      <c r="AD39" s="239">
        <v>5274906</v>
      </c>
      <c r="AE39" s="239">
        <v>264</v>
      </c>
      <c r="AF39" s="239">
        <v>264</v>
      </c>
      <c r="AG39" s="239">
        <v>0</v>
      </c>
      <c r="AH39" s="239">
        <v>0</v>
      </c>
      <c r="AI39" s="239">
        <v>380</v>
      </c>
      <c r="AJ39" s="239">
        <v>0</v>
      </c>
      <c r="AK39" s="239">
        <v>380</v>
      </c>
      <c r="AL39" s="239">
        <v>13240942</v>
      </c>
      <c r="AM39" s="239">
        <v>6584128</v>
      </c>
      <c r="AN39" s="239">
        <v>0</v>
      </c>
      <c r="AO39" s="239">
        <v>0</v>
      </c>
      <c r="AP39" s="239">
        <v>0</v>
      </c>
      <c r="AQ39" s="239">
        <v>4627365</v>
      </c>
      <c r="AR39" s="239">
        <v>-10857791</v>
      </c>
      <c r="AS39" s="214" t="s">
        <v>920</v>
      </c>
      <c r="AT39" s="214" t="s">
        <v>748</v>
      </c>
      <c r="AU39" s="214" t="s">
        <v>853</v>
      </c>
      <c r="AV39" s="214" t="s">
        <v>1093</v>
      </c>
      <c r="AW39" s="214" t="s">
        <v>1091</v>
      </c>
      <c r="AX39" s="214" t="s">
        <v>748</v>
      </c>
    </row>
    <row r="40" spans="1:50" x14ac:dyDescent="0.2">
      <c r="B40" s="610" t="s">
        <v>163</v>
      </c>
      <c r="C40" s="610" t="s">
        <v>162</v>
      </c>
      <c r="D40" s="239">
        <v>29304821</v>
      </c>
      <c r="E40" s="239">
        <v>0</v>
      </c>
      <c r="F40" s="239">
        <v>29304821</v>
      </c>
      <c r="G40" s="239">
        <v>0</v>
      </c>
      <c r="H40" s="239">
        <v>0</v>
      </c>
      <c r="I40" s="239">
        <v>0</v>
      </c>
      <c r="J40" s="239">
        <v>-56928</v>
      </c>
      <c r="K40" s="239">
        <v>0</v>
      </c>
      <c r="L40" s="239">
        <v>-56928</v>
      </c>
      <c r="M40" s="239">
        <v>0</v>
      </c>
      <c r="N40" s="239">
        <v>0</v>
      </c>
      <c r="O40" s="239">
        <v>0</v>
      </c>
      <c r="P40" s="239">
        <v>-44639</v>
      </c>
      <c r="Q40" s="239">
        <v>0</v>
      </c>
      <c r="R40" s="239">
        <v>-44639</v>
      </c>
      <c r="S40" s="239">
        <v>444789</v>
      </c>
      <c r="T40" s="239">
        <v>0</v>
      </c>
      <c r="U40" s="239">
        <v>444789</v>
      </c>
      <c r="V40" s="239">
        <v>-1760720</v>
      </c>
      <c r="W40" s="239">
        <v>0</v>
      </c>
      <c r="X40" s="239">
        <v>-1760720</v>
      </c>
      <c r="Y40" s="239">
        <v>27944251</v>
      </c>
      <c r="Z40" s="239">
        <v>0</v>
      </c>
      <c r="AA40" s="239">
        <v>27944251</v>
      </c>
      <c r="AB40" s="239">
        <v>0</v>
      </c>
      <c r="AC40" s="239">
        <v>0</v>
      </c>
      <c r="AD40" s="239">
        <v>0</v>
      </c>
      <c r="AE40" s="239">
        <v>135297</v>
      </c>
      <c r="AF40" s="239">
        <v>135297</v>
      </c>
      <c r="AG40" s="239">
        <v>0</v>
      </c>
      <c r="AH40" s="239">
        <v>0</v>
      </c>
      <c r="AI40" s="239">
        <v>0</v>
      </c>
      <c r="AJ40" s="239">
        <v>0</v>
      </c>
      <c r="AK40" s="239">
        <v>0</v>
      </c>
      <c r="AL40" s="239">
        <v>0</v>
      </c>
      <c r="AM40" s="239">
        <v>0</v>
      </c>
      <c r="AN40" s="239">
        <v>0</v>
      </c>
      <c r="AO40" s="239">
        <v>0</v>
      </c>
      <c r="AP40" s="239">
        <v>0</v>
      </c>
      <c r="AQ40" s="239">
        <v>354847</v>
      </c>
      <c r="AR40" s="239">
        <v>-506618</v>
      </c>
      <c r="AS40" s="214" t="s">
        <v>162</v>
      </c>
      <c r="AT40" s="214" t="s">
        <v>849</v>
      </c>
      <c r="AU40" s="214" t="s">
        <v>763</v>
      </c>
      <c r="AV40" s="214" t="s">
        <v>1088</v>
      </c>
      <c r="AW40" s="214" t="s">
        <v>1088</v>
      </c>
      <c r="AX40" s="214" t="s">
        <v>1294</v>
      </c>
    </row>
    <row r="41" spans="1:50" x14ac:dyDescent="0.2">
      <c r="B41" s="610" t="s">
        <v>165</v>
      </c>
      <c r="C41" s="610" t="s">
        <v>164</v>
      </c>
      <c r="D41" s="239">
        <v>84402272</v>
      </c>
      <c r="E41" s="239">
        <v>0</v>
      </c>
      <c r="F41" s="239">
        <v>84402272</v>
      </c>
      <c r="G41" s="239">
        <v>-133</v>
      </c>
      <c r="H41" s="239">
        <v>0</v>
      </c>
      <c r="I41" s="239">
        <v>-133</v>
      </c>
      <c r="J41" s="239">
        <v>-684615</v>
      </c>
      <c r="K41" s="239">
        <v>0</v>
      </c>
      <c r="L41" s="239">
        <v>-684615</v>
      </c>
      <c r="M41" s="239">
        <v>0</v>
      </c>
      <c r="N41" s="239">
        <v>0</v>
      </c>
      <c r="O41" s="239">
        <v>0</v>
      </c>
      <c r="P41" s="239">
        <v>-819215</v>
      </c>
      <c r="Q41" s="239">
        <v>0</v>
      </c>
      <c r="R41" s="239">
        <v>-819215</v>
      </c>
      <c r="S41" s="239">
        <v>611660</v>
      </c>
      <c r="T41" s="239">
        <v>0</v>
      </c>
      <c r="U41" s="239">
        <v>611660</v>
      </c>
      <c r="V41" s="239">
        <v>-1882630</v>
      </c>
      <c r="W41" s="239">
        <v>0</v>
      </c>
      <c r="X41" s="239">
        <v>-1882630</v>
      </c>
      <c r="Y41" s="239">
        <v>82311954</v>
      </c>
      <c r="Z41" s="239">
        <v>0</v>
      </c>
      <c r="AA41" s="239">
        <v>82311954</v>
      </c>
      <c r="AB41" s="239">
        <v>0</v>
      </c>
      <c r="AC41" s="239">
        <v>0</v>
      </c>
      <c r="AD41" s="239">
        <v>0</v>
      </c>
      <c r="AE41" s="239">
        <v>0</v>
      </c>
      <c r="AF41" s="239">
        <v>0</v>
      </c>
      <c r="AG41" s="239">
        <v>0</v>
      </c>
      <c r="AH41" s="239">
        <v>0</v>
      </c>
      <c r="AI41" s="239">
        <v>0</v>
      </c>
      <c r="AJ41" s="239">
        <v>0</v>
      </c>
      <c r="AK41" s="239">
        <v>0</v>
      </c>
      <c r="AL41" s="239">
        <v>0</v>
      </c>
      <c r="AM41" s="239">
        <v>0</v>
      </c>
      <c r="AN41" s="239">
        <v>0</v>
      </c>
      <c r="AO41" s="239">
        <v>0</v>
      </c>
      <c r="AP41" s="239">
        <v>0</v>
      </c>
      <c r="AQ41" s="239">
        <v>1749281</v>
      </c>
      <c r="AR41" s="239">
        <v>-2466626</v>
      </c>
      <c r="AS41" s="214" t="s">
        <v>164</v>
      </c>
      <c r="AT41" s="214" t="s">
        <v>790</v>
      </c>
      <c r="AU41" s="214" t="s">
        <v>749</v>
      </c>
      <c r="AV41" s="214" t="s">
        <v>1088</v>
      </c>
      <c r="AW41" s="214" t="s">
        <v>1088</v>
      </c>
      <c r="AX41" s="214" t="s">
        <v>1295</v>
      </c>
    </row>
    <row r="42" spans="1:50" x14ac:dyDescent="0.2">
      <c r="B42" s="610" t="s">
        <v>167</v>
      </c>
      <c r="C42" s="610" t="s">
        <v>166</v>
      </c>
      <c r="D42" s="239">
        <v>26556445</v>
      </c>
      <c r="E42" s="239">
        <v>0</v>
      </c>
      <c r="F42" s="239">
        <v>26556445</v>
      </c>
      <c r="G42" s="239">
        <v>0</v>
      </c>
      <c r="H42" s="239">
        <v>0</v>
      </c>
      <c r="I42" s="239">
        <v>0</v>
      </c>
      <c r="J42" s="239">
        <v>-314965</v>
      </c>
      <c r="K42" s="239">
        <v>0</v>
      </c>
      <c r="L42" s="239">
        <v>-314965</v>
      </c>
      <c r="M42" s="239">
        <v>0</v>
      </c>
      <c r="N42" s="239">
        <v>0</v>
      </c>
      <c r="O42" s="239">
        <v>0</v>
      </c>
      <c r="P42" s="239">
        <v>-216842</v>
      </c>
      <c r="Q42" s="239">
        <v>0</v>
      </c>
      <c r="R42" s="239">
        <v>-216842</v>
      </c>
      <c r="S42" s="239">
        <v>1588805</v>
      </c>
      <c r="T42" s="239">
        <v>0</v>
      </c>
      <c r="U42" s="239">
        <v>1588805</v>
      </c>
      <c r="V42" s="239">
        <v>-682415</v>
      </c>
      <c r="W42" s="239">
        <v>0</v>
      </c>
      <c r="X42" s="239">
        <v>-682415</v>
      </c>
      <c r="Y42" s="239">
        <v>27245993</v>
      </c>
      <c r="Z42" s="239">
        <v>0</v>
      </c>
      <c r="AA42" s="239">
        <v>27245993</v>
      </c>
      <c r="AB42" s="239">
        <v>0</v>
      </c>
      <c r="AC42" s="239">
        <v>0</v>
      </c>
      <c r="AD42" s="239">
        <v>0</v>
      </c>
      <c r="AE42" s="239">
        <v>0</v>
      </c>
      <c r="AF42" s="239">
        <v>0</v>
      </c>
      <c r="AG42" s="239">
        <v>0</v>
      </c>
      <c r="AH42" s="239">
        <v>0</v>
      </c>
      <c r="AI42" s="239">
        <v>0</v>
      </c>
      <c r="AJ42" s="239">
        <v>0</v>
      </c>
      <c r="AK42" s="239">
        <v>0</v>
      </c>
      <c r="AL42" s="239">
        <v>0</v>
      </c>
      <c r="AM42" s="239">
        <v>0</v>
      </c>
      <c r="AN42" s="239">
        <v>0</v>
      </c>
      <c r="AO42" s="239">
        <v>0</v>
      </c>
      <c r="AP42" s="239">
        <v>0</v>
      </c>
      <c r="AQ42" s="239">
        <v>1411203</v>
      </c>
      <c r="AR42" s="239">
        <v>-840992</v>
      </c>
      <c r="AS42" s="214" t="s">
        <v>166</v>
      </c>
      <c r="AT42" s="214" t="s">
        <v>753</v>
      </c>
      <c r="AU42" s="214" t="s">
        <v>751</v>
      </c>
      <c r="AV42" s="214" t="s">
        <v>1088</v>
      </c>
      <c r="AW42" s="214" t="s">
        <v>1088</v>
      </c>
      <c r="AX42" s="214" t="s">
        <v>1294</v>
      </c>
    </row>
    <row r="43" spans="1:50" x14ac:dyDescent="0.2">
      <c r="B43" s="610" t="s">
        <v>169</v>
      </c>
      <c r="C43" s="610" t="s">
        <v>168</v>
      </c>
      <c r="D43" s="239">
        <v>39725165</v>
      </c>
      <c r="E43" s="239">
        <v>0</v>
      </c>
      <c r="F43" s="239">
        <v>39725165</v>
      </c>
      <c r="G43" s="239">
        <v>-18083</v>
      </c>
      <c r="H43" s="239">
        <v>0</v>
      </c>
      <c r="I43" s="239">
        <v>-18083</v>
      </c>
      <c r="J43" s="239">
        <v>-47209</v>
      </c>
      <c r="K43" s="239">
        <v>0</v>
      </c>
      <c r="L43" s="239">
        <v>-47209</v>
      </c>
      <c r="M43" s="239">
        <v>0</v>
      </c>
      <c r="N43" s="239">
        <v>0</v>
      </c>
      <c r="O43" s="239">
        <v>0</v>
      </c>
      <c r="P43" s="239">
        <v>190565.3</v>
      </c>
      <c r="Q43" s="239">
        <v>0</v>
      </c>
      <c r="R43" s="239">
        <v>190565.3</v>
      </c>
      <c r="S43" s="239">
        <v>572650</v>
      </c>
      <c r="T43" s="239">
        <v>0</v>
      </c>
      <c r="U43" s="239">
        <v>572650</v>
      </c>
      <c r="V43" s="239">
        <v>-1860637</v>
      </c>
      <c r="W43" s="239">
        <v>0</v>
      </c>
      <c r="X43" s="239">
        <v>-1860637</v>
      </c>
      <c r="Y43" s="239">
        <v>38609660.299999997</v>
      </c>
      <c r="Z43" s="239">
        <v>0</v>
      </c>
      <c r="AA43" s="239">
        <v>38609660.299999997</v>
      </c>
      <c r="AB43" s="239">
        <v>0</v>
      </c>
      <c r="AC43" s="239">
        <v>0</v>
      </c>
      <c r="AD43" s="239">
        <v>0</v>
      </c>
      <c r="AE43" s="239">
        <v>0</v>
      </c>
      <c r="AF43" s="239">
        <v>0</v>
      </c>
      <c r="AG43" s="239">
        <v>0</v>
      </c>
      <c r="AH43" s="239">
        <v>0</v>
      </c>
      <c r="AI43" s="239">
        <v>0</v>
      </c>
      <c r="AJ43" s="239">
        <v>0</v>
      </c>
      <c r="AK43" s="239">
        <v>0</v>
      </c>
      <c r="AL43" s="239">
        <v>0</v>
      </c>
      <c r="AM43" s="239">
        <v>0</v>
      </c>
      <c r="AN43" s="239">
        <v>0</v>
      </c>
      <c r="AO43" s="239">
        <v>0</v>
      </c>
      <c r="AP43" s="239">
        <v>0</v>
      </c>
      <c r="AQ43" s="239">
        <v>2691875</v>
      </c>
      <c r="AR43" s="239">
        <v>-799259</v>
      </c>
      <c r="AS43" s="214" t="s">
        <v>168</v>
      </c>
      <c r="AT43" s="214" t="s">
        <v>803</v>
      </c>
      <c r="AU43" s="214" t="s">
        <v>763</v>
      </c>
      <c r="AV43" s="214" t="s">
        <v>1088</v>
      </c>
      <c r="AW43" s="214" t="s">
        <v>1088</v>
      </c>
      <c r="AX43" s="214" t="s">
        <v>1294</v>
      </c>
    </row>
    <row r="44" spans="1:50" x14ac:dyDescent="0.2">
      <c r="A44" s="215" t="s">
        <v>1321</v>
      </c>
      <c r="B44" s="610" t="s">
        <v>171</v>
      </c>
      <c r="C44" s="610" t="s">
        <v>170</v>
      </c>
      <c r="D44" s="239">
        <v>24673560</v>
      </c>
      <c r="E44" s="239">
        <v>560821</v>
      </c>
      <c r="F44" s="239">
        <v>25234381</v>
      </c>
      <c r="G44" s="239">
        <v>0</v>
      </c>
      <c r="H44" s="239">
        <v>0</v>
      </c>
      <c r="I44" s="239">
        <v>0</v>
      </c>
      <c r="J44" s="239">
        <v>117717</v>
      </c>
      <c r="K44" s="239">
        <v>0</v>
      </c>
      <c r="L44" s="239">
        <v>117717</v>
      </c>
      <c r="M44" s="239">
        <v>0</v>
      </c>
      <c r="N44" s="239">
        <v>0</v>
      </c>
      <c r="O44" s="239">
        <v>0</v>
      </c>
      <c r="P44" s="239">
        <v>202307</v>
      </c>
      <c r="Q44" s="239">
        <v>0</v>
      </c>
      <c r="R44" s="239">
        <v>202307</v>
      </c>
      <c r="S44" s="239">
        <v>305588</v>
      </c>
      <c r="T44" s="239">
        <v>0</v>
      </c>
      <c r="U44" s="239">
        <v>305588</v>
      </c>
      <c r="V44" s="239">
        <v>-634674</v>
      </c>
      <c r="W44" s="239">
        <v>0</v>
      </c>
      <c r="X44" s="239">
        <v>-634674</v>
      </c>
      <c r="Y44" s="239">
        <v>24546781</v>
      </c>
      <c r="Z44" s="239">
        <v>560821</v>
      </c>
      <c r="AA44" s="239">
        <v>25107602</v>
      </c>
      <c r="AB44" s="239">
        <v>560821</v>
      </c>
      <c r="AC44" s="239">
        <v>560821</v>
      </c>
      <c r="AD44" s="239">
        <v>0</v>
      </c>
      <c r="AE44" s="239">
        <v>0</v>
      </c>
      <c r="AF44" s="239">
        <v>0</v>
      </c>
      <c r="AG44" s="239">
        <v>0</v>
      </c>
      <c r="AH44" s="239">
        <v>0</v>
      </c>
      <c r="AI44" s="239">
        <v>0</v>
      </c>
      <c r="AJ44" s="239">
        <v>0</v>
      </c>
      <c r="AK44" s="239">
        <v>0</v>
      </c>
      <c r="AL44" s="239">
        <v>1120700</v>
      </c>
      <c r="AM44" s="239">
        <v>0</v>
      </c>
      <c r="AN44" s="239">
        <v>0</v>
      </c>
      <c r="AO44" s="239">
        <v>0</v>
      </c>
      <c r="AP44" s="239">
        <v>0</v>
      </c>
      <c r="AQ44" s="239">
        <v>1040232</v>
      </c>
      <c r="AR44" s="239">
        <v>-311647</v>
      </c>
      <c r="AS44" s="214" t="s">
        <v>170</v>
      </c>
      <c r="AT44" s="214" t="s">
        <v>874</v>
      </c>
      <c r="AU44" s="214" t="s">
        <v>872</v>
      </c>
      <c r="AV44" s="214" t="s">
        <v>1094</v>
      </c>
      <c r="AW44" s="214" t="s">
        <v>1088</v>
      </c>
      <c r="AX44" s="214" t="s">
        <v>1294</v>
      </c>
    </row>
    <row r="45" spans="1:50" x14ac:dyDescent="0.2">
      <c r="B45" s="610" t="s">
        <v>173</v>
      </c>
      <c r="C45" s="610" t="s">
        <v>172</v>
      </c>
      <c r="D45" s="239">
        <v>28152564</v>
      </c>
      <c r="E45" s="239">
        <v>0</v>
      </c>
      <c r="F45" s="239">
        <v>28152564</v>
      </c>
      <c r="G45" s="239">
        <v>-115</v>
      </c>
      <c r="H45" s="239">
        <v>0</v>
      </c>
      <c r="I45" s="239">
        <v>-115</v>
      </c>
      <c r="J45" s="239">
        <v>16970</v>
      </c>
      <c r="K45" s="239">
        <v>0</v>
      </c>
      <c r="L45" s="239">
        <v>16970</v>
      </c>
      <c r="M45" s="239">
        <v>0</v>
      </c>
      <c r="N45" s="239">
        <v>0</v>
      </c>
      <c r="O45" s="239">
        <v>0</v>
      </c>
      <c r="P45" s="239">
        <v>-446826</v>
      </c>
      <c r="Q45" s="239">
        <v>0</v>
      </c>
      <c r="R45" s="239">
        <v>-446826</v>
      </c>
      <c r="S45" s="239">
        <v>0</v>
      </c>
      <c r="T45" s="239">
        <v>0</v>
      </c>
      <c r="U45" s="239">
        <v>0</v>
      </c>
      <c r="V45" s="239">
        <v>-1642799</v>
      </c>
      <c r="W45" s="239">
        <v>0</v>
      </c>
      <c r="X45" s="239">
        <v>-1642799</v>
      </c>
      <c r="Y45" s="239">
        <v>26062824</v>
      </c>
      <c r="Z45" s="239">
        <v>0</v>
      </c>
      <c r="AA45" s="239">
        <v>26062824</v>
      </c>
      <c r="AB45" s="239">
        <v>0</v>
      </c>
      <c r="AC45" s="239">
        <v>0</v>
      </c>
      <c r="AD45" s="239">
        <v>0</v>
      </c>
      <c r="AE45" s="239">
        <v>239759</v>
      </c>
      <c r="AF45" s="239">
        <v>239759</v>
      </c>
      <c r="AG45" s="239">
        <v>0</v>
      </c>
      <c r="AH45" s="239">
        <v>0</v>
      </c>
      <c r="AI45" s="239">
        <v>0</v>
      </c>
      <c r="AJ45" s="239">
        <v>0</v>
      </c>
      <c r="AK45" s="239">
        <v>0</v>
      </c>
      <c r="AL45" s="239">
        <v>0</v>
      </c>
      <c r="AM45" s="239">
        <v>0</v>
      </c>
      <c r="AN45" s="239">
        <v>0</v>
      </c>
      <c r="AO45" s="239">
        <v>0</v>
      </c>
      <c r="AP45" s="239">
        <v>0</v>
      </c>
      <c r="AQ45" s="239">
        <v>1712418</v>
      </c>
      <c r="AR45" s="239">
        <v>-162240</v>
      </c>
      <c r="AS45" s="214" t="s">
        <v>172</v>
      </c>
      <c r="AT45" s="214" t="s">
        <v>757</v>
      </c>
      <c r="AU45" s="214" t="s">
        <v>755</v>
      </c>
      <c r="AV45" s="214" t="s">
        <v>1088</v>
      </c>
      <c r="AW45" s="214" t="s">
        <v>1088</v>
      </c>
      <c r="AX45" s="214" t="s">
        <v>1294</v>
      </c>
    </row>
    <row r="46" spans="1:50" x14ac:dyDescent="0.2">
      <c r="B46" s="610" t="s">
        <v>175</v>
      </c>
      <c r="C46" s="610" t="s">
        <v>174</v>
      </c>
      <c r="D46" s="239">
        <v>49464087</v>
      </c>
      <c r="E46" s="239">
        <v>0</v>
      </c>
      <c r="F46" s="239">
        <v>49464087</v>
      </c>
      <c r="G46" s="239">
        <v>0</v>
      </c>
      <c r="H46" s="239">
        <v>0</v>
      </c>
      <c r="I46" s="239">
        <v>0</v>
      </c>
      <c r="J46" s="239">
        <v>-51625</v>
      </c>
      <c r="K46" s="239">
        <v>0</v>
      </c>
      <c r="L46" s="239">
        <v>-51625</v>
      </c>
      <c r="M46" s="239">
        <v>0</v>
      </c>
      <c r="N46" s="239">
        <v>0</v>
      </c>
      <c r="O46" s="239">
        <v>0</v>
      </c>
      <c r="P46" s="239">
        <v>-1117022</v>
      </c>
      <c r="Q46" s="239">
        <v>0</v>
      </c>
      <c r="R46" s="239">
        <v>-1117022</v>
      </c>
      <c r="S46" s="239">
        <v>1591437</v>
      </c>
      <c r="T46" s="239">
        <v>0</v>
      </c>
      <c r="U46" s="239">
        <v>1591437</v>
      </c>
      <c r="V46" s="239">
        <v>-2845003</v>
      </c>
      <c r="W46" s="239">
        <v>0</v>
      </c>
      <c r="X46" s="239">
        <v>-2845003</v>
      </c>
      <c r="Y46" s="239">
        <v>47093499</v>
      </c>
      <c r="Z46" s="239">
        <v>0</v>
      </c>
      <c r="AA46" s="239">
        <v>47093499</v>
      </c>
      <c r="AB46" s="239">
        <v>0</v>
      </c>
      <c r="AC46" s="239">
        <v>0</v>
      </c>
      <c r="AD46" s="239">
        <v>0</v>
      </c>
      <c r="AE46" s="239">
        <v>0</v>
      </c>
      <c r="AF46" s="239">
        <v>0</v>
      </c>
      <c r="AG46" s="239">
        <v>0</v>
      </c>
      <c r="AH46" s="239">
        <v>0</v>
      </c>
      <c r="AI46" s="239">
        <v>0</v>
      </c>
      <c r="AJ46" s="239">
        <v>0</v>
      </c>
      <c r="AK46" s="239">
        <v>0</v>
      </c>
      <c r="AL46" s="239">
        <v>0</v>
      </c>
      <c r="AM46" s="239">
        <v>0</v>
      </c>
      <c r="AN46" s="239">
        <v>0</v>
      </c>
      <c r="AO46" s="239">
        <v>0</v>
      </c>
      <c r="AP46" s="239">
        <v>0</v>
      </c>
      <c r="AQ46" s="239">
        <v>10167854</v>
      </c>
      <c r="AR46" s="239">
        <v>-2103527</v>
      </c>
      <c r="AS46" s="214" t="s">
        <v>174</v>
      </c>
      <c r="AT46" s="214" t="s">
        <v>768</v>
      </c>
      <c r="AU46" s="214" t="s">
        <v>783</v>
      </c>
      <c r="AV46" s="214" t="s">
        <v>1088</v>
      </c>
      <c r="AW46" s="214" t="s">
        <v>1088</v>
      </c>
      <c r="AX46" s="214" t="s">
        <v>1296</v>
      </c>
    </row>
    <row r="47" spans="1:50" x14ac:dyDescent="0.2">
      <c r="B47" s="610" t="s">
        <v>177</v>
      </c>
      <c r="C47" s="610" t="s">
        <v>176</v>
      </c>
      <c r="D47" s="239">
        <v>57973391</v>
      </c>
      <c r="E47" s="239">
        <v>0</v>
      </c>
      <c r="F47" s="239">
        <v>57973391</v>
      </c>
      <c r="G47" s="239">
        <v>-3151</v>
      </c>
      <c r="H47" s="239">
        <v>0</v>
      </c>
      <c r="I47" s="239">
        <v>-3151</v>
      </c>
      <c r="J47" s="239">
        <v>9025</v>
      </c>
      <c r="K47" s="239">
        <v>0</v>
      </c>
      <c r="L47" s="239">
        <v>9025</v>
      </c>
      <c r="M47" s="239">
        <v>0</v>
      </c>
      <c r="N47" s="239">
        <v>0</v>
      </c>
      <c r="O47" s="239">
        <v>0</v>
      </c>
      <c r="P47" s="239">
        <v>-729498</v>
      </c>
      <c r="Q47" s="239">
        <v>0</v>
      </c>
      <c r="R47" s="239">
        <v>-729498</v>
      </c>
      <c r="S47" s="239">
        <v>1113982</v>
      </c>
      <c r="T47" s="239">
        <v>0</v>
      </c>
      <c r="U47" s="239">
        <v>1113982</v>
      </c>
      <c r="V47" s="239">
        <v>-1989269</v>
      </c>
      <c r="W47" s="239">
        <v>0</v>
      </c>
      <c r="X47" s="239">
        <v>-1989269</v>
      </c>
      <c r="Y47" s="239">
        <v>56365455</v>
      </c>
      <c r="Z47" s="239">
        <v>0</v>
      </c>
      <c r="AA47" s="239">
        <v>56365455</v>
      </c>
      <c r="AB47" s="239">
        <v>0</v>
      </c>
      <c r="AC47" s="239">
        <v>0</v>
      </c>
      <c r="AD47" s="239">
        <v>0</v>
      </c>
      <c r="AE47" s="239">
        <v>298340</v>
      </c>
      <c r="AF47" s="239">
        <v>298340</v>
      </c>
      <c r="AG47" s="239">
        <v>0</v>
      </c>
      <c r="AH47" s="239">
        <v>0</v>
      </c>
      <c r="AI47" s="239">
        <v>0</v>
      </c>
      <c r="AJ47" s="239">
        <v>0</v>
      </c>
      <c r="AK47" s="239">
        <v>0</v>
      </c>
      <c r="AL47" s="239">
        <v>0</v>
      </c>
      <c r="AM47" s="239">
        <v>0</v>
      </c>
      <c r="AN47" s="239">
        <v>0</v>
      </c>
      <c r="AO47" s="239">
        <v>0</v>
      </c>
      <c r="AP47" s="239">
        <v>0</v>
      </c>
      <c r="AQ47" s="239">
        <v>6111095</v>
      </c>
      <c r="AR47" s="239">
        <v>-3842814</v>
      </c>
      <c r="AS47" s="214" t="s">
        <v>176</v>
      </c>
      <c r="AT47" s="214" t="s">
        <v>768</v>
      </c>
      <c r="AU47" s="214" t="s">
        <v>818</v>
      </c>
      <c r="AV47" s="214" t="s">
        <v>1088</v>
      </c>
      <c r="AW47" s="214" t="s">
        <v>1088</v>
      </c>
      <c r="AX47" s="214" t="s">
        <v>1296</v>
      </c>
    </row>
    <row r="48" spans="1:50" x14ac:dyDescent="0.2">
      <c r="B48" s="610" t="s">
        <v>179</v>
      </c>
      <c r="C48" s="610" t="s">
        <v>178</v>
      </c>
      <c r="D48" s="239">
        <v>96561630</v>
      </c>
      <c r="E48" s="239">
        <v>0</v>
      </c>
      <c r="F48" s="239">
        <v>96561630</v>
      </c>
      <c r="G48" s="239">
        <v>-7424</v>
      </c>
      <c r="H48" s="239">
        <v>0</v>
      </c>
      <c r="I48" s="239">
        <v>-7424</v>
      </c>
      <c r="J48" s="239">
        <v>13261</v>
      </c>
      <c r="K48" s="239">
        <v>0</v>
      </c>
      <c r="L48" s="239">
        <v>13261</v>
      </c>
      <c r="M48" s="239">
        <v>0</v>
      </c>
      <c r="N48" s="239">
        <v>0</v>
      </c>
      <c r="O48" s="239">
        <v>0</v>
      </c>
      <c r="P48" s="239">
        <v>-469629</v>
      </c>
      <c r="Q48" s="239">
        <v>0</v>
      </c>
      <c r="R48" s="239">
        <v>-469629</v>
      </c>
      <c r="S48" s="239">
        <v>2085056</v>
      </c>
      <c r="T48" s="239">
        <v>0</v>
      </c>
      <c r="U48" s="239">
        <v>2085056</v>
      </c>
      <c r="V48" s="239">
        <v>-2736929</v>
      </c>
      <c r="W48" s="239">
        <v>0</v>
      </c>
      <c r="X48" s="239">
        <v>-2736929</v>
      </c>
      <c r="Y48" s="239">
        <v>95432704</v>
      </c>
      <c r="Z48" s="239">
        <v>0</v>
      </c>
      <c r="AA48" s="239">
        <v>95432704</v>
      </c>
      <c r="AB48" s="239">
        <v>0</v>
      </c>
      <c r="AC48" s="239">
        <v>0</v>
      </c>
      <c r="AD48" s="239">
        <v>0</v>
      </c>
      <c r="AE48" s="239">
        <v>0</v>
      </c>
      <c r="AF48" s="239">
        <v>0</v>
      </c>
      <c r="AG48" s="239">
        <v>0</v>
      </c>
      <c r="AH48" s="239">
        <v>0</v>
      </c>
      <c r="AI48" s="239">
        <v>0</v>
      </c>
      <c r="AJ48" s="239">
        <v>0</v>
      </c>
      <c r="AK48" s="239">
        <v>0</v>
      </c>
      <c r="AL48" s="239">
        <v>0</v>
      </c>
      <c r="AM48" s="239">
        <v>0</v>
      </c>
      <c r="AN48" s="239">
        <v>0</v>
      </c>
      <c r="AO48" s="239">
        <v>0</v>
      </c>
      <c r="AP48" s="239">
        <v>0</v>
      </c>
      <c r="AQ48" s="239">
        <v>1355833</v>
      </c>
      <c r="AR48" s="239">
        <v>-1825561</v>
      </c>
      <c r="AS48" s="214" t="s">
        <v>178</v>
      </c>
      <c r="AT48" s="214" t="s">
        <v>862</v>
      </c>
      <c r="AU48" s="214" t="s">
        <v>860</v>
      </c>
      <c r="AV48" s="214" t="s">
        <v>1088</v>
      </c>
      <c r="AW48" s="214" t="s">
        <v>1088</v>
      </c>
      <c r="AX48" s="214" t="s">
        <v>1294</v>
      </c>
    </row>
    <row r="49" spans="2:50" x14ac:dyDescent="0.2">
      <c r="B49" s="610" t="s">
        <v>181</v>
      </c>
      <c r="C49" s="610" t="s">
        <v>180</v>
      </c>
      <c r="D49" s="239">
        <v>502894335</v>
      </c>
      <c r="E49" s="239">
        <v>0</v>
      </c>
      <c r="F49" s="239">
        <v>502894335</v>
      </c>
      <c r="G49" s="239">
        <v>-9363</v>
      </c>
      <c r="H49" s="239">
        <v>0</v>
      </c>
      <c r="I49" s="239">
        <v>-9363</v>
      </c>
      <c r="J49" s="239">
        <v>-2952344</v>
      </c>
      <c r="K49" s="239">
        <v>0</v>
      </c>
      <c r="L49" s="239">
        <v>-2952344</v>
      </c>
      <c r="M49" s="239">
        <v>0</v>
      </c>
      <c r="N49" s="239">
        <v>0</v>
      </c>
      <c r="O49" s="239">
        <v>0</v>
      </c>
      <c r="P49" s="239">
        <v>-2516692</v>
      </c>
      <c r="Q49" s="239">
        <v>0</v>
      </c>
      <c r="R49" s="239">
        <v>-2516692</v>
      </c>
      <c r="S49" s="239">
        <v>21147900</v>
      </c>
      <c r="T49" s="239">
        <v>0</v>
      </c>
      <c r="U49" s="239">
        <v>21147900</v>
      </c>
      <c r="V49" s="239">
        <v>0</v>
      </c>
      <c r="W49" s="239">
        <v>0</v>
      </c>
      <c r="X49" s="239">
        <v>0</v>
      </c>
      <c r="Y49" s="239">
        <v>521516180</v>
      </c>
      <c r="Z49" s="239">
        <v>0</v>
      </c>
      <c r="AA49" s="239">
        <v>521516180</v>
      </c>
      <c r="AB49" s="239">
        <v>0</v>
      </c>
      <c r="AC49" s="239">
        <v>0</v>
      </c>
      <c r="AD49" s="239">
        <v>0</v>
      </c>
      <c r="AE49" s="239">
        <v>0</v>
      </c>
      <c r="AF49" s="239">
        <v>0</v>
      </c>
      <c r="AG49" s="239">
        <v>0</v>
      </c>
      <c r="AH49" s="239">
        <v>0</v>
      </c>
      <c r="AI49" s="239">
        <v>0</v>
      </c>
      <c r="AJ49" s="239">
        <v>0</v>
      </c>
      <c r="AK49" s="239">
        <v>0</v>
      </c>
      <c r="AL49" s="239">
        <v>0</v>
      </c>
      <c r="AM49" s="239">
        <v>0</v>
      </c>
      <c r="AN49" s="239">
        <v>0</v>
      </c>
      <c r="AO49" s="239">
        <v>0</v>
      </c>
      <c r="AP49" s="239">
        <v>0</v>
      </c>
      <c r="AQ49" s="239">
        <v>4169891</v>
      </c>
      <c r="AR49" s="239">
        <v>-7567445</v>
      </c>
      <c r="AS49" s="214" t="s">
        <v>180</v>
      </c>
      <c r="AT49" s="214" t="s">
        <v>790</v>
      </c>
      <c r="AU49" s="214" t="s">
        <v>749</v>
      </c>
      <c r="AV49" s="214" t="s">
        <v>1088</v>
      </c>
      <c r="AW49" s="214" t="s">
        <v>1088</v>
      </c>
      <c r="AX49" s="214" t="s">
        <v>1297</v>
      </c>
    </row>
    <row r="50" spans="2:50" x14ac:dyDescent="0.2">
      <c r="B50" s="610" t="s">
        <v>183</v>
      </c>
      <c r="C50" s="610" t="s">
        <v>182</v>
      </c>
      <c r="D50" s="239">
        <v>36262583</v>
      </c>
      <c r="E50" s="239">
        <v>0</v>
      </c>
      <c r="F50" s="239">
        <v>36262583</v>
      </c>
      <c r="G50" s="239">
        <v>-2290</v>
      </c>
      <c r="H50" s="239">
        <v>0</v>
      </c>
      <c r="I50" s="239">
        <v>-2290</v>
      </c>
      <c r="J50" s="239">
        <v>-310631</v>
      </c>
      <c r="K50" s="239">
        <v>0</v>
      </c>
      <c r="L50" s="239">
        <v>-310631</v>
      </c>
      <c r="M50" s="239">
        <v>0</v>
      </c>
      <c r="N50" s="239">
        <v>0</v>
      </c>
      <c r="O50" s="239">
        <v>0</v>
      </c>
      <c r="P50" s="239">
        <v>38790</v>
      </c>
      <c r="Q50" s="239">
        <v>0</v>
      </c>
      <c r="R50" s="239">
        <v>38790</v>
      </c>
      <c r="S50" s="239">
        <v>1153035</v>
      </c>
      <c r="T50" s="239">
        <v>0</v>
      </c>
      <c r="U50" s="239">
        <v>1153035</v>
      </c>
      <c r="V50" s="239">
        <v>-1133580</v>
      </c>
      <c r="W50" s="239">
        <v>0</v>
      </c>
      <c r="X50" s="239">
        <v>-1133580</v>
      </c>
      <c r="Y50" s="239">
        <v>36318538</v>
      </c>
      <c r="Z50" s="239">
        <v>0</v>
      </c>
      <c r="AA50" s="239">
        <v>36318538</v>
      </c>
      <c r="AB50" s="239">
        <v>0</v>
      </c>
      <c r="AC50" s="239">
        <v>0</v>
      </c>
      <c r="AD50" s="239">
        <v>0</v>
      </c>
      <c r="AE50" s="239">
        <v>0</v>
      </c>
      <c r="AF50" s="239">
        <v>0</v>
      </c>
      <c r="AG50" s="239">
        <v>0</v>
      </c>
      <c r="AH50" s="239">
        <v>0</v>
      </c>
      <c r="AI50" s="239">
        <v>0</v>
      </c>
      <c r="AJ50" s="239">
        <v>0</v>
      </c>
      <c r="AK50" s="239">
        <v>0</v>
      </c>
      <c r="AL50" s="239">
        <v>0</v>
      </c>
      <c r="AM50" s="239">
        <v>0</v>
      </c>
      <c r="AN50" s="239">
        <v>0</v>
      </c>
      <c r="AO50" s="239">
        <v>0</v>
      </c>
      <c r="AP50" s="239">
        <v>0</v>
      </c>
      <c r="AQ50" s="239">
        <v>2350501</v>
      </c>
      <c r="AR50" s="239">
        <v>-320892</v>
      </c>
      <c r="AS50" s="214" t="s">
        <v>182</v>
      </c>
      <c r="AT50" s="214" t="s">
        <v>838</v>
      </c>
      <c r="AU50" s="214" t="s">
        <v>836</v>
      </c>
      <c r="AV50" s="214" t="s">
        <v>1088</v>
      </c>
      <c r="AW50" s="214" t="s">
        <v>1088</v>
      </c>
      <c r="AX50" s="214" t="s">
        <v>1294</v>
      </c>
    </row>
    <row r="51" spans="2:50" x14ac:dyDescent="0.2">
      <c r="B51" s="610" t="s">
        <v>185</v>
      </c>
      <c r="C51" s="610" t="s">
        <v>184</v>
      </c>
      <c r="D51" s="239">
        <v>51840616</v>
      </c>
      <c r="E51" s="239">
        <v>0</v>
      </c>
      <c r="F51" s="239">
        <v>51840616</v>
      </c>
      <c r="G51" s="239">
        <v>0</v>
      </c>
      <c r="H51" s="239">
        <v>0</v>
      </c>
      <c r="I51" s="239">
        <v>0</v>
      </c>
      <c r="J51" s="239">
        <v>-515820</v>
      </c>
      <c r="K51" s="239">
        <v>0</v>
      </c>
      <c r="L51" s="239">
        <v>-515820</v>
      </c>
      <c r="M51" s="239">
        <v>0</v>
      </c>
      <c r="N51" s="239">
        <v>0</v>
      </c>
      <c r="O51" s="239">
        <v>0</v>
      </c>
      <c r="P51" s="239">
        <v>-188385</v>
      </c>
      <c r="Q51" s="239">
        <v>0</v>
      </c>
      <c r="R51" s="239">
        <v>-188385</v>
      </c>
      <c r="S51" s="239">
        <v>1992119</v>
      </c>
      <c r="T51" s="239">
        <v>0</v>
      </c>
      <c r="U51" s="239">
        <v>1992119</v>
      </c>
      <c r="V51" s="239">
        <v>-1306511</v>
      </c>
      <c r="W51" s="239">
        <v>0</v>
      </c>
      <c r="X51" s="239">
        <v>-1306511</v>
      </c>
      <c r="Y51" s="239">
        <v>52337839</v>
      </c>
      <c r="Z51" s="239">
        <v>0</v>
      </c>
      <c r="AA51" s="239">
        <v>52337839</v>
      </c>
      <c r="AB51" s="239">
        <v>0</v>
      </c>
      <c r="AC51" s="239">
        <v>0</v>
      </c>
      <c r="AD51" s="239">
        <v>0</v>
      </c>
      <c r="AE51" s="239">
        <v>0</v>
      </c>
      <c r="AF51" s="239">
        <v>0</v>
      </c>
      <c r="AG51" s="239">
        <v>0</v>
      </c>
      <c r="AH51" s="239">
        <v>0</v>
      </c>
      <c r="AI51" s="239">
        <v>0</v>
      </c>
      <c r="AJ51" s="239">
        <v>0</v>
      </c>
      <c r="AK51" s="239">
        <v>0</v>
      </c>
      <c r="AL51" s="239">
        <v>0</v>
      </c>
      <c r="AM51" s="239">
        <v>0</v>
      </c>
      <c r="AN51" s="239">
        <v>0</v>
      </c>
      <c r="AO51" s="239">
        <v>0</v>
      </c>
      <c r="AP51" s="239">
        <v>0</v>
      </c>
      <c r="AQ51" s="239">
        <v>1551930</v>
      </c>
      <c r="AR51" s="239">
        <v>-1662077</v>
      </c>
      <c r="AS51" s="214" t="s">
        <v>184</v>
      </c>
      <c r="AT51" s="214" t="s">
        <v>826</v>
      </c>
      <c r="AU51" s="214" t="s">
        <v>824</v>
      </c>
      <c r="AV51" s="214" t="s">
        <v>1088</v>
      </c>
      <c r="AW51" s="214" t="s">
        <v>1088</v>
      </c>
      <c r="AX51" s="214" t="s">
        <v>1294</v>
      </c>
    </row>
    <row r="52" spans="2:50" x14ac:dyDescent="0.2">
      <c r="B52" s="610" t="s">
        <v>187</v>
      </c>
      <c r="C52" s="610" t="s">
        <v>186</v>
      </c>
      <c r="D52" s="239">
        <v>42936187</v>
      </c>
      <c r="E52" s="239">
        <v>0</v>
      </c>
      <c r="F52" s="239">
        <v>42936187</v>
      </c>
      <c r="G52" s="239">
        <v>0</v>
      </c>
      <c r="H52" s="239">
        <v>0</v>
      </c>
      <c r="I52" s="239">
        <v>0</v>
      </c>
      <c r="J52" s="239">
        <v>-299098</v>
      </c>
      <c r="K52" s="239">
        <v>0</v>
      </c>
      <c r="L52" s="239">
        <v>-299098</v>
      </c>
      <c r="M52" s="239">
        <v>-168643</v>
      </c>
      <c r="N52" s="239">
        <v>0</v>
      </c>
      <c r="O52" s="239">
        <v>-168643</v>
      </c>
      <c r="P52" s="239">
        <v>-362010</v>
      </c>
      <c r="Q52" s="239">
        <v>0</v>
      </c>
      <c r="R52" s="239">
        <v>-362010</v>
      </c>
      <c r="S52" s="239">
        <v>488440</v>
      </c>
      <c r="T52" s="239">
        <v>0</v>
      </c>
      <c r="U52" s="239">
        <v>488440</v>
      </c>
      <c r="V52" s="239">
        <v>-566976</v>
      </c>
      <c r="W52" s="239">
        <v>0</v>
      </c>
      <c r="X52" s="239">
        <v>-566976</v>
      </c>
      <c r="Y52" s="239">
        <v>42326998</v>
      </c>
      <c r="Z52" s="239">
        <v>0</v>
      </c>
      <c r="AA52" s="239">
        <v>42326998</v>
      </c>
      <c r="AB52" s="239">
        <v>0</v>
      </c>
      <c r="AC52" s="239">
        <v>0</v>
      </c>
      <c r="AD52" s="239">
        <v>0</v>
      </c>
      <c r="AE52" s="239">
        <v>25680</v>
      </c>
      <c r="AF52" s="239">
        <v>25680</v>
      </c>
      <c r="AG52" s="239">
        <v>0</v>
      </c>
      <c r="AH52" s="239">
        <v>0</v>
      </c>
      <c r="AI52" s="239">
        <v>0</v>
      </c>
      <c r="AJ52" s="239">
        <v>0</v>
      </c>
      <c r="AK52" s="239">
        <v>0</v>
      </c>
      <c r="AL52" s="239">
        <v>0</v>
      </c>
      <c r="AM52" s="239">
        <v>0</v>
      </c>
      <c r="AN52" s="239">
        <v>0</v>
      </c>
      <c r="AO52" s="239">
        <v>0</v>
      </c>
      <c r="AP52" s="239">
        <v>0</v>
      </c>
      <c r="AQ52" s="239">
        <v>1274199</v>
      </c>
      <c r="AR52" s="239">
        <v>-497828</v>
      </c>
      <c r="AS52" s="214" t="s">
        <v>186</v>
      </c>
      <c r="AT52" s="214" t="s">
        <v>851</v>
      </c>
      <c r="AU52" s="214" t="s">
        <v>763</v>
      </c>
      <c r="AV52" s="214" t="s">
        <v>1088</v>
      </c>
      <c r="AW52" s="214" t="s">
        <v>1088</v>
      </c>
      <c r="AX52" s="214" t="s">
        <v>1294</v>
      </c>
    </row>
    <row r="53" spans="2:50" x14ac:dyDescent="0.2">
      <c r="B53" s="610" t="s">
        <v>189</v>
      </c>
      <c r="C53" s="610" t="s">
        <v>188</v>
      </c>
      <c r="D53" s="239">
        <v>15111157</v>
      </c>
      <c r="E53" s="239">
        <v>0</v>
      </c>
      <c r="F53" s="239">
        <v>15111157</v>
      </c>
      <c r="G53" s="239">
        <v>0</v>
      </c>
      <c r="H53" s="239">
        <v>0</v>
      </c>
      <c r="I53" s="239">
        <v>0</v>
      </c>
      <c r="J53" s="239">
        <v>-94405</v>
      </c>
      <c r="K53" s="239">
        <v>0</v>
      </c>
      <c r="L53" s="239">
        <v>-94405</v>
      </c>
      <c r="M53" s="239">
        <v>0</v>
      </c>
      <c r="N53" s="239">
        <v>0</v>
      </c>
      <c r="O53" s="239">
        <v>0</v>
      </c>
      <c r="P53" s="239">
        <v>-71761</v>
      </c>
      <c r="Q53" s="239">
        <v>0</v>
      </c>
      <c r="R53" s="239">
        <v>-71761</v>
      </c>
      <c r="S53" s="239">
        <v>38240</v>
      </c>
      <c r="T53" s="239">
        <v>0</v>
      </c>
      <c r="U53" s="239">
        <v>38240</v>
      </c>
      <c r="V53" s="239">
        <v>-500000</v>
      </c>
      <c r="W53" s="239">
        <v>0</v>
      </c>
      <c r="X53" s="239">
        <v>-500000</v>
      </c>
      <c r="Y53" s="239">
        <v>14577636</v>
      </c>
      <c r="Z53" s="239">
        <v>0</v>
      </c>
      <c r="AA53" s="239">
        <v>14577636</v>
      </c>
      <c r="AB53" s="239">
        <v>0</v>
      </c>
      <c r="AC53" s="239">
        <v>0</v>
      </c>
      <c r="AD53" s="239">
        <v>0</v>
      </c>
      <c r="AE53" s="239">
        <v>0</v>
      </c>
      <c r="AF53" s="239">
        <v>0</v>
      </c>
      <c r="AG53" s="239">
        <v>0</v>
      </c>
      <c r="AH53" s="239">
        <v>0</v>
      </c>
      <c r="AI53" s="239">
        <v>0</v>
      </c>
      <c r="AJ53" s="239">
        <v>0</v>
      </c>
      <c r="AK53" s="239">
        <v>0</v>
      </c>
      <c r="AL53" s="239">
        <v>0</v>
      </c>
      <c r="AM53" s="239">
        <v>0</v>
      </c>
      <c r="AN53" s="239">
        <v>0</v>
      </c>
      <c r="AO53" s="239">
        <v>0</v>
      </c>
      <c r="AP53" s="239">
        <v>0</v>
      </c>
      <c r="AQ53" s="239">
        <v>163471</v>
      </c>
      <c r="AR53" s="239">
        <v>-239510</v>
      </c>
      <c r="AS53" s="214" t="s">
        <v>188</v>
      </c>
      <c r="AT53" s="214" t="s">
        <v>822</v>
      </c>
      <c r="AU53" s="214" t="s">
        <v>820</v>
      </c>
      <c r="AV53" s="214" t="s">
        <v>1088</v>
      </c>
      <c r="AW53" s="214" t="s">
        <v>1088</v>
      </c>
      <c r="AX53" s="214" t="s">
        <v>1294</v>
      </c>
    </row>
    <row r="54" spans="2:50" x14ac:dyDescent="0.2">
      <c r="B54" s="610" t="s">
        <v>191</v>
      </c>
      <c r="C54" s="610" t="s">
        <v>190</v>
      </c>
      <c r="D54" s="239">
        <v>75724630</v>
      </c>
      <c r="E54" s="239">
        <v>0</v>
      </c>
      <c r="F54" s="239">
        <v>75724630</v>
      </c>
      <c r="G54" s="239">
        <v>-21615</v>
      </c>
      <c r="H54" s="239">
        <v>0</v>
      </c>
      <c r="I54" s="239">
        <v>-21615</v>
      </c>
      <c r="J54" s="239">
        <v>-606383</v>
      </c>
      <c r="K54" s="239">
        <v>0</v>
      </c>
      <c r="L54" s="239">
        <v>-606383</v>
      </c>
      <c r="M54" s="239">
        <v>-87121</v>
      </c>
      <c r="N54" s="239">
        <v>0</v>
      </c>
      <c r="O54" s="239">
        <v>-87121</v>
      </c>
      <c r="P54" s="239">
        <v>-586084</v>
      </c>
      <c r="Q54" s="239">
        <v>0</v>
      </c>
      <c r="R54" s="239">
        <v>-586084</v>
      </c>
      <c r="S54" s="239">
        <v>3569617</v>
      </c>
      <c r="T54" s="239">
        <v>0</v>
      </c>
      <c r="U54" s="239">
        <v>3569617</v>
      </c>
      <c r="V54" s="239">
        <v>-3017070</v>
      </c>
      <c r="W54" s="239">
        <v>0</v>
      </c>
      <c r="X54" s="239">
        <v>-3017070</v>
      </c>
      <c r="Y54" s="239">
        <v>75582357</v>
      </c>
      <c r="Z54" s="239">
        <v>0</v>
      </c>
      <c r="AA54" s="239">
        <v>75582357</v>
      </c>
      <c r="AB54" s="239">
        <v>0</v>
      </c>
      <c r="AC54" s="239">
        <v>0</v>
      </c>
      <c r="AD54" s="239">
        <v>0</v>
      </c>
      <c r="AE54" s="239">
        <v>383184</v>
      </c>
      <c r="AF54" s="239">
        <v>383184</v>
      </c>
      <c r="AG54" s="239">
        <v>0</v>
      </c>
      <c r="AH54" s="239">
        <v>0</v>
      </c>
      <c r="AI54" s="239">
        <v>0</v>
      </c>
      <c r="AJ54" s="239">
        <v>0</v>
      </c>
      <c r="AK54" s="239">
        <v>0</v>
      </c>
      <c r="AL54" s="239">
        <v>0</v>
      </c>
      <c r="AM54" s="239">
        <v>0</v>
      </c>
      <c r="AN54" s="239">
        <v>0</v>
      </c>
      <c r="AO54" s="239">
        <v>0</v>
      </c>
      <c r="AP54" s="239">
        <v>0</v>
      </c>
      <c r="AQ54" s="239">
        <v>3818031</v>
      </c>
      <c r="AR54" s="239">
        <v>-1278660</v>
      </c>
      <c r="AS54" s="214" t="s">
        <v>190</v>
      </c>
      <c r="AT54" s="214" t="s">
        <v>748</v>
      </c>
      <c r="AU54" s="214" t="s">
        <v>898</v>
      </c>
      <c r="AV54" s="214" t="s">
        <v>1088</v>
      </c>
      <c r="AW54" s="214" t="s">
        <v>1088</v>
      </c>
      <c r="AX54" s="214" t="s">
        <v>748</v>
      </c>
    </row>
    <row r="55" spans="2:50" x14ac:dyDescent="0.2">
      <c r="B55" s="610" t="s">
        <v>193</v>
      </c>
      <c r="C55" s="610" t="s">
        <v>192</v>
      </c>
      <c r="D55" s="239">
        <v>44166030</v>
      </c>
      <c r="E55" s="239">
        <v>0</v>
      </c>
      <c r="F55" s="239">
        <v>44166030</v>
      </c>
      <c r="G55" s="239">
        <v>0</v>
      </c>
      <c r="H55" s="239">
        <v>0</v>
      </c>
      <c r="I55" s="239">
        <v>0</v>
      </c>
      <c r="J55" s="239">
        <v>-303415</v>
      </c>
      <c r="K55" s="239">
        <v>0</v>
      </c>
      <c r="L55" s="239">
        <v>-303415</v>
      </c>
      <c r="M55" s="239">
        <v>0</v>
      </c>
      <c r="N55" s="239">
        <v>0</v>
      </c>
      <c r="O55" s="239">
        <v>0</v>
      </c>
      <c r="P55" s="239">
        <v>-242814</v>
      </c>
      <c r="Q55" s="239">
        <v>0</v>
      </c>
      <c r="R55" s="239">
        <v>-242814</v>
      </c>
      <c r="S55" s="239">
        <v>0</v>
      </c>
      <c r="T55" s="239">
        <v>0</v>
      </c>
      <c r="U55" s="239">
        <v>0</v>
      </c>
      <c r="V55" s="239">
        <v>-3650000</v>
      </c>
      <c r="W55" s="239">
        <v>0</v>
      </c>
      <c r="X55" s="239">
        <v>-3650000</v>
      </c>
      <c r="Y55" s="239">
        <v>40273216</v>
      </c>
      <c r="Z55" s="239">
        <v>0</v>
      </c>
      <c r="AA55" s="239">
        <v>40273216</v>
      </c>
      <c r="AB55" s="239">
        <v>0</v>
      </c>
      <c r="AC55" s="239">
        <v>0</v>
      </c>
      <c r="AD55" s="239">
        <v>0</v>
      </c>
      <c r="AE55" s="239">
        <v>151598</v>
      </c>
      <c r="AF55" s="239">
        <v>151598</v>
      </c>
      <c r="AG55" s="239">
        <v>0</v>
      </c>
      <c r="AH55" s="239">
        <v>0</v>
      </c>
      <c r="AI55" s="239">
        <v>0</v>
      </c>
      <c r="AJ55" s="239">
        <v>0</v>
      </c>
      <c r="AK55" s="239">
        <v>0</v>
      </c>
      <c r="AL55" s="239">
        <v>0</v>
      </c>
      <c r="AM55" s="239">
        <v>0</v>
      </c>
      <c r="AN55" s="239">
        <v>0</v>
      </c>
      <c r="AO55" s="239">
        <v>0</v>
      </c>
      <c r="AP55" s="239">
        <v>0</v>
      </c>
      <c r="AQ55" s="239">
        <v>967351</v>
      </c>
      <c r="AR55" s="239">
        <v>-305186</v>
      </c>
      <c r="AS55" s="214" t="s">
        <v>192</v>
      </c>
      <c r="AT55" s="214" t="s">
        <v>884</v>
      </c>
      <c r="AU55" s="214" t="s">
        <v>869</v>
      </c>
      <c r="AV55" s="214" t="s">
        <v>1088</v>
      </c>
      <c r="AW55" s="214" t="s">
        <v>1088</v>
      </c>
      <c r="AX55" s="214" t="s">
        <v>1294</v>
      </c>
    </row>
    <row r="56" spans="2:50" x14ac:dyDescent="0.2">
      <c r="B56" s="610" t="s">
        <v>195</v>
      </c>
      <c r="C56" s="610" t="s">
        <v>194</v>
      </c>
      <c r="D56" s="239">
        <v>77008886</v>
      </c>
      <c r="E56" s="239">
        <v>0</v>
      </c>
      <c r="F56" s="239">
        <v>77008886</v>
      </c>
      <c r="G56" s="239">
        <v>-17951</v>
      </c>
      <c r="H56" s="239">
        <v>0</v>
      </c>
      <c r="I56" s="239">
        <v>-17951</v>
      </c>
      <c r="J56" s="239">
        <v>0</v>
      </c>
      <c r="K56" s="239">
        <v>0</v>
      </c>
      <c r="L56" s="239">
        <v>0</v>
      </c>
      <c r="M56" s="239">
        <v>-725505</v>
      </c>
      <c r="N56" s="239">
        <v>0</v>
      </c>
      <c r="O56" s="239">
        <v>-725505</v>
      </c>
      <c r="P56" s="239">
        <v>-26243</v>
      </c>
      <c r="Q56" s="239">
        <v>0</v>
      </c>
      <c r="R56" s="239">
        <v>-26243</v>
      </c>
      <c r="S56" s="239">
        <v>4502633</v>
      </c>
      <c r="T56" s="239">
        <v>0</v>
      </c>
      <c r="U56" s="239">
        <v>4502633</v>
      </c>
      <c r="V56" s="239">
        <v>-8046041</v>
      </c>
      <c r="W56" s="239">
        <v>0</v>
      </c>
      <c r="X56" s="239">
        <v>-8046041</v>
      </c>
      <c r="Y56" s="239">
        <v>72695779</v>
      </c>
      <c r="Z56" s="239">
        <v>0</v>
      </c>
      <c r="AA56" s="239">
        <v>72695779</v>
      </c>
      <c r="AB56" s="239">
        <v>0</v>
      </c>
      <c r="AC56" s="239">
        <v>0</v>
      </c>
      <c r="AD56" s="239">
        <v>0</v>
      </c>
      <c r="AE56" s="239">
        <v>0</v>
      </c>
      <c r="AF56" s="239">
        <v>0</v>
      </c>
      <c r="AG56" s="239">
        <v>0</v>
      </c>
      <c r="AH56" s="239">
        <v>0</v>
      </c>
      <c r="AI56" s="239">
        <v>0</v>
      </c>
      <c r="AJ56" s="239">
        <v>0</v>
      </c>
      <c r="AK56" s="239">
        <v>0</v>
      </c>
      <c r="AL56" s="239">
        <v>0</v>
      </c>
      <c r="AM56" s="239">
        <v>0</v>
      </c>
      <c r="AN56" s="239">
        <v>0</v>
      </c>
      <c r="AO56" s="239">
        <v>0</v>
      </c>
      <c r="AP56" s="239">
        <v>0</v>
      </c>
      <c r="AQ56" s="239">
        <v>2762248</v>
      </c>
      <c r="AR56" s="239">
        <v>-1552047</v>
      </c>
      <c r="AS56" s="214" t="s">
        <v>194</v>
      </c>
      <c r="AT56" s="214" t="s">
        <v>822</v>
      </c>
      <c r="AU56" s="214" t="s">
        <v>820</v>
      </c>
      <c r="AV56" s="214" t="s">
        <v>1088</v>
      </c>
      <c r="AW56" s="214" t="s">
        <v>1088</v>
      </c>
      <c r="AX56" s="214" t="s">
        <v>1294</v>
      </c>
    </row>
    <row r="57" spans="2:50" x14ac:dyDescent="0.2">
      <c r="B57" s="610" t="s">
        <v>197</v>
      </c>
      <c r="C57" s="610" t="s">
        <v>196</v>
      </c>
      <c r="D57" s="239">
        <v>54936266</v>
      </c>
      <c r="E57" s="239">
        <v>0</v>
      </c>
      <c r="F57" s="239">
        <v>54936266</v>
      </c>
      <c r="G57" s="239">
        <v>-3703</v>
      </c>
      <c r="H57" s="239">
        <v>0</v>
      </c>
      <c r="I57" s="239">
        <v>-3703</v>
      </c>
      <c r="J57" s="239">
        <v>-526536</v>
      </c>
      <c r="K57" s="239">
        <v>0</v>
      </c>
      <c r="L57" s="239">
        <v>-526536</v>
      </c>
      <c r="M57" s="239">
        <v>-131183</v>
      </c>
      <c r="N57" s="239">
        <v>0</v>
      </c>
      <c r="O57" s="239">
        <v>-131183</v>
      </c>
      <c r="P57" s="239">
        <v>-483035</v>
      </c>
      <c r="Q57" s="239">
        <v>0</v>
      </c>
      <c r="R57" s="239">
        <v>-483035</v>
      </c>
      <c r="S57" s="239">
        <v>1839478</v>
      </c>
      <c r="T57" s="239">
        <v>0</v>
      </c>
      <c r="U57" s="239">
        <v>1839478</v>
      </c>
      <c r="V57" s="239">
        <v>-3079678</v>
      </c>
      <c r="W57" s="239">
        <v>0</v>
      </c>
      <c r="X57" s="239">
        <v>-3079678</v>
      </c>
      <c r="Y57" s="239">
        <v>53078145</v>
      </c>
      <c r="Z57" s="239">
        <v>0</v>
      </c>
      <c r="AA57" s="239">
        <v>53078145</v>
      </c>
      <c r="AB57" s="239">
        <v>0</v>
      </c>
      <c r="AC57" s="239">
        <v>0</v>
      </c>
      <c r="AD57" s="239">
        <v>0</v>
      </c>
      <c r="AE57" s="239">
        <v>0</v>
      </c>
      <c r="AF57" s="239">
        <v>0</v>
      </c>
      <c r="AG57" s="239">
        <v>0</v>
      </c>
      <c r="AH57" s="239">
        <v>0</v>
      </c>
      <c r="AI57" s="239">
        <v>0</v>
      </c>
      <c r="AJ57" s="239">
        <v>0</v>
      </c>
      <c r="AK57" s="239">
        <v>0</v>
      </c>
      <c r="AL57" s="239">
        <v>0</v>
      </c>
      <c r="AM57" s="239">
        <v>0</v>
      </c>
      <c r="AN57" s="239">
        <v>0</v>
      </c>
      <c r="AO57" s="239">
        <v>0</v>
      </c>
      <c r="AP57" s="239">
        <v>0</v>
      </c>
      <c r="AQ57" s="239">
        <v>1282168</v>
      </c>
      <c r="AR57" s="239">
        <v>-4422360</v>
      </c>
      <c r="AS57" s="214" t="s">
        <v>196</v>
      </c>
      <c r="AT57" s="214" t="s">
        <v>831</v>
      </c>
      <c r="AU57" s="214" t="s">
        <v>763</v>
      </c>
      <c r="AV57" s="214" t="s">
        <v>1088</v>
      </c>
      <c r="AW57" s="214" t="s">
        <v>1088</v>
      </c>
      <c r="AX57" s="214" t="s">
        <v>1294</v>
      </c>
    </row>
    <row r="58" spans="2:50" x14ac:dyDescent="0.2">
      <c r="B58" s="610" t="s">
        <v>199</v>
      </c>
      <c r="C58" s="610" t="s">
        <v>198</v>
      </c>
      <c r="D58" s="239">
        <v>75490885</v>
      </c>
      <c r="E58" s="239">
        <v>0</v>
      </c>
      <c r="F58" s="239">
        <v>75490885</v>
      </c>
      <c r="G58" s="239">
        <v>0</v>
      </c>
      <c r="H58" s="239">
        <v>0</v>
      </c>
      <c r="I58" s="239">
        <v>0</v>
      </c>
      <c r="J58" s="239">
        <v>0</v>
      </c>
      <c r="K58" s="239">
        <v>0</v>
      </c>
      <c r="L58" s="239">
        <v>0</v>
      </c>
      <c r="M58" s="239">
        <v>-1772080</v>
      </c>
      <c r="N58" s="239">
        <v>0</v>
      </c>
      <c r="O58" s="239">
        <v>-1772080</v>
      </c>
      <c r="P58" s="239">
        <v>-27332</v>
      </c>
      <c r="Q58" s="239">
        <v>0</v>
      </c>
      <c r="R58" s="239">
        <v>-27332</v>
      </c>
      <c r="S58" s="239">
        <v>695995</v>
      </c>
      <c r="T58" s="239">
        <v>0</v>
      </c>
      <c r="U58" s="239">
        <v>695995</v>
      </c>
      <c r="V58" s="239">
        <v>-327120</v>
      </c>
      <c r="W58" s="239">
        <v>0</v>
      </c>
      <c r="X58" s="239">
        <v>-327120</v>
      </c>
      <c r="Y58" s="239">
        <v>74060348</v>
      </c>
      <c r="Z58" s="239">
        <v>0</v>
      </c>
      <c r="AA58" s="239">
        <v>74060348</v>
      </c>
      <c r="AB58" s="239">
        <v>0</v>
      </c>
      <c r="AC58" s="239">
        <v>0</v>
      </c>
      <c r="AD58" s="239">
        <v>0</v>
      </c>
      <c r="AE58" s="239">
        <v>556157</v>
      </c>
      <c r="AF58" s="239">
        <v>556157</v>
      </c>
      <c r="AG58" s="239">
        <v>0</v>
      </c>
      <c r="AH58" s="239">
        <v>0</v>
      </c>
      <c r="AI58" s="239">
        <v>0</v>
      </c>
      <c r="AJ58" s="239">
        <v>0</v>
      </c>
      <c r="AK58" s="239">
        <v>0</v>
      </c>
      <c r="AL58" s="239">
        <v>0</v>
      </c>
      <c r="AM58" s="239">
        <v>0</v>
      </c>
      <c r="AN58" s="239">
        <v>0</v>
      </c>
      <c r="AO58" s="239">
        <v>0</v>
      </c>
      <c r="AP58" s="239">
        <v>0</v>
      </c>
      <c r="AQ58" s="239">
        <v>1364412</v>
      </c>
      <c r="AR58" s="239">
        <v>-1184792</v>
      </c>
      <c r="AS58" s="214" t="s">
        <v>198</v>
      </c>
      <c r="AT58" s="214" t="s">
        <v>796</v>
      </c>
      <c r="AU58" s="214" t="s">
        <v>763</v>
      </c>
      <c r="AV58" s="214" t="s">
        <v>1088</v>
      </c>
      <c r="AW58" s="214" t="s">
        <v>1088</v>
      </c>
      <c r="AX58" s="214" t="s">
        <v>1294</v>
      </c>
    </row>
    <row r="59" spans="2:50" x14ac:dyDescent="0.2">
      <c r="B59" s="610" t="s">
        <v>201</v>
      </c>
      <c r="C59" s="610" t="s">
        <v>200</v>
      </c>
      <c r="D59" s="239">
        <v>136902874</v>
      </c>
      <c r="E59" s="239">
        <v>0</v>
      </c>
      <c r="F59" s="239">
        <v>136902874</v>
      </c>
      <c r="G59" s="239">
        <v>-46037</v>
      </c>
      <c r="H59" s="239">
        <v>0</v>
      </c>
      <c r="I59" s="239">
        <v>-46037</v>
      </c>
      <c r="J59" s="239">
        <v>-943161</v>
      </c>
      <c r="K59" s="239">
        <v>0</v>
      </c>
      <c r="L59" s="239">
        <v>-943161</v>
      </c>
      <c r="M59" s="239">
        <v>0</v>
      </c>
      <c r="N59" s="239">
        <v>0</v>
      </c>
      <c r="O59" s="239">
        <v>0</v>
      </c>
      <c r="P59" s="239">
        <v>-1462491</v>
      </c>
      <c r="Q59" s="239">
        <v>0</v>
      </c>
      <c r="R59" s="239">
        <v>-1462491</v>
      </c>
      <c r="S59" s="239">
        <v>3613218</v>
      </c>
      <c r="T59" s="239">
        <v>0</v>
      </c>
      <c r="U59" s="239">
        <v>3613218</v>
      </c>
      <c r="V59" s="239">
        <v>-7089004</v>
      </c>
      <c r="W59" s="239">
        <v>0</v>
      </c>
      <c r="X59" s="239">
        <v>-7089004</v>
      </c>
      <c r="Y59" s="239">
        <v>131918560</v>
      </c>
      <c r="Z59" s="239">
        <v>0</v>
      </c>
      <c r="AA59" s="239">
        <v>131918560</v>
      </c>
      <c r="AB59" s="239">
        <v>0</v>
      </c>
      <c r="AC59" s="239">
        <v>0</v>
      </c>
      <c r="AD59" s="239">
        <v>0</v>
      </c>
      <c r="AE59" s="239">
        <v>5062</v>
      </c>
      <c r="AF59" s="239">
        <v>5062</v>
      </c>
      <c r="AG59" s="239">
        <v>0</v>
      </c>
      <c r="AH59" s="239">
        <v>0</v>
      </c>
      <c r="AI59" s="239">
        <v>0</v>
      </c>
      <c r="AJ59" s="239">
        <v>0</v>
      </c>
      <c r="AK59" s="239">
        <v>0</v>
      </c>
      <c r="AL59" s="239">
        <v>0</v>
      </c>
      <c r="AM59" s="239">
        <v>0</v>
      </c>
      <c r="AN59" s="239">
        <v>0</v>
      </c>
      <c r="AO59" s="239">
        <v>0</v>
      </c>
      <c r="AP59" s="239">
        <v>0</v>
      </c>
      <c r="AQ59" s="239">
        <v>5714775</v>
      </c>
      <c r="AR59" s="239">
        <v>-737946</v>
      </c>
      <c r="AS59" s="214" t="s">
        <v>200</v>
      </c>
      <c r="AT59" s="214" t="s">
        <v>748</v>
      </c>
      <c r="AU59" s="214" t="s">
        <v>815</v>
      </c>
      <c r="AV59" s="214" t="s">
        <v>1088</v>
      </c>
      <c r="AW59" s="214" t="s">
        <v>1088</v>
      </c>
      <c r="AX59" s="214" t="s">
        <v>748</v>
      </c>
    </row>
    <row r="60" spans="2:50" x14ac:dyDescent="0.2">
      <c r="B60" s="610" t="s">
        <v>203</v>
      </c>
      <c r="C60" s="610" t="s">
        <v>919</v>
      </c>
      <c r="D60" s="239">
        <v>156791195</v>
      </c>
      <c r="E60" s="239">
        <v>0</v>
      </c>
      <c r="F60" s="239">
        <v>156791195</v>
      </c>
      <c r="G60" s="239">
        <v>-34932</v>
      </c>
      <c r="H60" s="239">
        <v>0</v>
      </c>
      <c r="I60" s="239">
        <v>-34932</v>
      </c>
      <c r="J60" s="239">
        <v>-1068646</v>
      </c>
      <c r="K60" s="239">
        <v>0</v>
      </c>
      <c r="L60" s="239">
        <v>-1068646</v>
      </c>
      <c r="M60" s="239">
        <v>0</v>
      </c>
      <c r="N60" s="239">
        <v>0</v>
      </c>
      <c r="O60" s="239">
        <v>0</v>
      </c>
      <c r="P60" s="239">
        <v>-1142643</v>
      </c>
      <c r="Q60" s="239">
        <v>0</v>
      </c>
      <c r="R60" s="239">
        <v>-1142643</v>
      </c>
      <c r="S60" s="239">
        <v>4118340</v>
      </c>
      <c r="T60" s="239">
        <v>0</v>
      </c>
      <c r="U60" s="239">
        <v>4118340</v>
      </c>
      <c r="V60" s="239">
        <v>-5480533</v>
      </c>
      <c r="W60" s="239">
        <v>0</v>
      </c>
      <c r="X60" s="239">
        <v>-5480533</v>
      </c>
      <c r="Y60" s="239">
        <v>154251427</v>
      </c>
      <c r="Z60" s="239">
        <v>0</v>
      </c>
      <c r="AA60" s="239">
        <v>154251427</v>
      </c>
      <c r="AB60" s="239">
        <v>0</v>
      </c>
      <c r="AC60" s="239">
        <v>0</v>
      </c>
      <c r="AD60" s="239">
        <v>0</v>
      </c>
      <c r="AE60" s="239">
        <v>0</v>
      </c>
      <c r="AF60" s="239">
        <v>0</v>
      </c>
      <c r="AG60" s="239">
        <v>0</v>
      </c>
      <c r="AH60" s="239">
        <v>0</v>
      </c>
      <c r="AI60" s="239">
        <v>0</v>
      </c>
      <c r="AJ60" s="239">
        <v>0</v>
      </c>
      <c r="AK60" s="239">
        <v>0</v>
      </c>
      <c r="AL60" s="239">
        <v>0</v>
      </c>
      <c r="AM60" s="239">
        <v>0</v>
      </c>
      <c r="AN60" s="239">
        <v>0</v>
      </c>
      <c r="AO60" s="239">
        <v>0</v>
      </c>
      <c r="AP60" s="239">
        <v>0</v>
      </c>
      <c r="AQ60" s="239">
        <v>3526332</v>
      </c>
      <c r="AR60" s="239">
        <v>-3766827</v>
      </c>
      <c r="AS60" s="214" t="s">
        <v>919</v>
      </c>
      <c r="AT60" s="214" t="s">
        <v>748</v>
      </c>
      <c r="AU60" s="214" t="s">
        <v>815</v>
      </c>
      <c r="AV60" s="214" t="s">
        <v>1088</v>
      </c>
      <c r="AW60" s="214" t="s">
        <v>1088</v>
      </c>
      <c r="AX60" s="214" t="s">
        <v>748</v>
      </c>
    </row>
    <row r="61" spans="2:50" x14ac:dyDescent="0.2">
      <c r="B61" s="610" t="s">
        <v>205</v>
      </c>
      <c r="C61" s="610" t="s">
        <v>204</v>
      </c>
      <c r="D61" s="239">
        <v>36876874</v>
      </c>
      <c r="E61" s="239">
        <v>38008</v>
      </c>
      <c r="F61" s="239">
        <v>36914882</v>
      </c>
      <c r="G61" s="239">
        <v>0</v>
      </c>
      <c r="H61" s="239">
        <v>0</v>
      </c>
      <c r="I61" s="239">
        <v>0</v>
      </c>
      <c r="J61" s="239">
        <v>-820405</v>
      </c>
      <c r="K61" s="239">
        <v>0</v>
      </c>
      <c r="L61" s="239">
        <v>-820405</v>
      </c>
      <c r="M61" s="239">
        <v>-1072355</v>
      </c>
      <c r="N61" s="239">
        <v>0</v>
      </c>
      <c r="O61" s="239">
        <v>-1072355</v>
      </c>
      <c r="P61" s="239">
        <v>-635266</v>
      </c>
      <c r="Q61" s="239">
        <v>0</v>
      </c>
      <c r="R61" s="239">
        <v>-635266</v>
      </c>
      <c r="S61" s="239">
        <v>1276381</v>
      </c>
      <c r="T61" s="239">
        <v>0</v>
      </c>
      <c r="U61" s="239">
        <v>1276381</v>
      </c>
      <c r="V61" s="239">
        <v>-1401891</v>
      </c>
      <c r="W61" s="239">
        <v>0</v>
      </c>
      <c r="X61" s="239">
        <v>-1401891</v>
      </c>
      <c r="Y61" s="239">
        <v>35043743</v>
      </c>
      <c r="Z61" s="239">
        <v>38008</v>
      </c>
      <c r="AA61" s="239">
        <v>35081751</v>
      </c>
      <c r="AB61" s="239">
        <v>38008</v>
      </c>
      <c r="AC61" s="239">
        <v>38008</v>
      </c>
      <c r="AD61" s="239">
        <v>0</v>
      </c>
      <c r="AE61" s="239">
        <v>0</v>
      </c>
      <c r="AF61" s="239">
        <v>0</v>
      </c>
      <c r="AG61" s="239">
        <v>0</v>
      </c>
      <c r="AH61" s="239">
        <v>0</v>
      </c>
      <c r="AI61" s="239">
        <v>0</v>
      </c>
      <c r="AJ61" s="239">
        <v>0</v>
      </c>
      <c r="AK61" s="239">
        <v>0</v>
      </c>
      <c r="AL61" s="239">
        <v>0</v>
      </c>
      <c r="AM61" s="239">
        <v>0</v>
      </c>
      <c r="AN61" s="239">
        <v>38008</v>
      </c>
      <c r="AO61" s="239">
        <v>38008</v>
      </c>
      <c r="AP61" s="239">
        <v>0</v>
      </c>
      <c r="AQ61" s="239">
        <v>1195836</v>
      </c>
      <c r="AR61" s="239">
        <v>-455398</v>
      </c>
      <c r="AS61" s="214" t="s">
        <v>204</v>
      </c>
      <c r="AT61" s="214" t="s">
        <v>858</v>
      </c>
      <c r="AU61" s="214" t="s">
        <v>856</v>
      </c>
      <c r="AV61" s="214" t="s">
        <v>1095</v>
      </c>
      <c r="AW61" s="214" t="s">
        <v>1088</v>
      </c>
      <c r="AX61" s="214" t="s">
        <v>1294</v>
      </c>
    </row>
    <row r="62" spans="2:50" x14ac:dyDescent="0.2">
      <c r="B62" s="610" t="s">
        <v>207</v>
      </c>
      <c r="C62" s="610" t="s">
        <v>206</v>
      </c>
      <c r="D62" s="239">
        <v>44123071</v>
      </c>
      <c r="E62" s="239">
        <v>0</v>
      </c>
      <c r="F62" s="239">
        <v>44123071</v>
      </c>
      <c r="G62" s="239">
        <v>-282</v>
      </c>
      <c r="H62" s="239">
        <v>0</v>
      </c>
      <c r="I62" s="239">
        <v>-282</v>
      </c>
      <c r="J62" s="239">
        <v>-217611.73</v>
      </c>
      <c r="K62" s="239">
        <v>0</v>
      </c>
      <c r="L62" s="239">
        <v>-217611.73</v>
      </c>
      <c r="M62" s="239">
        <v>0</v>
      </c>
      <c r="N62" s="239">
        <v>0</v>
      </c>
      <c r="O62" s="239">
        <v>0</v>
      </c>
      <c r="P62" s="239">
        <v>-300000</v>
      </c>
      <c r="Q62" s="239">
        <v>0</v>
      </c>
      <c r="R62" s="239">
        <v>-300000</v>
      </c>
      <c r="S62" s="239">
        <v>367905</v>
      </c>
      <c r="T62" s="239">
        <v>0</v>
      </c>
      <c r="U62" s="239">
        <v>367905</v>
      </c>
      <c r="V62" s="239">
        <v>-775000</v>
      </c>
      <c r="W62" s="239">
        <v>0</v>
      </c>
      <c r="X62" s="239">
        <v>-775000</v>
      </c>
      <c r="Y62" s="239">
        <v>43415694</v>
      </c>
      <c r="Z62" s="239">
        <v>0</v>
      </c>
      <c r="AA62" s="239">
        <v>43415694</v>
      </c>
      <c r="AB62" s="239">
        <v>0</v>
      </c>
      <c r="AC62" s="239">
        <v>0</v>
      </c>
      <c r="AD62" s="239">
        <v>0</v>
      </c>
      <c r="AE62" s="239">
        <v>114240</v>
      </c>
      <c r="AF62" s="239">
        <v>114240</v>
      </c>
      <c r="AG62" s="239">
        <v>0</v>
      </c>
      <c r="AH62" s="239">
        <v>0</v>
      </c>
      <c r="AI62" s="239">
        <v>0</v>
      </c>
      <c r="AJ62" s="239">
        <v>0</v>
      </c>
      <c r="AK62" s="239">
        <v>0</v>
      </c>
      <c r="AL62" s="239">
        <v>0</v>
      </c>
      <c r="AM62" s="239">
        <v>0</v>
      </c>
      <c r="AN62" s="239">
        <v>0</v>
      </c>
      <c r="AO62" s="239">
        <v>0</v>
      </c>
      <c r="AP62" s="239">
        <v>0</v>
      </c>
      <c r="AQ62" s="239">
        <v>1456017</v>
      </c>
      <c r="AR62" s="239">
        <v>-768975</v>
      </c>
      <c r="AS62" s="214" t="s">
        <v>206</v>
      </c>
      <c r="AT62" s="214" t="s">
        <v>764</v>
      </c>
      <c r="AU62" s="214" t="s">
        <v>763</v>
      </c>
      <c r="AV62" s="214" t="s">
        <v>1088</v>
      </c>
      <c r="AW62" s="214" t="s">
        <v>1088</v>
      </c>
      <c r="AX62" s="214" t="s">
        <v>1294</v>
      </c>
    </row>
    <row r="63" spans="2:50" x14ac:dyDescent="0.2">
      <c r="B63" s="610" t="s">
        <v>209</v>
      </c>
      <c r="C63" s="610" t="s">
        <v>208</v>
      </c>
      <c r="D63" s="239">
        <v>21260944</v>
      </c>
      <c r="E63" s="239">
        <v>0</v>
      </c>
      <c r="F63" s="239">
        <v>21260944</v>
      </c>
      <c r="G63" s="239">
        <v>0</v>
      </c>
      <c r="H63" s="239">
        <v>0</v>
      </c>
      <c r="I63" s="239">
        <v>0</v>
      </c>
      <c r="J63" s="239">
        <v>-95882</v>
      </c>
      <c r="K63" s="239">
        <v>0</v>
      </c>
      <c r="L63" s="239">
        <v>-95882</v>
      </c>
      <c r="M63" s="239">
        <v>0</v>
      </c>
      <c r="N63" s="239">
        <v>0</v>
      </c>
      <c r="O63" s="239">
        <v>0</v>
      </c>
      <c r="P63" s="239">
        <v>-113891</v>
      </c>
      <c r="Q63" s="239">
        <v>0</v>
      </c>
      <c r="R63" s="239">
        <v>-113891</v>
      </c>
      <c r="S63" s="239">
        <v>342630</v>
      </c>
      <c r="T63" s="239">
        <v>0</v>
      </c>
      <c r="U63" s="239">
        <v>342630</v>
      </c>
      <c r="V63" s="239">
        <v>-2119222</v>
      </c>
      <c r="W63" s="239">
        <v>0</v>
      </c>
      <c r="X63" s="239">
        <v>-2119222</v>
      </c>
      <c r="Y63" s="239">
        <v>19370461</v>
      </c>
      <c r="Z63" s="239">
        <v>0</v>
      </c>
      <c r="AA63" s="239">
        <v>19370461</v>
      </c>
      <c r="AB63" s="239">
        <v>0</v>
      </c>
      <c r="AC63" s="239">
        <v>0</v>
      </c>
      <c r="AD63" s="239">
        <v>0</v>
      </c>
      <c r="AE63" s="239">
        <v>0</v>
      </c>
      <c r="AF63" s="239">
        <v>0</v>
      </c>
      <c r="AG63" s="239">
        <v>0</v>
      </c>
      <c r="AH63" s="239">
        <v>0</v>
      </c>
      <c r="AI63" s="239">
        <v>0</v>
      </c>
      <c r="AJ63" s="239">
        <v>0</v>
      </c>
      <c r="AK63" s="239">
        <v>0</v>
      </c>
      <c r="AL63" s="239">
        <v>0</v>
      </c>
      <c r="AM63" s="239">
        <v>0</v>
      </c>
      <c r="AN63" s="239">
        <v>0</v>
      </c>
      <c r="AO63" s="239">
        <v>0</v>
      </c>
      <c r="AP63" s="239">
        <v>0</v>
      </c>
      <c r="AQ63" s="239">
        <v>798555</v>
      </c>
      <c r="AR63" s="239">
        <v>-235726</v>
      </c>
      <c r="AS63" s="214" t="s">
        <v>208</v>
      </c>
      <c r="AT63" s="214" t="s">
        <v>761</v>
      </c>
      <c r="AU63" s="214" t="s">
        <v>759</v>
      </c>
      <c r="AV63" s="214" t="s">
        <v>1088</v>
      </c>
      <c r="AW63" s="214" t="s">
        <v>1088</v>
      </c>
      <c r="AX63" s="214" t="s">
        <v>1294</v>
      </c>
    </row>
    <row r="64" spans="2:50" x14ac:dyDescent="0.2">
      <c r="B64" s="610" t="s">
        <v>211</v>
      </c>
      <c r="C64" s="610" t="s">
        <v>210</v>
      </c>
      <c r="D64" s="239">
        <v>27945463</v>
      </c>
      <c r="E64" s="239">
        <v>0</v>
      </c>
      <c r="F64" s="239">
        <v>27945463</v>
      </c>
      <c r="G64" s="239">
        <v>0</v>
      </c>
      <c r="H64" s="239">
        <v>0</v>
      </c>
      <c r="I64" s="239">
        <v>0</v>
      </c>
      <c r="J64" s="239">
        <v>-179964</v>
      </c>
      <c r="K64" s="239">
        <v>0</v>
      </c>
      <c r="L64" s="239">
        <v>-179964</v>
      </c>
      <c r="M64" s="239">
        <v>0</v>
      </c>
      <c r="N64" s="239">
        <v>0</v>
      </c>
      <c r="O64" s="239">
        <v>0</v>
      </c>
      <c r="P64" s="239">
        <v>-397649</v>
      </c>
      <c r="Q64" s="239">
        <v>0</v>
      </c>
      <c r="R64" s="239">
        <v>-397649</v>
      </c>
      <c r="S64" s="239">
        <v>316303</v>
      </c>
      <c r="T64" s="239">
        <v>0</v>
      </c>
      <c r="U64" s="239">
        <v>316303</v>
      </c>
      <c r="V64" s="239">
        <v>-1370303</v>
      </c>
      <c r="W64" s="239">
        <v>0</v>
      </c>
      <c r="X64" s="239">
        <v>-1370303</v>
      </c>
      <c r="Y64" s="239">
        <v>26493814</v>
      </c>
      <c r="Z64" s="239">
        <v>0</v>
      </c>
      <c r="AA64" s="239">
        <v>26493814</v>
      </c>
      <c r="AB64" s="239">
        <v>0</v>
      </c>
      <c r="AC64" s="239">
        <v>0</v>
      </c>
      <c r="AD64" s="239">
        <v>0</v>
      </c>
      <c r="AE64" s="239">
        <v>0</v>
      </c>
      <c r="AF64" s="239">
        <v>0</v>
      </c>
      <c r="AG64" s="239">
        <v>0</v>
      </c>
      <c r="AH64" s="239">
        <v>0</v>
      </c>
      <c r="AI64" s="239">
        <v>0</v>
      </c>
      <c r="AJ64" s="239">
        <v>0</v>
      </c>
      <c r="AK64" s="239">
        <v>0</v>
      </c>
      <c r="AL64" s="239">
        <v>0</v>
      </c>
      <c r="AM64" s="239">
        <v>0</v>
      </c>
      <c r="AN64" s="239">
        <v>0</v>
      </c>
      <c r="AO64" s="239">
        <v>0</v>
      </c>
      <c r="AP64" s="239">
        <v>0</v>
      </c>
      <c r="AQ64" s="239">
        <v>1286061</v>
      </c>
      <c r="AR64" s="239">
        <v>-550576</v>
      </c>
      <c r="AS64" s="214" t="s">
        <v>210</v>
      </c>
      <c r="AT64" s="214" t="s">
        <v>757</v>
      </c>
      <c r="AU64" s="214" t="s">
        <v>755</v>
      </c>
      <c r="AV64" s="214" t="s">
        <v>1088</v>
      </c>
      <c r="AW64" s="214" t="s">
        <v>1088</v>
      </c>
      <c r="AX64" s="214" t="s">
        <v>1294</v>
      </c>
    </row>
    <row r="65" spans="1:50" x14ac:dyDescent="0.2">
      <c r="B65" s="610" t="s">
        <v>213</v>
      </c>
      <c r="C65" s="610" t="s">
        <v>212</v>
      </c>
      <c r="D65" s="239">
        <v>18535177</v>
      </c>
      <c r="E65" s="239">
        <v>0</v>
      </c>
      <c r="F65" s="239">
        <v>18535177</v>
      </c>
      <c r="G65" s="239">
        <v>0</v>
      </c>
      <c r="H65" s="239">
        <v>0</v>
      </c>
      <c r="I65" s="239">
        <v>0</v>
      </c>
      <c r="J65" s="239">
        <v>-48722</v>
      </c>
      <c r="K65" s="239">
        <v>0</v>
      </c>
      <c r="L65" s="239">
        <v>-48722</v>
      </c>
      <c r="M65" s="239">
        <v>0</v>
      </c>
      <c r="N65" s="239">
        <v>0</v>
      </c>
      <c r="O65" s="239">
        <v>0</v>
      </c>
      <c r="P65" s="239">
        <v>-48830</v>
      </c>
      <c r="Q65" s="239">
        <v>0</v>
      </c>
      <c r="R65" s="239">
        <v>-48830</v>
      </c>
      <c r="S65" s="239">
        <v>815651</v>
      </c>
      <c r="T65" s="239">
        <v>0</v>
      </c>
      <c r="U65" s="239">
        <v>815651</v>
      </c>
      <c r="V65" s="239">
        <v>-1364461</v>
      </c>
      <c r="W65" s="239">
        <v>0</v>
      </c>
      <c r="X65" s="239">
        <v>-1364461</v>
      </c>
      <c r="Y65" s="239">
        <v>17937537</v>
      </c>
      <c r="Z65" s="239">
        <v>0</v>
      </c>
      <c r="AA65" s="239">
        <v>17937537</v>
      </c>
      <c r="AB65" s="239">
        <v>0</v>
      </c>
      <c r="AC65" s="239">
        <v>0</v>
      </c>
      <c r="AD65" s="239">
        <v>0</v>
      </c>
      <c r="AE65" s="239">
        <v>289893</v>
      </c>
      <c r="AF65" s="239">
        <v>289893</v>
      </c>
      <c r="AG65" s="239">
        <v>0</v>
      </c>
      <c r="AH65" s="239">
        <v>0</v>
      </c>
      <c r="AI65" s="239">
        <v>0</v>
      </c>
      <c r="AJ65" s="239">
        <v>0</v>
      </c>
      <c r="AK65" s="239">
        <v>0</v>
      </c>
      <c r="AL65" s="239">
        <v>0</v>
      </c>
      <c r="AM65" s="239">
        <v>0</v>
      </c>
      <c r="AN65" s="239">
        <v>0</v>
      </c>
      <c r="AO65" s="239">
        <v>0</v>
      </c>
      <c r="AP65" s="239">
        <v>0</v>
      </c>
      <c r="AQ65" s="239">
        <v>381645</v>
      </c>
      <c r="AR65" s="239">
        <v>-139103</v>
      </c>
      <c r="AS65" s="214" t="s">
        <v>212</v>
      </c>
      <c r="AT65" s="214" t="s">
        <v>787</v>
      </c>
      <c r="AU65" s="214" t="s">
        <v>785</v>
      </c>
      <c r="AV65" s="214" t="s">
        <v>1088</v>
      </c>
      <c r="AW65" s="214" t="s">
        <v>1088</v>
      </c>
      <c r="AX65" s="214" t="s">
        <v>1294</v>
      </c>
    </row>
    <row r="66" spans="1:50" x14ac:dyDescent="0.2">
      <c r="B66" s="610" t="s">
        <v>215</v>
      </c>
      <c r="C66" s="610" t="s">
        <v>214</v>
      </c>
      <c r="D66" s="239">
        <v>871199172</v>
      </c>
      <c r="E66" s="239">
        <v>0</v>
      </c>
      <c r="F66" s="239">
        <v>871199172</v>
      </c>
      <c r="G66" s="239">
        <v>-19211</v>
      </c>
      <c r="H66" s="239">
        <v>0</v>
      </c>
      <c r="I66" s="239">
        <v>-19211</v>
      </c>
      <c r="J66" s="239">
        <v>-2037929</v>
      </c>
      <c r="K66" s="239">
        <v>0</v>
      </c>
      <c r="L66" s="239">
        <v>-2037929</v>
      </c>
      <c r="M66" s="239">
        <v>0</v>
      </c>
      <c r="N66" s="239">
        <v>0</v>
      </c>
      <c r="O66" s="239">
        <v>0</v>
      </c>
      <c r="P66" s="239">
        <v>-1685318</v>
      </c>
      <c r="Q66" s="239">
        <v>0</v>
      </c>
      <c r="R66" s="239">
        <v>-1685318</v>
      </c>
      <c r="S66" s="239">
        <v>38872632</v>
      </c>
      <c r="T66" s="239">
        <v>0</v>
      </c>
      <c r="U66" s="239">
        <v>38872632</v>
      </c>
      <c r="V66" s="239">
        <v>-46351277</v>
      </c>
      <c r="W66" s="239">
        <v>0</v>
      </c>
      <c r="X66" s="239">
        <v>-46351277</v>
      </c>
      <c r="Y66" s="239">
        <v>862015998</v>
      </c>
      <c r="Z66" s="239">
        <v>0</v>
      </c>
      <c r="AA66" s="239">
        <v>862015998</v>
      </c>
      <c r="AB66" s="239">
        <v>0</v>
      </c>
      <c r="AC66" s="239">
        <v>0</v>
      </c>
      <c r="AD66" s="239">
        <v>0</v>
      </c>
      <c r="AE66" s="239">
        <v>0</v>
      </c>
      <c r="AF66" s="239">
        <v>0</v>
      </c>
      <c r="AG66" s="239">
        <v>0</v>
      </c>
      <c r="AH66" s="239">
        <v>0</v>
      </c>
      <c r="AI66" s="239">
        <v>0</v>
      </c>
      <c r="AJ66" s="239">
        <v>0</v>
      </c>
      <c r="AK66" s="239">
        <v>0</v>
      </c>
      <c r="AL66" s="239">
        <v>0</v>
      </c>
      <c r="AM66" s="239">
        <v>0</v>
      </c>
      <c r="AN66" s="239">
        <v>0</v>
      </c>
      <c r="AO66" s="239">
        <v>0</v>
      </c>
      <c r="AP66" s="239">
        <v>0</v>
      </c>
      <c r="AQ66" s="239">
        <v>22665030</v>
      </c>
      <c r="AR66" s="239">
        <v>-30140611</v>
      </c>
      <c r="AS66" s="214" t="s">
        <v>214</v>
      </c>
      <c r="AT66" s="214" t="s">
        <v>917</v>
      </c>
      <c r="AU66" s="214" t="s">
        <v>749</v>
      </c>
      <c r="AV66" s="214" t="s">
        <v>1088</v>
      </c>
      <c r="AW66" s="214" t="s">
        <v>1088</v>
      </c>
      <c r="AX66" s="214" t="s">
        <v>1297</v>
      </c>
    </row>
    <row r="67" spans="1:50" x14ac:dyDescent="0.2">
      <c r="B67" s="610" t="s">
        <v>217</v>
      </c>
      <c r="C67" s="610" t="s">
        <v>216</v>
      </c>
      <c r="D67" s="239">
        <v>62625146</v>
      </c>
      <c r="E67" s="239">
        <v>0</v>
      </c>
      <c r="F67" s="239">
        <v>62625146</v>
      </c>
      <c r="G67" s="239">
        <v>0</v>
      </c>
      <c r="H67" s="239">
        <v>0</v>
      </c>
      <c r="I67" s="239">
        <v>0</v>
      </c>
      <c r="J67" s="239">
        <v>-301866</v>
      </c>
      <c r="K67" s="239">
        <v>0</v>
      </c>
      <c r="L67" s="239">
        <v>-301866</v>
      </c>
      <c r="M67" s="239">
        <v>0</v>
      </c>
      <c r="N67" s="239">
        <v>0</v>
      </c>
      <c r="O67" s="239">
        <v>0</v>
      </c>
      <c r="P67" s="239">
        <v>-461254</v>
      </c>
      <c r="Q67" s="239">
        <v>0</v>
      </c>
      <c r="R67" s="239">
        <v>-461254</v>
      </c>
      <c r="S67" s="239">
        <v>1308957</v>
      </c>
      <c r="T67" s="239">
        <v>0</v>
      </c>
      <c r="U67" s="239">
        <v>1308957</v>
      </c>
      <c r="V67" s="239">
        <v>-3118549</v>
      </c>
      <c r="W67" s="239">
        <v>0</v>
      </c>
      <c r="X67" s="239">
        <v>-3118549</v>
      </c>
      <c r="Y67" s="239">
        <v>60354300</v>
      </c>
      <c r="Z67" s="239">
        <v>0</v>
      </c>
      <c r="AA67" s="239">
        <v>60354300</v>
      </c>
      <c r="AB67" s="239">
        <v>0</v>
      </c>
      <c r="AC67" s="239">
        <v>0</v>
      </c>
      <c r="AD67" s="239">
        <v>0</v>
      </c>
      <c r="AE67" s="239">
        <v>0</v>
      </c>
      <c r="AF67" s="239">
        <v>0</v>
      </c>
      <c r="AG67" s="239">
        <v>0</v>
      </c>
      <c r="AH67" s="239">
        <v>0</v>
      </c>
      <c r="AI67" s="239">
        <v>0</v>
      </c>
      <c r="AJ67" s="239">
        <v>0</v>
      </c>
      <c r="AK67" s="239">
        <v>0</v>
      </c>
      <c r="AL67" s="239">
        <v>0</v>
      </c>
      <c r="AM67" s="239">
        <v>0</v>
      </c>
      <c r="AN67" s="239">
        <v>0</v>
      </c>
      <c r="AO67" s="239">
        <v>0</v>
      </c>
      <c r="AP67" s="239">
        <v>0</v>
      </c>
      <c r="AQ67" s="239">
        <v>2651729</v>
      </c>
      <c r="AR67" s="239">
        <v>-579395</v>
      </c>
      <c r="AS67" s="214" t="s">
        <v>216</v>
      </c>
      <c r="AT67" s="214" t="s">
        <v>822</v>
      </c>
      <c r="AU67" s="214" t="s">
        <v>820</v>
      </c>
      <c r="AV67" s="214" t="s">
        <v>1088</v>
      </c>
      <c r="AW67" s="214" t="s">
        <v>1088</v>
      </c>
      <c r="AX67" s="214" t="s">
        <v>1294</v>
      </c>
    </row>
    <row r="68" spans="1:50" x14ac:dyDescent="0.2">
      <c r="B68" s="610" t="s">
        <v>219</v>
      </c>
      <c r="C68" s="610" t="s">
        <v>218</v>
      </c>
      <c r="D68" s="239">
        <v>13149140</v>
      </c>
      <c r="E68" s="239">
        <v>0</v>
      </c>
      <c r="F68" s="239">
        <v>13149140</v>
      </c>
      <c r="G68" s="239">
        <v>0</v>
      </c>
      <c r="H68" s="239">
        <v>0</v>
      </c>
      <c r="I68" s="239">
        <v>0</v>
      </c>
      <c r="J68" s="239">
        <v>-287507</v>
      </c>
      <c r="K68" s="239">
        <v>0</v>
      </c>
      <c r="L68" s="239">
        <v>-287507</v>
      </c>
      <c r="M68" s="239">
        <v>-37550</v>
      </c>
      <c r="N68" s="239">
        <v>0</v>
      </c>
      <c r="O68" s="239">
        <v>-37550</v>
      </c>
      <c r="P68" s="239">
        <v>-150000</v>
      </c>
      <c r="Q68" s="239">
        <v>0</v>
      </c>
      <c r="R68" s="239">
        <v>-150000</v>
      </c>
      <c r="S68" s="239">
        <v>25886869</v>
      </c>
      <c r="T68" s="239">
        <v>0</v>
      </c>
      <c r="U68" s="239">
        <v>25886869</v>
      </c>
      <c r="V68" s="239">
        <v>6750420</v>
      </c>
      <c r="W68" s="239">
        <v>0</v>
      </c>
      <c r="X68" s="239">
        <v>6750420</v>
      </c>
      <c r="Y68" s="239">
        <v>45598879</v>
      </c>
      <c r="Z68" s="239">
        <v>0</v>
      </c>
      <c r="AA68" s="239">
        <v>45598879</v>
      </c>
      <c r="AB68" s="239">
        <v>0</v>
      </c>
      <c r="AC68" s="239">
        <v>0</v>
      </c>
      <c r="AD68" s="239">
        <v>0</v>
      </c>
      <c r="AE68" s="239">
        <v>25521</v>
      </c>
      <c r="AF68" s="239">
        <v>25521</v>
      </c>
      <c r="AG68" s="239">
        <v>0</v>
      </c>
      <c r="AH68" s="239">
        <v>0</v>
      </c>
      <c r="AI68" s="239">
        <v>0</v>
      </c>
      <c r="AJ68" s="239">
        <v>0</v>
      </c>
      <c r="AK68" s="239">
        <v>0</v>
      </c>
      <c r="AL68" s="239">
        <v>0</v>
      </c>
      <c r="AM68" s="239">
        <v>0</v>
      </c>
      <c r="AN68" s="239">
        <v>0</v>
      </c>
      <c r="AO68" s="239">
        <v>0</v>
      </c>
      <c r="AP68" s="239">
        <v>0</v>
      </c>
      <c r="AQ68" s="239">
        <v>546920</v>
      </c>
      <c r="AR68" s="239">
        <v>-31856776</v>
      </c>
      <c r="AS68" s="214" t="s">
        <v>218</v>
      </c>
      <c r="AT68" s="214" t="s">
        <v>851</v>
      </c>
      <c r="AU68" s="214" t="s">
        <v>763</v>
      </c>
      <c r="AV68" s="214" t="s">
        <v>1088</v>
      </c>
      <c r="AW68" s="214" t="s">
        <v>1088</v>
      </c>
      <c r="AX68" s="214" t="s">
        <v>1294</v>
      </c>
    </row>
    <row r="69" spans="1:50" x14ac:dyDescent="0.2">
      <c r="B69" s="610" t="s">
        <v>221</v>
      </c>
      <c r="C69" s="610" t="s">
        <v>220</v>
      </c>
      <c r="D69" s="239">
        <v>34816506</v>
      </c>
      <c r="E69" s="239">
        <v>0</v>
      </c>
      <c r="F69" s="239">
        <v>34816506</v>
      </c>
      <c r="G69" s="239">
        <v>0</v>
      </c>
      <c r="H69" s="239">
        <v>0</v>
      </c>
      <c r="I69" s="239">
        <v>0</v>
      </c>
      <c r="J69" s="239">
        <v>-466733</v>
      </c>
      <c r="K69" s="239">
        <v>0</v>
      </c>
      <c r="L69" s="239">
        <v>-466733</v>
      </c>
      <c r="M69" s="239">
        <v>0</v>
      </c>
      <c r="N69" s="239">
        <v>0</v>
      </c>
      <c r="O69" s="239">
        <v>0</v>
      </c>
      <c r="P69" s="239">
        <v>-208873</v>
      </c>
      <c r="Q69" s="239">
        <v>0</v>
      </c>
      <c r="R69" s="239">
        <v>-208873</v>
      </c>
      <c r="S69" s="239">
        <v>412000</v>
      </c>
      <c r="T69" s="239">
        <v>0</v>
      </c>
      <c r="U69" s="239">
        <v>412000</v>
      </c>
      <c r="V69" s="239">
        <v>-1326707</v>
      </c>
      <c r="W69" s="239">
        <v>0</v>
      </c>
      <c r="X69" s="239">
        <v>-1326707</v>
      </c>
      <c r="Y69" s="239">
        <v>33692926</v>
      </c>
      <c r="Z69" s="239">
        <v>0</v>
      </c>
      <c r="AA69" s="239">
        <v>33692926</v>
      </c>
      <c r="AB69" s="239">
        <v>0</v>
      </c>
      <c r="AC69" s="239">
        <v>0</v>
      </c>
      <c r="AD69" s="239">
        <v>0</v>
      </c>
      <c r="AE69" s="239">
        <v>0</v>
      </c>
      <c r="AF69" s="239">
        <v>0</v>
      </c>
      <c r="AG69" s="239">
        <v>0</v>
      </c>
      <c r="AH69" s="239">
        <v>0</v>
      </c>
      <c r="AI69" s="239">
        <v>0</v>
      </c>
      <c r="AJ69" s="239">
        <v>0</v>
      </c>
      <c r="AK69" s="239">
        <v>0</v>
      </c>
      <c r="AL69" s="239">
        <v>0</v>
      </c>
      <c r="AM69" s="239">
        <v>0</v>
      </c>
      <c r="AN69" s="239">
        <v>0</v>
      </c>
      <c r="AO69" s="239">
        <v>0</v>
      </c>
      <c r="AP69" s="239">
        <v>0</v>
      </c>
      <c r="AQ69" s="239">
        <v>2627210</v>
      </c>
      <c r="AR69" s="239">
        <v>-612065</v>
      </c>
      <c r="AS69" s="214" t="s">
        <v>220</v>
      </c>
      <c r="AT69" s="214" t="s">
        <v>805</v>
      </c>
      <c r="AU69" s="214" t="s">
        <v>763</v>
      </c>
      <c r="AV69" s="214" t="s">
        <v>1088</v>
      </c>
      <c r="AW69" s="214" t="s">
        <v>1088</v>
      </c>
      <c r="AX69" s="214" t="s">
        <v>1294</v>
      </c>
    </row>
    <row r="70" spans="1:50" x14ac:dyDescent="0.2">
      <c r="B70" s="610" t="s">
        <v>223</v>
      </c>
      <c r="C70" s="610" t="s">
        <v>222</v>
      </c>
      <c r="D70" s="239">
        <v>154446016</v>
      </c>
      <c r="E70" s="239">
        <v>464012</v>
      </c>
      <c r="F70" s="239">
        <v>154910028</v>
      </c>
      <c r="G70" s="239">
        <v>-62376</v>
      </c>
      <c r="H70" s="239">
        <v>0</v>
      </c>
      <c r="I70" s="239">
        <v>-62376</v>
      </c>
      <c r="J70" s="239">
        <v>-1285691</v>
      </c>
      <c r="K70" s="239">
        <v>0</v>
      </c>
      <c r="L70" s="239">
        <v>-1285691</v>
      </c>
      <c r="M70" s="239">
        <v>0</v>
      </c>
      <c r="N70" s="239">
        <v>0</v>
      </c>
      <c r="O70" s="239">
        <v>0</v>
      </c>
      <c r="P70" s="239">
        <v>-1476100</v>
      </c>
      <c r="Q70" s="239">
        <v>0</v>
      </c>
      <c r="R70" s="239">
        <v>-1476100</v>
      </c>
      <c r="S70" s="239">
        <v>0</v>
      </c>
      <c r="T70" s="239">
        <v>0</v>
      </c>
      <c r="U70" s="239">
        <v>0</v>
      </c>
      <c r="V70" s="239">
        <v>-5465600</v>
      </c>
      <c r="W70" s="239">
        <v>0</v>
      </c>
      <c r="X70" s="239">
        <v>-5465600</v>
      </c>
      <c r="Y70" s="239">
        <v>147441940</v>
      </c>
      <c r="Z70" s="239">
        <v>464012</v>
      </c>
      <c r="AA70" s="239">
        <v>147905952</v>
      </c>
      <c r="AB70" s="239">
        <v>464012</v>
      </c>
      <c r="AC70" s="239">
        <v>464012</v>
      </c>
      <c r="AD70" s="239">
        <v>0</v>
      </c>
      <c r="AE70" s="239">
        <v>1274719</v>
      </c>
      <c r="AF70" s="239">
        <v>1274719</v>
      </c>
      <c r="AG70" s="239">
        <v>0</v>
      </c>
      <c r="AH70" s="239">
        <v>0</v>
      </c>
      <c r="AI70" s="239">
        <v>0</v>
      </c>
      <c r="AJ70" s="239">
        <v>0</v>
      </c>
      <c r="AK70" s="239">
        <v>0</v>
      </c>
      <c r="AL70" s="239">
        <v>429388</v>
      </c>
      <c r="AM70" s="239">
        <v>0</v>
      </c>
      <c r="AN70" s="239">
        <v>34624</v>
      </c>
      <c r="AO70" s="239">
        <v>34624</v>
      </c>
      <c r="AP70" s="239">
        <v>0</v>
      </c>
      <c r="AQ70" s="239">
        <v>8151255</v>
      </c>
      <c r="AR70" s="239">
        <v>-2849887</v>
      </c>
      <c r="AS70" s="214" t="s">
        <v>222</v>
      </c>
      <c r="AT70" s="214" t="s">
        <v>748</v>
      </c>
      <c r="AU70" s="214" t="s">
        <v>763</v>
      </c>
      <c r="AV70" s="214" t="s">
        <v>1096</v>
      </c>
      <c r="AW70" s="214" t="s">
        <v>1088</v>
      </c>
      <c r="AX70" s="214" t="s">
        <v>748</v>
      </c>
    </row>
    <row r="71" spans="1:50" x14ac:dyDescent="0.2">
      <c r="B71" s="610" t="s">
        <v>225</v>
      </c>
      <c r="C71" s="610" t="s">
        <v>224</v>
      </c>
      <c r="D71" s="239">
        <v>29475727</v>
      </c>
      <c r="E71" s="239">
        <v>0</v>
      </c>
      <c r="F71" s="239">
        <v>29475727</v>
      </c>
      <c r="G71" s="239">
        <v>-14079</v>
      </c>
      <c r="H71" s="239">
        <v>0</v>
      </c>
      <c r="I71" s="239">
        <v>-14079</v>
      </c>
      <c r="J71" s="239">
        <v>-81263</v>
      </c>
      <c r="K71" s="239">
        <v>0</v>
      </c>
      <c r="L71" s="239">
        <v>-81263</v>
      </c>
      <c r="M71" s="239">
        <v>0</v>
      </c>
      <c r="N71" s="239">
        <v>0</v>
      </c>
      <c r="O71" s="239">
        <v>0</v>
      </c>
      <c r="P71" s="239">
        <v>227691</v>
      </c>
      <c r="Q71" s="239">
        <v>0</v>
      </c>
      <c r="R71" s="239">
        <v>227691</v>
      </c>
      <c r="S71" s="239">
        <v>598589</v>
      </c>
      <c r="T71" s="239">
        <v>0</v>
      </c>
      <c r="U71" s="239">
        <v>598589</v>
      </c>
      <c r="V71" s="239">
        <v>-1110191</v>
      </c>
      <c r="W71" s="239">
        <v>0</v>
      </c>
      <c r="X71" s="239">
        <v>-1110191</v>
      </c>
      <c r="Y71" s="239">
        <v>29177737</v>
      </c>
      <c r="Z71" s="239">
        <v>0</v>
      </c>
      <c r="AA71" s="239">
        <v>29177737</v>
      </c>
      <c r="AB71" s="239">
        <v>0</v>
      </c>
      <c r="AC71" s="239">
        <v>0</v>
      </c>
      <c r="AD71" s="239">
        <v>0</v>
      </c>
      <c r="AE71" s="239">
        <v>92687</v>
      </c>
      <c r="AF71" s="239">
        <v>92687</v>
      </c>
      <c r="AG71" s="239">
        <v>0</v>
      </c>
      <c r="AH71" s="239">
        <v>0</v>
      </c>
      <c r="AI71" s="239">
        <v>0</v>
      </c>
      <c r="AJ71" s="239">
        <v>0</v>
      </c>
      <c r="AK71" s="239">
        <v>0</v>
      </c>
      <c r="AL71" s="239">
        <v>0</v>
      </c>
      <c r="AM71" s="239">
        <v>0</v>
      </c>
      <c r="AN71" s="239">
        <v>0</v>
      </c>
      <c r="AO71" s="239">
        <v>0</v>
      </c>
      <c r="AP71" s="239">
        <v>0</v>
      </c>
      <c r="AQ71" s="239">
        <v>734607</v>
      </c>
      <c r="AR71" s="239">
        <v>-175689</v>
      </c>
      <c r="AS71" s="214" t="s">
        <v>224</v>
      </c>
      <c r="AT71" s="214" t="s">
        <v>831</v>
      </c>
      <c r="AU71" s="214" t="s">
        <v>763</v>
      </c>
      <c r="AV71" s="214" t="s">
        <v>1088</v>
      </c>
      <c r="AW71" s="214" t="s">
        <v>1088</v>
      </c>
      <c r="AX71" s="214" t="s">
        <v>1294</v>
      </c>
    </row>
    <row r="72" spans="1:50" x14ac:dyDescent="0.2">
      <c r="B72" s="610" t="s">
        <v>227</v>
      </c>
      <c r="C72" s="610" t="s">
        <v>226</v>
      </c>
      <c r="D72" s="239">
        <v>121816533</v>
      </c>
      <c r="E72" s="239">
        <v>0</v>
      </c>
      <c r="F72" s="239">
        <v>121816533</v>
      </c>
      <c r="G72" s="239">
        <v>-9858</v>
      </c>
      <c r="H72" s="239">
        <v>0</v>
      </c>
      <c r="I72" s="239">
        <v>-9858</v>
      </c>
      <c r="J72" s="239">
        <v>-1929576</v>
      </c>
      <c r="K72" s="239">
        <v>0</v>
      </c>
      <c r="L72" s="239">
        <v>-1929576</v>
      </c>
      <c r="M72" s="239">
        <v>0</v>
      </c>
      <c r="N72" s="239">
        <v>0</v>
      </c>
      <c r="O72" s="239">
        <v>0</v>
      </c>
      <c r="P72" s="239">
        <v>-1746651</v>
      </c>
      <c r="Q72" s="239">
        <v>0</v>
      </c>
      <c r="R72" s="239">
        <v>-1746651</v>
      </c>
      <c r="S72" s="239">
        <v>1864450</v>
      </c>
      <c r="T72" s="239">
        <v>0</v>
      </c>
      <c r="U72" s="239">
        <v>1864450</v>
      </c>
      <c r="V72" s="239">
        <v>-2534075</v>
      </c>
      <c r="W72" s="239">
        <v>0</v>
      </c>
      <c r="X72" s="239">
        <v>-2534075</v>
      </c>
      <c r="Y72" s="239">
        <v>119390399</v>
      </c>
      <c r="Z72" s="239">
        <v>0</v>
      </c>
      <c r="AA72" s="239">
        <v>119390399</v>
      </c>
      <c r="AB72" s="239">
        <v>0</v>
      </c>
      <c r="AC72" s="239">
        <v>0</v>
      </c>
      <c r="AD72" s="239">
        <v>0</v>
      </c>
      <c r="AE72" s="239">
        <v>0</v>
      </c>
      <c r="AF72" s="239">
        <v>0</v>
      </c>
      <c r="AG72" s="239">
        <v>0</v>
      </c>
      <c r="AH72" s="239">
        <v>0</v>
      </c>
      <c r="AI72" s="239">
        <v>0</v>
      </c>
      <c r="AJ72" s="239">
        <v>0</v>
      </c>
      <c r="AK72" s="239">
        <v>0</v>
      </c>
      <c r="AL72" s="239">
        <v>0</v>
      </c>
      <c r="AM72" s="239">
        <v>0</v>
      </c>
      <c r="AN72" s="239">
        <v>0</v>
      </c>
      <c r="AO72" s="239">
        <v>0</v>
      </c>
      <c r="AP72" s="239">
        <v>0</v>
      </c>
      <c r="AQ72" s="239">
        <v>5916722</v>
      </c>
      <c r="AR72" s="239">
        <v>-1914081</v>
      </c>
      <c r="AS72" s="214" t="s">
        <v>226</v>
      </c>
      <c r="AT72" s="214" t="s">
        <v>768</v>
      </c>
      <c r="AU72" s="214" t="s">
        <v>766</v>
      </c>
      <c r="AV72" s="214" t="s">
        <v>1088</v>
      </c>
      <c r="AW72" s="214" t="s">
        <v>1088</v>
      </c>
      <c r="AX72" s="214" t="s">
        <v>1296</v>
      </c>
    </row>
    <row r="73" spans="1:50" x14ac:dyDescent="0.2">
      <c r="B73" s="610" t="s">
        <v>229</v>
      </c>
      <c r="C73" s="610" t="s">
        <v>228</v>
      </c>
      <c r="D73" s="239">
        <v>17761723</v>
      </c>
      <c r="E73" s="239">
        <v>0</v>
      </c>
      <c r="F73" s="239">
        <v>17761723</v>
      </c>
      <c r="G73" s="239">
        <v>-3114</v>
      </c>
      <c r="H73" s="239">
        <v>0</v>
      </c>
      <c r="I73" s="239">
        <v>-3114</v>
      </c>
      <c r="J73" s="239">
        <v>-130013</v>
      </c>
      <c r="K73" s="239">
        <v>0</v>
      </c>
      <c r="L73" s="239">
        <v>-130013</v>
      </c>
      <c r="M73" s="239">
        <v>0</v>
      </c>
      <c r="N73" s="239">
        <v>0</v>
      </c>
      <c r="O73" s="239">
        <v>0</v>
      </c>
      <c r="P73" s="239">
        <v>-47363</v>
      </c>
      <c r="Q73" s="239">
        <v>0</v>
      </c>
      <c r="R73" s="239">
        <v>-47363</v>
      </c>
      <c r="S73" s="239">
        <v>539744</v>
      </c>
      <c r="T73" s="239">
        <v>0</v>
      </c>
      <c r="U73" s="239">
        <v>539744</v>
      </c>
      <c r="V73" s="239">
        <v>-1678972</v>
      </c>
      <c r="W73" s="239">
        <v>0</v>
      </c>
      <c r="X73" s="239">
        <v>-1678972</v>
      </c>
      <c r="Y73" s="239">
        <v>16572018</v>
      </c>
      <c r="Z73" s="239">
        <v>0</v>
      </c>
      <c r="AA73" s="239">
        <v>16572018</v>
      </c>
      <c r="AB73" s="239">
        <v>0</v>
      </c>
      <c r="AC73" s="239">
        <v>0</v>
      </c>
      <c r="AD73" s="239">
        <v>0</v>
      </c>
      <c r="AE73" s="239">
        <v>0</v>
      </c>
      <c r="AF73" s="239">
        <v>0</v>
      </c>
      <c r="AG73" s="239">
        <v>0</v>
      </c>
      <c r="AH73" s="239">
        <v>0</v>
      </c>
      <c r="AI73" s="239">
        <v>0</v>
      </c>
      <c r="AJ73" s="239">
        <v>0</v>
      </c>
      <c r="AK73" s="239">
        <v>0</v>
      </c>
      <c r="AL73" s="239">
        <v>0</v>
      </c>
      <c r="AM73" s="239">
        <v>0</v>
      </c>
      <c r="AN73" s="239">
        <v>0</v>
      </c>
      <c r="AO73" s="239">
        <v>0</v>
      </c>
      <c r="AP73" s="239">
        <v>0</v>
      </c>
      <c r="AQ73" s="239">
        <v>346071</v>
      </c>
      <c r="AR73" s="239">
        <v>-98688</v>
      </c>
      <c r="AS73" s="214" t="s">
        <v>228</v>
      </c>
      <c r="AT73" s="214" t="s">
        <v>867</v>
      </c>
      <c r="AU73" s="214" t="s">
        <v>746</v>
      </c>
      <c r="AV73" s="214" t="s">
        <v>1088</v>
      </c>
      <c r="AW73" s="214" t="s">
        <v>1088</v>
      </c>
      <c r="AX73" s="214" t="s">
        <v>1294</v>
      </c>
    </row>
    <row r="74" spans="1:50" x14ac:dyDescent="0.2">
      <c r="B74" s="610" t="s">
        <v>231</v>
      </c>
      <c r="C74" s="610" t="s">
        <v>230</v>
      </c>
      <c r="D74" s="239">
        <v>117392981</v>
      </c>
      <c r="E74" s="239">
        <v>0</v>
      </c>
      <c r="F74" s="239">
        <v>117392981</v>
      </c>
      <c r="G74" s="239">
        <v>-9586</v>
      </c>
      <c r="H74" s="239">
        <v>0</v>
      </c>
      <c r="I74" s="239">
        <v>-9586</v>
      </c>
      <c r="J74" s="239">
        <v>-248973</v>
      </c>
      <c r="K74" s="239">
        <v>0</v>
      </c>
      <c r="L74" s="239">
        <v>-248973</v>
      </c>
      <c r="M74" s="239">
        <v>0</v>
      </c>
      <c r="N74" s="239">
        <v>0</v>
      </c>
      <c r="O74" s="239">
        <v>0</v>
      </c>
      <c r="P74" s="239">
        <v>-395153</v>
      </c>
      <c r="Q74" s="239">
        <v>0</v>
      </c>
      <c r="R74" s="239">
        <v>-395153</v>
      </c>
      <c r="S74" s="239">
        <v>991191</v>
      </c>
      <c r="T74" s="239">
        <v>0</v>
      </c>
      <c r="U74" s="239">
        <v>991191</v>
      </c>
      <c r="V74" s="239">
        <v>-3118021</v>
      </c>
      <c r="W74" s="239">
        <v>0</v>
      </c>
      <c r="X74" s="239">
        <v>-3118021</v>
      </c>
      <c r="Y74" s="239">
        <v>114861412</v>
      </c>
      <c r="Z74" s="239">
        <v>0</v>
      </c>
      <c r="AA74" s="239">
        <v>114861412</v>
      </c>
      <c r="AB74" s="239">
        <v>0</v>
      </c>
      <c r="AC74" s="239">
        <v>0</v>
      </c>
      <c r="AD74" s="239">
        <v>0</v>
      </c>
      <c r="AE74" s="239">
        <v>0</v>
      </c>
      <c r="AF74" s="239">
        <v>0</v>
      </c>
      <c r="AG74" s="239">
        <v>0</v>
      </c>
      <c r="AH74" s="239">
        <v>0</v>
      </c>
      <c r="AI74" s="239">
        <v>0</v>
      </c>
      <c r="AJ74" s="239">
        <v>0</v>
      </c>
      <c r="AK74" s="239">
        <v>0</v>
      </c>
      <c r="AL74" s="239">
        <v>0</v>
      </c>
      <c r="AM74" s="239">
        <v>0</v>
      </c>
      <c r="AN74" s="239">
        <v>0</v>
      </c>
      <c r="AO74" s="239">
        <v>0</v>
      </c>
      <c r="AP74" s="239">
        <v>0</v>
      </c>
      <c r="AQ74" s="239">
        <v>1676644</v>
      </c>
      <c r="AR74" s="239">
        <v>-2756843</v>
      </c>
      <c r="AS74" s="214" t="s">
        <v>230</v>
      </c>
      <c r="AT74" s="214" t="s">
        <v>764</v>
      </c>
      <c r="AU74" s="214" t="s">
        <v>763</v>
      </c>
      <c r="AV74" s="214" t="s">
        <v>1088</v>
      </c>
      <c r="AW74" s="214" t="s">
        <v>1088</v>
      </c>
      <c r="AX74" s="214" t="s">
        <v>1294</v>
      </c>
    </row>
    <row r="75" spans="1:50" x14ac:dyDescent="0.2">
      <c r="A75" s="215" t="s">
        <v>1321</v>
      </c>
      <c r="B75" s="610" t="s">
        <v>233</v>
      </c>
      <c r="C75" s="610" t="s">
        <v>232</v>
      </c>
      <c r="D75" s="239">
        <v>110288740</v>
      </c>
      <c r="E75" s="239">
        <v>0</v>
      </c>
      <c r="F75" s="239">
        <v>110288740</v>
      </c>
      <c r="G75" s="239">
        <v>-12817</v>
      </c>
      <c r="H75" s="239">
        <v>0</v>
      </c>
      <c r="I75" s="239">
        <v>-12817</v>
      </c>
      <c r="J75" s="239">
        <v>-2201171</v>
      </c>
      <c r="K75" s="239">
        <v>0</v>
      </c>
      <c r="L75" s="239">
        <v>-2201171</v>
      </c>
      <c r="M75" s="239">
        <v>0</v>
      </c>
      <c r="N75" s="239">
        <v>0</v>
      </c>
      <c r="O75" s="239">
        <v>0</v>
      </c>
      <c r="P75" s="239">
        <v>-2253024</v>
      </c>
      <c r="Q75" s="239">
        <v>0</v>
      </c>
      <c r="R75" s="239">
        <v>-2253024</v>
      </c>
      <c r="S75" s="239">
        <v>6342656</v>
      </c>
      <c r="T75" s="239">
        <v>0</v>
      </c>
      <c r="U75" s="239">
        <v>6342656</v>
      </c>
      <c r="V75" s="239">
        <v>-26042656</v>
      </c>
      <c r="W75" s="239">
        <v>0</v>
      </c>
      <c r="X75" s="239">
        <v>-26042656</v>
      </c>
      <c r="Y75" s="239">
        <v>88322899</v>
      </c>
      <c r="Z75" s="239">
        <v>0</v>
      </c>
      <c r="AA75" s="239">
        <v>88322899</v>
      </c>
      <c r="AB75" s="239">
        <v>0</v>
      </c>
      <c r="AC75" s="239">
        <v>0</v>
      </c>
      <c r="AD75" s="239">
        <v>0</v>
      </c>
      <c r="AE75" s="239">
        <v>0</v>
      </c>
      <c r="AF75" s="239">
        <v>0</v>
      </c>
      <c r="AG75" s="239">
        <v>0</v>
      </c>
      <c r="AH75" s="239">
        <v>0</v>
      </c>
      <c r="AI75" s="239">
        <v>0</v>
      </c>
      <c r="AJ75" s="239">
        <v>0</v>
      </c>
      <c r="AK75" s="239">
        <v>0</v>
      </c>
      <c r="AL75" s="239">
        <v>0</v>
      </c>
      <c r="AM75" s="239">
        <v>0</v>
      </c>
      <c r="AN75" s="239">
        <v>0</v>
      </c>
      <c r="AO75" s="239">
        <v>0</v>
      </c>
      <c r="AP75" s="239">
        <v>0</v>
      </c>
      <c r="AQ75" s="239">
        <v>12275339</v>
      </c>
      <c r="AR75" s="239">
        <v>-3464355</v>
      </c>
      <c r="AS75" s="214" t="s">
        <v>232</v>
      </c>
      <c r="AT75" s="214" t="s">
        <v>790</v>
      </c>
      <c r="AU75" s="214" t="s">
        <v>749</v>
      </c>
      <c r="AV75" s="214" t="s">
        <v>1088</v>
      </c>
      <c r="AW75" s="214" t="s">
        <v>1088</v>
      </c>
      <c r="AX75" s="214" t="s">
        <v>1295</v>
      </c>
    </row>
    <row r="76" spans="1:50" x14ac:dyDescent="0.2">
      <c r="B76" s="610" t="s">
        <v>235</v>
      </c>
      <c r="C76" s="610" t="s">
        <v>234</v>
      </c>
      <c r="D76" s="239">
        <v>61741080</v>
      </c>
      <c r="E76" s="239">
        <v>0</v>
      </c>
      <c r="F76" s="239">
        <v>61741080</v>
      </c>
      <c r="G76" s="239">
        <v>-25947</v>
      </c>
      <c r="H76" s="239">
        <v>0</v>
      </c>
      <c r="I76" s="239">
        <v>-25947</v>
      </c>
      <c r="J76" s="239">
        <v>-945792</v>
      </c>
      <c r="K76" s="239">
        <v>0</v>
      </c>
      <c r="L76" s="239">
        <v>-945792</v>
      </c>
      <c r="M76" s="239">
        <v>-206078</v>
      </c>
      <c r="N76" s="239">
        <v>0</v>
      </c>
      <c r="O76" s="239">
        <v>-206078</v>
      </c>
      <c r="P76" s="239">
        <v>-610746</v>
      </c>
      <c r="Q76" s="239">
        <v>0</v>
      </c>
      <c r="R76" s="239">
        <v>-610746</v>
      </c>
      <c r="S76" s="239">
        <v>1065522</v>
      </c>
      <c r="T76" s="239">
        <v>0</v>
      </c>
      <c r="U76" s="239">
        <v>1065522</v>
      </c>
      <c r="V76" s="239">
        <v>349547</v>
      </c>
      <c r="W76" s="239">
        <v>0</v>
      </c>
      <c r="X76" s="239">
        <v>349547</v>
      </c>
      <c r="Y76" s="239">
        <v>62313378</v>
      </c>
      <c r="Z76" s="239">
        <v>0</v>
      </c>
      <c r="AA76" s="239">
        <v>62313378</v>
      </c>
      <c r="AB76" s="239">
        <v>0</v>
      </c>
      <c r="AC76" s="239">
        <v>0</v>
      </c>
      <c r="AD76" s="239">
        <v>0</v>
      </c>
      <c r="AE76" s="239">
        <v>0</v>
      </c>
      <c r="AF76" s="239">
        <v>0</v>
      </c>
      <c r="AG76" s="239">
        <v>0</v>
      </c>
      <c r="AH76" s="239">
        <v>0</v>
      </c>
      <c r="AI76" s="239">
        <v>0</v>
      </c>
      <c r="AJ76" s="239">
        <v>0</v>
      </c>
      <c r="AK76" s="239">
        <v>0</v>
      </c>
      <c r="AL76" s="239">
        <v>0</v>
      </c>
      <c r="AM76" s="239">
        <v>0</v>
      </c>
      <c r="AN76" s="239">
        <v>0</v>
      </c>
      <c r="AO76" s="239">
        <v>0</v>
      </c>
      <c r="AP76" s="239">
        <v>0</v>
      </c>
      <c r="AQ76" s="239">
        <v>2592746</v>
      </c>
      <c r="AR76" s="239">
        <v>-928743</v>
      </c>
      <c r="AS76" s="214" t="s">
        <v>234</v>
      </c>
      <c r="AT76" s="214" t="s">
        <v>803</v>
      </c>
      <c r="AU76" s="214" t="s">
        <v>763</v>
      </c>
      <c r="AV76" s="214" t="s">
        <v>1088</v>
      </c>
      <c r="AW76" s="214" t="s">
        <v>1088</v>
      </c>
      <c r="AX76" s="214" t="s">
        <v>1294</v>
      </c>
    </row>
    <row r="77" spans="1:50" x14ac:dyDescent="0.2">
      <c r="B77" s="610" t="s">
        <v>237</v>
      </c>
      <c r="C77" s="610" t="s">
        <v>236</v>
      </c>
      <c r="D77" s="239">
        <v>33284626</v>
      </c>
      <c r="E77" s="239">
        <v>0</v>
      </c>
      <c r="F77" s="239">
        <v>33284626</v>
      </c>
      <c r="G77" s="239">
        <v>0</v>
      </c>
      <c r="H77" s="239">
        <v>0</v>
      </c>
      <c r="I77" s="239">
        <v>0</v>
      </c>
      <c r="J77" s="239">
        <v>-724844</v>
      </c>
      <c r="K77" s="239">
        <v>0</v>
      </c>
      <c r="L77" s="239">
        <v>-724844</v>
      </c>
      <c r="M77" s="239">
        <v>0</v>
      </c>
      <c r="N77" s="239">
        <v>0</v>
      </c>
      <c r="O77" s="239">
        <v>0</v>
      </c>
      <c r="P77" s="239">
        <v>-562000</v>
      </c>
      <c r="Q77" s="239">
        <v>0</v>
      </c>
      <c r="R77" s="239">
        <v>-562000</v>
      </c>
      <c r="S77" s="239">
        <v>258702</v>
      </c>
      <c r="T77" s="239">
        <v>0</v>
      </c>
      <c r="U77" s="239">
        <v>258702</v>
      </c>
      <c r="V77" s="239">
        <v>-351792</v>
      </c>
      <c r="W77" s="239">
        <v>0</v>
      </c>
      <c r="X77" s="239">
        <v>-351792</v>
      </c>
      <c r="Y77" s="239">
        <v>32629536</v>
      </c>
      <c r="Z77" s="239">
        <v>0</v>
      </c>
      <c r="AA77" s="239">
        <v>32629536</v>
      </c>
      <c r="AB77" s="239">
        <v>0</v>
      </c>
      <c r="AC77" s="239">
        <v>0</v>
      </c>
      <c r="AD77" s="239">
        <v>0</v>
      </c>
      <c r="AE77" s="239">
        <v>0</v>
      </c>
      <c r="AF77" s="239">
        <v>0</v>
      </c>
      <c r="AG77" s="239">
        <v>0</v>
      </c>
      <c r="AH77" s="239">
        <v>0</v>
      </c>
      <c r="AI77" s="239">
        <v>0</v>
      </c>
      <c r="AJ77" s="239">
        <v>0</v>
      </c>
      <c r="AK77" s="239">
        <v>0</v>
      </c>
      <c r="AL77" s="239">
        <v>0</v>
      </c>
      <c r="AM77" s="239">
        <v>0</v>
      </c>
      <c r="AN77" s="239">
        <v>0</v>
      </c>
      <c r="AO77" s="239">
        <v>0</v>
      </c>
      <c r="AP77" s="239">
        <v>0</v>
      </c>
      <c r="AQ77" s="239">
        <v>1412514</v>
      </c>
      <c r="AR77" s="239">
        <v>-499963</v>
      </c>
      <c r="AS77" s="214" t="s">
        <v>916</v>
      </c>
      <c r="AT77" s="214" t="s">
        <v>748</v>
      </c>
      <c r="AU77" s="214" t="s">
        <v>913</v>
      </c>
      <c r="AV77" s="214" t="s">
        <v>1088</v>
      </c>
      <c r="AW77" s="214" t="s">
        <v>1088</v>
      </c>
      <c r="AX77" s="214" t="s">
        <v>748</v>
      </c>
    </row>
    <row r="78" spans="1:50" x14ac:dyDescent="0.2">
      <c r="B78" s="610" t="s">
        <v>239</v>
      </c>
      <c r="C78" s="610" t="s">
        <v>238</v>
      </c>
      <c r="D78" s="239">
        <v>87601855</v>
      </c>
      <c r="E78" s="239">
        <v>0</v>
      </c>
      <c r="F78" s="239">
        <v>87601855</v>
      </c>
      <c r="G78" s="239">
        <v>0</v>
      </c>
      <c r="H78" s="239">
        <v>0</v>
      </c>
      <c r="I78" s="239">
        <v>0</v>
      </c>
      <c r="J78" s="239">
        <v>-893046</v>
      </c>
      <c r="K78" s="239">
        <v>0</v>
      </c>
      <c r="L78" s="239">
        <v>-893046</v>
      </c>
      <c r="M78" s="239">
        <v>0</v>
      </c>
      <c r="N78" s="239">
        <v>0</v>
      </c>
      <c r="O78" s="239">
        <v>0</v>
      </c>
      <c r="P78" s="239">
        <v>-387208</v>
      </c>
      <c r="Q78" s="239">
        <v>0</v>
      </c>
      <c r="R78" s="239">
        <v>-387208</v>
      </c>
      <c r="S78" s="239">
        <v>2320881</v>
      </c>
      <c r="T78" s="239">
        <v>0</v>
      </c>
      <c r="U78" s="239">
        <v>2320881</v>
      </c>
      <c r="V78" s="239">
        <v>-4562881</v>
      </c>
      <c r="W78" s="239">
        <v>0</v>
      </c>
      <c r="X78" s="239">
        <v>-4562881</v>
      </c>
      <c r="Y78" s="239">
        <v>84972647</v>
      </c>
      <c r="Z78" s="239">
        <v>0</v>
      </c>
      <c r="AA78" s="239">
        <v>84972647</v>
      </c>
      <c r="AB78" s="239">
        <v>0</v>
      </c>
      <c r="AC78" s="239">
        <v>0</v>
      </c>
      <c r="AD78" s="239">
        <v>0</v>
      </c>
      <c r="AE78" s="239">
        <v>0</v>
      </c>
      <c r="AF78" s="239">
        <v>0</v>
      </c>
      <c r="AG78" s="239">
        <v>0</v>
      </c>
      <c r="AH78" s="239">
        <v>0</v>
      </c>
      <c r="AI78" s="239">
        <v>0</v>
      </c>
      <c r="AJ78" s="239">
        <v>0</v>
      </c>
      <c r="AK78" s="239">
        <v>0</v>
      </c>
      <c r="AL78" s="239">
        <v>0</v>
      </c>
      <c r="AM78" s="239">
        <v>0</v>
      </c>
      <c r="AN78" s="239">
        <v>0</v>
      </c>
      <c r="AO78" s="239">
        <v>0</v>
      </c>
      <c r="AP78" s="239">
        <v>0</v>
      </c>
      <c r="AQ78" s="239">
        <v>1682690</v>
      </c>
      <c r="AR78" s="239">
        <v>-2386718</v>
      </c>
      <c r="AS78" s="214" t="s">
        <v>238</v>
      </c>
      <c r="AT78" s="214" t="s">
        <v>826</v>
      </c>
      <c r="AU78" s="214" t="s">
        <v>824</v>
      </c>
      <c r="AV78" s="214" t="s">
        <v>1088</v>
      </c>
      <c r="AW78" s="214" t="s">
        <v>1088</v>
      </c>
      <c r="AX78" s="214" t="s">
        <v>1294</v>
      </c>
    </row>
    <row r="79" spans="1:50" x14ac:dyDescent="0.2">
      <c r="B79" s="610" t="s">
        <v>241</v>
      </c>
      <c r="C79" s="610" t="s">
        <v>240</v>
      </c>
      <c r="D79" s="239">
        <v>43600326</v>
      </c>
      <c r="E79" s="239">
        <v>0</v>
      </c>
      <c r="F79" s="239">
        <v>43600326</v>
      </c>
      <c r="G79" s="239">
        <v>-14106</v>
      </c>
      <c r="H79" s="239">
        <v>0</v>
      </c>
      <c r="I79" s="239">
        <v>-14106</v>
      </c>
      <c r="J79" s="239">
        <v>-56647</v>
      </c>
      <c r="K79" s="239">
        <v>0</v>
      </c>
      <c r="L79" s="239">
        <v>-56647</v>
      </c>
      <c r="M79" s="239">
        <v>0</v>
      </c>
      <c r="N79" s="239">
        <v>0</v>
      </c>
      <c r="O79" s="239">
        <v>0</v>
      </c>
      <c r="P79" s="239">
        <v>-11639</v>
      </c>
      <c r="Q79" s="239">
        <v>0</v>
      </c>
      <c r="R79" s="239">
        <v>-11639</v>
      </c>
      <c r="S79" s="239">
        <v>577365</v>
      </c>
      <c r="T79" s="239">
        <v>0</v>
      </c>
      <c r="U79" s="239">
        <v>577365</v>
      </c>
      <c r="V79" s="239">
        <v>230869</v>
      </c>
      <c r="W79" s="239">
        <v>0</v>
      </c>
      <c r="X79" s="239">
        <v>230869</v>
      </c>
      <c r="Y79" s="239">
        <v>44382815</v>
      </c>
      <c r="Z79" s="239">
        <v>0</v>
      </c>
      <c r="AA79" s="239">
        <v>44382815</v>
      </c>
      <c r="AB79" s="239">
        <v>0</v>
      </c>
      <c r="AC79" s="239">
        <v>0</v>
      </c>
      <c r="AD79" s="239">
        <v>0</v>
      </c>
      <c r="AE79" s="239">
        <v>391159</v>
      </c>
      <c r="AF79" s="239">
        <v>391159</v>
      </c>
      <c r="AG79" s="239">
        <v>0</v>
      </c>
      <c r="AH79" s="239">
        <v>0</v>
      </c>
      <c r="AI79" s="239">
        <v>0</v>
      </c>
      <c r="AJ79" s="239">
        <v>0</v>
      </c>
      <c r="AK79" s="239">
        <v>0</v>
      </c>
      <c r="AL79" s="239">
        <v>0</v>
      </c>
      <c r="AM79" s="239">
        <v>0</v>
      </c>
      <c r="AN79" s="239">
        <v>0</v>
      </c>
      <c r="AO79" s="239">
        <v>0</v>
      </c>
      <c r="AP79" s="239">
        <v>0</v>
      </c>
      <c r="AQ79" s="239">
        <v>328585</v>
      </c>
      <c r="AR79" s="239">
        <v>-101244</v>
      </c>
      <c r="AS79" s="214" t="s">
        <v>240</v>
      </c>
      <c r="AT79" s="214" t="s">
        <v>805</v>
      </c>
      <c r="AU79" s="214" t="s">
        <v>763</v>
      </c>
      <c r="AV79" s="214" t="s">
        <v>1088</v>
      </c>
      <c r="AW79" s="214" t="s">
        <v>1088</v>
      </c>
      <c r="AX79" s="214" t="s">
        <v>1294</v>
      </c>
    </row>
    <row r="80" spans="1:50" x14ac:dyDescent="0.2">
      <c r="B80" s="610" t="s">
        <v>243</v>
      </c>
      <c r="C80" s="610" t="s">
        <v>242</v>
      </c>
      <c r="D80" s="239">
        <v>89478815</v>
      </c>
      <c r="E80" s="239">
        <v>0</v>
      </c>
      <c r="F80" s="239">
        <v>89478815</v>
      </c>
      <c r="G80" s="239">
        <v>0</v>
      </c>
      <c r="H80" s="239">
        <v>0</v>
      </c>
      <c r="I80" s="239">
        <v>0</v>
      </c>
      <c r="J80" s="239">
        <v>-262659</v>
      </c>
      <c r="K80" s="239">
        <v>0</v>
      </c>
      <c r="L80" s="239">
        <v>-262659</v>
      </c>
      <c r="M80" s="239">
        <v>0</v>
      </c>
      <c r="N80" s="239">
        <v>0</v>
      </c>
      <c r="O80" s="239">
        <v>0</v>
      </c>
      <c r="P80" s="239">
        <v>-1053482</v>
      </c>
      <c r="Q80" s="239">
        <v>0</v>
      </c>
      <c r="R80" s="239">
        <v>-1053482</v>
      </c>
      <c r="S80" s="239">
        <v>1357114</v>
      </c>
      <c r="T80" s="239">
        <v>0</v>
      </c>
      <c r="U80" s="239">
        <v>1357114</v>
      </c>
      <c r="V80" s="239">
        <v>-2165484</v>
      </c>
      <c r="W80" s="239">
        <v>0</v>
      </c>
      <c r="X80" s="239">
        <v>-2165484</v>
      </c>
      <c r="Y80" s="239">
        <v>87616963</v>
      </c>
      <c r="Z80" s="239">
        <v>0</v>
      </c>
      <c r="AA80" s="239">
        <v>87616963</v>
      </c>
      <c r="AB80" s="239">
        <v>0</v>
      </c>
      <c r="AC80" s="239">
        <v>0</v>
      </c>
      <c r="AD80" s="239">
        <v>0</v>
      </c>
      <c r="AE80" s="239">
        <v>724710</v>
      </c>
      <c r="AF80" s="239">
        <v>724710</v>
      </c>
      <c r="AG80" s="239">
        <v>0</v>
      </c>
      <c r="AH80" s="239">
        <v>0</v>
      </c>
      <c r="AI80" s="239">
        <v>0</v>
      </c>
      <c r="AJ80" s="239">
        <v>0</v>
      </c>
      <c r="AK80" s="239">
        <v>0</v>
      </c>
      <c r="AL80" s="239">
        <v>0</v>
      </c>
      <c r="AM80" s="239">
        <v>0</v>
      </c>
      <c r="AN80" s="239">
        <v>0</v>
      </c>
      <c r="AO80" s="239">
        <v>0</v>
      </c>
      <c r="AP80" s="239">
        <v>0</v>
      </c>
      <c r="AQ80" s="239">
        <v>6006049</v>
      </c>
      <c r="AR80" s="239">
        <v>-352587</v>
      </c>
      <c r="AS80" s="214" t="s">
        <v>915</v>
      </c>
      <c r="AT80" s="214" t="s">
        <v>748</v>
      </c>
      <c r="AU80" s="214" t="s">
        <v>856</v>
      </c>
      <c r="AV80" s="214" t="s">
        <v>1097</v>
      </c>
      <c r="AW80" s="214" t="s">
        <v>1088</v>
      </c>
      <c r="AX80" s="214" t="s">
        <v>748</v>
      </c>
    </row>
    <row r="81" spans="2:50" x14ac:dyDescent="0.2">
      <c r="B81" s="610" t="s">
        <v>245</v>
      </c>
      <c r="C81" s="610" t="s">
        <v>244</v>
      </c>
      <c r="D81" s="239">
        <v>17238119</v>
      </c>
      <c r="E81" s="239">
        <v>0</v>
      </c>
      <c r="F81" s="239">
        <v>17238119</v>
      </c>
      <c r="G81" s="239">
        <v>0</v>
      </c>
      <c r="H81" s="239">
        <v>0</v>
      </c>
      <c r="I81" s="239">
        <v>0</v>
      </c>
      <c r="J81" s="239">
        <v>-165195</v>
      </c>
      <c r="K81" s="239">
        <v>0</v>
      </c>
      <c r="L81" s="239">
        <v>-165195</v>
      </c>
      <c r="M81" s="239">
        <v>0</v>
      </c>
      <c r="N81" s="239">
        <v>0</v>
      </c>
      <c r="O81" s="239">
        <v>0</v>
      </c>
      <c r="P81" s="239">
        <v>-202195</v>
      </c>
      <c r="Q81" s="239">
        <v>0</v>
      </c>
      <c r="R81" s="239">
        <v>-202195</v>
      </c>
      <c r="S81" s="239">
        <v>71184</v>
      </c>
      <c r="T81" s="239">
        <v>0</v>
      </c>
      <c r="U81" s="239">
        <v>71184</v>
      </c>
      <c r="V81" s="239">
        <v>-82978</v>
      </c>
      <c r="W81" s="239">
        <v>0</v>
      </c>
      <c r="X81" s="239">
        <v>-82978</v>
      </c>
      <c r="Y81" s="239">
        <v>17024130</v>
      </c>
      <c r="Z81" s="239">
        <v>0</v>
      </c>
      <c r="AA81" s="239">
        <v>17024130</v>
      </c>
      <c r="AB81" s="239">
        <v>0</v>
      </c>
      <c r="AC81" s="239">
        <v>0</v>
      </c>
      <c r="AD81" s="239">
        <v>0</v>
      </c>
      <c r="AE81" s="239">
        <v>140998</v>
      </c>
      <c r="AF81" s="239">
        <v>140998</v>
      </c>
      <c r="AG81" s="239">
        <v>0</v>
      </c>
      <c r="AH81" s="239">
        <v>0</v>
      </c>
      <c r="AI81" s="239">
        <v>0</v>
      </c>
      <c r="AJ81" s="239">
        <v>0</v>
      </c>
      <c r="AK81" s="239">
        <v>0</v>
      </c>
      <c r="AL81" s="239">
        <v>0</v>
      </c>
      <c r="AM81" s="239">
        <v>0</v>
      </c>
      <c r="AN81" s="239">
        <v>0</v>
      </c>
      <c r="AO81" s="239">
        <v>0</v>
      </c>
      <c r="AP81" s="239">
        <v>0</v>
      </c>
      <c r="AQ81" s="239">
        <v>1164425</v>
      </c>
      <c r="AR81" s="239">
        <v>-260892</v>
      </c>
      <c r="AS81" s="214" t="s">
        <v>244</v>
      </c>
      <c r="AT81" s="214" t="s">
        <v>858</v>
      </c>
      <c r="AU81" s="214" t="s">
        <v>856</v>
      </c>
      <c r="AV81" s="214" t="s">
        <v>1088</v>
      </c>
      <c r="AW81" s="214" t="s">
        <v>1088</v>
      </c>
      <c r="AX81" s="214" t="s">
        <v>1294</v>
      </c>
    </row>
    <row r="82" spans="2:50" x14ac:dyDescent="0.2">
      <c r="B82" s="610" t="s">
        <v>247</v>
      </c>
      <c r="C82" s="610" t="s">
        <v>246</v>
      </c>
      <c r="D82" s="239">
        <v>96224617</v>
      </c>
      <c r="E82" s="239">
        <v>0</v>
      </c>
      <c r="F82" s="239">
        <v>96224617</v>
      </c>
      <c r="G82" s="239">
        <v>-377</v>
      </c>
      <c r="H82" s="239">
        <v>0</v>
      </c>
      <c r="I82" s="239">
        <v>-377</v>
      </c>
      <c r="J82" s="239">
        <v>-2394983</v>
      </c>
      <c r="K82" s="239">
        <v>0</v>
      </c>
      <c r="L82" s="239">
        <v>-2394983</v>
      </c>
      <c r="M82" s="239">
        <v>14465</v>
      </c>
      <c r="N82" s="239">
        <v>0</v>
      </c>
      <c r="O82" s="239">
        <v>14465</v>
      </c>
      <c r="P82" s="239">
        <v>-1681368</v>
      </c>
      <c r="Q82" s="239">
        <v>0</v>
      </c>
      <c r="R82" s="239">
        <v>-1681368</v>
      </c>
      <c r="S82" s="239">
        <v>1574274</v>
      </c>
      <c r="T82" s="239">
        <v>0</v>
      </c>
      <c r="U82" s="239">
        <v>1574274</v>
      </c>
      <c r="V82" s="239">
        <v>-668359</v>
      </c>
      <c r="W82" s="239">
        <v>0</v>
      </c>
      <c r="X82" s="239">
        <v>-668359</v>
      </c>
      <c r="Y82" s="239">
        <v>95463252</v>
      </c>
      <c r="Z82" s="239">
        <v>0</v>
      </c>
      <c r="AA82" s="239">
        <v>95463252</v>
      </c>
      <c r="AB82" s="239">
        <v>0</v>
      </c>
      <c r="AC82" s="239">
        <v>0</v>
      </c>
      <c r="AD82" s="239">
        <v>0</v>
      </c>
      <c r="AE82" s="239">
        <v>217866</v>
      </c>
      <c r="AF82" s="239">
        <v>217866</v>
      </c>
      <c r="AG82" s="239">
        <v>0</v>
      </c>
      <c r="AH82" s="239">
        <v>0</v>
      </c>
      <c r="AI82" s="239">
        <v>0</v>
      </c>
      <c r="AJ82" s="239">
        <v>0</v>
      </c>
      <c r="AK82" s="239">
        <v>0</v>
      </c>
      <c r="AL82" s="239">
        <v>0</v>
      </c>
      <c r="AM82" s="239">
        <v>0</v>
      </c>
      <c r="AN82" s="239">
        <v>0</v>
      </c>
      <c r="AO82" s="239">
        <v>0</v>
      </c>
      <c r="AP82" s="239">
        <v>0</v>
      </c>
      <c r="AQ82" s="239">
        <v>9853687</v>
      </c>
      <c r="AR82" s="239">
        <v>-1781952</v>
      </c>
      <c r="AS82" s="214" t="s">
        <v>246</v>
      </c>
      <c r="AT82" s="214" t="s">
        <v>768</v>
      </c>
      <c r="AU82" s="214" t="s">
        <v>865</v>
      </c>
      <c r="AV82" s="214" t="s">
        <v>1088</v>
      </c>
      <c r="AW82" s="214" t="s">
        <v>1088</v>
      </c>
      <c r="AX82" s="214" t="s">
        <v>1296</v>
      </c>
    </row>
    <row r="83" spans="2:50" x14ac:dyDescent="0.2">
      <c r="B83" s="610" t="s">
        <v>249</v>
      </c>
      <c r="C83" s="610" t="s">
        <v>248</v>
      </c>
      <c r="D83" s="239">
        <v>31542140</v>
      </c>
      <c r="E83" s="239">
        <v>0</v>
      </c>
      <c r="F83" s="239">
        <v>31542140</v>
      </c>
      <c r="G83" s="239">
        <v>0</v>
      </c>
      <c r="H83" s="239">
        <v>0</v>
      </c>
      <c r="I83" s="239">
        <v>0</v>
      </c>
      <c r="J83" s="239">
        <v>-336248</v>
      </c>
      <c r="K83" s="239">
        <v>0</v>
      </c>
      <c r="L83" s="239">
        <v>-336248</v>
      </c>
      <c r="M83" s="239">
        <v>0</v>
      </c>
      <c r="N83" s="239">
        <v>0</v>
      </c>
      <c r="O83" s="239">
        <v>0</v>
      </c>
      <c r="P83" s="239">
        <v>-641432</v>
      </c>
      <c r="Q83" s="239">
        <v>0</v>
      </c>
      <c r="R83" s="239">
        <v>-641432</v>
      </c>
      <c r="S83" s="239">
        <v>3233000</v>
      </c>
      <c r="T83" s="239">
        <v>0</v>
      </c>
      <c r="U83" s="239">
        <v>3233000</v>
      </c>
      <c r="V83" s="239">
        <v>2036000</v>
      </c>
      <c r="W83" s="239">
        <v>0</v>
      </c>
      <c r="X83" s="239">
        <v>2036000</v>
      </c>
      <c r="Y83" s="239">
        <v>36169708</v>
      </c>
      <c r="Z83" s="239">
        <v>0</v>
      </c>
      <c r="AA83" s="239">
        <v>36169708</v>
      </c>
      <c r="AB83" s="239">
        <v>0</v>
      </c>
      <c r="AC83" s="239">
        <v>0</v>
      </c>
      <c r="AD83" s="239">
        <v>0</v>
      </c>
      <c r="AE83" s="239">
        <v>11593</v>
      </c>
      <c r="AF83" s="239">
        <v>11593</v>
      </c>
      <c r="AG83" s="239">
        <v>0</v>
      </c>
      <c r="AH83" s="239">
        <v>0</v>
      </c>
      <c r="AI83" s="239">
        <v>0</v>
      </c>
      <c r="AJ83" s="239">
        <v>0</v>
      </c>
      <c r="AK83" s="239">
        <v>0</v>
      </c>
      <c r="AL83" s="239">
        <v>0</v>
      </c>
      <c r="AM83" s="239">
        <v>0</v>
      </c>
      <c r="AN83" s="239">
        <v>0</v>
      </c>
      <c r="AO83" s="239">
        <v>0</v>
      </c>
      <c r="AP83" s="239">
        <v>0</v>
      </c>
      <c r="AQ83" s="239">
        <v>2800514</v>
      </c>
      <c r="AR83" s="239">
        <v>-3093794</v>
      </c>
      <c r="AS83" s="214" t="s">
        <v>248</v>
      </c>
      <c r="AT83" s="214" t="s">
        <v>826</v>
      </c>
      <c r="AU83" s="214" t="s">
        <v>824</v>
      </c>
      <c r="AV83" s="214" t="s">
        <v>1088</v>
      </c>
      <c r="AW83" s="214" t="s">
        <v>1088</v>
      </c>
      <c r="AX83" s="214" t="s">
        <v>1294</v>
      </c>
    </row>
    <row r="84" spans="2:50" x14ac:dyDescent="0.2">
      <c r="B84" s="610" t="s">
        <v>251</v>
      </c>
      <c r="C84" s="610" t="s">
        <v>250</v>
      </c>
      <c r="D84" s="239">
        <v>97202234</v>
      </c>
      <c r="E84" s="239">
        <v>0</v>
      </c>
      <c r="F84" s="239">
        <v>97202234</v>
      </c>
      <c r="G84" s="239">
        <v>-860</v>
      </c>
      <c r="H84" s="239">
        <v>0</v>
      </c>
      <c r="I84" s="239">
        <v>-860</v>
      </c>
      <c r="J84" s="239">
        <v>-738613</v>
      </c>
      <c r="K84" s="239">
        <v>0</v>
      </c>
      <c r="L84" s="239">
        <v>-738613</v>
      </c>
      <c r="M84" s="239">
        <v>0</v>
      </c>
      <c r="N84" s="239">
        <v>0</v>
      </c>
      <c r="O84" s="239">
        <v>0</v>
      </c>
      <c r="P84" s="239">
        <v>-1279613</v>
      </c>
      <c r="Q84" s="239">
        <v>0</v>
      </c>
      <c r="R84" s="239">
        <v>-1279613</v>
      </c>
      <c r="S84" s="239">
        <v>856376</v>
      </c>
      <c r="T84" s="239">
        <v>0</v>
      </c>
      <c r="U84" s="239">
        <v>856376</v>
      </c>
      <c r="V84" s="239">
        <v>-856376</v>
      </c>
      <c r="W84" s="239">
        <v>0</v>
      </c>
      <c r="X84" s="239">
        <v>-856376</v>
      </c>
      <c r="Y84" s="239">
        <v>95921761</v>
      </c>
      <c r="Z84" s="239">
        <v>0</v>
      </c>
      <c r="AA84" s="239">
        <v>95921761</v>
      </c>
      <c r="AB84" s="239">
        <v>0</v>
      </c>
      <c r="AC84" s="239">
        <v>0</v>
      </c>
      <c r="AD84" s="239">
        <v>0</v>
      </c>
      <c r="AE84" s="239">
        <v>0</v>
      </c>
      <c r="AF84" s="239">
        <v>0</v>
      </c>
      <c r="AG84" s="239">
        <v>0</v>
      </c>
      <c r="AH84" s="239">
        <v>0</v>
      </c>
      <c r="AI84" s="239">
        <v>0</v>
      </c>
      <c r="AJ84" s="239">
        <v>0</v>
      </c>
      <c r="AK84" s="239">
        <v>0</v>
      </c>
      <c r="AL84" s="239">
        <v>0</v>
      </c>
      <c r="AM84" s="239">
        <v>0</v>
      </c>
      <c r="AN84" s="239">
        <v>0</v>
      </c>
      <c r="AO84" s="239">
        <v>0</v>
      </c>
      <c r="AP84" s="239">
        <v>0</v>
      </c>
      <c r="AQ84" s="239">
        <v>6210504</v>
      </c>
      <c r="AR84" s="239">
        <v>-982456</v>
      </c>
      <c r="AS84" s="214" t="s">
        <v>250</v>
      </c>
      <c r="AT84" s="214" t="s">
        <v>768</v>
      </c>
      <c r="AU84" s="214" t="s">
        <v>766</v>
      </c>
      <c r="AV84" s="214" t="s">
        <v>1088</v>
      </c>
      <c r="AW84" s="214" t="s">
        <v>1088</v>
      </c>
      <c r="AX84" s="214" t="s">
        <v>1296</v>
      </c>
    </row>
    <row r="85" spans="2:50" x14ac:dyDescent="0.2">
      <c r="B85" s="610" t="s">
        <v>253</v>
      </c>
      <c r="C85" s="610" t="s">
        <v>252</v>
      </c>
      <c r="D85" s="239">
        <v>117064735</v>
      </c>
      <c r="E85" s="239">
        <v>0</v>
      </c>
      <c r="F85" s="239">
        <v>117064735</v>
      </c>
      <c r="G85" s="239">
        <v>-1041</v>
      </c>
      <c r="H85" s="239">
        <v>0</v>
      </c>
      <c r="I85" s="239">
        <v>-1041</v>
      </c>
      <c r="J85" s="239">
        <v>-1722190</v>
      </c>
      <c r="K85" s="239">
        <v>0</v>
      </c>
      <c r="L85" s="239">
        <v>-1722190</v>
      </c>
      <c r="M85" s="239">
        <v>0</v>
      </c>
      <c r="N85" s="239">
        <v>0</v>
      </c>
      <c r="O85" s="239">
        <v>0</v>
      </c>
      <c r="P85" s="239">
        <v>-1755771</v>
      </c>
      <c r="Q85" s="239">
        <v>0</v>
      </c>
      <c r="R85" s="239">
        <v>-1755771</v>
      </c>
      <c r="S85" s="239">
        <v>890241</v>
      </c>
      <c r="T85" s="239">
        <v>0</v>
      </c>
      <c r="U85" s="239">
        <v>890241</v>
      </c>
      <c r="V85" s="239">
        <v>-11452893</v>
      </c>
      <c r="W85" s="239">
        <v>0</v>
      </c>
      <c r="X85" s="239">
        <v>-11452893</v>
      </c>
      <c r="Y85" s="239">
        <v>104745271</v>
      </c>
      <c r="Z85" s="239">
        <v>0</v>
      </c>
      <c r="AA85" s="239">
        <v>104745271</v>
      </c>
      <c r="AB85" s="239">
        <v>0</v>
      </c>
      <c r="AC85" s="239">
        <v>0</v>
      </c>
      <c r="AD85" s="239">
        <v>0</v>
      </c>
      <c r="AE85" s="239">
        <v>53354</v>
      </c>
      <c r="AF85" s="239">
        <v>53354</v>
      </c>
      <c r="AG85" s="239">
        <v>0</v>
      </c>
      <c r="AH85" s="239">
        <v>0</v>
      </c>
      <c r="AI85" s="239">
        <v>0</v>
      </c>
      <c r="AJ85" s="239">
        <v>0</v>
      </c>
      <c r="AK85" s="239">
        <v>0</v>
      </c>
      <c r="AL85" s="239">
        <v>0</v>
      </c>
      <c r="AM85" s="239">
        <v>0</v>
      </c>
      <c r="AN85" s="239">
        <v>0</v>
      </c>
      <c r="AO85" s="239">
        <v>0</v>
      </c>
      <c r="AP85" s="239">
        <v>0</v>
      </c>
      <c r="AQ85" s="239">
        <v>6928809</v>
      </c>
      <c r="AR85" s="239">
        <v>-1889253</v>
      </c>
      <c r="AS85" s="214" t="s">
        <v>252</v>
      </c>
      <c r="AT85" s="214" t="s">
        <v>748</v>
      </c>
      <c r="AU85" s="214" t="s">
        <v>913</v>
      </c>
      <c r="AV85" s="214" t="s">
        <v>1088</v>
      </c>
      <c r="AW85" s="214" t="s">
        <v>1088</v>
      </c>
      <c r="AX85" s="214" t="s">
        <v>748</v>
      </c>
    </row>
    <row r="86" spans="2:50" x14ac:dyDescent="0.2">
      <c r="B86" s="610" t="s">
        <v>255</v>
      </c>
      <c r="C86" s="610" t="s">
        <v>254</v>
      </c>
      <c r="D86" s="239">
        <v>147018302</v>
      </c>
      <c r="E86" s="239">
        <v>0</v>
      </c>
      <c r="F86" s="239">
        <v>147018302</v>
      </c>
      <c r="G86" s="239">
        <v>-638</v>
      </c>
      <c r="H86" s="239">
        <v>0</v>
      </c>
      <c r="I86" s="239">
        <v>-638</v>
      </c>
      <c r="J86" s="239">
        <v>-1972462.07</v>
      </c>
      <c r="K86" s="239">
        <v>0</v>
      </c>
      <c r="L86" s="239">
        <v>-1972462.07</v>
      </c>
      <c r="M86" s="239">
        <v>0</v>
      </c>
      <c r="N86" s="239">
        <v>0</v>
      </c>
      <c r="O86" s="239">
        <v>0</v>
      </c>
      <c r="P86" s="239">
        <v>-265836</v>
      </c>
      <c r="Q86" s="239">
        <v>0</v>
      </c>
      <c r="R86" s="239">
        <v>-265836</v>
      </c>
      <c r="S86" s="239">
        <v>3340395</v>
      </c>
      <c r="T86" s="239">
        <v>0</v>
      </c>
      <c r="U86" s="239">
        <v>3340395</v>
      </c>
      <c r="V86" s="239">
        <v>-4501288</v>
      </c>
      <c r="W86" s="239">
        <v>0</v>
      </c>
      <c r="X86" s="239">
        <v>-4501288</v>
      </c>
      <c r="Y86" s="239">
        <v>145590935</v>
      </c>
      <c r="Z86" s="239">
        <v>0</v>
      </c>
      <c r="AA86" s="239">
        <v>145590935</v>
      </c>
      <c r="AB86" s="239">
        <v>0</v>
      </c>
      <c r="AC86" s="239">
        <v>0</v>
      </c>
      <c r="AD86" s="239">
        <v>0</v>
      </c>
      <c r="AE86" s="239">
        <v>0</v>
      </c>
      <c r="AF86" s="239">
        <v>0</v>
      </c>
      <c r="AG86" s="239">
        <v>0</v>
      </c>
      <c r="AH86" s="239">
        <v>0</v>
      </c>
      <c r="AI86" s="239">
        <v>0</v>
      </c>
      <c r="AJ86" s="239">
        <v>0</v>
      </c>
      <c r="AK86" s="239">
        <v>0</v>
      </c>
      <c r="AL86" s="239">
        <v>0</v>
      </c>
      <c r="AM86" s="239">
        <v>0</v>
      </c>
      <c r="AN86" s="239">
        <v>0</v>
      </c>
      <c r="AO86" s="239">
        <v>0</v>
      </c>
      <c r="AP86" s="239">
        <v>0</v>
      </c>
      <c r="AQ86" s="239">
        <v>21941894</v>
      </c>
      <c r="AR86" s="239">
        <v>-11367953</v>
      </c>
      <c r="AS86" s="214" t="s">
        <v>254</v>
      </c>
      <c r="AT86" s="214" t="s">
        <v>790</v>
      </c>
      <c r="AU86" s="214" t="s">
        <v>749</v>
      </c>
      <c r="AV86" s="214" t="s">
        <v>1088</v>
      </c>
      <c r="AW86" s="214" t="s">
        <v>1088</v>
      </c>
      <c r="AX86" s="214" t="s">
        <v>1295</v>
      </c>
    </row>
    <row r="87" spans="2:50" x14ac:dyDescent="0.2">
      <c r="B87" s="610" t="s">
        <v>257</v>
      </c>
      <c r="C87" s="610" t="s">
        <v>256</v>
      </c>
      <c r="D87" s="239">
        <v>19447861</v>
      </c>
      <c r="E87" s="239">
        <v>0</v>
      </c>
      <c r="F87" s="239">
        <v>19447861</v>
      </c>
      <c r="G87" s="239">
        <v>0</v>
      </c>
      <c r="H87" s="239">
        <v>0</v>
      </c>
      <c r="I87" s="239">
        <v>0</v>
      </c>
      <c r="J87" s="239">
        <v>0</v>
      </c>
      <c r="K87" s="239">
        <v>0</v>
      </c>
      <c r="L87" s="239">
        <v>0</v>
      </c>
      <c r="M87" s="239">
        <v>0</v>
      </c>
      <c r="N87" s="239">
        <v>0</v>
      </c>
      <c r="O87" s="239">
        <v>0</v>
      </c>
      <c r="P87" s="239">
        <v>-395</v>
      </c>
      <c r="Q87" s="239">
        <v>0</v>
      </c>
      <c r="R87" s="239">
        <v>-395</v>
      </c>
      <c r="S87" s="239">
        <v>133405</v>
      </c>
      <c r="T87" s="239">
        <v>0</v>
      </c>
      <c r="U87" s="239">
        <v>133405</v>
      </c>
      <c r="V87" s="239">
        <v>-676805</v>
      </c>
      <c r="W87" s="239">
        <v>0</v>
      </c>
      <c r="X87" s="239">
        <v>-676805</v>
      </c>
      <c r="Y87" s="239">
        <v>18904066</v>
      </c>
      <c r="Z87" s="239">
        <v>0</v>
      </c>
      <c r="AA87" s="239">
        <v>18904066</v>
      </c>
      <c r="AB87" s="239">
        <v>0</v>
      </c>
      <c r="AC87" s="239">
        <v>0</v>
      </c>
      <c r="AD87" s="239">
        <v>0</v>
      </c>
      <c r="AE87" s="239">
        <v>354054</v>
      </c>
      <c r="AF87" s="239">
        <v>354054</v>
      </c>
      <c r="AG87" s="239">
        <v>0</v>
      </c>
      <c r="AH87" s="239">
        <v>0</v>
      </c>
      <c r="AI87" s="239">
        <v>0</v>
      </c>
      <c r="AJ87" s="239">
        <v>0</v>
      </c>
      <c r="AK87" s="239">
        <v>0</v>
      </c>
      <c r="AL87" s="239">
        <v>0</v>
      </c>
      <c r="AM87" s="239">
        <v>0</v>
      </c>
      <c r="AN87" s="239">
        <v>0</v>
      </c>
      <c r="AO87" s="239">
        <v>0</v>
      </c>
      <c r="AP87" s="239">
        <v>0</v>
      </c>
      <c r="AQ87" s="239">
        <v>886357</v>
      </c>
      <c r="AR87" s="239">
        <v>-186046</v>
      </c>
      <c r="AS87" s="214" t="s">
        <v>256</v>
      </c>
      <c r="AT87" s="214" t="s">
        <v>862</v>
      </c>
      <c r="AU87" s="214" t="s">
        <v>860</v>
      </c>
      <c r="AV87" s="214" t="s">
        <v>1088</v>
      </c>
      <c r="AW87" s="214" t="s">
        <v>1088</v>
      </c>
      <c r="AX87" s="214" t="s">
        <v>1294</v>
      </c>
    </row>
    <row r="88" spans="2:50" x14ac:dyDescent="0.2">
      <c r="B88" s="610" t="s">
        <v>259</v>
      </c>
      <c r="C88" s="610" t="s">
        <v>258</v>
      </c>
      <c r="D88" s="239">
        <v>32398718</v>
      </c>
      <c r="E88" s="239">
        <v>0</v>
      </c>
      <c r="F88" s="239">
        <v>32398718</v>
      </c>
      <c r="G88" s="239">
        <v>-6587</v>
      </c>
      <c r="H88" s="239">
        <v>0</v>
      </c>
      <c r="I88" s="239">
        <v>-6587</v>
      </c>
      <c r="J88" s="239">
        <v>-96033</v>
      </c>
      <c r="K88" s="239">
        <v>0</v>
      </c>
      <c r="L88" s="239">
        <v>-96033</v>
      </c>
      <c r="M88" s="239">
        <v>0</v>
      </c>
      <c r="N88" s="239">
        <v>0</v>
      </c>
      <c r="O88" s="239">
        <v>0</v>
      </c>
      <c r="P88" s="239">
        <v>-134552</v>
      </c>
      <c r="Q88" s="239">
        <v>0</v>
      </c>
      <c r="R88" s="239">
        <v>-134552</v>
      </c>
      <c r="S88" s="239">
        <v>494377</v>
      </c>
      <c r="T88" s="239">
        <v>0</v>
      </c>
      <c r="U88" s="239">
        <v>494377</v>
      </c>
      <c r="V88" s="239">
        <v>-387996</v>
      </c>
      <c r="W88" s="239">
        <v>0</v>
      </c>
      <c r="X88" s="239">
        <v>-387996</v>
      </c>
      <c r="Y88" s="239">
        <v>32363960</v>
      </c>
      <c r="Z88" s="239">
        <v>0</v>
      </c>
      <c r="AA88" s="239">
        <v>32363960</v>
      </c>
      <c r="AB88" s="239">
        <v>0</v>
      </c>
      <c r="AC88" s="239">
        <v>0</v>
      </c>
      <c r="AD88" s="239">
        <v>0</v>
      </c>
      <c r="AE88" s="239">
        <v>198263</v>
      </c>
      <c r="AF88" s="239">
        <v>198263</v>
      </c>
      <c r="AG88" s="239">
        <v>0</v>
      </c>
      <c r="AH88" s="239">
        <v>0</v>
      </c>
      <c r="AI88" s="239">
        <v>0</v>
      </c>
      <c r="AJ88" s="239">
        <v>0</v>
      </c>
      <c r="AK88" s="239">
        <v>0</v>
      </c>
      <c r="AL88" s="239">
        <v>0</v>
      </c>
      <c r="AM88" s="239">
        <v>0</v>
      </c>
      <c r="AN88" s="239">
        <v>0</v>
      </c>
      <c r="AO88" s="239">
        <v>0</v>
      </c>
      <c r="AP88" s="239">
        <v>0</v>
      </c>
      <c r="AQ88" s="239">
        <v>1180284</v>
      </c>
      <c r="AR88" s="239">
        <v>-285239</v>
      </c>
      <c r="AS88" s="214" t="s">
        <v>258</v>
      </c>
      <c r="AT88" s="214" t="s">
        <v>800</v>
      </c>
      <c r="AU88" s="214" t="s">
        <v>792</v>
      </c>
      <c r="AV88" s="214" t="s">
        <v>1088</v>
      </c>
      <c r="AW88" s="214" t="s">
        <v>1088</v>
      </c>
      <c r="AX88" s="214" t="s">
        <v>1294</v>
      </c>
    </row>
    <row r="89" spans="2:50" x14ac:dyDescent="0.2">
      <c r="B89" s="610" t="s">
        <v>261</v>
      </c>
      <c r="C89" s="610" t="s">
        <v>260</v>
      </c>
      <c r="D89" s="239">
        <v>21799393</v>
      </c>
      <c r="E89" s="239">
        <v>0</v>
      </c>
      <c r="F89" s="239">
        <v>21799393</v>
      </c>
      <c r="G89" s="239">
        <v>0</v>
      </c>
      <c r="H89" s="239">
        <v>0</v>
      </c>
      <c r="I89" s="239">
        <v>0</v>
      </c>
      <c r="J89" s="239">
        <v>-67094.73</v>
      </c>
      <c r="K89" s="239">
        <v>0</v>
      </c>
      <c r="L89" s="239">
        <v>-67094.73</v>
      </c>
      <c r="M89" s="239">
        <v>0</v>
      </c>
      <c r="N89" s="239">
        <v>0</v>
      </c>
      <c r="O89" s="239">
        <v>0</v>
      </c>
      <c r="P89" s="239">
        <v>-1118.73</v>
      </c>
      <c r="Q89" s="239">
        <v>0</v>
      </c>
      <c r="R89" s="239">
        <v>-1118.73</v>
      </c>
      <c r="S89" s="239">
        <v>335758</v>
      </c>
      <c r="T89" s="239">
        <v>0</v>
      </c>
      <c r="U89" s="239">
        <v>335758</v>
      </c>
      <c r="V89" s="239">
        <v>-1479537</v>
      </c>
      <c r="W89" s="239">
        <v>0</v>
      </c>
      <c r="X89" s="239">
        <v>-1479537</v>
      </c>
      <c r="Y89" s="239">
        <v>20654495.27</v>
      </c>
      <c r="Z89" s="239">
        <v>0</v>
      </c>
      <c r="AA89" s="239">
        <v>20654495.27</v>
      </c>
      <c r="AB89" s="239">
        <v>0</v>
      </c>
      <c r="AC89" s="239">
        <v>0</v>
      </c>
      <c r="AD89" s="239">
        <v>0</v>
      </c>
      <c r="AE89" s="239">
        <v>216785</v>
      </c>
      <c r="AF89" s="239">
        <v>216785</v>
      </c>
      <c r="AG89" s="239">
        <v>0</v>
      </c>
      <c r="AH89" s="239">
        <v>0</v>
      </c>
      <c r="AI89" s="239">
        <v>0</v>
      </c>
      <c r="AJ89" s="239">
        <v>0</v>
      </c>
      <c r="AK89" s="239">
        <v>0</v>
      </c>
      <c r="AL89" s="239">
        <v>0</v>
      </c>
      <c r="AM89" s="239">
        <v>0</v>
      </c>
      <c r="AN89" s="239">
        <v>0</v>
      </c>
      <c r="AO89" s="239">
        <v>0</v>
      </c>
      <c r="AP89" s="239">
        <v>0</v>
      </c>
      <c r="AQ89" s="239">
        <v>558745</v>
      </c>
      <c r="AR89" s="239">
        <v>-118947</v>
      </c>
      <c r="AS89" s="214" t="s">
        <v>260</v>
      </c>
      <c r="AT89" s="214" t="s">
        <v>787</v>
      </c>
      <c r="AU89" s="214" t="s">
        <v>785</v>
      </c>
      <c r="AV89" s="214" t="s">
        <v>1088</v>
      </c>
      <c r="AW89" s="214" t="s">
        <v>1088</v>
      </c>
      <c r="AX89" s="214" t="s">
        <v>1294</v>
      </c>
    </row>
    <row r="90" spans="2:50" x14ac:dyDescent="0.2">
      <c r="B90" s="610" t="s">
        <v>263</v>
      </c>
      <c r="C90" s="610" t="s">
        <v>262</v>
      </c>
      <c r="D90" s="239">
        <v>28286340</v>
      </c>
      <c r="E90" s="239">
        <v>0</v>
      </c>
      <c r="F90" s="239">
        <v>28286340</v>
      </c>
      <c r="G90" s="239">
        <v>-31464</v>
      </c>
      <c r="H90" s="239">
        <v>0</v>
      </c>
      <c r="I90" s="239">
        <v>-31464</v>
      </c>
      <c r="J90" s="239">
        <v>-85469</v>
      </c>
      <c r="K90" s="239">
        <v>0</v>
      </c>
      <c r="L90" s="239">
        <v>-85469</v>
      </c>
      <c r="M90" s="239">
        <v>0</v>
      </c>
      <c r="N90" s="239">
        <v>0</v>
      </c>
      <c r="O90" s="239">
        <v>0</v>
      </c>
      <c r="P90" s="239">
        <v>-234433</v>
      </c>
      <c r="Q90" s="239">
        <v>0</v>
      </c>
      <c r="R90" s="239">
        <v>-234433</v>
      </c>
      <c r="S90" s="239">
        <v>560000</v>
      </c>
      <c r="T90" s="239">
        <v>0</v>
      </c>
      <c r="U90" s="239">
        <v>560000</v>
      </c>
      <c r="V90" s="239">
        <v>-1958673</v>
      </c>
      <c r="W90" s="239">
        <v>0</v>
      </c>
      <c r="X90" s="239">
        <v>-1958673</v>
      </c>
      <c r="Y90" s="239">
        <v>26621770</v>
      </c>
      <c r="Z90" s="239">
        <v>0</v>
      </c>
      <c r="AA90" s="239">
        <v>26621770</v>
      </c>
      <c r="AB90" s="239">
        <v>0</v>
      </c>
      <c r="AC90" s="239">
        <v>0</v>
      </c>
      <c r="AD90" s="239">
        <v>0</v>
      </c>
      <c r="AE90" s="239">
        <v>0</v>
      </c>
      <c r="AF90" s="239">
        <v>0</v>
      </c>
      <c r="AG90" s="239">
        <v>0</v>
      </c>
      <c r="AH90" s="239">
        <v>0</v>
      </c>
      <c r="AI90" s="239">
        <v>0</v>
      </c>
      <c r="AJ90" s="239">
        <v>0</v>
      </c>
      <c r="AK90" s="239">
        <v>0</v>
      </c>
      <c r="AL90" s="239">
        <v>0</v>
      </c>
      <c r="AM90" s="239">
        <v>0</v>
      </c>
      <c r="AN90" s="239">
        <v>0</v>
      </c>
      <c r="AO90" s="239">
        <v>0</v>
      </c>
      <c r="AP90" s="239">
        <v>0</v>
      </c>
      <c r="AQ90" s="239">
        <v>737723</v>
      </c>
      <c r="AR90" s="239">
        <v>-1143002</v>
      </c>
      <c r="AS90" s="214" t="s">
        <v>262</v>
      </c>
      <c r="AT90" s="214" t="s">
        <v>779</v>
      </c>
      <c r="AU90" s="214" t="s">
        <v>777</v>
      </c>
      <c r="AV90" s="214" t="s">
        <v>1088</v>
      </c>
      <c r="AW90" s="214" t="s">
        <v>1088</v>
      </c>
      <c r="AX90" s="214" t="s">
        <v>1294</v>
      </c>
    </row>
    <row r="91" spans="2:50" x14ac:dyDescent="0.2">
      <c r="B91" s="610" t="s">
        <v>265</v>
      </c>
      <c r="C91" s="610" t="s">
        <v>264</v>
      </c>
      <c r="D91" s="239">
        <v>44454617</v>
      </c>
      <c r="E91" s="239">
        <v>0</v>
      </c>
      <c r="F91" s="239">
        <v>44454617</v>
      </c>
      <c r="G91" s="239">
        <v>0</v>
      </c>
      <c r="H91" s="239">
        <v>0</v>
      </c>
      <c r="I91" s="239">
        <v>0</v>
      </c>
      <c r="J91" s="239">
        <v>-224745</v>
      </c>
      <c r="K91" s="239">
        <v>0</v>
      </c>
      <c r="L91" s="239">
        <v>-224745</v>
      </c>
      <c r="M91" s="239">
        <v>0</v>
      </c>
      <c r="N91" s="239">
        <v>0</v>
      </c>
      <c r="O91" s="239">
        <v>0</v>
      </c>
      <c r="P91" s="239">
        <v>-291819</v>
      </c>
      <c r="Q91" s="239">
        <v>0</v>
      </c>
      <c r="R91" s="239">
        <v>-291819</v>
      </c>
      <c r="S91" s="239">
        <v>271519</v>
      </c>
      <c r="T91" s="239">
        <v>0</v>
      </c>
      <c r="U91" s="239">
        <v>271519</v>
      </c>
      <c r="V91" s="239">
        <v>-300361</v>
      </c>
      <c r="W91" s="239">
        <v>0</v>
      </c>
      <c r="X91" s="239">
        <v>-300361</v>
      </c>
      <c r="Y91" s="239">
        <v>44133956</v>
      </c>
      <c r="Z91" s="239">
        <v>0</v>
      </c>
      <c r="AA91" s="239">
        <v>44133956</v>
      </c>
      <c r="AB91" s="239">
        <v>0</v>
      </c>
      <c r="AC91" s="239">
        <v>0</v>
      </c>
      <c r="AD91" s="239">
        <v>0</v>
      </c>
      <c r="AE91" s="239">
        <v>0</v>
      </c>
      <c r="AF91" s="239">
        <v>0</v>
      </c>
      <c r="AG91" s="239">
        <v>0</v>
      </c>
      <c r="AH91" s="239">
        <v>0</v>
      </c>
      <c r="AI91" s="239">
        <v>0</v>
      </c>
      <c r="AJ91" s="239">
        <v>0</v>
      </c>
      <c r="AK91" s="239">
        <v>0</v>
      </c>
      <c r="AL91" s="239">
        <v>0</v>
      </c>
      <c r="AM91" s="239">
        <v>0</v>
      </c>
      <c r="AN91" s="239">
        <v>0</v>
      </c>
      <c r="AO91" s="239">
        <v>0</v>
      </c>
      <c r="AP91" s="239">
        <v>0</v>
      </c>
      <c r="AQ91" s="239">
        <v>1904959</v>
      </c>
      <c r="AR91" s="239">
        <v>-255456</v>
      </c>
      <c r="AS91" s="214" t="s">
        <v>264</v>
      </c>
      <c r="AT91" s="214" t="s">
        <v>803</v>
      </c>
      <c r="AU91" s="214" t="s">
        <v>763</v>
      </c>
      <c r="AV91" s="214" t="s">
        <v>1088</v>
      </c>
      <c r="AW91" s="214" t="s">
        <v>1088</v>
      </c>
      <c r="AX91" s="214" t="s">
        <v>1294</v>
      </c>
    </row>
    <row r="92" spans="2:50" x14ac:dyDescent="0.2">
      <c r="B92" s="610" t="s">
        <v>267</v>
      </c>
      <c r="C92" s="610" t="s">
        <v>266</v>
      </c>
      <c r="D92" s="239">
        <v>31871132</v>
      </c>
      <c r="E92" s="239">
        <v>0</v>
      </c>
      <c r="F92" s="239">
        <v>31871132</v>
      </c>
      <c r="G92" s="239">
        <v>-21223</v>
      </c>
      <c r="H92" s="239">
        <v>0</v>
      </c>
      <c r="I92" s="239">
        <v>-21223</v>
      </c>
      <c r="J92" s="239">
        <v>-304499</v>
      </c>
      <c r="K92" s="239">
        <v>0</v>
      </c>
      <c r="L92" s="239">
        <v>-304499</v>
      </c>
      <c r="M92" s="239">
        <v>0</v>
      </c>
      <c r="N92" s="239">
        <v>0</v>
      </c>
      <c r="O92" s="239">
        <v>0</v>
      </c>
      <c r="P92" s="239">
        <v>-490498</v>
      </c>
      <c r="Q92" s="239">
        <v>0</v>
      </c>
      <c r="R92" s="239">
        <v>-490498</v>
      </c>
      <c r="S92" s="239">
        <v>148605</v>
      </c>
      <c r="T92" s="239">
        <v>0</v>
      </c>
      <c r="U92" s="239">
        <v>148605</v>
      </c>
      <c r="V92" s="239">
        <v>-556759</v>
      </c>
      <c r="W92" s="239">
        <v>0</v>
      </c>
      <c r="X92" s="239">
        <v>-556759</v>
      </c>
      <c r="Y92" s="239">
        <v>30951257</v>
      </c>
      <c r="Z92" s="239">
        <v>0</v>
      </c>
      <c r="AA92" s="239">
        <v>30951257</v>
      </c>
      <c r="AB92" s="239">
        <v>0</v>
      </c>
      <c r="AC92" s="239">
        <v>0</v>
      </c>
      <c r="AD92" s="239">
        <v>0</v>
      </c>
      <c r="AE92" s="239">
        <v>208230</v>
      </c>
      <c r="AF92" s="239">
        <v>208230</v>
      </c>
      <c r="AG92" s="239">
        <v>0</v>
      </c>
      <c r="AH92" s="239">
        <v>0</v>
      </c>
      <c r="AI92" s="239">
        <v>0</v>
      </c>
      <c r="AJ92" s="239">
        <v>0</v>
      </c>
      <c r="AK92" s="239">
        <v>0</v>
      </c>
      <c r="AL92" s="239">
        <v>0</v>
      </c>
      <c r="AM92" s="239">
        <v>0</v>
      </c>
      <c r="AN92" s="239">
        <v>0</v>
      </c>
      <c r="AO92" s="239">
        <v>0</v>
      </c>
      <c r="AP92" s="239">
        <v>0</v>
      </c>
      <c r="AQ92" s="239">
        <v>3044678</v>
      </c>
      <c r="AR92" s="239">
        <v>-829680</v>
      </c>
      <c r="AS92" s="214" t="s">
        <v>266</v>
      </c>
      <c r="AT92" s="214" t="s">
        <v>798</v>
      </c>
      <c r="AU92" s="214" t="s">
        <v>763</v>
      </c>
      <c r="AV92" s="214" t="s">
        <v>1088</v>
      </c>
      <c r="AW92" s="214" t="s">
        <v>1088</v>
      </c>
      <c r="AX92" s="214" t="s">
        <v>1294</v>
      </c>
    </row>
    <row r="93" spans="2:50" x14ac:dyDescent="0.2">
      <c r="B93" s="610" t="s">
        <v>269</v>
      </c>
      <c r="C93" s="610" t="s">
        <v>268</v>
      </c>
      <c r="D93" s="239">
        <v>23197891</v>
      </c>
      <c r="E93" s="239">
        <v>0</v>
      </c>
      <c r="F93" s="239">
        <v>23197891</v>
      </c>
      <c r="G93" s="239">
        <v>0</v>
      </c>
      <c r="H93" s="239">
        <v>0</v>
      </c>
      <c r="I93" s="239">
        <v>0</v>
      </c>
      <c r="J93" s="239">
        <v>-91957</v>
      </c>
      <c r="K93" s="239">
        <v>0</v>
      </c>
      <c r="L93" s="239">
        <v>-91957</v>
      </c>
      <c r="M93" s="239">
        <v>0</v>
      </c>
      <c r="N93" s="239">
        <v>0</v>
      </c>
      <c r="O93" s="239">
        <v>0</v>
      </c>
      <c r="P93" s="239">
        <v>-141147</v>
      </c>
      <c r="Q93" s="239">
        <v>0</v>
      </c>
      <c r="R93" s="239">
        <v>-141147</v>
      </c>
      <c r="S93" s="239">
        <v>289622</v>
      </c>
      <c r="T93" s="239">
        <v>0</v>
      </c>
      <c r="U93" s="239">
        <v>289622</v>
      </c>
      <c r="V93" s="239">
        <v>-400754</v>
      </c>
      <c r="W93" s="239">
        <v>0</v>
      </c>
      <c r="X93" s="239">
        <v>-400754</v>
      </c>
      <c r="Y93" s="239">
        <v>22945612</v>
      </c>
      <c r="Z93" s="239">
        <v>0</v>
      </c>
      <c r="AA93" s="239">
        <v>22945612</v>
      </c>
      <c r="AB93" s="239">
        <v>0</v>
      </c>
      <c r="AC93" s="239">
        <v>0</v>
      </c>
      <c r="AD93" s="239">
        <v>0</v>
      </c>
      <c r="AE93" s="239">
        <v>0</v>
      </c>
      <c r="AF93" s="239">
        <v>483529</v>
      </c>
      <c r="AG93" s="239">
        <v>483529</v>
      </c>
      <c r="AH93" s="239">
        <v>0</v>
      </c>
      <c r="AI93" s="239">
        <v>0</v>
      </c>
      <c r="AJ93" s="239">
        <v>0</v>
      </c>
      <c r="AK93" s="239">
        <v>0</v>
      </c>
      <c r="AL93" s="239">
        <v>0</v>
      </c>
      <c r="AM93" s="239">
        <v>0</v>
      </c>
      <c r="AN93" s="239">
        <v>0</v>
      </c>
      <c r="AO93" s="239">
        <v>0</v>
      </c>
      <c r="AP93" s="239">
        <v>0</v>
      </c>
      <c r="AQ93" s="239">
        <v>243493</v>
      </c>
      <c r="AR93" s="239">
        <v>-279626</v>
      </c>
      <c r="AS93" s="214" t="s">
        <v>268</v>
      </c>
      <c r="AT93" s="214" t="s">
        <v>805</v>
      </c>
      <c r="AU93" s="214" t="s">
        <v>763</v>
      </c>
      <c r="AV93" s="214" t="s">
        <v>1088</v>
      </c>
      <c r="AW93" s="214" t="s">
        <v>1088</v>
      </c>
      <c r="AX93" s="214" t="s">
        <v>1294</v>
      </c>
    </row>
    <row r="94" spans="2:50" x14ac:dyDescent="0.2">
      <c r="B94" s="610" t="s">
        <v>271</v>
      </c>
      <c r="C94" s="610" t="s">
        <v>270</v>
      </c>
      <c r="D94" s="239">
        <v>99763367</v>
      </c>
      <c r="E94" s="239">
        <v>34333</v>
      </c>
      <c r="F94" s="239">
        <v>99797700</v>
      </c>
      <c r="G94" s="239">
        <v>-77305</v>
      </c>
      <c r="H94" s="239">
        <v>0</v>
      </c>
      <c r="I94" s="239">
        <v>-77305</v>
      </c>
      <c r="J94" s="239">
        <v>-777783</v>
      </c>
      <c r="K94" s="239">
        <v>0</v>
      </c>
      <c r="L94" s="239">
        <v>-777783</v>
      </c>
      <c r="M94" s="239">
        <v>0</v>
      </c>
      <c r="N94" s="239">
        <v>0</v>
      </c>
      <c r="O94" s="239">
        <v>0</v>
      </c>
      <c r="P94" s="239">
        <v>-549598</v>
      </c>
      <c r="Q94" s="239">
        <v>0</v>
      </c>
      <c r="R94" s="239">
        <v>-549598</v>
      </c>
      <c r="S94" s="239">
        <v>9153032</v>
      </c>
      <c r="T94" s="239">
        <v>0</v>
      </c>
      <c r="U94" s="239">
        <v>9153032</v>
      </c>
      <c r="V94" s="239">
        <v>-3053900</v>
      </c>
      <c r="W94" s="239">
        <v>0</v>
      </c>
      <c r="X94" s="239">
        <v>-3053900</v>
      </c>
      <c r="Y94" s="239">
        <v>105235596</v>
      </c>
      <c r="Z94" s="239">
        <v>34333</v>
      </c>
      <c r="AA94" s="239">
        <v>105269929</v>
      </c>
      <c r="AB94" s="239">
        <v>34333</v>
      </c>
      <c r="AC94" s="239">
        <v>0</v>
      </c>
      <c r="AD94" s="239">
        <v>34333</v>
      </c>
      <c r="AE94" s="239">
        <v>3130966</v>
      </c>
      <c r="AF94" s="239">
        <v>3130966</v>
      </c>
      <c r="AG94" s="239">
        <v>0</v>
      </c>
      <c r="AH94" s="239">
        <v>0</v>
      </c>
      <c r="AI94" s="239">
        <v>0</v>
      </c>
      <c r="AJ94" s="239">
        <v>0</v>
      </c>
      <c r="AK94" s="239">
        <v>0</v>
      </c>
      <c r="AL94" s="239">
        <v>0</v>
      </c>
      <c r="AM94" s="239">
        <v>97702</v>
      </c>
      <c r="AN94" s="239">
        <v>0</v>
      </c>
      <c r="AO94" s="239">
        <v>0</v>
      </c>
      <c r="AP94" s="239">
        <v>0</v>
      </c>
      <c r="AQ94" s="239">
        <v>3715344</v>
      </c>
      <c r="AR94" s="239">
        <v>-2538721</v>
      </c>
      <c r="AS94" s="214" t="s">
        <v>912</v>
      </c>
      <c r="AT94" s="214" t="s">
        <v>748</v>
      </c>
      <c r="AU94" s="214" t="s">
        <v>890</v>
      </c>
      <c r="AV94" s="214" t="s">
        <v>1098</v>
      </c>
      <c r="AW94" s="214" t="s">
        <v>1099</v>
      </c>
      <c r="AX94" s="214" t="s">
        <v>748</v>
      </c>
    </row>
    <row r="95" spans="2:50" x14ac:dyDescent="0.2">
      <c r="B95" s="610" t="s">
        <v>273</v>
      </c>
      <c r="C95" s="610" t="s">
        <v>272</v>
      </c>
      <c r="D95" s="239">
        <v>55791499</v>
      </c>
      <c r="E95" s="239">
        <v>0</v>
      </c>
      <c r="F95" s="239">
        <v>55791499</v>
      </c>
      <c r="G95" s="239">
        <v>-3445</v>
      </c>
      <c r="H95" s="239">
        <v>0</v>
      </c>
      <c r="I95" s="239">
        <v>-3445</v>
      </c>
      <c r="J95" s="239">
        <v>-673406</v>
      </c>
      <c r="K95" s="239">
        <v>0</v>
      </c>
      <c r="L95" s="239">
        <v>-673406</v>
      </c>
      <c r="M95" s="239">
        <v>0</v>
      </c>
      <c r="N95" s="239">
        <v>0</v>
      </c>
      <c r="O95" s="239">
        <v>0</v>
      </c>
      <c r="P95" s="239">
        <v>-882739</v>
      </c>
      <c r="Q95" s="239">
        <v>0</v>
      </c>
      <c r="R95" s="239">
        <v>-882739</v>
      </c>
      <c r="S95" s="239">
        <v>934665</v>
      </c>
      <c r="T95" s="239">
        <v>0</v>
      </c>
      <c r="U95" s="239">
        <v>934665</v>
      </c>
      <c r="V95" s="239">
        <v>-490483</v>
      </c>
      <c r="W95" s="239">
        <v>0</v>
      </c>
      <c r="X95" s="239">
        <v>-490483</v>
      </c>
      <c r="Y95" s="239">
        <v>55349497</v>
      </c>
      <c r="Z95" s="239">
        <v>0</v>
      </c>
      <c r="AA95" s="239">
        <v>55349497</v>
      </c>
      <c r="AB95" s="239">
        <v>0</v>
      </c>
      <c r="AC95" s="239">
        <v>0</v>
      </c>
      <c r="AD95" s="239">
        <v>0</v>
      </c>
      <c r="AE95" s="239">
        <v>0</v>
      </c>
      <c r="AF95" s="239">
        <v>0</v>
      </c>
      <c r="AG95" s="239">
        <v>0</v>
      </c>
      <c r="AH95" s="239">
        <v>0</v>
      </c>
      <c r="AI95" s="239">
        <v>0</v>
      </c>
      <c r="AJ95" s="239">
        <v>0</v>
      </c>
      <c r="AK95" s="239">
        <v>0</v>
      </c>
      <c r="AL95" s="239">
        <v>0</v>
      </c>
      <c r="AM95" s="239">
        <v>0</v>
      </c>
      <c r="AN95" s="239">
        <v>0</v>
      </c>
      <c r="AO95" s="239">
        <v>0</v>
      </c>
      <c r="AP95" s="239">
        <v>0</v>
      </c>
      <c r="AQ95" s="239">
        <v>1977340</v>
      </c>
      <c r="AR95" s="239">
        <v>-911210</v>
      </c>
      <c r="AS95" s="214" t="s">
        <v>272</v>
      </c>
      <c r="AT95" s="214" t="s">
        <v>838</v>
      </c>
      <c r="AU95" s="214" t="s">
        <v>836</v>
      </c>
      <c r="AV95" s="214" t="s">
        <v>1088</v>
      </c>
      <c r="AW95" s="214" t="s">
        <v>1088</v>
      </c>
      <c r="AX95" s="214" t="s">
        <v>1294</v>
      </c>
    </row>
    <row r="96" spans="2:50" x14ac:dyDescent="0.2">
      <c r="B96" s="610" t="s">
        <v>275</v>
      </c>
      <c r="C96" s="610" t="s">
        <v>274</v>
      </c>
      <c r="D96" s="239">
        <v>34086231</v>
      </c>
      <c r="E96" s="239">
        <v>0</v>
      </c>
      <c r="F96" s="239">
        <v>34086231</v>
      </c>
      <c r="G96" s="239">
        <v>0</v>
      </c>
      <c r="H96" s="239">
        <v>0</v>
      </c>
      <c r="I96" s="239">
        <v>0</v>
      </c>
      <c r="J96" s="239">
        <v>-359900</v>
      </c>
      <c r="K96" s="239">
        <v>0</v>
      </c>
      <c r="L96" s="239">
        <v>-359900</v>
      </c>
      <c r="M96" s="239">
        <v>0</v>
      </c>
      <c r="N96" s="239">
        <v>0</v>
      </c>
      <c r="O96" s="239">
        <v>0</v>
      </c>
      <c r="P96" s="239">
        <v>-226949</v>
      </c>
      <c r="Q96" s="239">
        <v>0</v>
      </c>
      <c r="R96" s="239">
        <v>-226949</v>
      </c>
      <c r="S96" s="239">
        <v>549001</v>
      </c>
      <c r="T96" s="239">
        <v>0</v>
      </c>
      <c r="U96" s="239">
        <v>549001</v>
      </c>
      <c r="V96" s="239">
        <v>-954341</v>
      </c>
      <c r="W96" s="239">
        <v>0</v>
      </c>
      <c r="X96" s="239">
        <v>-954341</v>
      </c>
      <c r="Y96" s="239">
        <v>33453942</v>
      </c>
      <c r="Z96" s="239">
        <v>0</v>
      </c>
      <c r="AA96" s="239">
        <v>33453942</v>
      </c>
      <c r="AB96" s="239">
        <v>0</v>
      </c>
      <c r="AC96" s="239">
        <v>0</v>
      </c>
      <c r="AD96" s="239">
        <v>0</v>
      </c>
      <c r="AE96" s="239">
        <v>0</v>
      </c>
      <c r="AF96" s="239">
        <v>0</v>
      </c>
      <c r="AG96" s="239">
        <v>0</v>
      </c>
      <c r="AH96" s="239">
        <v>0</v>
      </c>
      <c r="AI96" s="239">
        <v>0</v>
      </c>
      <c r="AJ96" s="239">
        <v>0</v>
      </c>
      <c r="AK96" s="239">
        <v>0</v>
      </c>
      <c r="AL96" s="239">
        <v>0</v>
      </c>
      <c r="AM96" s="239">
        <v>0</v>
      </c>
      <c r="AN96" s="239">
        <v>0</v>
      </c>
      <c r="AO96" s="239">
        <v>0</v>
      </c>
      <c r="AP96" s="239">
        <v>0</v>
      </c>
      <c r="AQ96" s="239">
        <v>2166677</v>
      </c>
      <c r="AR96" s="239">
        <v>-1369935</v>
      </c>
      <c r="AS96" s="214" t="s">
        <v>274</v>
      </c>
      <c r="AT96" s="214" t="s">
        <v>809</v>
      </c>
      <c r="AU96" s="214" t="s">
        <v>807</v>
      </c>
      <c r="AV96" s="214" t="s">
        <v>1088</v>
      </c>
      <c r="AW96" s="214" t="s">
        <v>1088</v>
      </c>
      <c r="AX96" s="214" t="s">
        <v>1294</v>
      </c>
    </row>
    <row r="97" spans="1:50" x14ac:dyDescent="0.2">
      <c r="A97" s="215" t="s">
        <v>1321</v>
      </c>
      <c r="B97" s="610" t="s">
        <v>277</v>
      </c>
      <c r="C97" s="610" t="s">
        <v>276</v>
      </c>
      <c r="D97" s="239">
        <v>57754686</v>
      </c>
      <c r="E97" s="239">
        <v>0</v>
      </c>
      <c r="F97" s="239">
        <v>57754686</v>
      </c>
      <c r="G97" s="239">
        <v>-23654</v>
      </c>
      <c r="H97" s="239">
        <v>0</v>
      </c>
      <c r="I97" s="239">
        <v>-23654</v>
      </c>
      <c r="J97" s="239">
        <v>-109758</v>
      </c>
      <c r="K97" s="239">
        <v>0</v>
      </c>
      <c r="L97" s="239">
        <v>-109758</v>
      </c>
      <c r="M97" s="239">
        <v>0</v>
      </c>
      <c r="N97" s="239">
        <v>0</v>
      </c>
      <c r="O97" s="239">
        <v>0</v>
      </c>
      <c r="P97" s="239">
        <v>-298804</v>
      </c>
      <c r="Q97" s="239">
        <v>0</v>
      </c>
      <c r="R97" s="239">
        <v>-298804</v>
      </c>
      <c r="S97" s="239">
        <v>579430</v>
      </c>
      <c r="T97" s="239">
        <v>0</v>
      </c>
      <c r="U97" s="239">
        <v>579430</v>
      </c>
      <c r="V97" s="239">
        <v>-650481</v>
      </c>
      <c r="W97" s="239">
        <v>0</v>
      </c>
      <c r="X97" s="239">
        <v>-650481</v>
      </c>
      <c r="Y97" s="239">
        <v>57361177</v>
      </c>
      <c r="Z97" s="239">
        <v>0</v>
      </c>
      <c r="AA97" s="239">
        <v>57361177</v>
      </c>
      <c r="AB97" s="239">
        <v>0</v>
      </c>
      <c r="AC97" s="239">
        <v>0</v>
      </c>
      <c r="AD97" s="239">
        <v>0</v>
      </c>
      <c r="AE97" s="239">
        <v>0</v>
      </c>
      <c r="AF97" s="239">
        <v>0</v>
      </c>
      <c r="AG97" s="239">
        <v>0</v>
      </c>
      <c r="AH97" s="239">
        <v>0</v>
      </c>
      <c r="AI97" s="239">
        <v>0</v>
      </c>
      <c r="AJ97" s="239">
        <v>0</v>
      </c>
      <c r="AK97" s="239">
        <v>0</v>
      </c>
      <c r="AL97" s="239">
        <v>0</v>
      </c>
      <c r="AM97" s="239">
        <v>0</v>
      </c>
      <c r="AN97" s="239">
        <v>0</v>
      </c>
      <c r="AO97" s="239">
        <v>0</v>
      </c>
      <c r="AP97" s="239">
        <v>0</v>
      </c>
      <c r="AQ97" s="239">
        <v>1370261</v>
      </c>
      <c r="AR97" s="239">
        <v>-455905</v>
      </c>
      <c r="AS97" s="214" t="s">
        <v>276</v>
      </c>
      <c r="AT97" s="214" t="s">
        <v>779</v>
      </c>
      <c r="AU97" s="214" t="s">
        <v>777</v>
      </c>
      <c r="AV97" s="214" t="s">
        <v>1088</v>
      </c>
      <c r="AW97" s="214" t="s">
        <v>1088</v>
      </c>
      <c r="AX97" s="214" t="s">
        <v>1294</v>
      </c>
    </row>
    <row r="98" spans="1:50" x14ac:dyDescent="0.2">
      <c r="B98" s="610" t="s">
        <v>279</v>
      </c>
      <c r="C98" s="610" t="s">
        <v>278</v>
      </c>
      <c r="D98" s="239">
        <v>20389232</v>
      </c>
      <c r="E98" s="239">
        <v>0</v>
      </c>
      <c r="F98" s="239">
        <v>20389232</v>
      </c>
      <c r="G98" s="239">
        <v>0</v>
      </c>
      <c r="H98" s="239">
        <v>0</v>
      </c>
      <c r="I98" s="239">
        <v>0</v>
      </c>
      <c r="J98" s="239">
        <v>-106145</v>
      </c>
      <c r="K98" s="239">
        <v>0</v>
      </c>
      <c r="L98" s="239">
        <v>-106145</v>
      </c>
      <c r="M98" s="239">
        <v>0</v>
      </c>
      <c r="N98" s="239">
        <v>0</v>
      </c>
      <c r="O98" s="239">
        <v>0</v>
      </c>
      <c r="P98" s="239">
        <v>-103960</v>
      </c>
      <c r="Q98" s="239">
        <v>0</v>
      </c>
      <c r="R98" s="239">
        <v>-103960</v>
      </c>
      <c r="S98" s="239">
        <v>693428</v>
      </c>
      <c r="T98" s="239">
        <v>0</v>
      </c>
      <c r="U98" s="239">
        <v>693428</v>
      </c>
      <c r="V98" s="239">
        <v>-1578641</v>
      </c>
      <c r="W98" s="239">
        <v>0</v>
      </c>
      <c r="X98" s="239">
        <v>-1578641</v>
      </c>
      <c r="Y98" s="239">
        <v>19400059</v>
      </c>
      <c r="Z98" s="239">
        <v>0</v>
      </c>
      <c r="AA98" s="239">
        <v>19400059</v>
      </c>
      <c r="AB98" s="239">
        <v>0</v>
      </c>
      <c r="AC98" s="239">
        <v>0</v>
      </c>
      <c r="AD98" s="239">
        <v>0</v>
      </c>
      <c r="AE98" s="239">
        <v>0</v>
      </c>
      <c r="AF98" s="239">
        <v>0</v>
      </c>
      <c r="AG98" s="239">
        <v>0</v>
      </c>
      <c r="AH98" s="239">
        <v>0</v>
      </c>
      <c r="AI98" s="239">
        <v>0</v>
      </c>
      <c r="AJ98" s="239">
        <v>0</v>
      </c>
      <c r="AK98" s="239">
        <v>0</v>
      </c>
      <c r="AL98" s="239">
        <v>0</v>
      </c>
      <c r="AM98" s="239">
        <v>0</v>
      </c>
      <c r="AN98" s="239">
        <v>0</v>
      </c>
      <c r="AO98" s="239">
        <v>0</v>
      </c>
      <c r="AP98" s="239">
        <v>0</v>
      </c>
      <c r="AQ98" s="239">
        <v>609412</v>
      </c>
      <c r="AR98" s="239">
        <v>-79858</v>
      </c>
      <c r="AS98" s="214" t="s">
        <v>278</v>
      </c>
      <c r="AT98" s="214" t="s">
        <v>851</v>
      </c>
      <c r="AU98" s="214" t="s">
        <v>763</v>
      </c>
      <c r="AV98" s="214" t="s">
        <v>1088</v>
      </c>
      <c r="AW98" s="214" t="s">
        <v>1088</v>
      </c>
      <c r="AX98" s="214" t="s">
        <v>1294</v>
      </c>
    </row>
    <row r="99" spans="1:50" x14ac:dyDescent="0.2">
      <c r="B99" s="610" t="s">
        <v>281</v>
      </c>
      <c r="C99" s="610" t="s">
        <v>280</v>
      </c>
      <c r="D99" s="239">
        <v>55963209</v>
      </c>
      <c r="E99" s="239">
        <v>0</v>
      </c>
      <c r="F99" s="239">
        <v>55963209</v>
      </c>
      <c r="G99" s="239">
        <v>0</v>
      </c>
      <c r="H99" s="239">
        <v>0</v>
      </c>
      <c r="I99" s="239">
        <v>0</v>
      </c>
      <c r="J99" s="239">
        <v>-208861</v>
      </c>
      <c r="K99" s="239">
        <v>0</v>
      </c>
      <c r="L99" s="239">
        <v>-208861</v>
      </c>
      <c r="M99" s="239">
        <v>0</v>
      </c>
      <c r="N99" s="239">
        <v>0</v>
      </c>
      <c r="O99" s="239">
        <v>0</v>
      </c>
      <c r="P99" s="239">
        <v>-61861</v>
      </c>
      <c r="Q99" s="239">
        <v>0</v>
      </c>
      <c r="R99" s="239">
        <v>-61861</v>
      </c>
      <c r="S99" s="239">
        <v>320039</v>
      </c>
      <c r="T99" s="239">
        <v>0</v>
      </c>
      <c r="U99" s="239">
        <v>320039</v>
      </c>
      <c r="V99" s="239">
        <v>5027805</v>
      </c>
      <c r="W99" s="239">
        <v>0</v>
      </c>
      <c r="X99" s="239">
        <v>5027805</v>
      </c>
      <c r="Y99" s="239">
        <v>61249192</v>
      </c>
      <c r="Z99" s="239">
        <v>0</v>
      </c>
      <c r="AA99" s="239">
        <v>61249192</v>
      </c>
      <c r="AB99" s="239">
        <v>0</v>
      </c>
      <c r="AC99" s="239">
        <v>0</v>
      </c>
      <c r="AD99" s="239">
        <v>0</v>
      </c>
      <c r="AE99" s="239">
        <v>0</v>
      </c>
      <c r="AF99" s="239">
        <v>0</v>
      </c>
      <c r="AG99" s="239">
        <v>0</v>
      </c>
      <c r="AH99" s="239">
        <v>0</v>
      </c>
      <c r="AI99" s="239">
        <v>0</v>
      </c>
      <c r="AJ99" s="239">
        <v>0</v>
      </c>
      <c r="AK99" s="239">
        <v>0</v>
      </c>
      <c r="AL99" s="239">
        <v>0</v>
      </c>
      <c r="AM99" s="239">
        <v>0</v>
      </c>
      <c r="AN99" s="239">
        <v>0</v>
      </c>
      <c r="AO99" s="239">
        <v>0</v>
      </c>
      <c r="AP99" s="239">
        <v>0</v>
      </c>
      <c r="AQ99" s="239">
        <v>1166191</v>
      </c>
      <c r="AR99" s="239">
        <v>-806211</v>
      </c>
      <c r="AS99" s="214" t="s">
        <v>280</v>
      </c>
      <c r="AT99" s="214" t="s">
        <v>772</v>
      </c>
      <c r="AU99" s="214" t="s">
        <v>763</v>
      </c>
      <c r="AV99" s="214" t="s">
        <v>1088</v>
      </c>
      <c r="AW99" s="214" t="s">
        <v>1088</v>
      </c>
      <c r="AX99" s="214" t="s">
        <v>1294</v>
      </c>
    </row>
    <row r="100" spans="1:50" x14ac:dyDescent="0.2">
      <c r="B100" s="610" t="s">
        <v>283</v>
      </c>
      <c r="C100" s="610" t="s">
        <v>282</v>
      </c>
      <c r="D100" s="239">
        <v>107091811</v>
      </c>
      <c r="E100" s="239">
        <v>0</v>
      </c>
      <c r="F100" s="239">
        <v>107091811</v>
      </c>
      <c r="G100" s="239">
        <v>-45238</v>
      </c>
      <c r="H100" s="239">
        <v>0</v>
      </c>
      <c r="I100" s="239">
        <v>-45238</v>
      </c>
      <c r="J100" s="239">
        <v>-1004749</v>
      </c>
      <c r="K100" s="239">
        <v>0</v>
      </c>
      <c r="L100" s="239">
        <v>-1004749</v>
      </c>
      <c r="M100" s="239">
        <v>0</v>
      </c>
      <c r="N100" s="239">
        <v>0</v>
      </c>
      <c r="O100" s="239">
        <v>0</v>
      </c>
      <c r="P100" s="239">
        <v>-1404104</v>
      </c>
      <c r="Q100" s="239">
        <v>0</v>
      </c>
      <c r="R100" s="239">
        <v>-1404104</v>
      </c>
      <c r="S100" s="239">
        <v>0</v>
      </c>
      <c r="T100" s="239">
        <v>0</v>
      </c>
      <c r="U100" s="239">
        <v>0</v>
      </c>
      <c r="V100" s="239">
        <v>-5256090</v>
      </c>
      <c r="W100" s="239">
        <v>0</v>
      </c>
      <c r="X100" s="239">
        <v>-5256090</v>
      </c>
      <c r="Y100" s="239">
        <v>100386379</v>
      </c>
      <c r="Z100" s="239">
        <v>0</v>
      </c>
      <c r="AA100" s="239">
        <v>100386379</v>
      </c>
      <c r="AB100" s="239">
        <v>0</v>
      </c>
      <c r="AC100" s="239">
        <v>0</v>
      </c>
      <c r="AD100" s="239">
        <v>0</v>
      </c>
      <c r="AE100" s="239">
        <v>0</v>
      </c>
      <c r="AF100" s="239">
        <v>0</v>
      </c>
      <c r="AG100" s="239">
        <v>0</v>
      </c>
      <c r="AH100" s="239">
        <v>0</v>
      </c>
      <c r="AI100" s="239">
        <v>0</v>
      </c>
      <c r="AJ100" s="239">
        <v>0</v>
      </c>
      <c r="AK100" s="239">
        <v>0</v>
      </c>
      <c r="AL100" s="239">
        <v>0</v>
      </c>
      <c r="AM100" s="239">
        <v>0</v>
      </c>
      <c r="AN100" s="239">
        <v>0</v>
      </c>
      <c r="AO100" s="239">
        <v>0</v>
      </c>
      <c r="AP100" s="239">
        <v>0</v>
      </c>
      <c r="AQ100" s="239">
        <v>7940225</v>
      </c>
      <c r="AR100" s="239">
        <v>-4690096</v>
      </c>
      <c r="AS100" s="214" t="s">
        <v>282</v>
      </c>
      <c r="AT100" s="214" t="s">
        <v>790</v>
      </c>
      <c r="AU100" s="214" t="s">
        <v>749</v>
      </c>
      <c r="AV100" s="214" t="s">
        <v>1088</v>
      </c>
      <c r="AW100" s="214" t="s">
        <v>1088</v>
      </c>
      <c r="AX100" s="214" t="s">
        <v>1295</v>
      </c>
    </row>
    <row r="101" spans="1:50" x14ac:dyDescent="0.2">
      <c r="B101" s="610" t="s">
        <v>285</v>
      </c>
      <c r="C101" s="610" t="s">
        <v>284</v>
      </c>
      <c r="D101" s="239">
        <v>34640378</v>
      </c>
      <c r="E101" s="239">
        <v>0</v>
      </c>
      <c r="F101" s="239">
        <v>34640378</v>
      </c>
      <c r="G101" s="239">
        <v>-549</v>
      </c>
      <c r="H101" s="239">
        <v>0</v>
      </c>
      <c r="I101" s="239">
        <v>-549</v>
      </c>
      <c r="J101" s="239">
        <v>-319724</v>
      </c>
      <c r="K101" s="239">
        <v>0</v>
      </c>
      <c r="L101" s="239">
        <v>-319724</v>
      </c>
      <c r="M101" s="239">
        <v>0</v>
      </c>
      <c r="N101" s="239">
        <v>0</v>
      </c>
      <c r="O101" s="239">
        <v>0</v>
      </c>
      <c r="P101" s="239">
        <v>-320310</v>
      </c>
      <c r="Q101" s="239">
        <v>0</v>
      </c>
      <c r="R101" s="239">
        <v>-320310</v>
      </c>
      <c r="S101" s="239">
        <v>825207</v>
      </c>
      <c r="T101" s="239">
        <v>0</v>
      </c>
      <c r="U101" s="239">
        <v>825207</v>
      </c>
      <c r="V101" s="239">
        <v>-1137870</v>
      </c>
      <c r="W101" s="239">
        <v>0</v>
      </c>
      <c r="X101" s="239">
        <v>-1137870</v>
      </c>
      <c r="Y101" s="239">
        <v>34006856</v>
      </c>
      <c r="Z101" s="239">
        <v>0</v>
      </c>
      <c r="AA101" s="239">
        <v>34006856</v>
      </c>
      <c r="AB101" s="239">
        <v>0</v>
      </c>
      <c r="AC101" s="239">
        <v>0</v>
      </c>
      <c r="AD101" s="239">
        <v>0</v>
      </c>
      <c r="AE101" s="239">
        <v>0</v>
      </c>
      <c r="AF101" s="239">
        <v>0</v>
      </c>
      <c r="AG101" s="239">
        <v>0</v>
      </c>
      <c r="AH101" s="239">
        <v>0</v>
      </c>
      <c r="AI101" s="239">
        <v>0</v>
      </c>
      <c r="AJ101" s="239">
        <v>0</v>
      </c>
      <c r="AK101" s="239">
        <v>0</v>
      </c>
      <c r="AL101" s="239">
        <v>0</v>
      </c>
      <c r="AM101" s="239">
        <v>0</v>
      </c>
      <c r="AN101" s="239">
        <v>0</v>
      </c>
      <c r="AO101" s="239">
        <v>0</v>
      </c>
      <c r="AP101" s="239">
        <v>0</v>
      </c>
      <c r="AQ101" s="239">
        <v>1231539</v>
      </c>
      <c r="AR101" s="239">
        <v>-961762</v>
      </c>
      <c r="AS101" s="214" t="s">
        <v>284</v>
      </c>
      <c r="AT101" s="214" t="s">
        <v>822</v>
      </c>
      <c r="AU101" s="214" t="s">
        <v>820</v>
      </c>
      <c r="AV101" s="214" t="s">
        <v>1088</v>
      </c>
      <c r="AW101" s="214" t="s">
        <v>1088</v>
      </c>
      <c r="AX101" s="214" t="s">
        <v>1294</v>
      </c>
    </row>
    <row r="102" spans="1:50" x14ac:dyDescent="0.2">
      <c r="B102" s="610" t="s">
        <v>287</v>
      </c>
      <c r="C102" s="610" t="s">
        <v>286</v>
      </c>
      <c r="D102" s="239">
        <v>23703124</v>
      </c>
      <c r="E102" s="239">
        <v>0</v>
      </c>
      <c r="F102" s="239">
        <v>23703124</v>
      </c>
      <c r="G102" s="239">
        <v>0</v>
      </c>
      <c r="H102" s="239">
        <v>0</v>
      </c>
      <c r="I102" s="239">
        <v>0</v>
      </c>
      <c r="J102" s="239">
        <v>-27647</v>
      </c>
      <c r="K102" s="239">
        <v>0</v>
      </c>
      <c r="L102" s="239">
        <v>-27647</v>
      </c>
      <c r="M102" s="239">
        <v>0</v>
      </c>
      <c r="N102" s="239">
        <v>0</v>
      </c>
      <c r="O102" s="239">
        <v>0</v>
      </c>
      <c r="P102" s="239">
        <v>-56763</v>
      </c>
      <c r="Q102" s="239">
        <v>0</v>
      </c>
      <c r="R102" s="239">
        <v>-56763</v>
      </c>
      <c r="S102" s="239">
        <v>225364</v>
      </c>
      <c r="T102" s="239">
        <v>0</v>
      </c>
      <c r="U102" s="239">
        <v>225364</v>
      </c>
      <c r="V102" s="239">
        <v>-851680</v>
      </c>
      <c r="W102" s="239">
        <v>0</v>
      </c>
      <c r="X102" s="239">
        <v>-851680</v>
      </c>
      <c r="Y102" s="239">
        <v>23020045</v>
      </c>
      <c r="Z102" s="239">
        <v>0</v>
      </c>
      <c r="AA102" s="239">
        <v>23020045</v>
      </c>
      <c r="AB102" s="239">
        <v>0</v>
      </c>
      <c r="AC102" s="239">
        <v>0</v>
      </c>
      <c r="AD102" s="239">
        <v>0</v>
      </c>
      <c r="AE102" s="239">
        <v>0</v>
      </c>
      <c r="AF102" s="239">
        <v>0</v>
      </c>
      <c r="AG102" s="239">
        <v>0</v>
      </c>
      <c r="AH102" s="239">
        <v>0</v>
      </c>
      <c r="AI102" s="239">
        <v>0</v>
      </c>
      <c r="AJ102" s="239">
        <v>0</v>
      </c>
      <c r="AK102" s="239">
        <v>0</v>
      </c>
      <c r="AL102" s="239">
        <v>0</v>
      </c>
      <c r="AM102" s="239">
        <v>0</v>
      </c>
      <c r="AN102" s="239">
        <v>0</v>
      </c>
      <c r="AO102" s="239">
        <v>0</v>
      </c>
      <c r="AP102" s="239">
        <v>0</v>
      </c>
      <c r="AQ102" s="239">
        <v>206418</v>
      </c>
      <c r="AR102" s="239">
        <v>-168195</v>
      </c>
      <c r="AS102" s="214" t="s">
        <v>286</v>
      </c>
      <c r="AT102" s="214" t="s">
        <v>772</v>
      </c>
      <c r="AU102" s="214" t="s">
        <v>763</v>
      </c>
      <c r="AV102" s="214" t="s">
        <v>1088</v>
      </c>
      <c r="AW102" s="214" t="s">
        <v>1088</v>
      </c>
      <c r="AX102" s="214" t="s">
        <v>1294</v>
      </c>
    </row>
    <row r="103" spans="1:50" x14ac:dyDescent="0.2">
      <c r="B103" s="610" t="s">
        <v>289</v>
      </c>
      <c r="C103" s="610" t="s">
        <v>288</v>
      </c>
      <c r="D103" s="239">
        <v>25531889</v>
      </c>
      <c r="E103" s="239">
        <v>0</v>
      </c>
      <c r="F103" s="239">
        <v>25531889</v>
      </c>
      <c r="G103" s="239">
        <v>0</v>
      </c>
      <c r="H103" s="239">
        <v>0</v>
      </c>
      <c r="I103" s="239">
        <v>0</v>
      </c>
      <c r="J103" s="239">
        <v>-139083</v>
      </c>
      <c r="K103" s="239">
        <v>0</v>
      </c>
      <c r="L103" s="239">
        <v>-139083</v>
      </c>
      <c r="M103" s="239">
        <v>0</v>
      </c>
      <c r="N103" s="239">
        <v>0</v>
      </c>
      <c r="O103" s="239">
        <v>0</v>
      </c>
      <c r="P103" s="239">
        <v>-397083</v>
      </c>
      <c r="Q103" s="239">
        <v>0</v>
      </c>
      <c r="R103" s="239">
        <v>-397083</v>
      </c>
      <c r="S103" s="239">
        <v>354819</v>
      </c>
      <c r="T103" s="239">
        <v>0</v>
      </c>
      <c r="U103" s="239">
        <v>354819</v>
      </c>
      <c r="V103" s="239">
        <v>-494819</v>
      </c>
      <c r="W103" s="239">
        <v>0</v>
      </c>
      <c r="X103" s="239">
        <v>-494819</v>
      </c>
      <c r="Y103" s="239">
        <v>24994806</v>
      </c>
      <c r="Z103" s="239">
        <v>0</v>
      </c>
      <c r="AA103" s="239">
        <v>24994806</v>
      </c>
      <c r="AB103" s="239">
        <v>0</v>
      </c>
      <c r="AC103" s="239">
        <v>0</v>
      </c>
      <c r="AD103" s="239">
        <v>0</v>
      </c>
      <c r="AE103" s="239">
        <v>0</v>
      </c>
      <c r="AF103" s="239">
        <v>0</v>
      </c>
      <c r="AG103" s="239">
        <v>0</v>
      </c>
      <c r="AH103" s="239">
        <v>0</v>
      </c>
      <c r="AI103" s="239">
        <v>0</v>
      </c>
      <c r="AJ103" s="239">
        <v>0</v>
      </c>
      <c r="AK103" s="239">
        <v>0</v>
      </c>
      <c r="AL103" s="239">
        <v>0</v>
      </c>
      <c r="AM103" s="239">
        <v>0</v>
      </c>
      <c r="AN103" s="239">
        <v>0</v>
      </c>
      <c r="AO103" s="239">
        <v>0</v>
      </c>
      <c r="AP103" s="239">
        <v>0</v>
      </c>
      <c r="AQ103" s="239">
        <v>1299899</v>
      </c>
      <c r="AR103" s="239">
        <v>-450650</v>
      </c>
      <c r="AS103" s="214" t="s">
        <v>288</v>
      </c>
      <c r="AT103" s="214" t="s">
        <v>858</v>
      </c>
      <c r="AU103" s="214" t="s">
        <v>856</v>
      </c>
      <c r="AV103" s="214" t="s">
        <v>1088</v>
      </c>
      <c r="AW103" s="214" t="s">
        <v>1088</v>
      </c>
      <c r="AX103" s="214" t="s">
        <v>1294</v>
      </c>
    </row>
    <row r="104" spans="1:50" x14ac:dyDescent="0.2">
      <c r="B104" s="610" t="s">
        <v>291</v>
      </c>
      <c r="C104" s="610" t="s">
        <v>290</v>
      </c>
      <c r="D104" s="239">
        <v>77771294</v>
      </c>
      <c r="E104" s="239">
        <v>0</v>
      </c>
      <c r="F104" s="239">
        <v>77771294</v>
      </c>
      <c r="G104" s="239">
        <v>0</v>
      </c>
      <c r="H104" s="239">
        <v>0</v>
      </c>
      <c r="I104" s="239">
        <v>0</v>
      </c>
      <c r="J104" s="239">
        <v>0</v>
      </c>
      <c r="K104" s="239">
        <v>0</v>
      </c>
      <c r="L104" s="239">
        <v>0</v>
      </c>
      <c r="M104" s="239">
        <v>-533862</v>
      </c>
      <c r="N104" s="239">
        <v>0</v>
      </c>
      <c r="O104" s="239">
        <v>-533862</v>
      </c>
      <c r="P104" s="239">
        <v>40000</v>
      </c>
      <c r="Q104" s="239">
        <v>0</v>
      </c>
      <c r="R104" s="239">
        <v>40000</v>
      </c>
      <c r="S104" s="239">
        <v>1540232</v>
      </c>
      <c r="T104" s="239">
        <v>0</v>
      </c>
      <c r="U104" s="239">
        <v>1540232</v>
      </c>
      <c r="V104" s="239">
        <v>-279101</v>
      </c>
      <c r="W104" s="239">
        <v>0</v>
      </c>
      <c r="X104" s="239">
        <v>-279101</v>
      </c>
      <c r="Y104" s="239">
        <v>78538563</v>
      </c>
      <c r="Z104" s="239">
        <v>0</v>
      </c>
      <c r="AA104" s="239">
        <v>78538563</v>
      </c>
      <c r="AB104" s="239">
        <v>0</v>
      </c>
      <c r="AC104" s="239">
        <v>0</v>
      </c>
      <c r="AD104" s="239">
        <v>0</v>
      </c>
      <c r="AE104" s="239">
        <v>0</v>
      </c>
      <c r="AF104" s="239">
        <v>0</v>
      </c>
      <c r="AG104" s="239">
        <v>0</v>
      </c>
      <c r="AH104" s="239">
        <v>0</v>
      </c>
      <c r="AI104" s="239">
        <v>0</v>
      </c>
      <c r="AJ104" s="239">
        <v>0</v>
      </c>
      <c r="AK104" s="239">
        <v>0</v>
      </c>
      <c r="AL104" s="239">
        <v>0</v>
      </c>
      <c r="AM104" s="239">
        <v>0</v>
      </c>
      <c r="AN104" s="239">
        <v>0</v>
      </c>
      <c r="AO104" s="239">
        <v>0</v>
      </c>
      <c r="AP104" s="239">
        <v>0</v>
      </c>
      <c r="AQ104" s="239">
        <v>1917255</v>
      </c>
      <c r="AR104" s="239">
        <v>-1096561</v>
      </c>
      <c r="AS104" s="214" t="s">
        <v>290</v>
      </c>
      <c r="AT104" s="214" t="s">
        <v>800</v>
      </c>
      <c r="AU104" s="214" t="s">
        <v>792</v>
      </c>
      <c r="AV104" s="214" t="s">
        <v>1088</v>
      </c>
      <c r="AW104" s="214" t="s">
        <v>1088</v>
      </c>
      <c r="AX104" s="214" t="s">
        <v>1294</v>
      </c>
    </row>
    <row r="105" spans="1:50" x14ac:dyDescent="0.2">
      <c r="B105" s="610" t="s">
        <v>293</v>
      </c>
      <c r="C105" s="610" t="s">
        <v>292</v>
      </c>
      <c r="D105" s="239">
        <v>41513120</v>
      </c>
      <c r="E105" s="239">
        <v>114279</v>
      </c>
      <c r="F105" s="239">
        <v>41627399</v>
      </c>
      <c r="G105" s="239">
        <v>0</v>
      </c>
      <c r="H105" s="239">
        <v>0</v>
      </c>
      <c r="I105" s="239">
        <v>0</v>
      </c>
      <c r="J105" s="239">
        <v>-183129</v>
      </c>
      <c r="K105" s="239">
        <v>0</v>
      </c>
      <c r="L105" s="239">
        <v>-183129</v>
      </c>
      <c r="M105" s="239">
        <v>0</v>
      </c>
      <c r="N105" s="239">
        <v>0</v>
      </c>
      <c r="O105" s="239">
        <v>0</v>
      </c>
      <c r="P105" s="239">
        <v>-140595</v>
      </c>
      <c r="Q105" s="239">
        <v>0</v>
      </c>
      <c r="R105" s="239">
        <v>-140595</v>
      </c>
      <c r="S105" s="239">
        <v>250254</v>
      </c>
      <c r="T105" s="239">
        <v>0</v>
      </c>
      <c r="U105" s="239">
        <v>250254</v>
      </c>
      <c r="V105" s="239">
        <v>-3054774</v>
      </c>
      <c r="W105" s="239">
        <v>0</v>
      </c>
      <c r="X105" s="239">
        <v>-3054774</v>
      </c>
      <c r="Y105" s="239">
        <v>38568005</v>
      </c>
      <c r="Z105" s="239">
        <v>114279</v>
      </c>
      <c r="AA105" s="239">
        <v>38682284</v>
      </c>
      <c r="AB105" s="239">
        <v>114279</v>
      </c>
      <c r="AC105" s="239">
        <v>114279</v>
      </c>
      <c r="AD105" s="239">
        <v>0</v>
      </c>
      <c r="AE105" s="239">
        <v>80925</v>
      </c>
      <c r="AF105" s="239">
        <v>80925</v>
      </c>
      <c r="AG105" s="239">
        <v>0</v>
      </c>
      <c r="AH105" s="239">
        <v>0</v>
      </c>
      <c r="AI105" s="239">
        <v>-9710</v>
      </c>
      <c r="AJ105" s="239">
        <v>-9710</v>
      </c>
      <c r="AK105" s="239">
        <v>0</v>
      </c>
      <c r="AL105" s="239">
        <v>98929</v>
      </c>
      <c r="AM105" s="239">
        <v>0</v>
      </c>
      <c r="AN105" s="239">
        <v>5640</v>
      </c>
      <c r="AO105" s="239">
        <v>5640</v>
      </c>
      <c r="AP105" s="239">
        <v>0</v>
      </c>
      <c r="AQ105" s="239">
        <v>797879</v>
      </c>
      <c r="AR105" s="239">
        <v>-1150308</v>
      </c>
      <c r="AS105" s="214" t="s">
        <v>292</v>
      </c>
      <c r="AT105" s="214" t="s">
        <v>779</v>
      </c>
      <c r="AU105" s="214" t="s">
        <v>777</v>
      </c>
      <c r="AV105" s="214" t="s">
        <v>1100</v>
      </c>
      <c r="AW105" s="214" t="s">
        <v>1088</v>
      </c>
      <c r="AX105" s="214" t="s">
        <v>1294</v>
      </c>
    </row>
    <row r="106" spans="1:50" x14ac:dyDescent="0.2">
      <c r="B106" s="610" t="s">
        <v>295</v>
      </c>
      <c r="C106" s="610" t="s">
        <v>294</v>
      </c>
      <c r="D106" s="239">
        <v>26132129</v>
      </c>
      <c r="E106" s="239">
        <v>0</v>
      </c>
      <c r="F106" s="239">
        <v>26132129</v>
      </c>
      <c r="G106" s="239">
        <v>0</v>
      </c>
      <c r="H106" s="239">
        <v>0</v>
      </c>
      <c r="I106" s="239">
        <v>0</v>
      </c>
      <c r="J106" s="239">
        <v>-11395</v>
      </c>
      <c r="K106" s="239">
        <v>0</v>
      </c>
      <c r="L106" s="239">
        <v>-11395</v>
      </c>
      <c r="M106" s="239">
        <v>0</v>
      </c>
      <c r="N106" s="239">
        <v>0</v>
      </c>
      <c r="O106" s="239">
        <v>0</v>
      </c>
      <c r="P106" s="239">
        <v>-188330</v>
      </c>
      <c r="Q106" s="239">
        <v>0</v>
      </c>
      <c r="R106" s="239">
        <v>-188330</v>
      </c>
      <c r="S106" s="239">
        <v>232696</v>
      </c>
      <c r="T106" s="239">
        <v>0</v>
      </c>
      <c r="U106" s="239">
        <v>232696</v>
      </c>
      <c r="V106" s="239">
        <v>-2090153</v>
      </c>
      <c r="W106" s="239">
        <v>0</v>
      </c>
      <c r="X106" s="239">
        <v>-2090153</v>
      </c>
      <c r="Y106" s="239">
        <v>24086342</v>
      </c>
      <c r="Z106" s="239">
        <v>0</v>
      </c>
      <c r="AA106" s="239">
        <v>24086342</v>
      </c>
      <c r="AB106" s="239">
        <v>0</v>
      </c>
      <c r="AC106" s="239">
        <v>0</v>
      </c>
      <c r="AD106" s="239">
        <v>0</v>
      </c>
      <c r="AE106" s="239">
        <v>162334</v>
      </c>
      <c r="AF106" s="239">
        <v>162334</v>
      </c>
      <c r="AG106" s="239">
        <v>0</v>
      </c>
      <c r="AH106" s="239">
        <v>0</v>
      </c>
      <c r="AI106" s="239">
        <v>0</v>
      </c>
      <c r="AJ106" s="239">
        <v>0</v>
      </c>
      <c r="AK106" s="239">
        <v>0</v>
      </c>
      <c r="AL106" s="239">
        <v>0</v>
      </c>
      <c r="AM106" s="239">
        <v>0</v>
      </c>
      <c r="AN106" s="239">
        <v>0</v>
      </c>
      <c r="AO106" s="239">
        <v>0</v>
      </c>
      <c r="AP106" s="239">
        <v>0</v>
      </c>
      <c r="AQ106" s="239">
        <v>1150132</v>
      </c>
      <c r="AR106" s="239">
        <v>-220785</v>
      </c>
      <c r="AS106" s="214" t="s">
        <v>294</v>
      </c>
      <c r="AT106" s="214" t="s">
        <v>862</v>
      </c>
      <c r="AU106" s="214" t="s">
        <v>860</v>
      </c>
      <c r="AV106" s="214" t="s">
        <v>1088</v>
      </c>
      <c r="AW106" s="214" t="s">
        <v>1088</v>
      </c>
      <c r="AX106" s="214" t="s">
        <v>1294</v>
      </c>
    </row>
    <row r="107" spans="1:50" x14ac:dyDescent="0.2">
      <c r="B107" s="610" t="s">
        <v>297</v>
      </c>
      <c r="C107" s="610" t="s">
        <v>296</v>
      </c>
      <c r="D107" s="239">
        <v>22664005</v>
      </c>
      <c r="E107" s="239">
        <v>0</v>
      </c>
      <c r="F107" s="239">
        <v>22664005</v>
      </c>
      <c r="G107" s="239">
        <v>0</v>
      </c>
      <c r="H107" s="239">
        <v>0</v>
      </c>
      <c r="I107" s="239">
        <v>0</v>
      </c>
      <c r="J107" s="239">
        <v>-210647</v>
      </c>
      <c r="K107" s="239">
        <v>0</v>
      </c>
      <c r="L107" s="239">
        <v>-210647</v>
      </c>
      <c r="M107" s="239">
        <v>0</v>
      </c>
      <c r="N107" s="239">
        <v>0</v>
      </c>
      <c r="O107" s="239">
        <v>0</v>
      </c>
      <c r="P107" s="239">
        <v>-169711</v>
      </c>
      <c r="Q107" s="239">
        <v>0</v>
      </c>
      <c r="R107" s="239">
        <v>-169711</v>
      </c>
      <c r="S107" s="239">
        <v>127418</v>
      </c>
      <c r="T107" s="239">
        <v>0</v>
      </c>
      <c r="U107" s="239">
        <v>127418</v>
      </c>
      <c r="V107" s="239">
        <v>-532070</v>
      </c>
      <c r="W107" s="239">
        <v>0</v>
      </c>
      <c r="X107" s="239">
        <v>-532070</v>
      </c>
      <c r="Y107" s="239">
        <v>22089642</v>
      </c>
      <c r="Z107" s="239">
        <v>0</v>
      </c>
      <c r="AA107" s="239">
        <v>22089642</v>
      </c>
      <c r="AB107" s="239">
        <v>0</v>
      </c>
      <c r="AC107" s="239">
        <v>0</v>
      </c>
      <c r="AD107" s="239">
        <v>0</v>
      </c>
      <c r="AE107" s="239">
        <v>51519</v>
      </c>
      <c r="AF107" s="239">
        <v>51519</v>
      </c>
      <c r="AG107" s="239">
        <v>0</v>
      </c>
      <c r="AH107" s="239">
        <v>0</v>
      </c>
      <c r="AI107" s="239">
        <v>0</v>
      </c>
      <c r="AJ107" s="239">
        <v>0</v>
      </c>
      <c r="AK107" s="239">
        <v>0</v>
      </c>
      <c r="AL107" s="239">
        <v>0</v>
      </c>
      <c r="AM107" s="239">
        <v>0</v>
      </c>
      <c r="AN107" s="239">
        <v>0</v>
      </c>
      <c r="AO107" s="239">
        <v>0</v>
      </c>
      <c r="AP107" s="239">
        <v>0</v>
      </c>
      <c r="AQ107" s="239">
        <v>752048</v>
      </c>
      <c r="AR107" s="239">
        <v>-184227</v>
      </c>
      <c r="AS107" s="214" t="s">
        <v>296</v>
      </c>
      <c r="AT107" s="214" t="s">
        <v>811</v>
      </c>
      <c r="AU107" s="214" t="s">
        <v>763</v>
      </c>
      <c r="AV107" s="214" t="s">
        <v>1088</v>
      </c>
      <c r="AW107" s="214" t="s">
        <v>1088</v>
      </c>
      <c r="AX107" s="214" t="s">
        <v>1294</v>
      </c>
    </row>
    <row r="108" spans="1:50" x14ac:dyDescent="0.2">
      <c r="B108" s="610" t="s">
        <v>299</v>
      </c>
      <c r="C108" s="610" t="s">
        <v>298</v>
      </c>
      <c r="D108" s="239">
        <v>11697350</v>
      </c>
      <c r="E108" s="239">
        <v>0</v>
      </c>
      <c r="F108" s="239">
        <v>11697350</v>
      </c>
      <c r="G108" s="239">
        <v>0</v>
      </c>
      <c r="H108" s="239">
        <v>0</v>
      </c>
      <c r="I108" s="239">
        <v>0</v>
      </c>
      <c r="J108" s="239">
        <v>-136634</v>
      </c>
      <c r="K108" s="239">
        <v>0</v>
      </c>
      <c r="L108" s="239">
        <v>-136634</v>
      </c>
      <c r="M108" s="239">
        <v>0</v>
      </c>
      <c r="N108" s="239">
        <v>0</v>
      </c>
      <c r="O108" s="239">
        <v>0</v>
      </c>
      <c r="P108" s="239">
        <v>-290988</v>
      </c>
      <c r="Q108" s="239">
        <v>0</v>
      </c>
      <c r="R108" s="239">
        <v>-290988</v>
      </c>
      <c r="S108" s="239">
        <v>539600</v>
      </c>
      <c r="T108" s="239">
        <v>0</v>
      </c>
      <c r="U108" s="239">
        <v>539600</v>
      </c>
      <c r="V108" s="239">
        <v>-1440165</v>
      </c>
      <c r="W108" s="239">
        <v>0</v>
      </c>
      <c r="X108" s="239">
        <v>-1440165</v>
      </c>
      <c r="Y108" s="239">
        <v>10505797</v>
      </c>
      <c r="Z108" s="239">
        <v>0</v>
      </c>
      <c r="AA108" s="239">
        <v>10505797</v>
      </c>
      <c r="AB108" s="239">
        <v>0</v>
      </c>
      <c r="AC108" s="239">
        <v>0</v>
      </c>
      <c r="AD108" s="239">
        <v>0</v>
      </c>
      <c r="AE108" s="239">
        <v>102335</v>
      </c>
      <c r="AF108" s="239">
        <v>102335</v>
      </c>
      <c r="AG108" s="239">
        <v>0</v>
      </c>
      <c r="AH108" s="239">
        <v>0</v>
      </c>
      <c r="AI108" s="239">
        <v>0</v>
      </c>
      <c r="AJ108" s="239">
        <v>0</v>
      </c>
      <c r="AK108" s="239">
        <v>0</v>
      </c>
      <c r="AL108" s="239">
        <v>0</v>
      </c>
      <c r="AM108" s="239">
        <v>0</v>
      </c>
      <c r="AN108" s="239">
        <v>0</v>
      </c>
      <c r="AO108" s="239">
        <v>0</v>
      </c>
      <c r="AP108" s="239">
        <v>0</v>
      </c>
      <c r="AQ108" s="239">
        <v>612781</v>
      </c>
      <c r="AR108" s="239">
        <v>-193145</v>
      </c>
      <c r="AS108" s="214" t="s">
        <v>298</v>
      </c>
      <c r="AT108" s="214" t="s">
        <v>831</v>
      </c>
      <c r="AU108" s="214" t="s">
        <v>763</v>
      </c>
      <c r="AV108" s="214" t="s">
        <v>1088</v>
      </c>
      <c r="AW108" s="214" t="s">
        <v>1088</v>
      </c>
      <c r="AX108" s="214" t="s">
        <v>1294</v>
      </c>
    </row>
    <row r="109" spans="1:50" x14ac:dyDescent="0.2">
      <c r="B109" s="610" t="s">
        <v>301</v>
      </c>
      <c r="C109" s="610" t="s">
        <v>300</v>
      </c>
      <c r="D109" s="239">
        <v>24994414</v>
      </c>
      <c r="E109" s="239">
        <v>1986159</v>
      </c>
      <c r="F109" s="239">
        <v>26980573</v>
      </c>
      <c r="G109" s="239">
        <v>0</v>
      </c>
      <c r="H109" s="239">
        <v>0</v>
      </c>
      <c r="I109" s="239">
        <v>0</v>
      </c>
      <c r="J109" s="239">
        <v>0</v>
      </c>
      <c r="K109" s="239">
        <v>0</v>
      </c>
      <c r="L109" s="239">
        <v>0</v>
      </c>
      <c r="M109" s="239">
        <v>-476943</v>
      </c>
      <c r="N109" s="239">
        <v>0</v>
      </c>
      <c r="O109" s="239">
        <v>-476943</v>
      </c>
      <c r="P109" s="239">
        <v>-31050</v>
      </c>
      <c r="Q109" s="239">
        <v>0</v>
      </c>
      <c r="R109" s="239">
        <v>-31050</v>
      </c>
      <c r="S109" s="239">
        <v>0</v>
      </c>
      <c r="T109" s="239">
        <v>0</v>
      </c>
      <c r="U109" s="239">
        <v>0</v>
      </c>
      <c r="V109" s="239">
        <v>-6052977</v>
      </c>
      <c r="W109" s="239">
        <v>0</v>
      </c>
      <c r="X109" s="239">
        <v>-6052977</v>
      </c>
      <c r="Y109" s="239">
        <v>18433444</v>
      </c>
      <c r="Z109" s="239">
        <v>1986159</v>
      </c>
      <c r="AA109" s="239">
        <v>20419603</v>
      </c>
      <c r="AB109" s="239">
        <v>1986159</v>
      </c>
      <c r="AC109" s="239">
        <v>1986159</v>
      </c>
      <c r="AD109" s="239">
        <v>0</v>
      </c>
      <c r="AE109" s="239">
        <v>0</v>
      </c>
      <c r="AF109" s="239">
        <v>0</v>
      </c>
      <c r="AG109" s="239">
        <v>0</v>
      </c>
      <c r="AH109" s="239">
        <v>0</v>
      </c>
      <c r="AI109" s="239">
        <v>0</v>
      </c>
      <c r="AJ109" s="239">
        <v>0</v>
      </c>
      <c r="AK109" s="239">
        <v>0</v>
      </c>
      <c r="AL109" s="239">
        <v>1994204</v>
      </c>
      <c r="AM109" s="239">
        <v>0</v>
      </c>
      <c r="AN109" s="239">
        <v>0</v>
      </c>
      <c r="AO109" s="239">
        <v>0</v>
      </c>
      <c r="AP109" s="239">
        <v>0</v>
      </c>
      <c r="AQ109" s="239">
        <v>1527286</v>
      </c>
      <c r="AR109" s="239">
        <v>-370148</v>
      </c>
      <c r="AS109" s="214" t="s">
        <v>300</v>
      </c>
      <c r="AT109" s="214" t="s">
        <v>757</v>
      </c>
      <c r="AU109" s="214" t="s">
        <v>755</v>
      </c>
      <c r="AV109" s="214" t="s">
        <v>1101</v>
      </c>
      <c r="AW109" s="214" t="s">
        <v>1101</v>
      </c>
      <c r="AX109" s="214" t="s">
        <v>1294</v>
      </c>
    </row>
    <row r="110" spans="1:50" x14ac:dyDescent="0.2">
      <c r="B110" s="610" t="s">
        <v>303</v>
      </c>
      <c r="C110" s="610" t="s">
        <v>302</v>
      </c>
      <c r="D110" s="239">
        <v>88184883</v>
      </c>
      <c r="E110" s="239">
        <v>1541694</v>
      </c>
      <c r="F110" s="239">
        <v>89726577</v>
      </c>
      <c r="G110" s="239">
        <v>-3</v>
      </c>
      <c r="H110" s="239">
        <v>0</v>
      </c>
      <c r="I110" s="239">
        <v>-3</v>
      </c>
      <c r="J110" s="239">
        <v>-917395</v>
      </c>
      <c r="K110" s="239">
        <v>-26404</v>
      </c>
      <c r="L110" s="239">
        <v>-943799</v>
      </c>
      <c r="M110" s="239">
        <v>0</v>
      </c>
      <c r="N110" s="239">
        <v>0</v>
      </c>
      <c r="O110" s="239">
        <v>0</v>
      </c>
      <c r="P110" s="239">
        <v>-917395</v>
      </c>
      <c r="Q110" s="239">
        <v>-26404</v>
      </c>
      <c r="R110" s="239">
        <v>-943799</v>
      </c>
      <c r="S110" s="239">
        <v>3011063</v>
      </c>
      <c r="T110" s="239">
        <v>0</v>
      </c>
      <c r="U110" s="239">
        <v>3011063</v>
      </c>
      <c r="V110" s="239">
        <v>-3011063</v>
      </c>
      <c r="W110" s="239">
        <v>0</v>
      </c>
      <c r="X110" s="239">
        <v>-3011063</v>
      </c>
      <c r="Y110" s="239">
        <v>87267485</v>
      </c>
      <c r="Z110" s="239">
        <v>1515290</v>
      </c>
      <c r="AA110" s="239">
        <v>88782775</v>
      </c>
      <c r="AB110" s="239">
        <v>1515290</v>
      </c>
      <c r="AC110" s="239">
        <v>1515290</v>
      </c>
      <c r="AD110" s="239">
        <v>0</v>
      </c>
      <c r="AE110" s="239">
        <v>0</v>
      </c>
      <c r="AF110" s="239">
        <v>0</v>
      </c>
      <c r="AG110" s="239">
        <v>0</v>
      </c>
      <c r="AH110" s="239">
        <v>0</v>
      </c>
      <c r="AI110" s="239">
        <v>0</v>
      </c>
      <c r="AJ110" s="239">
        <v>0</v>
      </c>
      <c r="AK110" s="239">
        <v>0</v>
      </c>
      <c r="AL110" s="239">
        <v>1154997</v>
      </c>
      <c r="AM110" s="239">
        <v>0</v>
      </c>
      <c r="AN110" s="239">
        <v>360293</v>
      </c>
      <c r="AO110" s="239">
        <v>360293</v>
      </c>
      <c r="AP110" s="239">
        <v>0</v>
      </c>
      <c r="AQ110" s="239">
        <v>6909759</v>
      </c>
      <c r="AR110" s="239">
        <v>-2424497</v>
      </c>
      <c r="AS110" s="214" t="s">
        <v>302</v>
      </c>
      <c r="AT110" s="214" t="s">
        <v>768</v>
      </c>
      <c r="AU110" s="214" t="s">
        <v>841</v>
      </c>
      <c r="AV110" s="214" t="s">
        <v>1102</v>
      </c>
      <c r="AW110" s="214" t="s">
        <v>1088</v>
      </c>
      <c r="AX110" s="214" t="s">
        <v>1296</v>
      </c>
    </row>
    <row r="111" spans="1:50" x14ac:dyDescent="0.2">
      <c r="B111" s="610" t="s">
        <v>305</v>
      </c>
      <c r="C111" s="610" t="s">
        <v>304</v>
      </c>
      <c r="D111" s="239">
        <v>21647908</v>
      </c>
      <c r="E111" s="239">
        <v>0</v>
      </c>
      <c r="F111" s="239">
        <v>21647908</v>
      </c>
      <c r="G111" s="239">
        <v>0</v>
      </c>
      <c r="H111" s="239">
        <v>0</v>
      </c>
      <c r="I111" s="239">
        <v>0</v>
      </c>
      <c r="J111" s="239">
        <v>-82403</v>
      </c>
      <c r="K111" s="239">
        <v>0</v>
      </c>
      <c r="L111" s="239">
        <v>-82403</v>
      </c>
      <c r="M111" s="239">
        <v>0</v>
      </c>
      <c r="N111" s="239">
        <v>0</v>
      </c>
      <c r="O111" s="239">
        <v>0</v>
      </c>
      <c r="P111" s="239">
        <v>-131042</v>
      </c>
      <c r="Q111" s="239">
        <v>0</v>
      </c>
      <c r="R111" s="239">
        <v>-131042</v>
      </c>
      <c r="S111" s="239">
        <v>597646</v>
      </c>
      <c r="T111" s="239">
        <v>0</v>
      </c>
      <c r="U111" s="239">
        <v>597646</v>
      </c>
      <c r="V111" s="239">
        <v>-1176349</v>
      </c>
      <c r="W111" s="239">
        <v>0</v>
      </c>
      <c r="X111" s="239">
        <v>-1176349</v>
      </c>
      <c r="Y111" s="239">
        <v>20938163</v>
      </c>
      <c r="Z111" s="239">
        <v>0</v>
      </c>
      <c r="AA111" s="239">
        <v>20938163</v>
      </c>
      <c r="AB111" s="239">
        <v>0</v>
      </c>
      <c r="AC111" s="239">
        <v>0</v>
      </c>
      <c r="AD111" s="239">
        <v>0</v>
      </c>
      <c r="AE111" s="239">
        <v>79933</v>
      </c>
      <c r="AF111" s="239">
        <v>79933</v>
      </c>
      <c r="AG111" s="239">
        <v>0</v>
      </c>
      <c r="AH111" s="239">
        <v>0</v>
      </c>
      <c r="AI111" s="239">
        <v>0</v>
      </c>
      <c r="AJ111" s="239">
        <v>0</v>
      </c>
      <c r="AK111" s="239">
        <v>0</v>
      </c>
      <c r="AL111" s="239">
        <v>0</v>
      </c>
      <c r="AM111" s="239">
        <v>0</v>
      </c>
      <c r="AN111" s="239">
        <v>0</v>
      </c>
      <c r="AO111" s="239">
        <v>0</v>
      </c>
      <c r="AP111" s="239">
        <v>0</v>
      </c>
      <c r="AQ111" s="239">
        <v>265818</v>
      </c>
      <c r="AR111" s="239">
        <v>-135258</v>
      </c>
      <c r="AS111" s="214" t="s">
        <v>304</v>
      </c>
      <c r="AT111" s="214" t="s">
        <v>874</v>
      </c>
      <c r="AU111" s="214" t="s">
        <v>872</v>
      </c>
      <c r="AV111" s="214" t="s">
        <v>1088</v>
      </c>
      <c r="AW111" s="214" t="s">
        <v>1088</v>
      </c>
      <c r="AX111" s="214" t="s">
        <v>1294</v>
      </c>
    </row>
    <row r="112" spans="1:50" x14ac:dyDescent="0.2">
      <c r="B112" s="610" t="s">
        <v>307</v>
      </c>
      <c r="C112" s="610" t="s">
        <v>306</v>
      </c>
      <c r="D112" s="239">
        <v>53066670</v>
      </c>
      <c r="E112" s="239">
        <v>0</v>
      </c>
      <c r="F112" s="239">
        <v>53066670</v>
      </c>
      <c r="G112" s="239">
        <v>0</v>
      </c>
      <c r="H112" s="239">
        <v>0</v>
      </c>
      <c r="I112" s="239">
        <v>0</v>
      </c>
      <c r="J112" s="239">
        <v>-899741</v>
      </c>
      <c r="K112" s="239">
        <v>0</v>
      </c>
      <c r="L112" s="239">
        <v>-899741</v>
      </c>
      <c r="M112" s="239">
        <v>284278</v>
      </c>
      <c r="N112" s="239">
        <v>0</v>
      </c>
      <c r="O112" s="239">
        <v>284278</v>
      </c>
      <c r="P112" s="239">
        <v>-845753</v>
      </c>
      <c r="Q112" s="239">
        <v>0</v>
      </c>
      <c r="R112" s="239">
        <v>-845753</v>
      </c>
      <c r="S112" s="239">
        <v>1268312</v>
      </c>
      <c r="T112" s="239">
        <v>0</v>
      </c>
      <c r="U112" s="239">
        <v>1268312</v>
      </c>
      <c r="V112" s="239">
        <v>-2177421</v>
      </c>
      <c r="W112" s="239">
        <v>0</v>
      </c>
      <c r="X112" s="239">
        <v>-2177421</v>
      </c>
      <c r="Y112" s="239">
        <v>51596086</v>
      </c>
      <c r="Z112" s="239">
        <v>0</v>
      </c>
      <c r="AA112" s="239">
        <v>51596086</v>
      </c>
      <c r="AB112" s="239">
        <v>0</v>
      </c>
      <c r="AC112" s="239">
        <v>0</v>
      </c>
      <c r="AD112" s="239">
        <v>0</v>
      </c>
      <c r="AE112" s="239">
        <v>0</v>
      </c>
      <c r="AF112" s="239">
        <v>0</v>
      </c>
      <c r="AG112" s="239">
        <v>0</v>
      </c>
      <c r="AH112" s="239">
        <v>0</v>
      </c>
      <c r="AI112" s="239">
        <v>0</v>
      </c>
      <c r="AJ112" s="239">
        <v>0</v>
      </c>
      <c r="AK112" s="239">
        <v>0</v>
      </c>
      <c r="AL112" s="239">
        <v>0</v>
      </c>
      <c r="AM112" s="239">
        <v>0</v>
      </c>
      <c r="AN112" s="239">
        <v>0</v>
      </c>
      <c r="AO112" s="239">
        <v>0</v>
      </c>
      <c r="AP112" s="239">
        <v>0</v>
      </c>
      <c r="AQ112" s="239">
        <v>2330682</v>
      </c>
      <c r="AR112" s="239">
        <v>-1062166</v>
      </c>
      <c r="AS112" s="214" t="s">
        <v>306</v>
      </c>
      <c r="AT112" s="214" t="s">
        <v>831</v>
      </c>
      <c r="AU112" s="214" t="s">
        <v>763</v>
      </c>
      <c r="AV112" s="214" t="s">
        <v>1088</v>
      </c>
      <c r="AW112" s="214" t="s">
        <v>1088</v>
      </c>
      <c r="AX112" s="214" t="s">
        <v>1294</v>
      </c>
    </row>
    <row r="113" spans="1:50" x14ac:dyDescent="0.2">
      <c r="B113" s="610" t="s">
        <v>309</v>
      </c>
      <c r="C113" s="610" t="s">
        <v>308</v>
      </c>
      <c r="D113" s="239">
        <v>15858243</v>
      </c>
      <c r="E113" s="239">
        <v>231042</v>
      </c>
      <c r="F113" s="239">
        <v>16089285</v>
      </c>
      <c r="G113" s="239">
        <v>-685</v>
      </c>
      <c r="H113" s="239">
        <v>0</v>
      </c>
      <c r="I113" s="239">
        <v>-685</v>
      </c>
      <c r="J113" s="239">
        <v>-100649</v>
      </c>
      <c r="K113" s="239">
        <v>-1705</v>
      </c>
      <c r="L113" s="239">
        <v>-102354</v>
      </c>
      <c r="M113" s="239">
        <v>0</v>
      </c>
      <c r="N113" s="239">
        <v>0</v>
      </c>
      <c r="O113" s="239">
        <v>0</v>
      </c>
      <c r="P113" s="239">
        <v>-212049</v>
      </c>
      <c r="Q113" s="239">
        <v>-1405</v>
      </c>
      <c r="R113" s="239">
        <v>-213454</v>
      </c>
      <c r="S113" s="239">
        <v>115619</v>
      </c>
      <c r="T113" s="239">
        <v>0</v>
      </c>
      <c r="U113" s="239">
        <v>115619</v>
      </c>
      <c r="V113" s="239">
        <v>-1568906</v>
      </c>
      <c r="W113" s="239">
        <v>0</v>
      </c>
      <c r="X113" s="239">
        <v>-1568906</v>
      </c>
      <c r="Y113" s="239">
        <v>14192222</v>
      </c>
      <c r="Z113" s="239">
        <v>229637</v>
      </c>
      <c r="AA113" s="239">
        <v>14421859</v>
      </c>
      <c r="AB113" s="239">
        <v>229637</v>
      </c>
      <c r="AC113" s="239">
        <v>231042</v>
      </c>
      <c r="AD113" s="239">
        <v>0</v>
      </c>
      <c r="AE113" s="239">
        <v>0</v>
      </c>
      <c r="AF113" s="239">
        <v>0</v>
      </c>
      <c r="AG113" s="239">
        <v>0</v>
      </c>
      <c r="AH113" s="239">
        <v>0</v>
      </c>
      <c r="AI113" s="239">
        <v>-798</v>
      </c>
      <c r="AJ113" s="239">
        <v>-798</v>
      </c>
      <c r="AK113" s="239">
        <v>0</v>
      </c>
      <c r="AL113" s="239">
        <v>435664</v>
      </c>
      <c r="AM113" s="239">
        <v>0</v>
      </c>
      <c r="AN113" s="239">
        <v>0</v>
      </c>
      <c r="AO113" s="239">
        <v>0</v>
      </c>
      <c r="AP113" s="239">
        <v>0</v>
      </c>
      <c r="AQ113" s="239">
        <v>1209352</v>
      </c>
      <c r="AR113" s="239">
        <v>-189198</v>
      </c>
      <c r="AS113" s="214" t="s">
        <v>308</v>
      </c>
      <c r="AT113" s="214" t="s">
        <v>779</v>
      </c>
      <c r="AU113" s="214" t="s">
        <v>777</v>
      </c>
      <c r="AV113" s="214" t="s">
        <v>1100</v>
      </c>
      <c r="AW113" s="214" t="s">
        <v>1088</v>
      </c>
      <c r="AX113" s="214" t="s">
        <v>1294</v>
      </c>
    </row>
    <row r="114" spans="1:50" x14ac:dyDescent="0.2">
      <c r="B114" s="610" t="s">
        <v>311</v>
      </c>
      <c r="C114" s="610" t="s">
        <v>310</v>
      </c>
      <c r="D114" s="239">
        <v>24705046</v>
      </c>
      <c r="E114" s="239">
        <v>0</v>
      </c>
      <c r="F114" s="239">
        <v>24705046</v>
      </c>
      <c r="G114" s="239">
        <v>0</v>
      </c>
      <c r="H114" s="239">
        <v>0</v>
      </c>
      <c r="I114" s="239">
        <v>0</v>
      </c>
      <c r="J114" s="239">
        <v>-251101</v>
      </c>
      <c r="K114" s="239">
        <v>0</v>
      </c>
      <c r="L114" s="239">
        <v>-251101</v>
      </c>
      <c r="M114" s="239">
        <v>-369</v>
      </c>
      <c r="N114" s="239">
        <v>0</v>
      </c>
      <c r="O114" s="239">
        <v>-369</v>
      </c>
      <c r="P114" s="239">
        <v>504383</v>
      </c>
      <c r="Q114" s="239">
        <v>0</v>
      </c>
      <c r="R114" s="239">
        <v>504383</v>
      </c>
      <c r="S114" s="239">
        <v>0</v>
      </c>
      <c r="T114" s="239">
        <v>0</v>
      </c>
      <c r="U114" s="239">
        <v>0</v>
      </c>
      <c r="V114" s="239">
        <v>-1232147</v>
      </c>
      <c r="W114" s="239">
        <v>0</v>
      </c>
      <c r="X114" s="239">
        <v>-1232147</v>
      </c>
      <c r="Y114" s="239">
        <v>23976913</v>
      </c>
      <c r="Z114" s="239">
        <v>0</v>
      </c>
      <c r="AA114" s="239">
        <v>23976913</v>
      </c>
      <c r="AB114" s="239">
        <v>0</v>
      </c>
      <c r="AC114" s="239">
        <v>0</v>
      </c>
      <c r="AD114" s="239">
        <v>0</v>
      </c>
      <c r="AE114" s="239">
        <v>0</v>
      </c>
      <c r="AF114" s="239">
        <v>0</v>
      </c>
      <c r="AG114" s="239">
        <v>0</v>
      </c>
      <c r="AH114" s="239">
        <v>0</v>
      </c>
      <c r="AI114" s="239">
        <v>0</v>
      </c>
      <c r="AJ114" s="239">
        <v>0</v>
      </c>
      <c r="AK114" s="239">
        <v>0</v>
      </c>
      <c r="AL114" s="239">
        <v>0</v>
      </c>
      <c r="AM114" s="239">
        <v>0</v>
      </c>
      <c r="AN114" s="239">
        <v>0</v>
      </c>
      <c r="AO114" s="239">
        <v>0</v>
      </c>
      <c r="AP114" s="239">
        <v>0</v>
      </c>
      <c r="AQ114" s="239">
        <v>1650213</v>
      </c>
      <c r="AR114" s="239">
        <v>-189356</v>
      </c>
      <c r="AS114" s="214" t="s">
        <v>310</v>
      </c>
      <c r="AT114" s="214" t="s">
        <v>826</v>
      </c>
      <c r="AU114" s="214" t="s">
        <v>824</v>
      </c>
      <c r="AV114" s="214" t="s">
        <v>1088</v>
      </c>
      <c r="AW114" s="214" t="s">
        <v>1088</v>
      </c>
      <c r="AX114" s="214" t="s">
        <v>1294</v>
      </c>
    </row>
    <row r="115" spans="1:50" x14ac:dyDescent="0.2">
      <c r="A115" s="215" t="s">
        <v>1321</v>
      </c>
      <c r="B115" s="610" t="s">
        <v>313</v>
      </c>
      <c r="C115" s="610" t="s">
        <v>312</v>
      </c>
      <c r="D115" s="239">
        <v>30013093</v>
      </c>
      <c r="E115" s="239">
        <v>168344</v>
      </c>
      <c r="F115" s="239">
        <v>30181437</v>
      </c>
      <c r="G115" s="239">
        <v>0</v>
      </c>
      <c r="H115" s="239">
        <v>0</v>
      </c>
      <c r="I115" s="239">
        <v>0</v>
      </c>
      <c r="J115" s="239">
        <v>-89737</v>
      </c>
      <c r="K115" s="239">
        <v>0</v>
      </c>
      <c r="L115" s="239">
        <v>-89737</v>
      </c>
      <c r="M115" s="239">
        <v>0</v>
      </c>
      <c r="N115" s="239">
        <v>0</v>
      </c>
      <c r="O115" s="239">
        <v>0</v>
      </c>
      <c r="P115" s="239">
        <v>-214140</v>
      </c>
      <c r="Q115" s="239">
        <v>0</v>
      </c>
      <c r="R115" s="239">
        <v>-214140</v>
      </c>
      <c r="S115" s="239">
        <v>993205</v>
      </c>
      <c r="T115" s="239">
        <v>0</v>
      </c>
      <c r="U115" s="239">
        <v>993205</v>
      </c>
      <c r="V115" s="239">
        <v>-866470</v>
      </c>
      <c r="W115" s="239">
        <v>0</v>
      </c>
      <c r="X115" s="239">
        <v>-866470</v>
      </c>
      <c r="Y115" s="239">
        <v>29925688</v>
      </c>
      <c r="Z115" s="239">
        <v>168344</v>
      </c>
      <c r="AA115" s="239">
        <v>30094032</v>
      </c>
      <c r="AB115" s="239">
        <v>168344</v>
      </c>
      <c r="AC115" s="239">
        <v>168344</v>
      </c>
      <c r="AD115" s="239">
        <v>0</v>
      </c>
      <c r="AE115" s="239">
        <v>55216</v>
      </c>
      <c r="AF115" s="239">
        <v>55216</v>
      </c>
      <c r="AG115" s="239">
        <v>0</v>
      </c>
      <c r="AH115" s="239">
        <v>0</v>
      </c>
      <c r="AI115" s="239">
        <v>0</v>
      </c>
      <c r="AJ115" s="239">
        <v>0</v>
      </c>
      <c r="AK115" s="239">
        <v>0</v>
      </c>
      <c r="AL115" s="239">
        <v>277898</v>
      </c>
      <c r="AM115" s="239">
        <v>0</v>
      </c>
      <c r="AN115" s="239">
        <v>0</v>
      </c>
      <c r="AO115" s="239">
        <v>0</v>
      </c>
      <c r="AP115" s="239">
        <v>0</v>
      </c>
      <c r="AQ115" s="239">
        <v>1493147</v>
      </c>
      <c r="AR115" s="239">
        <v>-201778</v>
      </c>
      <c r="AS115" s="214" t="s">
        <v>312</v>
      </c>
      <c r="AT115" s="214" t="s">
        <v>849</v>
      </c>
      <c r="AU115" s="214" t="s">
        <v>763</v>
      </c>
      <c r="AV115" s="214" t="s">
        <v>1103</v>
      </c>
      <c r="AW115" s="214" t="s">
        <v>1088</v>
      </c>
      <c r="AX115" s="214" t="s">
        <v>1294</v>
      </c>
    </row>
    <row r="116" spans="1:50" x14ac:dyDescent="0.2">
      <c r="B116" s="610" t="s">
        <v>315</v>
      </c>
      <c r="C116" s="610" t="s">
        <v>314</v>
      </c>
      <c r="D116" s="239">
        <v>70753676</v>
      </c>
      <c r="E116" s="239">
        <v>0</v>
      </c>
      <c r="F116" s="239">
        <v>70753676</v>
      </c>
      <c r="G116" s="239">
        <v>0</v>
      </c>
      <c r="H116" s="239">
        <v>0</v>
      </c>
      <c r="I116" s="239">
        <v>0</v>
      </c>
      <c r="J116" s="239">
        <v>-677614</v>
      </c>
      <c r="K116" s="239">
        <v>0</v>
      </c>
      <c r="L116" s="239">
        <v>-677614</v>
      </c>
      <c r="M116" s="239">
        <v>0</v>
      </c>
      <c r="N116" s="239">
        <v>0</v>
      </c>
      <c r="O116" s="239">
        <v>0</v>
      </c>
      <c r="P116" s="239">
        <v>-690366</v>
      </c>
      <c r="Q116" s="239">
        <v>0</v>
      </c>
      <c r="R116" s="239">
        <v>-690366</v>
      </c>
      <c r="S116" s="239">
        <v>2514000</v>
      </c>
      <c r="T116" s="239">
        <v>0</v>
      </c>
      <c r="U116" s="239">
        <v>2514000</v>
      </c>
      <c r="V116" s="239">
        <v>-5865553</v>
      </c>
      <c r="W116" s="239">
        <v>0</v>
      </c>
      <c r="X116" s="239">
        <v>-5865553</v>
      </c>
      <c r="Y116" s="239">
        <v>66711757</v>
      </c>
      <c r="Z116" s="239">
        <v>0</v>
      </c>
      <c r="AA116" s="239">
        <v>66711757</v>
      </c>
      <c r="AB116" s="239">
        <v>0</v>
      </c>
      <c r="AC116" s="239">
        <v>0</v>
      </c>
      <c r="AD116" s="239">
        <v>0</v>
      </c>
      <c r="AE116" s="239">
        <v>0</v>
      </c>
      <c r="AF116" s="239">
        <v>0</v>
      </c>
      <c r="AG116" s="239">
        <v>0</v>
      </c>
      <c r="AH116" s="239">
        <v>0</v>
      </c>
      <c r="AI116" s="239">
        <v>0</v>
      </c>
      <c r="AJ116" s="239">
        <v>0</v>
      </c>
      <c r="AK116" s="239">
        <v>0</v>
      </c>
      <c r="AL116" s="239">
        <v>0</v>
      </c>
      <c r="AM116" s="239">
        <v>0</v>
      </c>
      <c r="AN116" s="239">
        <v>0</v>
      </c>
      <c r="AO116" s="239">
        <v>0</v>
      </c>
      <c r="AP116" s="239">
        <v>0</v>
      </c>
      <c r="AQ116" s="239">
        <v>3552530</v>
      </c>
      <c r="AR116" s="239">
        <v>-1399581</v>
      </c>
      <c r="AS116" s="214" t="s">
        <v>314</v>
      </c>
      <c r="AT116" s="214" t="s">
        <v>790</v>
      </c>
      <c r="AU116" s="214" t="s">
        <v>749</v>
      </c>
      <c r="AV116" s="214" t="s">
        <v>1088</v>
      </c>
      <c r="AW116" s="214" t="s">
        <v>1088</v>
      </c>
      <c r="AX116" s="214" t="s">
        <v>1297</v>
      </c>
    </row>
    <row r="117" spans="1:50" x14ac:dyDescent="0.2">
      <c r="B117" s="610" t="s">
        <v>317</v>
      </c>
      <c r="C117" s="610" t="s">
        <v>316</v>
      </c>
      <c r="D117" s="239">
        <v>81843054</v>
      </c>
      <c r="E117" s="239">
        <v>0</v>
      </c>
      <c r="F117" s="239">
        <v>81843054</v>
      </c>
      <c r="G117" s="239">
        <v>-250</v>
      </c>
      <c r="H117" s="239">
        <v>0</v>
      </c>
      <c r="I117" s="239">
        <v>-250</v>
      </c>
      <c r="J117" s="239">
        <v>-292069</v>
      </c>
      <c r="K117" s="239">
        <v>0</v>
      </c>
      <c r="L117" s="239">
        <v>-292069</v>
      </c>
      <c r="M117" s="239">
        <v>0</v>
      </c>
      <c r="N117" s="239">
        <v>0</v>
      </c>
      <c r="O117" s="239">
        <v>0</v>
      </c>
      <c r="P117" s="239">
        <v>-150300</v>
      </c>
      <c r="Q117" s="239">
        <v>0</v>
      </c>
      <c r="R117" s="239">
        <v>-150300</v>
      </c>
      <c r="S117" s="239">
        <v>841717</v>
      </c>
      <c r="T117" s="239">
        <v>0</v>
      </c>
      <c r="U117" s="239">
        <v>841717</v>
      </c>
      <c r="V117" s="239">
        <v>-6320000</v>
      </c>
      <c r="W117" s="239">
        <v>0</v>
      </c>
      <c r="X117" s="239">
        <v>-6320000</v>
      </c>
      <c r="Y117" s="239">
        <v>76214221</v>
      </c>
      <c r="Z117" s="239">
        <v>0</v>
      </c>
      <c r="AA117" s="239">
        <v>76214221</v>
      </c>
      <c r="AB117" s="239">
        <v>0</v>
      </c>
      <c r="AC117" s="239">
        <v>0</v>
      </c>
      <c r="AD117" s="239">
        <v>0</v>
      </c>
      <c r="AE117" s="239">
        <v>0</v>
      </c>
      <c r="AF117" s="239">
        <v>0</v>
      </c>
      <c r="AG117" s="239">
        <v>0</v>
      </c>
      <c r="AH117" s="239">
        <v>0</v>
      </c>
      <c r="AI117" s="239">
        <v>0</v>
      </c>
      <c r="AJ117" s="239">
        <v>0</v>
      </c>
      <c r="AK117" s="239">
        <v>0</v>
      </c>
      <c r="AL117" s="239">
        <v>0</v>
      </c>
      <c r="AM117" s="239">
        <v>0</v>
      </c>
      <c r="AN117" s="239">
        <v>0</v>
      </c>
      <c r="AO117" s="239">
        <v>0</v>
      </c>
      <c r="AP117" s="239">
        <v>0</v>
      </c>
      <c r="AQ117" s="239">
        <v>1974901</v>
      </c>
      <c r="AR117" s="239">
        <v>-3585624</v>
      </c>
      <c r="AS117" s="214" t="s">
        <v>316</v>
      </c>
      <c r="AT117" s="214" t="s">
        <v>772</v>
      </c>
      <c r="AU117" s="214" t="s">
        <v>763</v>
      </c>
      <c r="AV117" s="214" t="s">
        <v>1088</v>
      </c>
      <c r="AW117" s="214" t="s">
        <v>1088</v>
      </c>
      <c r="AX117" s="214" t="s">
        <v>1294</v>
      </c>
    </row>
    <row r="118" spans="1:50" x14ac:dyDescent="0.2">
      <c r="B118" s="610" t="s">
        <v>319</v>
      </c>
      <c r="C118" s="610" t="s">
        <v>318</v>
      </c>
      <c r="D118" s="239">
        <v>87215816</v>
      </c>
      <c r="E118" s="239">
        <v>0</v>
      </c>
      <c r="F118" s="239">
        <v>87215816</v>
      </c>
      <c r="G118" s="239">
        <v>-1064</v>
      </c>
      <c r="H118" s="239">
        <v>0</v>
      </c>
      <c r="I118" s="239">
        <v>-1064</v>
      </c>
      <c r="J118" s="239">
        <v>0</v>
      </c>
      <c r="K118" s="239">
        <v>0</v>
      </c>
      <c r="L118" s="239">
        <v>0</v>
      </c>
      <c r="M118" s="239">
        <v>0</v>
      </c>
      <c r="N118" s="239">
        <v>0</v>
      </c>
      <c r="O118" s="239">
        <v>0</v>
      </c>
      <c r="P118" s="239">
        <v>-2064808</v>
      </c>
      <c r="Q118" s="239">
        <v>0</v>
      </c>
      <c r="R118" s="239">
        <v>-2064808</v>
      </c>
      <c r="S118" s="239">
        <v>3731661</v>
      </c>
      <c r="T118" s="239">
        <v>0</v>
      </c>
      <c r="U118" s="239">
        <v>3731661</v>
      </c>
      <c r="V118" s="239">
        <v>-4478039</v>
      </c>
      <c r="W118" s="239">
        <v>0</v>
      </c>
      <c r="X118" s="239">
        <v>-4478039</v>
      </c>
      <c r="Y118" s="239">
        <v>84403566</v>
      </c>
      <c r="Z118" s="239">
        <v>0</v>
      </c>
      <c r="AA118" s="239">
        <v>84403566</v>
      </c>
      <c r="AB118" s="239">
        <v>0</v>
      </c>
      <c r="AC118" s="239">
        <v>0</v>
      </c>
      <c r="AD118" s="239">
        <v>0</v>
      </c>
      <c r="AE118" s="239">
        <v>0</v>
      </c>
      <c r="AF118" s="239">
        <v>0</v>
      </c>
      <c r="AG118" s="239">
        <v>0</v>
      </c>
      <c r="AH118" s="239">
        <v>0</v>
      </c>
      <c r="AI118" s="239">
        <v>0</v>
      </c>
      <c r="AJ118" s="239">
        <v>0</v>
      </c>
      <c r="AK118" s="239">
        <v>0</v>
      </c>
      <c r="AL118" s="239">
        <v>0</v>
      </c>
      <c r="AM118" s="239">
        <v>0</v>
      </c>
      <c r="AN118" s="239">
        <v>0</v>
      </c>
      <c r="AO118" s="239">
        <v>0</v>
      </c>
      <c r="AP118" s="239">
        <v>0</v>
      </c>
      <c r="AQ118" s="239">
        <v>22711570</v>
      </c>
      <c r="AR118" s="239">
        <v>-8880731</v>
      </c>
      <c r="AS118" s="214" t="s">
        <v>318</v>
      </c>
      <c r="AT118" s="214" t="s">
        <v>790</v>
      </c>
      <c r="AU118" s="214" t="s">
        <v>749</v>
      </c>
      <c r="AV118" s="214" t="s">
        <v>1088</v>
      </c>
      <c r="AW118" s="214" t="s">
        <v>1088</v>
      </c>
      <c r="AX118" s="214" t="s">
        <v>1297</v>
      </c>
    </row>
    <row r="119" spans="1:50" x14ac:dyDescent="0.2">
      <c r="B119" s="610" t="s">
        <v>321</v>
      </c>
      <c r="C119" s="610" t="s">
        <v>320</v>
      </c>
      <c r="D119" s="239">
        <v>57291887</v>
      </c>
      <c r="E119" s="239">
        <v>0</v>
      </c>
      <c r="F119" s="239">
        <v>57291887</v>
      </c>
      <c r="G119" s="239">
        <v>-439</v>
      </c>
      <c r="H119" s="239">
        <v>0</v>
      </c>
      <c r="I119" s="239">
        <v>-439</v>
      </c>
      <c r="J119" s="239">
        <v>4422</v>
      </c>
      <c r="K119" s="239">
        <v>0</v>
      </c>
      <c r="L119" s="239">
        <v>4422</v>
      </c>
      <c r="M119" s="239">
        <v>0</v>
      </c>
      <c r="N119" s="239">
        <v>0</v>
      </c>
      <c r="O119" s="239">
        <v>0</v>
      </c>
      <c r="P119" s="239">
        <v>-428564</v>
      </c>
      <c r="Q119" s="239">
        <v>0</v>
      </c>
      <c r="R119" s="239">
        <v>-428564</v>
      </c>
      <c r="S119" s="239">
        <v>0</v>
      </c>
      <c r="T119" s="239">
        <v>0</v>
      </c>
      <c r="U119" s="239">
        <v>0</v>
      </c>
      <c r="V119" s="239">
        <v>-994326</v>
      </c>
      <c r="W119" s="239">
        <v>0</v>
      </c>
      <c r="X119" s="239">
        <v>-994326</v>
      </c>
      <c r="Y119" s="239">
        <v>55868558</v>
      </c>
      <c r="Z119" s="239">
        <v>0</v>
      </c>
      <c r="AA119" s="239">
        <v>55868558</v>
      </c>
      <c r="AB119" s="239">
        <v>0</v>
      </c>
      <c r="AC119" s="239">
        <v>0</v>
      </c>
      <c r="AD119" s="239">
        <v>0</v>
      </c>
      <c r="AE119" s="239">
        <v>0</v>
      </c>
      <c r="AF119" s="239">
        <v>0</v>
      </c>
      <c r="AG119" s="239">
        <v>0</v>
      </c>
      <c r="AH119" s="239">
        <v>0</v>
      </c>
      <c r="AI119" s="239">
        <v>0</v>
      </c>
      <c r="AJ119" s="239">
        <v>0</v>
      </c>
      <c r="AK119" s="239">
        <v>0</v>
      </c>
      <c r="AL119" s="239">
        <v>33252</v>
      </c>
      <c r="AM119" s="239">
        <v>0</v>
      </c>
      <c r="AN119" s="239">
        <v>0</v>
      </c>
      <c r="AO119" s="239">
        <v>0</v>
      </c>
      <c r="AP119" s="239">
        <v>0</v>
      </c>
      <c r="AQ119" s="239">
        <v>4409870</v>
      </c>
      <c r="AR119" s="239">
        <v>-876248</v>
      </c>
      <c r="AS119" s="214" t="s">
        <v>911</v>
      </c>
      <c r="AT119" s="214" t="s">
        <v>748</v>
      </c>
      <c r="AU119" s="214" t="s">
        <v>815</v>
      </c>
      <c r="AV119" s="214" t="s">
        <v>1104</v>
      </c>
      <c r="AW119" s="214" t="s">
        <v>1104</v>
      </c>
      <c r="AX119" s="214" t="s">
        <v>748</v>
      </c>
    </row>
    <row r="120" spans="1:50" x14ac:dyDescent="0.2">
      <c r="B120" s="610" t="s">
        <v>323</v>
      </c>
      <c r="C120" s="610" t="s">
        <v>322</v>
      </c>
      <c r="D120" s="239">
        <v>27313803</v>
      </c>
      <c r="E120" s="239">
        <v>0</v>
      </c>
      <c r="F120" s="239">
        <v>27313803</v>
      </c>
      <c r="G120" s="239">
        <v>-1123</v>
      </c>
      <c r="H120" s="239">
        <v>0</v>
      </c>
      <c r="I120" s="239">
        <v>-1123</v>
      </c>
      <c r="J120" s="239">
        <v>-175804</v>
      </c>
      <c r="K120" s="239">
        <v>0</v>
      </c>
      <c r="L120" s="239">
        <v>-175804</v>
      </c>
      <c r="M120" s="239">
        <v>0</v>
      </c>
      <c r="N120" s="239">
        <v>0</v>
      </c>
      <c r="O120" s="239">
        <v>0</v>
      </c>
      <c r="P120" s="239">
        <v>-112510</v>
      </c>
      <c r="Q120" s="239">
        <v>0</v>
      </c>
      <c r="R120" s="239">
        <v>-112510</v>
      </c>
      <c r="S120" s="239">
        <v>912811</v>
      </c>
      <c r="T120" s="239">
        <v>0</v>
      </c>
      <c r="U120" s="239">
        <v>912811</v>
      </c>
      <c r="V120" s="239">
        <v>-1105585</v>
      </c>
      <c r="W120" s="239">
        <v>0</v>
      </c>
      <c r="X120" s="239">
        <v>-1105585</v>
      </c>
      <c r="Y120" s="239">
        <v>27007396</v>
      </c>
      <c r="Z120" s="239">
        <v>0</v>
      </c>
      <c r="AA120" s="239">
        <v>27007396</v>
      </c>
      <c r="AB120" s="239">
        <v>0</v>
      </c>
      <c r="AC120" s="239">
        <v>0</v>
      </c>
      <c r="AD120" s="239">
        <v>0</v>
      </c>
      <c r="AE120" s="239">
        <v>0</v>
      </c>
      <c r="AF120" s="239">
        <v>0</v>
      </c>
      <c r="AG120" s="239">
        <v>0</v>
      </c>
      <c r="AH120" s="239">
        <v>0</v>
      </c>
      <c r="AI120" s="239">
        <v>0</v>
      </c>
      <c r="AJ120" s="239">
        <v>0</v>
      </c>
      <c r="AK120" s="239">
        <v>0</v>
      </c>
      <c r="AL120" s="239">
        <v>0</v>
      </c>
      <c r="AM120" s="239">
        <v>0</v>
      </c>
      <c r="AN120" s="239">
        <v>0</v>
      </c>
      <c r="AO120" s="239">
        <v>0</v>
      </c>
      <c r="AP120" s="239">
        <v>0</v>
      </c>
      <c r="AQ120" s="239">
        <v>1183936</v>
      </c>
      <c r="AR120" s="239">
        <v>-314596</v>
      </c>
      <c r="AS120" s="214" t="s">
        <v>322</v>
      </c>
      <c r="AT120" s="214" t="s">
        <v>867</v>
      </c>
      <c r="AU120" s="214" t="s">
        <v>746</v>
      </c>
      <c r="AV120" s="214" t="s">
        <v>1088</v>
      </c>
      <c r="AW120" s="214" t="s">
        <v>1088</v>
      </c>
      <c r="AX120" s="214" t="s">
        <v>1294</v>
      </c>
    </row>
    <row r="121" spans="1:50" x14ac:dyDescent="0.2">
      <c r="B121" s="610" t="s">
        <v>325</v>
      </c>
      <c r="C121" s="610" t="s">
        <v>324</v>
      </c>
      <c r="D121" s="239">
        <v>189752425</v>
      </c>
      <c r="E121" s="239">
        <v>0</v>
      </c>
      <c r="F121" s="239">
        <v>189752425</v>
      </c>
      <c r="G121" s="239">
        <v>-28243</v>
      </c>
      <c r="H121" s="239">
        <v>0</v>
      </c>
      <c r="I121" s="239">
        <v>-28243</v>
      </c>
      <c r="J121" s="239">
        <v>-1321941</v>
      </c>
      <c r="K121" s="239">
        <v>0</v>
      </c>
      <c r="L121" s="239">
        <v>-1321941</v>
      </c>
      <c r="M121" s="239">
        <v>0</v>
      </c>
      <c r="N121" s="239">
        <v>0</v>
      </c>
      <c r="O121" s="239">
        <v>0</v>
      </c>
      <c r="P121" s="239">
        <v>-3001316</v>
      </c>
      <c r="Q121" s="239">
        <v>0</v>
      </c>
      <c r="R121" s="239">
        <v>-3001316</v>
      </c>
      <c r="S121" s="239">
        <v>10242817</v>
      </c>
      <c r="T121" s="239">
        <v>0</v>
      </c>
      <c r="U121" s="239">
        <v>10242817</v>
      </c>
      <c r="V121" s="239">
        <v>14206328</v>
      </c>
      <c r="W121" s="239">
        <v>0</v>
      </c>
      <c r="X121" s="239">
        <v>14206328</v>
      </c>
      <c r="Y121" s="239">
        <v>211172011</v>
      </c>
      <c r="Z121" s="239">
        <v>0</v>
      </c>
      <c r="AA121" s="239">
        <v>211172011</v>
      </c>
      <c r="AB121" s="239">
        <v>0</v>
      </c>
      <c r="AC121" s="239">
        <v>0</v>
      </c>
      <c r="AD121" s="239">
        <v>0</v>
      </c>
      <c r="AE121" s="239">
        <v>0</v>
      </c>
      <c r="AF121" s="239">
        <v>0</v>
      </c>
      <c r="AG121" s="239">
        <v>0</v>
      </c>
      <c r="AH121" s="239">
        <v>0</v>
      </c>
      <c r="AI121" s="239">
        <v>0</v>
      </c>
      <c r="AJ121" s="239">
        <v>0</v>
      </c>
      <c r="AK121" s="239">
        <v>0</v>
      </c>
      <c r="AL121" s="239">
        <v>0</v>
      </c>
      <c r="AM121" s="239">
        <v>0</v>
      </c>
      <c r="AN121" s="239">
        <v>0</v>
      </c>
      <c r="AO121" s="239">
        <v>0</v>
      </c>
      <c r="AP121" s="239">
        <v>0</v>
      </c>
      <c r="AQ121" s="239">
        <v>22661245</v>
      </c>
      <c r="AR121" s="239">
        <v>-17738407</v>
      </c>
      <c r="AS121" s="214" t="s">
        <v>910</v>
      </c>
      <c r="AT121" s="214" t="s">
        <v>790</v>
      </c>
      <c r="AU121" s="214" t="s">
        <v>749</v>
      </c>
      <c r="AV121" s="214" t="s">
        <v>1088</v>
      </c>
      <c r="AW121" s="214" t="s">
        <v>1088</v>
      </c>
      <c r="AX121" s="214" t="s">
        <v>1297</v>
      </c>
    </row>
    <row r="122" spans="1:50" x14ac:dyDescent="0.2">
      <c r="B122" s="610" t="s">
        <v>327</v>
      </c>
      <c r="C122" s="610" t="s">
        <v>326</v>
      </c>
      <c r="D122" s="239">
        <v>38565932</v>
      </c>
      <c r="E122" s="239">
        <v>0</v>
      </c>
      <c r="F122" s="239">
        <v>38565932</v>
      </c>
      <c r="G122" s="239">
        <v>0</v>
      </c>
      <c r="H122" s="239">
        <v>0</v>
      </c>
      <c r="I122" s="239">
        <v>0</v>
      </c>
      <c r="J122" s="239">
        <v>-106933</v>
      </c>
      <c r="K122" s="239">
        <v>0</v>
      </c>
      <c r="L122" s="239">
        <v>-106933</v>
      </c>
      <c r="M122" s="239">
        <v>0</v>
      </c>
      <c r="N122" s="239">
        <v>0</v>
      </c>
      <c r="O122" s="239">
        <v>0</v>
      </c>
      <c r="P122" s="239">
        <v>-71718</v>
      </c>
      <c r="Q122" s="239">
        <v>0</v>
      </c>
      <c r="R122" s="239">
        <v>-71718</v>
      </c>
      <c r="S122" s="239">
        <v>0</v>
      </c>
      <c r="T122" s="239">
        <v>0</v>
      </c>
      <c r="U122" s="239">
        <v>0</v>
      </c>
      <c r="V122" s="239">
        <v>-1873140</v>
      </c>
      <c r="W122" s="239">
        <v>0</v>
      </c>
      <c r="X122" s="239">
        <v>-1873140</v>
      </c>
      <c r="Y122" s="239">
        <v>36621074</v>
      </c>
      <c r="Z122" s="239">
        <v>0</v>
      </c>
      <c r="AA122" s="239">
        <v>36621074</v>
      </c>
      <c r="AB122" s="239">
        <v>0</v>
      </c>
      <c r="AC122" s="239">
        <v>0</v>
      </c>
      <c r="AD122" s="239">
        <v>0</v>
      </c>
      <c r="AE122" s="239">
        <v>0</v>
      </c>
      <c r="AF122" s="239">
        <v>0</v>
      </c>
      <c r="AG122" s="239">
        <v>0</v>
      </c>
      <c r="AH122" s="239">
        <v>0</v>
      </c>
      <c r="AI122" s="239">
        <v>0</v>
      </c>
      <c r="AJ122" s="239">
        <v>0</v>
      </c>
      <c r="AK122" s="239">
        <v>0</v>
      </c>
      <c r="AL122" s="239">
        <v>0</v>
      </c>
      <c r="AM122" s="239">
        <v>0</v>
      </c>
      <c r="AN122" s="239">
        <v>0</v>
      </c>
      <c r="AO122" s="239">
        <v>0</v>
      </c>
      <c r="AP122" s="239">
        <v>0</v>
      </c>
      <c r="AQ122" s="239">
        <v>303553</v>
      </c>
      <c r="AR122" s="239">
        <v>-806718</v>
      </c>
      <c r="AS122" s="214" t="s">
        <v>326</v>
      </c>
      <c r="AT122" s="214" t="s">
        <v>884</v>
      </c>
      <c r="AU122" s="214" t="s">
        <v>869</v>
      </c>
      <c r="AV122" s="214" t="s">
        <v>1088</v>
      </c>
      <c r="AW122" s="214" t="s">
        <v>1088</v>
      </c>
      <c r="AX122" s="214" t="s">
        <v>1294</v>
      </c>
    </row>
    <row r="123" spans="1:50" x14ac:dyDescent="0.2">
      <c r="B123" s="610" t="s">
        <v>329</v>
      </c>
      <c r="C123" s="610" t="s">
        <v>328</v>
      </c>
      <c r="D123" s="239">
        <v>63081221</v>
      </c>
      <c r="E123" s="239">
        <v>0</v>
      </c>
      <c r="F123" s="239">
        <v>63081221</v>
      </c>
      <c r="G123" s="239">
        <v>-178</v>
      </c>
      <c r="H123" s="239">
        <v>0</v>
      </c>
      <c r="I123" s="239">
        <v>-178</v>
      </c>
      <c r="J123" s="239">
        <v>-1695933</v>
      </c>
      <c r="K123" s="239">
        <v>0</v>
      </c>
      <c r="L123" s="239">
        <v>-1695933</v>
      </c>
      <c r="M123" s="239">
        <v>0</v>
      </c>
      <c r="N123" s="239">
        <v>0</v>
      </c>
      <c r="O123" s="239">
        <v>0</v>
      </c>
      <c r="P123" s="239">
        <v>-1659726.07</v>
      </c>
      <c r="Q123" s="239">
        <v>0</v>
      </c>
      <c r="R123" s="239">
        <v>-1659726.07</v>
      </c>
      <c r="S123" s="239">
        <v>3911106</v>
      </c>
      <c r="T123" s="239">
        <v>0</v>
      </c>
      <c r="U123" s="239">
        <v>3911106</v>
      </c>
      <c r="V123" s="239">
        <v>-8841821</v>
      </c>
      <c r="W123" s="239">
        <v>0</v>
      </c>
      <c r="X123" s="239">
        <v>-8841821</v>
      </c>
      <c r="Y123" s="239">
        <v>56490601.93</v>
      </c>
      <c r="Z123" s="239">
        <v>0</v>
      </c>
      <c r="AA123" s="239">
        <v>56490601.93</v>
      </c>
      <c r="AB123" s="239">
        <v>0</v>
      </c>
      <c r="AC123" s="239">
        <v>0</v>
      </c>
      <c r="AD123" s="239">
        <v>0</v>
      </c>
      <c r="AE123" s="239">
        <v>0</v>
      </c>
      <c r="AF123" s="239">
        <v>0</v>
      </c>
      <c r="AG123" s="239">
        <v>0</v>
      </c>
      <c r="AH123" s="239">
        <v>0</v>
      </c>
      <c r="AI123" s="239">
        <v>0</v>
      </c>
      <c r="AJ123" s="239">
        <v>0</v>
      </c>
      <c r="AK123" s="239">
        <v>0</v>
      </c>
      <c r="AL123" s="239">
        <v>0</v>
      </c>
      <c r="AM123" s="239">
        <v>0</v>
      </c>
      <c r="AN123" s="239">
        <v>0</v>
      </c>
      <c r="AO123" s="239">
        <v>0</v>
      </c>
      <c r="AP123" s="239">
        <v>0</v>
      </c>
      <c r="AQ123" s="239">
        <v>9207265</v>
      </c>
      <c r="AR123" s="239">
        <v>-8849441</v>
      </c>
      <c r="AS123" s="214" t="s">
        <v>328</v>
      </c>
      <c r="AT123" s="214" t="s">
        <v>790</v>
      </c>
      <c r="AU123" s="214" t="s">
        <v>749</v>
      </c>
      <c r="AV123" s="214" t="s">
        <v>1088</v>
      </c>
      <c r="AW123" s="214" t="s">
        <v>1088</v>
      </c>
      <c r="AX123" s="214" t="s">
        <v>1295</v>
      </c>
    </row>
    <row r="124" spans="1:50" x14ac:dyDescent="0.2">
      <c r="B124" s="610" t="s">
        <v>331</v>
      </c>
      <c r="C124" s="610" t="s">
        <v>330</v>
      </c>
      <c r="D124" s="239">
        <v>43520830</v>
      </c>
      <c r="E124" s="239">
        <v>2587110</v>
      </c>
      <c r="F124" s="239">
        <v>46107940</v>
      </c>
      <c r="G124" s="239">
        <v>-886</v>
      </c>
      <c r="H124" s="239">
        <v>0</v>
      </c>
      <c r="I124" s="239">
        <v>-886</v>
      </c>
      <c r="J124" s="239">
        <v>-82109</v>
      </c>
      <c r="K124" s="239">
        <v>-4963</v>
      </c>
      <c r="L124" s="239">
        <v>-87072</v>
      </c>
      <c r="M124" s="239">
        <v>0</v>
      </c>
      <c r="N124" s="239">
        <v>0</v>
      </c>
      <c r="O124" s="239">
        <v>0</v>
      </c>
      <c r="P124" s="239">
        <v>-480662</v>
      </c>
      <c r="Q124" s="239">
        <v>0</v>
      </c>
      <c r="R124" s="239">
        <v>-480662</v>
      </c>
      <c r="S124" s="239">
        <v>1589730</v>
      </c>
      <c r="T124" s="239">
        <v>96091</v>
      </c>
      <c r="U124" s="239">
        <v>1685821</v>
      </c>
      <c r="V124" s="239">
        <v>159463</v>
      </c>
      <c r="W124" s="239">
        <v>0</v>
      </c>
      <c r="X124" s="239">
        <v>159463</v>
      </c>
      <c r="Y124" s="239">
        <v>44788475</v>
      </c>
      <c r="Z124" s="239">
        <v>2683201</v>
      </c>
      <c r="AA124" s="239">
        <v>47471676</v>
      </c>
      <c r="AB124" s="239">
        <v>2683201</v>
      </c>
      <c r="AC124" s="239">
        <v>2683201</v>
      </c>
      <c r="AD124" s="239">
        <v>0</v>
      </c>
      <c r="AE124" s="239">
        <v>0</v>
      </c>
      <c r="AF124" s="239">
        <v>0</v>
      </c>
      <c r="AG124" s="239">
        <v>0</v>
      </c>
      <c r="AH124" s="239">
        <v>0</v>
      </c>
      <c r="AI124" s="239">
        <v>-4074</v>
      </c>
      <c r="AJ124" s="239">
        <v>-4074</v>
      </c>
      <c r="AK124" s="239">
        <v>0</v>
      </c>
      <c r="AL124" s="239">
        <v>2938559</v>
      </c>
      <c r="AM124" s="239">
        <v>0</v>
      </c>
      <c r="AN124" s="239">
        <v>0</v>
      </c>
      <c r="AO124" s="239">
        <v>0</v>
      </c>
      <c r="AP124" s="239">
        <v>0</v>
      </c>
      <c r="AQ124" s="239">
        <v>2386136</v>
      </c>
      <c r="AR124" s="239">
        <v>-1040417</v>
      </c>
      <c r="AS124" s="214" t="s">
        <v>330</v>
      </c>
      <c r="AT124" s="214" t="s">
        <v>822</v>
      </c>
      <c r="AU124" s="214" t="s">
        <v>820</v>
      </c>
      <c r="AV124" s="214" t="s">
        <v>330</v>
      </c>
      <c r="AW124" s="214" t="s">
        <v>1088</v>
      </c>
      <c r="AX124" s="214" t="s">
        <v>1294</v>
      </c>
    </row>
    <row r="125" spans="1:50" x14ac:dyDescent="0.2">
      <c r="B125" s="610" t="s">
        <v>333</v>
      </c>
      <c r="C125" s="610" t="s">
        <v>332</v>
      </c>
      <c r="D125" s="239">
        <v>60922229</v>
      </c>
      <c r="E125" s="239">
        <v>0</v>
      </c>
      <c r="F125" s="239">
        <v>60922229</v>
      </c>
      <c r="G125" s="239">
        <v>-6584</v>
      </c>
      <c r="H125" s="239">
        <v>0</v>
      </c>
      <c r="I125" s="239">
        <v>-6584</v>
      </c>
      <c r="J125" s="239">
        <v>-262358</v>
      </c>
      <c r="K125" s="239">
        <v>0</v>
      </c>
      <c r="L125" s="239">
        <v>-262358</v>
      </c>
      <c r="M125" s="239">
        <v>0</v>
      </c>
      <c r="N125" s="239">
        <v>0</v>
      </c>
      <c r="O125" s="239">
        <v>0</v>
      </c>
      <c r="P125" s="239">
        <v>-476740</v>
      </c>
      <c r="Q125" s="239">
        <v>0</v>
      </c>
      <c r="R125" s="239">
        <v>-476740</v>
      </c>
      <c r="S125" s="239">
        <v>2172428</v>
      </c>
      <c r="T125" s="239">
        <v>0</v>
      </c>
      <c r="U125" s="239">
        <v>2172428</v>
      </c>
      <c r="V125" s="239">
        <v>-3779344</v>
      </c>
      <c r="W125" s="239">
        <v>0</v>
      </c>
      <c r="X125" s="239">
        <v>-3779344</v>
      </c>
      <c r="Y125" s="239">
        <v>58831989</v>
      </c>
      <c r="Z125" s="239">
        <v>0</v>
      </c>
      <c r="AA125" s="239">
        <v>58831989</v>
      </c>
      <c r="AB125" s="239">
        <v>0</v>
      </c>
      <c r="AC125" s="239">
        <v>0</v>
      </c>
      <c r="AD125" s="239">
        <v>0</v>
      </c>
      <c r="AE125" s="239">
        <v>0</v>
      </c>
      <c r="AF125" s="239">
        <v>0</v>
      </c>
      <c r="AG125" s="239">
        <v>0</v>
      </c>
      <c r="AH125" s="239">
        <v>0</v>
      </c>
      <c r="AI125" s="239">
        <v>0</v>
      </c>
      <c r="AJ125" s="239">
        <v>0</v>
      </c>
      <c r="AK125" s="239">
        <v>0</v>
      </c>
      <c r="AL125" s="239">
        <v>0</v>
      </c>
      <c r="AM125" s="239">
        <v>0</v>
      </c>
      <c r="AN125" s="239">
        <v>0</v>
      </c>
      <c r="AO125" s="239">
        <v>0</v>
      </c>
      <c r="AP125" s="239">
        <v>0</v>
      </c>
      <c r="AQ125" s="239">
        <v>2224677</v>
      </c>
      <c r="AR125" s="239">
        <v>-750200</v>
      </c>
      <c r="AS125" s="214" t="s">
        <v>332</v>
      </c>
      <c r="AT125" s="214" t="s">
        <v>867</v>
      </c>
      <c r="AU125" s="214" t="s">
        <v>746</v>
      </c>
      <c r="AV125" s="214" t="s">
        <v>1088</v>
      </c>
      <c r="AW125" s="214" t="s">
        <v>1088</v>
      </c>
      <c r="AX125" s="214" t="s">
        <v>1294</v>
      </c>
    </row>
    <row r="126" spans="1:50" x14ac:dyDescent="0.2">
      <c r="B126" s="610" t="s">
        <v>335</v>
      </c>
      <c r="C126" s="610" t="s">
        <v>334</v>
      </c>
      <c r="D126" s="239">
        <v>49985524</v>
      </c>
      <c r="E126" s="239">
        <v>0</v>
      </c>
      <c r="F126" s="239">
        <v>49985524</v>
      </c>
      <c r="G126" s="239">
        <v>-14</v>
      </c>
      <c r="H126" s="239">
        <v>0</v>
      </c>
      <c r="I126" s="239">
        <v>-14</v>
      </c>
      <c r="J126" s="239">
        <v>-899541</v>
      </c>
      <c r="K126" s="239">
        <v>0</v>
      </c>
      <c r="L126" s="239">
        <v>-899541</v>
      </c>
      <c r="M126" s="239">
        <v>0</v>
      </c>
      <c r="N126" s="239">
        <v>0</v>
      </c>
      <c r="O126" s="239">
        <v>0</v>
      </c>
      <c r="P126" s="239">
        <v>-1400809</v>
      </c>
      <c r="Q126" s="239">
        <v>0</v>
      </c>
      <c r="R126" s="239">
        <v>-1400809</v>
      </c>
      <c r="S126" s="239">
        <v>2455692</v>
      </c>
      <c r="T126" s="239">
        <v>0</v>
      </c>
      <c r="U126" s="239">
        <v>2455692</v>
      </c>
      <c r="V126" s="239">
        <v>344308</v>
      </c>
      <c r="W126" s="239">
        <v>0</v>
      </c>
      <c r="X126" s="239">
        <v>344308</v>
      </c>
      <c r="Y126" s="239">
        <v>51384701</v>
      </c>
      <c r="Z126" s="239">
        <v>0</v>
      </c>
      <c r="AA126" s="239">
        <v>51384701</v>
      </c>
      <c r="AB126" s="239">
        <v>0</v>
      </c>
      <c r="AC126" s="239">
        <v>0</v>
      </c>
      <c r="AD126" s="239">
        <v>0</v>
      </c>
      <c r="AE126" s="239">
        <v>0</v>
      </c>
      <c r="AF126" s="239">
        <v>0</v>
      </c>
      <c r="AG126" s="239">
        <v>0</v>
      </c>
      <c r="AH126" s="239">
        <v>0</v>
      </c>
      <c r="AI126" s="239">
        <v>0</v>
      </c>
      <c r="AJ126" s="239">
        <v>0</v>
      </c>
      <c r="AK126" s="239">
        <v>0</v>
      </c>
      <c r="AL126" s="239">
        <v>0</v>
      </c>
      <c r="AM126" s="239">
        <v>0</v>
      </c>
      <c r="AN126" s="239">
        <v>0</v>
      </c>
      <c r="AO126" s="239">
        <v>0</v>
      </c>
      <c r="AP126" s="239">
        <v>0</v>
      </c>
      <c r="AQ126" s="239">
        <v>4000508</v>
      </c>
      <c r="AR126" s="239">
        <v>-419985</v>
      </c>
      <c r="AS126" s="214" t="s">
        <v>334</v>
      </c>
      <c r="AT126" s="214" t="s">
        <v>790</v>
      </c>
      <c r="AU126" s="214" t="s">
        <v>749</v>
      </c>
      <c r="AV126" s="214" t="s">
        <v>1088</v>
      </c>
      <c r="AW126" s="214" t="s">
        <v>1088</v>
      </c>
      <c r="AX126" s="214" t="s">
        <v>1295</v>
      </c>
    </row>
    <row r="127" spans="1:50" x14ac:dyDescent="0.2">
      <c r="B127" s="610" t="s">
        <v>337</v>
      </c>
      <c r="C127" s="610" t="s">
        <v>336</v>
      </c>
      <c r="D127" s="239">
        <v>26775754</v>
      </c>
      <c r="E127" s="239">
        <v>0</v>
      </c>
      <c r="F127" s="239">
        <v>26775754</v>
      </c>
      <c r="G127" s="239">
        <v>-48845</v>
      </c>
      <c r="H127" s="239">
        <v>0</v>
      </c>
      <c r="I127" s="239">
        <v>-48845</v>
      </c>
      <c r="J127" s="239">
        <v>-152359</v>
      </c>
      <c r="K127" s="239">
        <v>0</v>
      </c>
      <c r="L127" s="239">
        <v>-152359</v>
      </c>
      <c r="M127" s="239">
        <v>0</v>
      </c>
      <c r="N127" s="239">
        <v>0</v>
      </c>
      <c r="O127" s="239">
        <v>0</v>
      </c>
      <c r="P127" s="239">
        <v>-178309</v>
      </c>
      <c r="Q127" s="239">
        <v>0</v>
      </c>
      <c r="R127" s="239">
        <v>-178309</v>
      </c>
      <c r="S127" s="239">
        <v>1534046</v>
      </c>
      <c r="T127" s="239">
        <v>0</v>
      </c>
      <c r="U127" s="239">
        <v>1534046</v>
      </c>
      <c r="V127" s="239">
        <v>-1731462</v>
      </c>
      <c r="W127" s="239">
        <v>0</v>
      </c>
      <c r="X127" s="239">
        <v>-1731462</v>
      </c>
      <c r="Y127" s="239">
        <v>26351184</v>
      </c>
      <c r="Z127" s="239">
        <v>0</v>
      </c>
      <c r="AA127" s="239">
        <v>26351184</v>
      </c>
      <c r="AB127" s="239">
        <v>0</v>
      </c>
      <c r="AC127" s="239">
        <v>0</v>
      </c>
      <c r="AD127" s="239">
        <v>0</v>
      </c>
      <c r="AE127" s="239">
        <v>0</v>
      </c>
      <c r="AF127" s="239">
        <v>0</v>
      </c>
      <c r="AG127" s="239">
        <v>0</v>
      </c>
      <c r="AH127" s="239">
        <v>0</v>
      </c>
      <c r="AI127" s="239">
        <v>0</v>
      </c>
      <c r="AJ127" s="239">
        <v>0</v>
      </c>
      <c r="AK127" s="239">
        <v>0</v>
      </c>
      <c r="AL127" s="239">
        <v>0</v>
      </c>
      <c r="AM127" s="239">
        <v>0</v>
      </c>
      <c r="AN127" s="239">
        <v>0</v>
      </c>
      <c r="AO127" s="239">
        <v>0</v>
      </c>
      <c r="AP127" s="239">
        <v>0</v>
      </c>
      <c r="AQ127" s="239">
        <v>1594695</v>
      </c>
      <c r="AR127" s="239">
        <v>-641693</v>
      </c>
      <c r="AS127" s="214" t="s">
        <v>336</v>
      </c>
      <c r="AT127" s="214" t="s">
        <v>779</v>
      </c>
      <c r="AU127" s="214" t="s">
        <v>777</v>
      </c>
      <c r="AV127" s="214" t="s">
        <v>1088</v>
      </c>
      <c r="AW127" s="214" t="s">
        <v>1088</v>
      </c>
      <c r="AX127" s="214" t="s">
        <v>1294</v>
      </c>
    </row>
    <row r="128" spans="1:50" x14ac:dyDescent="0.2">
      <c r="B128" s="610" t="s">
        <v>339</v>
      </c>
      <c r="C128" s="610" t="s">
        <v>338</v>
      </c>
      <c r="D128" s="239">
        <v>27932077</v>
      </c>
      <c r="E128" s="239">
        <v>0</v>
      </c>
      <c r="F128" s="239">
        <v>27932077</v>
      </c>
      <c r="G128" s="239">
        <v>0</v>
      </c>
      <c r="H128" s="239">
        <v>0</v>
      </c>
      <c r="I128" s="239">
        <v>0</v>
      </c>
      <c r="J128" s="239">
        <v>-73629</v>
      </c>
      <c r="K128" s="239">
        <v>0</v>
      </c>
      <c r="L128" s="239">
        <v>-73629</v>
      </c>
      <c r="M128" s="239">
        <v>0</v>
      </c>
      <c r="N128" s="239">
        <v>0</v>
      </c>
      <c r="O128" s="239">
        <v>0</v>
      </c>
      <c r="P128" s="239">
        <v>-277674</v>
      </c>
      <c r="Q128" s="239">
        <v>0</v>
      </c>
      <c r="R128" s="239">
        <v>-277674</v>
      </c>
      <c r="S128" s="239">
        <v>14904423</v>
      </c>
      <c r="T128" s="239">
        <v>0</v>
      </c>
      <c r="U128" s="239">
        <v>14904423</v>
      </c>
      <c r="V128" s="239">
        <v>-18259795</v>
      </c>
      <c r="W128" s="239">
        <v>0</v>
      </c>
      <c r="X128" s="239">
        <v>-18259795</v>
      </c>
      <c r="Y128" s="239">
        <v>24299031</v>
      </c>
      <c r="Z128" s="239">
        <v>0</v>
      </c>
      <c r="AA128" s="239">
        <v>24299031</v>
      </c>
      <c r="AB128" s="239">
        <v>0</v>
      </c>
      <c r="AC128" s="239">
        <v>0</v>
      </c>
      <c r="AD128" s="239">
        <v>0</v>
      </c>
      <c r="AE128" s="239">
        <v>0</v>
      </c>
      <c r="AF128" s="239">
        <v>0</v>
      </c>
      <c r="AG128" s="239">
        <v>0</v>
      </c>
      <c r="AH128" s="239">
        <v>0</v>
      </c>
      <c r="AI128" s="239">
        <v>0</v>
      </c>
      <c r="AJ128" s="239">
        <v>0</v>
      </c>
      <c r="AK128" s="239">
        <v>0</v>
      </c>
      <c r="AL128" s="239">
        <v>0</v>
      </c>
      <c r="AM128" s="239">
        <v>0</v>
      </c>
      <c r="AN128" s="239">
        <v>0</v>
      </c>
      <c r="AO128" s="239">
        <v>0</v>
      </c>
      <c r="AP128" s="239">
        <v>0</v>
      </c>
      <c r="AQ128" s="239">
        <v>2228612</v>
      </c>
      <c r="AR128" s="239">
        <v>-4664136</v>
      </c>
      <c r="AS128" s="214" t="s">
        <v>909</v>
      </c>
      <c r="AT128" s="214" t="s">
        <v>748</v>
      </c>
      <c r="AU128" s="214" t="s">
        <v>844</v>
      </c>
      <c r="AV128" s="214" t="s">
        <v>1105</v>
      </c>
      <c r="AW128" s="214" t="s">
        <v>1088</v>
      </c>
      <c r="AX128" s="214" t="s">
        <v>748</v>
      </c>
    </row>
    <row r="129" spans="2:50" x14ac:dyDescent="0.2">
      <c r="B129" s="610" t="s">
        <v>341</v>
      </c>
      <c r="C129" s="610" t="s">
        <v>340</v>
      </c>
      <c r="D129" s="239">
        <v>21562461</v>
      </c>
      <c r="E129" s="239">
        <v>0</v>
      </c>
      <c r="F129" s="239">
        <v>21562461</v>
      </c>
      <c r="G129" s="239">
        <v>0</v>
      </c>
      <c r="H129" s="239">
        <v>0</v>
      </c>
      <c r="I129" s="239">
        <v>0</v>
      </c>
      <c r="J129" s="239">
        <v>-232581</v>
      </c>
      <c r="K129" s="239">
        <v>0</v>
      </c>
      <c r="L129" s="239">
        <v>-232581</v>
      </c>
      <c r="M129" s="239">
        <v>-5371</v>
      </c>
      <c r="N129" s="239">
        <v>0</v>
      </c>
      <c r="O129" s="239">
        <v>-5371</v>
      </c>
      <c r="P129" s="239">
        <v>-305473</v>
      </c>
      <c r="Q129" s="239">
        <v>0</v>
      </c>
      <c r="R129" s="239">
        <v>-305473</v>
      </c>
      <c r="S129" s="239">
        <v>363756</v>
      </c>
      <c r="T129" s="239">
        <v>0</v>
      </c>
      <c r="U129" s="239">
        <v>363756</v>
      </c>
      <c r="V129" s="239">
        <v>-1502756</v>
      </c>
      <c r="W129" s="239">
        <v>0</v>
      </c>
      <c r="X129" s="239">
        <v>-1502756</v>
      </c>
      <c r="Y129" s="239">
        <v>20112617</v>
      </c>
      <c r="Z129" s="239">
        <v>0</v>
      </c>
      <c r="AA129" s="239">
        <v>20112617</v>
      </c>
      <c r="AB129" s="239">
        <v>0</v>
      </c>
      <c r="AC129" s="239">
        <v>0</v>
      </c>
      <c r="AD129" s="239">
        <v>0</v>
      </c>
      <c r="AE129" s="239">
        <v>0</v>
      </c>
      <c r="AF129" s="239">
        <v>0</v>
      </c>
      <c r="AG129" s="239">
        <v>0</v>
      </c>
      <c r="AH129" s="239">
        <v>0</v>
      </c>
      <c r="AI129" s="239">
        <v>0</v>
      </c>
      <c r="AJ129" s="239">
        <v>0</v>
      </c>
      <c r="AK129" s="239">
        <v>0</v>
      </c>
      <c r="AL129" s="239">
        <v>0</v>
      </c>
      <c r="AM129" s="239">
        <v>0</v>
      </c>
      <c r="AN129" s="239">
        <v>0</v>
      </c>
      <c r="AO129" s="239">
        <v>0</v>
      </c>
      <c r="AP129" s="239">
        <v>0</v>
      </c>
      <c r="AQ129" s="239">
        <v>1130098</v>
      </c>
      <c r="AR129" s="239">
        <v>-256392</v>
      </c>
      <c r="AS129" s="214" t="s">
        <v>340</v>
      </c>
      <c r="AT129" s="214" t="s">
        <v>809</v>
      </c>
      <c r="AU129" s="214" t="s">
        <v>807</v>
      </c>
      <c r="AV129" s="214" t="s">
        <v>1088</v>
      </c>
      <c r="AW129" s="214" t="s">
        <v>1088</v>
      </c>
      <c r="AX129" s="214" t="s">
        <v>1294</v>
      </c>
    </row>
    <row r="130" spans="2:50" x14ac:dyDescent="0.2">
      <c r="B130" s="610" t="s">
        <v>343</v>
      </c>
      <c r="C130" s="610" t="s">
        <v>342</v>
      </c>
      <c r="D130" s="239">
        <v>33531946</v>
      </c>
      <c r="E130" s="239">
        <v>0</v>
      </c>
      <c r="F130" s="239">
        <v>33531946</v>
      </c>
      <c r="G130" s="239">
        <v>-18149</v>
      </c>
      <c r="H130" s="239">
        <v>0</v>
      </c>
      <c r="I130" s="239">
        <v>-18149</v>
      </c>
      <c r="J130" s="239">
        <v>-192776</v>
      </c>
      <c r="K130" s="239">
        <v>0</v>
      </c>
      <c r="L130" s="239">
        <v>-192776</v>
      </c>
      <c r="M130" s="239">
        <v>-53000</v>
      </c>
      <c r="N130" s="239">
        <v>0</v>
      </c>
      <c r="O130" s="239">
        <v>-53000</v>
      </c>
      <c r="P130" s="239">
        <v>0</v>
      </c>
      <c r="Q130" s="239">
        <v>0</v>
      </c>
      <c r="R130" s="239">
        <v>0</v>
      </c>
      <c r="S130" s="239">
        <v>847000</v>
      </c>
      <c r="T130" s="239">
        <v>0</v>
      </c>
      <c r="U130" s="239">
        <v>847000</v>
      </c>
      <c r="V130" s="239">
        <v>-1660198</v>
      </c>
      <c r="W130" s="239">
        <v>0</v>
      </c>
      <c r="X130" s="239">
        <v>-1660198</v>
      </c>
      <c r="Y130" s="239">
        <v>32647599</v>
      </c>
      <c r="Z130" s="239">
        <v>0</v>
      </c>
      <c r="AA130" s="239">
        <v>32647599</v>
      </c>
      <c r="AB130" s="239">
        <v>0</v>
      </c>
      <c r="AC130" s="239">
        <v>0</v>
      </c>
      <c r="AD130" s="239">
        <v>0</v>
      </c>
      <c r="AE130" s="239">
        <v>0</v>
      </c>
      <c r="AF130" s="239">
        <v>0</v>
      </c>
      <c r="AG130" s="239">
        <v>0</v>
      </c>
      <c r="AH130" s="239">
        <v>0</v>
      </c>
      <c r="AI130" s="239">
        <v>0</v>
      </c>
      <c r="AJ130" s="239">
        <v>0</v>
      </c>
      <c r="AK130" s="239">
        <v>0</v>
      </c>
      <c r="AL130" s="239">
        <v>0</v>
      </c>
      <c r="AM130" s="239">
        <v>0</v>
      </c>
      <c r="AN130" s="239">
        <v>0</v>
      </c>
      <c r="AO130" s="239">
        <v>0</v>
      </c>
      <c r="AP130" s="239">
        <v>0</v>
      </c>
      <c r="AQ130" s="239">
        <v>455387</v>
      </c>
      <c r="AR130" s="239">
        <v>-410721</v>
      </c>
      <c r="AS130" s="214" t="s">
        <v>342</v>
      </c>
      <c r="AT130" s="214" t="s">
        <v>779</v>
      </c>
      <c r="AU130" s="214" t="s">
        <v>777</v>
      </c>
      <c r="AV130" s="214" t="s">
        <v>1088</v>
      </c>
      <c r="AW130" s="214" t="s">
        <v>1088</v>
      </c>
      <c r="AX130" s="214" t="s">
        <v>1294</v>
      </c>
    </row>
    <row r="131" spans="2:50" x14ac:dyDescent="0.2">
      <c r="B131" s="610" t="s">
        <v>345</v>
      </c>
      <c r="C131" s="610" t="s">
        <v>344</v>
      </c>
      <c r="D131" s="239">
        <v>73817683</v>
      </c>
      <c r="E131" s="239">
        <v>0</v>
      </c>
      <c r="F131" s="239">
        <v>73817683</v>
      </c>
      <c r="G131" s="239">
        <v>0</v>
      </c>
      <c r="H131" s="239">
        <v>0</v>
      </c>
      <c r="I131" s="239">
        <v>0</v>
      </c>
      <c r="J131" s="239">
        <v>-2933515</v>
      </c>
      <c r="K131" s="239">
        <v>0</v>
      </c>
      <c r="L131" s="239">
        <v>-2933515</v>
      </c>
      <c r="M131" s="239">
        <v>-66912.83</v>
      </c>
      <c r="N131" s="239">
        <v>0</v>
      </c>
      <c r="O131" s="239">
        <v>-66912.83</v>
      </c>
      <c r="P131" s="239">
        <v>-1617417</v>
      </c>
      <c r="Q131" s="239">
        <v>0</v>
      </c>
      <c r="R131" s="239">
        <v>-1617417</v>
      </c>
      <c r="S131" s="239">
        <v>831416</v>
      </c>
      <c r="T131" s="239">
        <v>0</v>
      </c>
      <c r="U131" s="239">
        <v>831416</v>
      </c>
      <c r="V131" s="239">
        <v>-5410580</v>
      </c>
      <c r="W131" s="239">
        <v>0</v>
      </c>
      <c r="X131" s="239">
        <v>-5410580</v>
      </c>
      <c r="Y131" s="239">
        <v>67554189.170000002</v>
      </c>
      <c r="Z131" s="239">
        <v>0</v>
      </c>
      <c r="AA131" s="239">
        <v>67554189.170000002</v>
      </c>
      <c r="AB131" s="239">
        <v>0</v>
      </c>
      <c r="AC131" s="239">
        <v>0</v>
      </c>
      <c r="AD131" s="239">
        <v>0</v>
      </c>
      <c r="AE131" s="239">
        <v>0</v>
      </c>
      <c r="AF131" s="239">
        <v>0</v>
      </c>
      <c r="AG131" s="239">
        <v>0</v>
      </c>
      <c r="AH131" s="239">
        <v>0</v>
      </c>
      <c r="AI131" s="239">
        <v>0</v>
      </c>
      <c r="AJ131" s="239">
        <v>0</v>
      </c>
      <c r="AK131" s="239">
        <v>0</v>
      </c>
      <c r="AL131" s="239">
        <v>0</v>
      </c>
      <c r="AM131" s="239">
        <v>0</v>
      </c>
      <c r="AN131" s="239">
        <v>0</v>
      </c>
      <c r="AO131" s="239">
        <v>0</v>
      </c>
      <c r="AP131" s="239">
        <v>0</v>
      </c>
      <c r="AQ131" s="239">
        <v>3488784</v>
      </c>
      <c r="AR131" s="239">
        <v>-2761743</v>
      </c>
      <c r="AS131" s="214" t="s">
        <v>344</v>
      </c>
      <c r="AT131" s="214" t="s">
        <v>790</v>
      </c>
      <c r="AU131" s="214" t="s">
        <v>749</v>
      </c>
      <c r="AV131" s="214" t="s">
        <v>1088</v>
      </c>
      <c r="AW131" s="214" t="s">
        <v>1088</v>
      </c>
      <c r="AX131" s="214" t="s">
        <v>1295</v>
      </c>
    </row>
    <row r="132" spans="2:50" x14ac:dyDescent="0.2">
      <c r="B132" s="610" t="s">
        <v>347</v>
      </c>
      <c r="C132" s="610" t="s">
        <v>346</v>
      </c>
      <c r="D132" s="239">
        <v>48371308</v>
      </c>
      <c r="E132" s="239">
        <v>154493</v>
      </c>
      <c r="F132" s="239">
        <v>48525801</v>
      </c>
      <c r="G132" s="239">
        <v>0</v>
      </c>
      <c r="H132" s="239">
        <v>0</v>
      </c>
      <c r="I132" s="239">
        <v>0</v>
      </c>
      <c r="J132" s="239">
        <v>-109361</v>
      </c>
      <c r="K132" s="239">
        <v>0</v>
      </c>
      <c r="L132" s="239">
        <v>-109361</v>
      </c>
      <c r="M132" s="239">
        <v>0</v>
      </c>
      <c r="N132" s="239">
        <v>0</v>
      </c>
      <c r="O132" s="239">
        <v>0</v>
      </c>
      <c r="P132" s="239">
        <v>-368400</v>
      </c>
      <c r="Q132" s="239">
        <v>0</v>
      </c>
      <c r="R132" s="239">
        <v>-368400</v>
      </c>
      <c r="S132" s="239">
        <v>981410</v>
      </c>
      <c r="T132" s="239">
        <v>0</v>
      </c>
      <c r="U132" s="239">
        <v>981410</v>
      </c>
      <c r="V132" s="239">
        <v>-1501588</v>
      </c>
      <c r="W132" s="239">
        <v>0</v>
      </c>
      <c r="X132" s="239">
        <v>-1501588</v>
      </c>
      <c r="Y132" s="239">
        <v>47482730</v>
      </c>
      <c r="Z132" s="239">
        <v>154493</v>
      </c>
      <c r="AA132" s="239">
        <v>47637223</v>
      </c>
      <c r="AB132" s="239">
        <v>154493</v>
      </c>
      <c r="AC132" s="239">
        <v>154493</v>
      </c>
      <c r="AD132" s="239">
        <v>0</v>
      </c>
      <c r="AE132" s="239">
        <v>82333</v>
      </c>
      <c r="AF132" s="239">
        <v>82333</v>
      </c>
      <c r="AG132" s="239">
        <v>0</v>
      </c>
      <c r="AH132" s="239">
        <v>0</v>
      </c>
      <c r="AI132" s="239">
        <v>0</v>
      </c>
      <c r="AJ132" s="239">
        <v>0</v>
      </c>
      <c r="AK132" s="239">
        <v>0</v>
      </c>
      <c r="AL132" s="239">
        <v>234538</v>
      </c>
      <c r="AM132" s="239">
        <v>0</v>
      </c>
      <c r="AN132" s="239">
        <v>0</v>
      </c>
      <c r="AO132" s="239">
        <v>0</v>
      </c>
      <c r="AP132" s="239">
        <v>0</v>
      </c>
      <c r="AQ132" s="239">
        <v>1422508</v>
      </c>
      <c r="AR132" s="239">
        <v>-836745</v>
      </c>
      <c r="AS132" s="214" t="s">
        <v>908</v>
      </c>
      <c r="AT132" s="214" t="s">
        <v>748</v>
      </c>
      <c r="AU132" s="214" t="s">
        <v>751</v>
      </c>
      <c r="AV132" s="214" t="s">
        <v>1106</v>
      </c>
      <c r="AW132" s="214" t="s">
        <v>1088</v>
      </c>
      <c r="AX132" s="214" t="s">
        <v>748</v>
      </c>
    </row>
    <row r="133" spans="2:50" x14ac:dyDescent="0.2">
      <c r="B133" s="610" t="s">
        <v>349</v>
      </c>
      <c r="C133" s="610" t="s">
        <v>348</v>
      </c>
      <c r="D133" s="239">
        <v>46464371</v>
      </c>
      <c r="E133" s="239">
        <v>0</v>
      </c>
      <c r="F133" s="239">
        <v>46464371</v>
      </c>
      <c r="G133" s="239">
        <v>-4576</v>
      </c>
      <c r="H133" s="239">
        <v>0</v>
      </c>
      <c r="I133" s="239">
        <v>-4576</v>
      </c>
      <c r="J133" s="239">
        <v>-44081</v>
      </c>
      <c r="K133" s="239">
        <v>0</v>
      </c>
      <c r="L133" s="239">
        <v>-44081</v>
      </c>
      <c r="M133" s="239">
        <v>0</v>
      </c>
      <c r="N133" s="239">
        <v>0</v>
      </c>
      <c r="O133" s="239">
        <v>0</v>
      </c>
      <c r="P133" s="239">
        <v>-106547</v>
      </c>
      <c r="Q133" s="239">
        <v>0</v>
      </c>
      <c r="R133" s="239">
        <v>-106547</v>
      </c>
      <c r="S133" s="239">
        <v>1112878</v>
      </c>
      <c r="T133" s="239">
        <v>0</v>
      </c>
      <c r="U133" s="239">
        <v>1112878</v>
      </c>
      <c r="V133" s="239">
        <v>-3417884</v>
      </c>
      <c r="W133" s="239">
        <v>0</v>
      </c>
      <c r="X133" s="239">
        <v>-3417884</v>
      </c>
      <c r="Y133" s="239">
        <v>44048242</v>
      </c>
      <c r="Z133" s="239">
        <v>0</v>
      </c>
      <c r="AA133" s="239">
        <v>44048242</v>
      </c>
      <c r="AB133" s="239">
        <v>0</v>
      </c>
      <c r="AC133" s="239">
        <v>0</v>
      </c>
      <c r="AD133" s="239">
        <v>0</v>
      </c>
      <c r="AE133" s="239">
        <v>0</v>
      </c>
      <c r="AF133" s="239">
        <v>0</v>
      </c>
      <c r="AG133" s="239">
        <v>0</v>
      </c>
      <c r="AH133" s="239">
        <v>0</v>
      </c>
      <c r="AI133" s="239">
        <v>0</v>
      </c>
      <c r="AJ133" s="239">
        <v>0</v>
      </c>
      <c r="AK133" s="239">
        <v>0</v>
      </c>
      <c r="AL133" s="239">
        <v>0</v>
      </c>
      <c r="AM133" s="239">
        <v>0</v>
      </c>
      <c r="AN133" s="239">
        <v>0</v>
      </c>
      <c r="AO133" s="239">
        <v>0</v>
      </c>
      <c r="AP133" s="239">
        <v>0</v>
      </c>
      <c r="AQ133" s="239">
        <v>1232840</v>
      </c>
      <c r="AR133" s="239">
        <v>-1775662</v>
      </c>
      <c r="AS133" s="214" t="s">
        <v>348</v>
      </c>
      <c r="AT133" s="214" t="s">
        <v>803</v>
      </c>
      <c r="AU133" s="214" t="s">
        <v>763</v>
      </c>
      <c r="AV133" s="214" t="s">
        <v>1088</v>
      </c>
      <c r="AW133" s="214" t="s">
        <v>1088</v>
      </c>
      <c r="AX133" s="214" t="s">
        <v>1294</v>
      </c>
    </row>
    <row r="134" spans="2:50" x14ac:dyDescent="0.2">
      <c r="B134" s="610" t="s">
        <v>351</v>
      </c>
      <c r="C134" s="610" t="s">
        <v>350</v>
      </c>
      <c r="D134" s="239">
        <v>24246049</v>
      </c>
      <c r="E134" s="239">
        <v>0</v>
      </c>
      <c r="F134" s="239">
        <v>24246049</v>
      </c>
      <c r="G134" s="239">
        <v>0</v>
      </c>
      <c r="H134" s="239">
        <v>0</v>
      </c>
      <c r="I134" s="239">
        <v>0</v>
      </c>
      <c r="J134" s="239">
        <v>-333033</v>
      </c>
      <c r="K134" s="239">
        <v>0</v>
      </c>
      <c r="L134" s="239">
        <v>-333033</v>
      </c>
      <c r="M134" s="239">
        <v>0</v>
      </c>
      <c r="N134" s="239">
        <v>0</v>
      </c>
      <c r="O134" s="239">
        <v>0</v>
      </c>
      <c r="P134" s="239">
        <v>-76841</v>
      </c>
      <c r="Q134" s="239">
        <v>0</v>
      </c>
      <c r="R134" s="239">
        <v>-76841</v>
      </c>
      <c r="S134" s="239">
        <v>140981</v>
      </c>
      <c r="T134" s="239">
        <v>0</v>
      </c>
      <c r="U134" s="239">
        <v>140981</v>
      </c>
      <c r="V134" s="239">
        <v>-713501</v>
      </c>
      <c r="W134" s="239">
        <v>0</v>
      </c>
      <c r="X134" s="239">
        <v>-713501</v>
      </c>
      <c r="Y134" s="239">
        <v>23596688</v>
      </c>
      <c r="Z134" s="239">
        <v>0</v>
      </c>
      <c r="AA134" s="239">
        <v>23596688</v>
      </c>
      <c r="AB134" s="239">
        <v>0</v>
      </c>
      <c r="AC134" s="239">
        <v>0</v>
      </c>
      <c r="AD134" s="239">
        <v>0</v>
      </c>
      <c r="AE134" s="239">
        <v>0</v>
      </c>
      <c r="AF134" s="239">
        <v>0</v>
      </c>
      <c r="AG134" s="239">
        <v>0</v>
      </c>
      <c r="AH134" s="239">
        <v>0</v>
      </c>
      <c r="AI134" s="239">
        <v>0</v>
      </c>
      <c r="AJ134" s="239">
        <v>0</v>
      </c>
      <c r="AK134" s="239">
        <v>0</v>
      </c>
      <c r="AL134" s="239">
        <v>0</v>
      </c>
      <c r="AM134" s="239">
        <v>0</v>
      </c>
      <c r="AN134" s="239">
        <v>0</v>
      </c>
      <c r="AO134" s="239">
        <v>0</v>
      </c>
      <c r="AP134" s="239">
        <v>0</v>
      </c>
      <c r="AQ134" s="239">
        <v>1009685</v>
      </c>
      <c r="AR134" s="239">
        <v>-214580</v>
      </c>
      <c r="AS134" s="214" t="s">
        <v>350</v>
      </c>
      <c r="AT134" s="214" t="s">
        <v>858</v>
      </c>
      <c r="AU134" s="214" t="s">
        <v>856</v>
      </c>
      <c r="AV134" s="214" t="s">
        <v>1088</v>
      </c>
      <c r="AW134" s="214" t="s">
        <v>1088</v>
      </c>
      <c r="AX134" s="214" t="s">
        <v>1294</v>
      </c>
    </row>
    <row r="135" spans="2:50" x14ac:dyDescent="0.2">
      <c r="B135" s="610" t="s">
        <v>353</v>
      </c>
      <c r="C135" s="610" t="s">
        <v>352</v>
      </c>
      <c r="D135" s="239">
        <v>375239375</v>
      </c>
      <c r="E135" s="239">
        <v>0</v>
      </c>
      <c r="F135" s="239">
        <v>375239375</v>
      </c>
      <c r="G135" s="239">
        <v>-19845</v>
      </c>
      <c r="H135" s="239">
        <v>0</v>
      </c>
      <c r="I135" s="239">
        <v>-19845</v>
      </c>
      <c r="J135" s="239">
        <v>-646335</v>
      </c>
      <c r="K135" s="239">
        <v>0</v>
      </c>
      <c r="L135" s="239">
        <v>-646335</v>
      </c>
      <c r="M135" s="239">
        <v>-150369</v>
      </c>
      <c r="N135" s="239">
        <v>0</v>
      </c>
      <c r="O135" s="239">
        <v>-150369</v>
      </c>
      <c r="P135" s="239">
        <v>-635846</v>
      </c>
      <c r="Q135" s="239">
        <v>0</v>
      </c>
      <c r="R135" s="239">
        <v>-635846</v>
      </c>
      <c r="S135" s="239">
        <v>1012000</v>
      </c>
      <c r="T135" s="239">
        <v>0</v>
      </c>
      <c r="U135" s="239">
        <v>1012000</v>
      </c>
      <c r="V135" s="239">
        <v>-4101398</v>
      </c>
      <c r="W135" s="239">
        <v>0</v>
      </c>
      <c r="X135" s="239">
        <v>-4101398</v>
      </c>
      <c r="Y135" s="239">
        <v>371343917</v>
      </c>
      <c r="Z135" s="239">
        <v>0</v>
      </c>
      <c r="AA135" s="239">
        <v>371343917</v>
      </c>
      <c r="AB135" s="239">
        <v>0</v>
      </c>
      <c r="AC135" s="239">
        <v>0</v>
      </c>
      <c r="AD135" s="239">
        <v>0</v>
      </c>
      <c r="AE135" s="239">
        <v>0</v>
      </c>
      <c r="AF135" s="239">
        <v>0</v>
      </c>
      <c r="AG135" s="239">
        <v>0</v>
      </c>
      <c r="AH135" s="239">
        <v>0</v>
      </c>
      <c r="AI135" s="239">
        <v>0</v>
      </c>
      <c r="AJ135" s="239">
        <v>0</v>
      </c>
      <c r="AK135" s="239">
        <v>0</v>
      </c>
      <c r="AL135" s="239">
        <v>0</v>
      </c>
      <c r="AM135" s="239">
        <v>0</v>
      </c>
      <c r="AN135" s="239">
        <v>0</v>
      </c>
      <c r="AO135" s="239">
        <v>0</v>
      </c>
      <c r="AP135" s="239">
        <v>0</v>
      </c>
      <c r="AQ135" s="239">
        <v>18136867</v>
      </c>
      <c r="AR135" s="239">
        <v>-7167717</v>
      </c>
      <c r="AS135" s="214" t="s">
        <v>352</v>
      </c>
      <c r="AT135" s="214" t="s">
        <v>790</v>
      </c>
      <c r="AU135" s="214" t="s">
        <v>749</v>
      </c>
      <c r="AV135" s="214" t="s">
        <v>1088</v>
      </c>
      <c r="AW135" s="214" t="s">
        <v>1088</v>
      </c>
      <c r="AX135" s="214" t="s">
        <v>1295</v>
      </c>
    </row>
    <row r="136" spans="2:50" x14ac:dyDescent="0.2">
      <c r="B136" s="610" t="s">
        <v>355</v>
      </c>
      <c r="C136" s="610" t="s">
        <v>354</v>
      </c>
      <c r="D136" s="239">
        <v>29614765</v>
      </c>
      <c r="E136" s="239">
        <v>1004386</v>
      </c>
      <c r="F136" s="239">
        <v>30619151</v>
      </c>
      <c r="G136" s="239">
        <v>0</v>
      </c>
      <c r="H136" s="239">
        <v>0</v>
      </c>
      <c r="I136" s="239">
        <v>0</v>
      </c>
      <c r="J136" s="239">
        <v>-158778</v>
      </c>
      <c r="K136" s="239">
        <v>0</v>
      </c>
      <c r="L136" s="239">
        <v>-158778</v>
      </c>
      <c r="M136" s="239">
        <v>-99105</v>
      </c>
      <c r="N136" s="239">
        <v>0</v>
      </c>
      <c r="O136" s="239">
        <v>-99105</v>
      </c>
      <c r="P136" s="239">
        <v>-162903</v>
      </c>
      <c r="Q136" s="239">
        <v>0</v>
      </c>
      <c r="R136" s="239">
        <v>-162903</v>
      </c>
      <c r="S136" s="239">
        <v>333851</v>
      </c>
      <c r="T136" s="239">
        <v>0</v>
      </c>
      <c r="U136" s="239">
        <v>333851</v>
      </c>
      <c r="V136" s="239">
        <v>-815866</v>
      </c>
      <c r="W136" s="239">
        <v>0</v>
      </c>
      <c r="X136" s="239">
        <v>-815866</v>
      </c>
      <c r="Y136" s="239">
        <v>28870742</v>
      </c>
      <c r="Z136" s="239">
        <v>1004386</v>
      </c>
      <c r="AA136" s="239">
        <v>29875128</v>
      </c>
      <c r="AB136" s="239">
        <v>1004386</v>
      </c>
      <c r="AC136" s="239">
        <v>1004386</v>
      </c>
      <c r="AD136" s="239">
        <v>0</v>
      </c>
      <c r="AE136" s="239">
        <v>26694</v>
      </c>
      <c r="AF136" s="239">
        <v>26694</v>
      </c>
      <c r="AG136" s="239">
        <v>0</v>
      </c>
      <c r="AH136" s="239">
        <v>0</v>
      </c>
      <c r="AI136" s="239">
        <v>0</v>
      </c>
      <c r="AJ136" s="239">
        <v>0</v>
      </c>
      <c r="AK136" s="239">
        <v>0</v>
      </c>
      <c r="AL136" s="239">
        <v>907450</v>
      </c>
      <c r="AM136" s="239">
        <v>0</v>
      </c>
      <c r="AN136" s="239">
        <v>96936</v>
      </c>
      <c r="AO136" s="239">
        <v>96936</v>
      </c>
      <c r="AP136" s="239">
        <v>0</v>
      </c>
      <c r="AQ136" s="239">
        <v>735656</v>
      </c>
      <c r="AR136" s="239">
        <v>-143265</v>
      </c>
      <c r="AS136" s="214" t="s">
        <v>907</v>
      </c>
      <c r="AT136" s="214" t="s">
        <v>884</v>
      </c>
      <c r="AU136" s="214" t="s">
        <v>869</v>
      </c>
      <c r="AV136" s="214" t="s">
        <v>1107</v>
      </c>
      <c r="AW136" s="214" t="s">
        <v>1088</v>
      </c>
      <c r="AX136" s="214" t="s">
        <v>1294</v>
      </c>
    </row>
    <row r="137" spans="2:50" x14ac:dyDescent="0.2">
      <c r="B137" s="610" t="s">
        <v>357</v>
      </c>
      <c r="C137" s="610" t="s">
        <v>356</v>
      </c>
      <c r="D137" s="239">
        <v>41039620</v>
      </c>
      <c r="E137" s="239">
        <v>0</v>
      </c>
      <c r="F137" s="239">
        <v>41039620</v>
      </c>
      <c r="G137" s="239">
        <v>-870</v>
      </c>
      <c r="H137" s="239">
        <v>0</v>
      </c>
      <c r="I137" s="239">
        <v>-870</v>
      </c>
      <c r="J137" s="239">
        <v>-153169</v>
      </c>
      <c r="K137" s="239">
        <v>0</v>
      </c>
      <c r="L137" s="239">
        <v>-153169</v>
      </c>
      <c r="M137" s="239">
        <v>0</v>
      </c>
      <c r="N137" s="239">
        <v>0</v>
      </c>
      <c r="O137" s="239">
        <v>0</v>
      </c>
      <c r="P137" s="239">
        <v>-464386</v>
      </c>
      <c r="Q137" s="239">
        <v>0</v>
      </c>
      <c r="R137" s="239">
        <v>-464386</v>
      </c>
      <c r="S137" s="239">
        <v>847768</v>
      </c>
      <c r="T137" s="239">
        <v>0</v>
      </c>
      <c r="U137" s="239">
        <v>847768</v>
      </c>
      <c r="V137" s="239">
        <v>-1773712</v>
      </c>
      <c r="W137" s="239">
        <v>0</v>
      </c>
      <c r="X137" s="239">
        <v>-1773712</v>
      </c>
      <c r="Y137" s="239">
        <v>39648420</v>
      </c>
      <c r="Z137" s="239">
        <v>0</v>
      </c>
      <c r="AA137" s="239">
        <v>39648420</v>
      </c>
      <c r="AB137" s="239">
        <v>0</v>
      </c>
      <c r="AC137" s="239">
        <v>0</v>
      </c>
      <c r="AD137" s="239">
        <v>0</v>
      </c>
      <c r="AE137" s="239">
        <v>0</v>
      </c>
      <c r="AF137" s="239">
        <v>0</v>
      </c>
      <c r="AG137" s="239">
        <v>0</v>
      </c>
      <c r="AH137" s="239">
        <v>0</v>
      </c>
      <c r="AI137" s="239">
        <v>0</v>
      </c>
      <c r="AJ137" s="239">
        <v>0</v>
      </c>
      <c r="AK137" s="239">
        <v>0</v>
      </c>
      <c r="AL137" s="239">
        <v>0</v>
      </c>
      <c r="AM137" s="239">
        <v>0</v>
      </c>
      <c r="AN137" s="239">
        <v>0</v>
      </c>
      <c r="AO137" s="239">
        <v>0</v>
      </c>
      <c r="AP137" s="239">
        <v>0</v>
      </c>
      <c r="AQ137" s="239">
        <v>2956381</v>
      </c>
      <c r="AR137" s="239">
        <v>-1287476</v>
      </c>
      <c r="AS137" s="214" t="s">
        <v>356</v>
      </c>
      <c r="AT137" s="214" t="s">
        <v>764</v>
      </c>
      <c r="AU137" s="214" t="s">
        <v>763</v>
      </c>
      <c r="AV137" s="214" t="s">
        <v>1088</v>
      </c>
      <c r="AW137" s="214" t="s">
        <v>1088</v>
      </c>
      <c r="AX137" s="214" t="s">
        <v>1294</v>
      </c>
    </row>
    <row r="138" spans="2:50" x14ac:dyDescent="0.2">
      <c r="B138" s="610" t="s">
        <v>359</v>
      </c>
      <c r="C138" s="610" t="s">
        <v>358</v>
      </c>
      <c r="D138" s="239">
        <v>159885385</v>
      </c>
      <c r="E138" s="239">
        <v>0</v>
      </c>
      <c r="F138" s="239">
        <v>159885385</v>
      </c>
      <c r="G138" s="239">
        <v>-23169</v>
      </c>
      <c r="H138" s="239">
        <v>0</v>
      </c>
      <c r="I138" s="239">
        <v>-23169</v>
      </c>
      <c r="J138" s="239">
        <v>-4779845</v>
      </c>
      <c r="K138" s="239">
        <v>0</v>
      </c>
      <c r="L138" s="239">
        <v>-4779845</v>
      </c>
      <c r="M138" s="239">
        <v>0</v>
      </c>
      <c r="N138" s="239">
        <v>0</v>
      </c>
      <c r="O138" s="239">
        <v>0</v>
      </c>
      <c r="P138" s="239">
        <v>1785820</v>
      </c>
      <c r="Q138" s="239">
        <v>0</v>
      </c>
      <c r="R138" s="239">
        <v>1785820</v>
      </c>
      <c r="S138" s="239">
        <v>8000000</v>
      </c>
      <c r="T138" s="239">
        <v>0</v>
      </c>
      <c r="U138" s="239">
        <v>8000000</v>
      </c>
      <c r="V138" s="239">
        <v>-12000000</v>
      </c>
      <c r="W138" s="239">
        <v>0</v>
      </c>
      <c r="X138" s="239">
        <v>-12000000</v>
      </c>
      <c r="Y138" s="239">
        <v>157648036</v>
      </c>
      <c r="Z138" s="239">
        <v>0</v>
      </c>
      <c r="AA138" s="239">
        <v>157648036</v>
      </c>
      <c r="AB138" s="239">
        <v>0</v>
      </c>
      <c r="AC138" s="239">
        <v>0</v>
      </c>
      <c r="AD138" s="239">
        <v>0</v>
      </c>
      <c r="AE138" s="239">
        <v>0</v>
      </c>
      <c r="AF138" s="239">
        <v>0</v>
      </c>
      <c r="AG138" s="239">
        <v>0</v>
      </c>
      <c r="AH138" s="239">
        <v>0</v>
      </c>
      <c r="AI138" s="239">
        <v>0</v>
      </c>
      <c r="AJ138" s="239">
        <v>0</v>
      </c>
      <c r="AK138" s="239">
        <v>0</v>
      </c>
      <c r="AL138" s="239">
        <v>0</v>
      </c>
      <c r="AM138" s="239">
        <v>0</v>
      </c>
      <c r="AN138" s="239">
        <v>0</v>
      </c>
      <c r="AO138" s="239">
        <v>0</v>
      </c>
      <c r="AP138" s="239">
        <v>0</v>
      </c>
      <c r="AQ138" s="239">
        <v>8598412</v>
      </c>
      <c r="AR138" s="239">
        <v>-10848925</v>
      </c>
      <c r="AS138" s="214" t="s">
        <v>358</v>
      </c>
      <c r="AT138" s="214" t="s">
        <v>790</v>
      </c>
      <c r="AU138" s="214" t="s">
        <v>749</v>
      </c>
      <c r="AV138" s="214" t="s">
        <v>1088</v>
      </c>
      <c r="AW138" s="214" t="s">
        <v>1088</v>
      </c>
      <c r="AX138" s="214" t="s">
        <v>1295</v>
      </c>
    </row>
    <row r="139" spans="2:50" x14ac:dyDescent="0.2">
      <c r="B139" s="610" t="s">
        <v>361</v>
      </c>
      <c r="C139" s="610" t="s">
        <v>360</v>
      </c>
      <c r="D139" s="239">
        <v>56574233</v>
      </c>
      <c r="E139" s="239">
        <v>318127</v>
      </c>
      <c r="F139" s="239">
        <v>56892360</v>
      </c>
      <c r="G139" s="239">
        <v>-16197</v>
      </c>
      <c r="H139" s="239">
        <v>0</v>
      </c>
      <c r="I139" s="239">
        <v>-16197</v>
      </c>
      <c r="J139" s="239">
        <v>-42920</v>
      </c>
      <c r="K139" s="239">
        <v>120</v>
      </c>
      <c r="L139" s="239">
        <v>-42800</v>
      </c>
      <c r="M139" s="239">
        <v>0</v>
      </c>
      <c r="N139" s="239">
        <v>0</v>
      </c>
      <c r="O139" s="239">
        <v>0</v>
      </c>
      <c r="P139" s="239">
        <v>-21400</v>
      </c>
      <c r="Q139" s="239">
        <v>0</v>
      </c>
      <c r="R139" s="239">
        <v>-21400</v>
      </c>
      <c r="S139" s="239">
        <v>4102656</v>
      </c>
      <c r="T139" s="239">
        <v>0</v>
      </c>
      <c r="U139" s="239">
        <v>4102656</v>
      </c>
      <c r="V139" s="239">
        <v>-1198098</v>
      </c>
      <c r="W139" s="239">
        <v>0</v>
      </c>
      <c r="X139" s="239">
        <v>-1198098</v>
      </c>
      <c r="Y139" s="239">
        <v>59441194</v>
      </c>
      <c r="Z139" s="239">
        <v>318127</v>
      </c>
      <c r="AA139" s="239">
        <v>59759321</v>
      </c>
      <c r="AB139" s="239">
        <v>318127</v>
      </c>
      <c r="AC139" s="239">
        <v>318127</v>
      </c>
      <c r="AD139" s="239">
        <v>0</v>
      </c>
      <c r="AE139" s="239">
        <v>828801</v>
      </c>
      <c r="AF139" s="239">
        <v>828801</v>
      </c>
      <c r="AG139" s="239">
        <v>0</v>
      </c>
      <c r="AH139" s="239">
        <v>0</v>
      </c>
      <c r="AI139" s="239">
        <v>0</v>
      </c>
      <c r="AJ139" s="239">
        <v>0</v>
      </c>
      <c r="AK139" s="239">
        <v>0</v>
      </c>
      <c r="AL139" s="239">
        <v>636801</v>
      </c>
      <c r="AM139" s="239">
        <v>0</v>
      </c>
      <c r="AN139" s="239">
        <v>0</v>
      </c>
      <c r="AO139" s="239">
        <v>0</v>
      </c>
      <c r="AP139" s="239">
        <v>0</v>
      </c>
      <c r="AQ139" s="239">
        <v>244035</v>
      </c>
      <c r="AR139" s="239">
        <v>-88683</v>
      </c>
      <c r="AS139" s="214" t="s">
        <v>360</v>
      </c>
      <c r="AT139" s="214" t="s">
        <v>862</v>
      </c>
      <c r="AU139" s="214" t="s">
        <v>860</v>
      </c>
      <c r="AV139" s="214" t="s">
        <v>1108</v>
      </c>
      <c r="AW139" s="214" t="s">
        <v>1088</v>
      </c>
      <c r="AX139" s="214" t="s">
        <v>1294</v>
      </c>
    </row>
    <row r="140" spans="2:50" x14ac:dyDescent="0.2">
      <c r="B140" s="610" t="s">
        <v>363</v>
      </c>
      <c r="C140" s="610" t="s">
        <v>362</v>
      </c>
      <c r="D140" s="239">
        <v>21143664</v>
      </c>
      <c r="E140" s="239">
        <v>0</v>
      </c>
      <c r="F140" s="239">
        <v>21143664</v>
      </c>
      <c r="G140" s="239">
        <v>-288</v>
      </c>
      <c r="H140" s="239">
        <v>0</v>
      </c>
      <c r="I140" s="239">
        <v>-288</v>
      </c>
      <c r="J140" s="239">
        <v>-403974</v>
      </c>
      <c r="K140" s="239">
        <v>0</v>
      </c>
      <c r="L140" s="239">
        <v>-403974</v>
      </c>
      <c r="M140" s="239">
        <v>0</v>
      </c>
      <c r="N140" s="239">
        <v>0</v>
      </c>
      <c r="O140" s="239">
        <v>0</v>
      </c>
      <c r="P140" s="239">
        <v>-670751</v>
      </c>
      <c r="Q140" s="239">
        <v>0</v>
      </c>
      <c r="R140" s="239">
        <v>-670751</v>
      </c>
      <c r="S140" s="239">
        <v>650552</v>
      </c>
      <c r="T140" s="239">
        <v>0</v>
      </c>
      <c r="U140" s="239">
        <v>650552</v>
      </c>
      <c r="V140" s="239">
        <v>-1427957</v>
      </c>
      <c r="W140" s="239">
        <v>0</v>
      </c>
      <c r="X140" s="239">
        <v>-1427957</v>
      </c>
      <c r="Y140" s="239">
        <v>19695220</v>
      </c>
      <c r="Z140" s="239">
        <v>0</v>
      </c>
      <c r="AA140" s="239">
        <v>19695220</v>
      </c>
      <c r="AB140" s="239">
        <v>0</v>
      </c>
      <c r="AC140" s="239">
        <v>0</v>
      </c>
      <c r="AD140" s="239">
        <v>0</v>
      </c>
      <c r="AE140" s="239">
        <v>0</v>
      </c>
      <c r="AF140" s="239">
        <v>0</v>
      </c>
      <c r="AG140" s="239">
        <v>0</v>
      </c>
      <c r="AH140" s="239">
        <v>0</v>
      </c>
      <c r="AI140" s="239">
        <v>0</v>
      </c>
      <c r="AJ140" s="239">
        <v>0</v>
      </c>
      <c r="AK140" s="239">
        <v>0</v>
      </c>
      <c r="AL140" s="239">
        <v>0</v>
      </c>
      <c r="AM140" s="239">
        <v>0</v>
      </c>
      <c r="AN140" s="239">
        <v>0</v>
      </c>
      <c r="AO140" s="239">
        <v>0</v>
      </c>
      <c r="AP140" s="239">
        <v>0</v>
      </c>
      <c r="AQ140" s="239">
        <v>4023332</v>
      </c>
      <c r="AR140" s="239">
        <v>-946442</v>
      </c>
      <c r="AS140" s="214" t="s">
        <v>362</v>
      </c>
      <c r="AT140" s="214" t="s">
        <v>757</v>
      </c>
      <c r="AU140" s="214" t="s">
        <v>755</v>
      </c>
      <c r="AV140" s="214" t="s">
        <v>1088</v>
      </c>
      <c r="AW140" s="214" t="s">
        <v>1088</v>
      </c>
      <c r="AX140" s="214" t="s">
        <v>1294</v>
      </c>
    </row>
    <row r="141" spans="2:50" x14ac:dyDescent="0.2">
      <c r="B141" s="610" t="s">
        <v>365</v>
      </c>
      <c r="C141" s="610" t="s">
        <v>364</v>
      </c>
      <c r="D141" s="239">
        <v>56683619</v>
      </c>
      <c r="E141" s="239">
        <v>0</v>
      </c>
      <c r="F141" s="239">
        <v>56683619</v>
      </c>
      <c r="G141" s="239">
        <v>0</v>
      </c>
      <c r="H141" s="239">
        <v>0</v>
      </c>
      <c r="I141" s="239">
        <v>0</v>
      </c>
      <c r="J141" s="239">
        <v>-524236</v>
      </c>
      <c r="K141" s="239">
        <v>0</v>
      </c>
      <c r="L141" s="239">
        <v>-524236</v>
      </c>
      <c r="M141" s="239">
        <v>0</v>
      </c>
      <c r="N141" s="239">
        <v>0</v>
      </c>
      <c r="O141" s="239">
        <v>0</v>
      </c>
      <c r="P141" s="239">
        <v>-408665</v>
      </c>
      <c r="Q141" s="239">
        <v>0</v>
      </c>
      <c r="R141" s="239">
        <v>-408665</v>
      </c>
      <c r="S141" s="239">
        <v>23236</v>
      </c>
      <c r="T141" s="239">
        <v>0</v>
      </c>
      <c r="U141" s="239">
        <v>23236</v>
      </c>
      <c r="V141" s="239">
        <v>-1485796</v>
      </c>
      <c r="W141" s="239">
        <v>0</v>
      </c>
      <c r="X141" s="239">
        <v>-1485796</v>
      </c>
      <c r="Y141" s="239">
        <v>54812394</v>
      </c>
      <c r="Z141" s="239">
        <v>0</v>
      </c>
      <c r="AA141" s="239">
        <v>54812394</v>
      </c>
      <c r="AB141" s="239">
        <v>0</v>
      </c>
      <c r="AC141" s="239">
        <v>0</v>
      </c>
      <c r="AD141" s="239">
        <v>0</v>
      </c>
      <c r="AE141" s="239">
        <v>0</v>
      </c>
      <c r="AF141" s="239">
        <v>0</v>
      </c>
      <c r="AG141" s="239">
        <v>0</v>
      </c>
      <c r="AH141" s="239">
        <v>0</v>
      </c>
      <c r="AI141" s="239">
        <v>0</v>
      </c>
      <c r="AJ141" s="239">
        <v>0</v>
      </c>
      <c r="AK141" s="239">
        <v>0</v>
      </c>
      <c r="AL141" s="239">
        <v>0</v>
      </c>
      <c r="AM141" s="239">
        <v>0</v>
      </c>
      <c r="AN141" s="239">
        <v>0</v>
      </c>
      <c r="AO141" s="239">
        <v>0</v>
      </c>
      <c r="AP141" s="239">
        <v>0</v>
      </c>
      <c r="AQ141" s="239">
        <v>1188480</v>
      </c>
      <c r="AR141" s="239">
        <v>-191614</v>
      </c>
      <c r="AS141" s="214" t="s">
        <v>364</v>
      </c>
      <c r="AT141" s="214" t="s">
        <v>811</v>
      </c>
      <c r="AU141" s="214" t="s">
        <v>763</v>
      </c>
      <c r="AV141" s="214" t="s">
        <v>1088</v>
      </c>
      <c r="AW141" s="214" t="s">
        <v>1088</v>
      </c>
      <c r="AX141" s="214" t="s">
        <v>1294</v>
      </c>
    </row>
    <row r="142" spans="2:50" x14ac:dyDescent="0.2">
      <c r="B142" s="610" t="s">
        <v>367</v>
      </c>
      <c r="C142" s="610" t="s">
        <v>366</v>
      </c>
      <c r="D142" s="239">
        <v>31642517</v>
      </c>
      <c r="E142" s="239">
        <v>0</v>
      </c>
      <c r="F142" s="239">
        <v>31642517</v>
      </c>
      <c r="G142" s="239">
        <v>-29611</v>
      </c>
      <c r="H142" s="239">
        <v>0</v>
      </c>
      <c r="I142" s="239">
        <v>-29611</v>
      </c>
      <c r="J142" s="239">
        <v>-148797</v>
      </c>
      <c r="K142" s="239">
        <v>0</v>
      </c>
      <c r="L142" s="239">
        <v>-148797</v>
      </c>
      <c r="M142" s="239">
        <v>0</v>
      </c>
      <c r="N142" s="239">
        <v>0</v>
      </c>
      <c r="O142" s="239">
        <v>0</v>
      </c>
      <c r="P142" s="239">
        <v>-107610</v>
      </c>
      <c r="Q142" s="239">
        <v>0</v>
      </c>
      <c r="R142" s="239">
        <v>-107610</v>
      </c>
      <c r="S142" s="239">
        <v>2612975</v>
      </c>
      <c r="T142" s="239">
        <v>0</v>
      </c>
      <c r="U142" s="239">
        <v>2612975</v>
      </c>
      <c r="V142" s="239">
        <v>-2919508</v>
      </c>
      <c r="W142" s="239">
        <v>0</v>
      </c>
      <c r="X142" s="239">
        <v>-2919508</v>
      </c>
      <c r="Y142" s="239">
        <v>31198763</v>
      </c>
      <c r="Z142" s="239">
        <v>0</v>
      </c>
      <c r="AA142" s="239">
        <v>31198763</v>
      </c>
      <c r="AB142" s="239">
        <v>0</v>
      </c>
      <c r="AC142" s="239">
        <v>0</v>
      </c>
      <c r="AD142" s="239">
        <v>0</v>
      </c>
      <c r="AE142" s="239">
        <v>227569</v>
      </c>
      <c r="AF142" s="239">
        <v>227569</v>
      </c>
      <c r="AG142" s="239">
        <v>0</v>
      </c>
      <c r="AH142" s="239">
        <v>0</v>
      </c>
      <c r="AI142" s="239">
        <v>0</v>
      </c>
      <c r="AJ142" s="239">
        <v>0</v>
      </c>
      <c r="AK142" s="239">
        <v>0</v>
      </c>
      <c r="AL142" s="239">
        <v>0</v>
      </c>
      <c r="AM142" s="239">
        <v>0</v>
      </c>
      <c r="AN142" s="239">
        <v>0</v>
      </c>
      <c r="AO142" s="239">
        <v>0</v>
      </c>
      <c r="AP142" s="239">
        <v>0</v>
      </c>
      <c r="AQ142" s="239">
        <v>1266241</v>
      </c>
      <c r="AR142" s="239">
        <v>-587491</v>
      </c>
      <c r="AS142" s="214" t="s">
        <v>906</v>
      </c>
      <c r="AT142" s="214" t="s">
        <v>748</v>
      </c>
      <c r="AU142" s="214" t="s">
        <v>763</v>
      </c>
      <c r="AV142" s="214" t="s">
        <v>1088</v>
      </c>
      <c r="AW142" s="214" t="s">
        <v>1088</v>
      </c>
      <c r="AX142" s="214" t="s">
        <v>748</v>
      </c>
    </row>
    <row r="143" spans="2:50" x14ac:dyDescent="0.2">
      <c r="B143" s="610" t="s">
        <v>369</v>
      </c>
      <c r="C143" s="610" t="s">
        <v>368</v>
      </c>
      <c r="D143" s="239">
        <v>1560631</v>
      </c>
      <c r="E143" s="239">
        <v>0</v>
      </c>
      <c r="F143" s="239">
        <v>1560631</v>
      </c>
      <c r="G143" s="239">
        <v>0</v>
      </c>
      <c r="H143" s="239">
        <v>0</v>
      </c>
      <c r="I143" s="239">
        <v>0</v>
      </c>
      <c r="J143" s="239">
        <v>0</v>
      </c>
      <c r="K143" s="239">
        <v>0</v>
      </c>
      <c r="L143" s="239">
        <v>0</v>
      </c>
      <c r="M143" s="239">
        <v>0</v>
      </c>
      <c r="N143" s="239">
        <v>0</v>
      </c>
      <c r="O143" s="239">
        <v>0</v>
      </c>
      <c r="P143" s="239">
        <v>-10413</v>
      </c>
      <c r="Q143" s="239">
        <v>0</v>
      </c>
      <c r="R143" s="239">
        <v>-10413</v>
      </c>
      <c r="S143" s="239">
        <v>0</v>
      </c>
      <c r="T143" s="239">
        <v>0</v>
      </c>
      <c r="U143" s="239">
        <v>0</v>
      </c>
      <c r="V143" s="239">
        <v>-55025</v>
      </c>
      <c r="W143" s="239">
        <v>0</v>
      </c>
      <c r="X143" s="239">
        <v>-55025</v>
      </c>
      <c r="Y143" s="239">
        <v>1495193</v>
      </c>
      <c r="Z143" s="239">
        <v>0</v>
      </c>
      <c r="AA143" s="239">
        <v>1495193</v>
      </c>
      <c r="AB143" s="239">
        <v>0</v>
      </c>
      <c r="AC143" s="239">
        <v>0</v>
      </c>
      <c r="AD143" s="239">
        <v>0</v>
      </c>
      <c r="AE143" s="239">
        <v>0</v>
      </c>
      <c r="AF143" s="239">
        <v>0</v>
      </c>
      <c r="AG143" s="239">
        <v>0</v>
      </c>
      <c r="AH143" s="239">
        <v>0</v>
      </c>
      <c r="AI143" s="239">
        <v>0</v>
      </c>
      <c r="AJ143" s="239">
        <v>0</v>
      </c>
      <c r="AK143" s="239">
        <v>0</v>
      </c>
      <c r="AL143" s="239">
        <v>0</v>
      </c>
      <c r="AM143" s="239">
        <v>0</v>
      </c>
      <c r="AN143" s="239">
        <v>0</v>
      </c>
      <c r="AO143" s="239">
        <v>0</v>
      </c>
      <c r="AP143" s="239">
        <v>0</v>
      </c>
      <c r="AQ143" s="239">
        <v>53295</v>
      </c>
      <c r="AR143" s="239">
        <v>-7883</v>
      </c>
      <c r="AS143" s="214" t="s">
        <v>368</v>
      </c>
      <c r="AT143" s="214" t="s">
        <v>748</v>
      </c>
      <c r="AU143" s="214" t="s">
        <v>763</v>
      </c>
      <c r="AV143" s="214" t="s">
        <v>1088</v>
      </c>
      <c r="AW143" s="214" t="s">
        <v>1088</v>
      </c>
      <c r="AX143" s="214" t="s">
        <v>748</v>
      </c>
    </row>
    <row r="144" spans="2:50" x14ac:dyDescent="0.2">
      <c r="B144" s="610" t="s">
        <v>371</v>
      </c>
      <c r="C144" s="610" t="s">
        <v>370</v>
      </c>
      <c r="D144" s="239">
        <v>195795534</v>
      </c>
      <c r="E144" s="239">
        <v>0</v>
      </c>
      <c r="F144" s="239">
        <v>195795534</v>
      </c>
      <c r="G144" s="239">
        <v>-1797</v>
      </c>
      <c r="H144" s="239">
        <v>0</v>
      </c>
      <c r="I144" s="239">
        <v>-1797</v>
      </c>
      <c r="J144" s="239">
        <v>-1981162</v>
      </c>
      <c r="K144" s="239">
        <v>0</v>
      </c>
      <c r="L144" s="239">
        <v>-1981162</v>
      </c>
      <c r="M144" s="239">
        <v>-49046</v>
      </c>
      <c r="N144" s="239">
        <v>0</v>
      </c>
      <c r="O144" s="239">
        <v>-49046</v>
      </c>
      <c r="P144" s="239">
        <v>-1026587</v>
      </c>
      <c r="Q144" s="239">
        <v>0</v>
      </c>
      <c r="R144" s="239">
        <v>-1026587</v>
      </c>
      <c r="S144" s="239">
        <v>5569613</v>
      </c>
      <c r="T144" s="239">
        <v>0</v>
      </c>
      <c r="U144" s="239">
        <v>5569613</v>
      </c>
      <c r="V144" s="239">
        <v>-9857507</v>
      </c>
      <c r="W144" s="239">
        <v>0</v>
      </c>
      <c r="X144" s="239">
        <v>-9857507</v>
      </c>
      <c r="Y144" s="239">
        <v>190430210</v>
      </c>
      <c r="Z144" s="239">
        <v>0</v>
      </c>
      <c r="AA144" s="239">
        <v>190430210</v>
      </c>
      <c r="AB144" s="239">
        <v>0</v>
      </c>
      <c r="AC144" s="239">
        <v>0</v>
      </c>
      <c r="AD144" s="239">
        <v>0</v>
      </c>
      <c r="AE144" s="239">
        <v>60240</v>
      </c>
      <c r="AF144" s="239">
        <v>60240</v>
      </c>
      <c r="AG144" s="239">
        <v>0</v>
      </c>
      <c r="AH144" s="239">
        <v>0</v>
      </c>
      <c r="AI144" s="239">
        <v>0</v>
      </c>
      <c r="AJ144" s="239">
        <v>0</v>
      </c>
      <c r="AK144" s="239">
        <v>0</v>
      </c>
      <c r="AL144" s="239">
        <v>0</v>
      </c>
      <c r="AM144" s="239">
        <v>0</v>
      </c>
      <c r="AN144" s="239">
        <v>0</v>
      </c>
      <c r="AO144" s="239">
        <v>0</v>
      </c>
      <c r="AP144" s="239">
        <v>0</v>
      </c>
      <c r="AQ144" s="239">
        <v>19879787</v>
      </c>
      <c r="AR144" s="239">
        <v>-15629423</v>
      </c>
      <c r="AS144" s="214" t="s">
        <v>370</v>
      </c>
      <c r="AT144" s="214" t="s">
        <v>790</v>
      </c>
      <c r="AU144" s="214" t="s">
        <v>749</v>
      </c>
      <c r="AV144" s="214" t="s">
        <v>1088</v>
      </c>
      <c r="AW144" s="214" t="s">
        <v>1088</v>
      </c>
      <c r="AX144" s="214" t="s">
        <v>1297</v>
      </c>
    </row>
    <row r="145" spans="2:50" x14ac:dyDescent="0.2">
      <c r="B145" s="610" t="s">
        <v>373</v>
      </c>
      <c r="C145" s="610" t="s">
        <v>372</v>
      </c>
      <c r="D145" s="239">
        <v>277454666</v>
      </c>
      <c r="E145" s="239">
        <v>0</v>
      </c>
      <c r="F145" s="239">
        <v>277454666</v>
      </c>
      <c r="G145" s="239">
        <v>-153184</v>
      </c>
      <c r="H145" s="239">
        <v>0</v>
      </c>
      <c r="I145" s="239">
        <v>-153184</v>
      </c>
      <c r="J145" s="239">
        <v>-2106122</v>
      </c>
      <c r="K145" s="239">
        <v>0</v>
      </c>
      <c r="L145" s="239">
        <v>-2106122</v>
      </c>
      <c r="M145" s="239">
        <v>-109688</v>
      </c>
      <c r="N145" s="239">
        <v>0</v>
      </c>
      <c r="O145" s="239">
        <v>-109688</v>
      </c>
      <c r="P145" s="239">
        <v>-1809199</v>
      </c>
      <c r="Q145" s="239">
        <v>0</v>
      </c>
      <c r="R145" s="239">
        <v>-1809199</v>
      </c>
      <c r="S145" s="239">
        <v>13302367</v>
      </c>
      <c r="T145" s="239">
        <v>0</v>
      </c>
      <c r="U145" s="239">
        <v>13302367</v>
      </c>
      <c r="V145" s="239">
        <v>-17552367</v>
      </c>
      <c r="W145" s="239">
        <v>0</v>
      </c>
      <c r="X145" s="239">
        <v>-17552367</v>
      </c>
      <c r="Y145" s="239">
        <v>271132595</v>
      </c>
      <c r="Z145" s="239">
        <v>0</v>
      </c>
      <c r="AA145" s="239">
        <v>271132595</v>
      </c>
      <c r="AB145" s="239">
        <v>0</v>
      </c>
      <c r="AC145" s="239">
        <v>0</v>
      </c>
      <c r="AD145" s="239">
        <v>0</v>
      </c>
      <c r="AE145" s="239">
        <v>0</v>
      </c>
      <c r="AF145" s="239">
        <v>0</v>
      </c>
      <c r="AG145" s="239">
        <v>0</v>
      </c>
      <c r="AH145" s="239">
        <v>0</v>
      </c>
      <c r="AI145" s="239">
        <v>0</v>
      </c>
      <c r="AJ145" s="239">
        <v>0</v>
      </c>
      <c r="AK145" s="239">
        <v>0</v>
      </c>
      <c r="AL145" s="239">
        <v>0</v>
      </c>
      <c r="AM145" s="239">
        <v>0</v>
      </c>
      <c r="AN145" s="239">
        <v>0</v>
      </c>
      <c r="AO145" s="239">
        <v>0</v>
      </c>
      <c r="AP145" s="239">
        <v>0</v>
      </c>
      <c r="AQ145" s="239">
        <v>7438682</v>
      </c>
      <c r="AR145" s="239">
        <v>-10054381</v>
      </c>
      <c r="AS145" s="214" t="s">
        <v>905</v>
      </c>
      <c r="AT145" s="214" t="s">
        <v>790</v>
      </c>
      <c r="AU145" s="214" t="s">
        <v>749</v>
      </c>
      <c r="AV145" s="214" t="s">
        <v>1088</v>
      </c>
      <c r="AW145" s="214" t="s">
        <v>1088</v>
      </c>
      <c r="AX145" s="214" t="s">
        <v>1297</v>
      </c>
    </row>
    <row r="146" spans="2:50" x14ac:dyDescent="0.2">
      <c r="B146" s="610" t="s">
        <v>375</v>
      </c>
      <c r="C146" s="610" t="s">
        <v>374</v>
      </c>
      <c r="D146" s="239">
        <v>32038357</v>
      </c>
      <c r="E146" s="239">
        <v>0</v>
      </c>
      <c r="F146" s="239">
        <v>32038357</v>
      </c>
      <c r="G146" s="239">
        <v>0</v>
      </c>
      <c r="H146" s="239">
        <v>0</v>
      </c>
      <c r="I146" s="239">
        <v>0</v>
      </c>
      <c r="J146" s="239">
        <v>-55252</v>
      </c>
      <c r="K146" s="239">
        <v>0</v>
      </c>
      <c r="L146" s="239">
        <v>-55252</v>
      </c>
      <c r="M146" s="239">
        <v>0</v>
      </c>
      <c r="N146" s="239">
        <v>0</v>
      </c>
      <c r="O146" s="239">
        <v>0</v>
      </c>
      <c r="P146" s="239">
        <v>-86048</v>
      </c>
      <c r="Q146" s="239">
        <v>0</v>
      </c>
      <c r="R146" s="239">
        <v>-86048</v>
      </c>
      <c r="S146" s="239">
        <v>712921</v>
      </c>
      <c r="T146" s="239">
        <v>0</v>
      </c>
      <c r="U146" s="239">
        <v>712921</v>
      </c>
      <c r="V146" s="239">
        <v>-1891711</v>
      </c>
      <c r="W146" s="239">
        <v>0</v>
      </c>
      <c r="X146" s="239">
        <v>-1891711</v>
      </c>
      <c r="Y146" s="239">
        <v>30773519</v>
      </c>
      <c r="Z146" s="239">
        <v>0</v>
      </c>
      <c r="AA146" s="239">
        <v>30773519</v>
      </c>
      <c r="AB146" s="239">
        <v>0</v>
      </c>
      <c r="AC146" s="239">
        <v>0</v>
      </c>
      <c r="AD146" s="239">
        <v>0</v>
      </c>
      <c r="AE146" s="239">
        <v>230981</v>
      </c>
      <c r="AF146" s="239">
        <v>230981</v>
      </c>
      <c r="AG146" s="239">
        <v>0</v>
      </c>
      <c r="AH146" s="239">
        <v>0</v>
      </c>
      <c r="AI146" s="239">
        <v>0</v>
      </c>
      <c r="AJ146" s="239">
        <v>0</v>
      </c>
      <c r="AK146" s="239">
        <v>0</v>
      </c>
      <c r="AL146" s="239">
        <v>0</v>
      </c>
      <c r="AM146" s="239">
        <v>0</v>
      </c>
      <c r="AN146" s="239">
        <v>0</v>
      </c>
      <c r="AO146" s="239">
        <v>0</v>
      </c>
      <c r="AP146" s="239">
        <v>0</v>
      </c>
      <c r="AQ146" s="239">
        <v>351878</v>
      </c>
      <c r="AR146" s="239">
        <v>-205013</v>
      </c>
      <c r="AS146" s="214" t="s">
        <v>374</v>
      </c>
      <c r="AT146" s="214" t="s">
        <v>805</v>
      </c>
      <c r="AU146" s="214" t="s">
        <v>763</v>
      </c>
      <c r="AV146" s="214" t="s">
        <v>1088</v>
      </c>
      <c r="AW146" s="214" t="s">
        <v>1088</v>
      </c>
      <c r="AX146" s="214" t="s">
        <v>1294</v>
      </c>
    </row>
    <row r="147" spans="2:50" x14ac:dyDescent="0.2">
      <c r="B147" s="610" t="s">
        <v>377</v>
      </c>
      <c r="C147" s="610" t="s">
        <v>376</v>
      </c>
      <c r="D147" s="239">
        <v>45313876</v>
      </c>
      <c r="E147" s="239">
        <v>0</v>
      </c>
      <c r="F147" s="239">
        <v>45313876</v>
      </c>
      <c r="G147" s="239">
        <v>0</v>
      </c>
      <c r="H147" s="239">
        <v>0</v>
      </c>
      <c r="I147" s="239">
        <v>0</v>
      </c>
      <c r="J147" s="239">
        <v>-407617</v>
      </c>
      <c r="K147" s="239">
        <v>0</v>
      </c>
      <c r="L147" s="239">
        <v>-407617</v>
      </c>
      <c r="M147" s="239">
        <v>0</v>
      </c>
      <c r="N147" s="239">
        <v>0</v>
      </c>
      <c r="O147" s="239">
        <v>0</v>
      </c>
      <c r="P147" s="239">
        <v>-272788</v>
      </c>
      <c r="Q147" s="239">
        <v>0</v>
      </c>
      <c r="R147" s="239">
        <v>-272788</v>
      </c>
      <c r="S147" s="239">
        <v>0</v>
      </c>
      <c r="T147" s="239">
        <v>0</v>
      </c>
      <c r="U147" s="239">
        <v>0</v>
      </c>
      <c r="V147" s="239">
        <v>2297046</v>
      </c>
      <c r="W147" s="239">
        <v>0</v>
      </c>
      <c r="X147" s="239">
        <v>2297046</v>
      </c>
      <c r="Y147" s="239">
        <v>47338134</v>
      </c>
      <c r="Z147" s="239">
        <v>0</v>
      </c>
      <c r="AA147" s="239">
        <v>47338134</v>
      </c>
      <c r="AB147" s="239">
        <v>0</v>
      </c>
      <c r="AC147" s="239">
        <v>0</v>
      </c>
      <c r="AD147" s="239">
        <v>0</v>
      </c>
      <c r="AE147" s="239">
        <v>750275</v>
      </c>
      <c r="AF147" s="239">
        <v>750275</v>
      </c>
      <c r="AG147" s="239">
        <v>0</v>
      </c>
      <c r="AH147" s="239">
        <v>0</v>
      </c>
      <c r="AI147" s="239">
        <v>0</v>
      </c>
      <c r="AJ147" s="239">
        <v>0</v>
      </c>
      <c r="AK147" s="239">
        <v>0</v>
      </c>
      <c r="AL147" s="239">
        <v>0</v>
      </c>
      <c r="AM147" s="239">
        <v>0</v>
      </c>
      <c r="AN147" s="239">
        <v>0</v>
      </c>
      <c r="AO147" s="239">
        <v>0</v>
      </c>
      <c r="AP147" s="239">
        <v>0</v>
      </c>
      <c r="AQ147" s="239">
        <v>863929</v>
      </c>
      <c r="AR147" s="239">
        <v>-335569</v>
      </c>
      <c r="AS147" s="214" t="s">
        <v>904</v>
      </c>
      <c r="AT147" s="214" t="s">
        <v>849</v>
      </c>
      <c r="AU147" s="214" t="s">
        <v>763</v>
      </c>
      <c r="AV147" s="214" t="s">
        <v>1088</v>
      </c>
      <c r="AW147" s="214" t="s">
        <v>1088</v>
      </c>
      <c r="AX147" s="214" t="s">
        <v>1294</v>
      </c>
    </row>
    <row r="148" spans="2:50" x14ac:dyDescent="0.2">
      <c r="B148" s="610" t="s">
        <v>379</v>
      </c>
      <c r="C148" s="610" t="s">
        <v>378</v>
      </c>
      <c r="D148" s="239">
        <v>89597448</v>
      </c>
      <c r="E148" s="239">
        <v>173109</v>
      </c>
      <c r="F148" s="239">
        <v>89770557</v>
      </c>
      <c r="G148" s="239">
        <v>-15023</v>
      </c>
      <c r="H148" s="239">
        <v>0</v>
      </c>
      <c r="I148" s="239">
        <v>-15023</v>
      </c>
      <c r="J148" s="239">
        <v>-1071173</v>
      </c>
      <c r="K148" s="239">
        <v>0</v>
      </c>
      <c r="L148" s="239">
        <v>-1071173</v>
      </c>
      <c r="M148" s="239">
        <v>0</v>
      </c>
      <c r="N148" s="239">
        <v>0</v>
      </c>
      <c r="O148" s="239">
        <v>0</v>
      </c>
      <c r="P148" s="239">
        <v>-1076244</v>
      </c>
      <c r="Q148" s="239">
        <v>0</v>
      </c>
      <c r="R148" s="239">
        <v>-1076244</v>
      </c>
      <c r="S148" s="239">
        <v>2837000</v>
      </c>
      <c r="T148" s="239">
        <v>0</v>
      </c>
      <c r="U148" s="239">
        <v>2837000</v>
      </c>
      <c r="V148" s="239">
        <v>-2000000</v>
      </c>
      <c r="W148" s="239">
        <v>0</v>
      </c>
      <c r="X148" s="239">
        <v>-2000000</v>
      </c>
      <c r="Y148" s="239">
        <v>89343181</v>
      </c>
      <c r="Z148" s="239">
        <v>173109</v>
      </c>
      <c r="AA148" s="239">
        <v>89516290</v>
      </c>
      <c r="AB148" s="239">
        <v>173109</v>
      </c>
      <c r="AC148" s="239">
        <v>0</v>
      </c>
      <c r="AD148" s="239">
        <v>173109</v>
      </c>
      <c r="AE148" s="239">
        <v>0</v>
      </c>
      <c r="AF148" s="239">
        <v>0</v>
      </c>
      <c r="AG148" s="239">
        <v>0</v>
      </c>
      <c r="AH148" s="239">
        <v>0</v>
      </c>
      <c r="AI148" s="239">
        <v>0</v>
      </c>
      <c r="AJ148" s="239">
        <v>0</v>
      </c>
      <c r="AK148" s="239">
        <v>0</v>
      </c>
      <c r="AL148" s="239">
        <v>0</v>
      </c>
      <c r="AM148" s="239">
        <v>160494</v>
      </c>
      <c r="AN148" s="239">
        <v>12615</v>
      </c>
      <c r="AO148" s="239">
        <v>0</v>
      </c>
      <c r="AP148" s="239">
        <v>12615</v>
      </c>
      <c r="AQ148" s="239">
        <v>5427528</v>
      </c>
      <c r="AR148" s="239">
        <v>-1014993</v>
      </c>
      <c r="AS148" s="214" t="s">
        <v>903</v>
      </c>
      <c r="AT148" s="214" t="s">
        <v>748</v>
      </c>
      <c r="AU148" s="214" t="s">
        <v>890</v>
      </c>
      <c r="AV148" s="214" t="s">
        <v>1098</v>
      </c>
      <c r="AW148" s="214" t="s">
        <v>1099</v>
      </c>
      <c r="AX148" s="214" t="s">
        <v>748</v>
      </c>
    </row>
    <row r="149" spans="2:50" x14ac:dyDescent="0.2">
      <c r="B149" s="610" t="s">
        <v>381</v>
      </c>
      <c r="C149" s="610" t="s">
        <v>380</v>
      </c>
      <c r="D149" s="239">
        <v>80716238</v>
      </c>
      <c r="E149" s="239">
        <v>0</v>
      </c>
      <c r="F149" s="239">
        <v>80716238</v>
      </c>
      <c r="G149" s="239">
        <v>-15484</v>
      </c>
      <c r="H149" s="239">
        <v>0</v>
      </c>
      <c r="I149" s="239">
        <v>-15484</v>
      </c>
      <c r="J149" s="239">
        <v>-139408</v>
      </c>
      <c r="K149" s="239">
        <v>0</v>
      </c>
      <c r="L149" s="239">
        <v>-139408</v>
      </c>
      <c r="M149" s="239">
        <v>-1829</v>
      </c>
      <c r="N149" s="239">
        <v>0</v>
      </c>
      <c r="O149" s="239">
        <v>-1829</v>
      </c>
      <c r="P149" s="239">
        <v>-128672</v>
      </c>
      <c r="Q149" s="239">
        <v>0</v>
      </c>
      <c r="R149" s="239">
        <v>-128672</v>
      </c>
      <c r="S149" s="239">
        <v>3924315</v>
      </c>
      <c r="T149" s="239">
        <v>0</v>
      </c>
      <c r="U149" s="239">
        <v>3924315</v>
      </c>
      <c r="V149" s="239">
        <v>-7447217</v>
      </c>
      <c r="W149" s="239">
        <v>0</v>
      </c>
      <c r="X149" s="239">
        <v>-7447217</v>
      </c>
      <c r="Y149" s="239">
        <v>77047351</v>
      </c>
      <c r="Z149" s="239">
        <v>0</v>
      </c>
      <c r="AA149" s="239">
        <v>77047351</v>
      </c>
      <c r="AB149" s="239">
        <v>0</v>
      </c>
      <c r="AC149" s="239">
        <v>0</v>
      </c>
      <c r="AD149" s="239">
        <v>0</v>
      </c>
      <c r="AE149" s="239">
        <v>0</v>
      </c>
      <c r="AF149" s="239">
        <v>0</v>
      </c>
      <c r="AG149" s="239">
        <v>0</v>
      </c>
      <c r="AH149" s="239">
        <v>0</v>
      </c>
      <c r="AI149" s="239">
        <v>0</v>
      </c>
      <c r="AJ149" s="239">
        <v>0</v>
      </c>
      <c r="AK149" s="239">
        <v>0</v>
      </c>
      <c r="AL149" s="239">
        <v>0</v>
      </c>
      <c r="AM149" s="239">
        <v>0</v>
      </c>
      <c r="AN149" s="239">
        <v>0</v>
      </c>
      <c r="AO149" s="239">
        <v>0</v>
      </c>
      <c r="AP149" s="239">
        <v>0</v>
      </c>
      <c r="AQ149" s="239">
        <v>3168613</v>
      </c>
      <c r="AR149" s="239">
        <v>-1536732</v>
      </c>
      <c r="AS149" s="214" t="s">
        <v>902</v>
      </c>
      <c r="AT149" s="214" t="s">
        <v>790</v>
      </c>
      <c r="AU149" s="214" t="s">
        <v>749</v>
      </c>
      <c r="AV149" s="214" t="s">
        <v>1088</v>
      </c>
      <c r="AW149" s="214" t="s">
        <v>1088</v>
      </c>
      <c r="AX149" s="214" t="s">
        <v>1295</v>
      </c>
    </row>
    <row r="150" spans="2:50" x14ac:dyDescent="0.2">
      <c r="B150" s="610" t="s">
        <v>383</v>
      </c>
      <c r="C150" s="610" t="s">
        <v>382</v>
      </c>
      <c r="D150" s="239">
        <v>102346089</v>
      </c>
      <c r="E150" s="239">
        <v>0</v>
      </c>
      <c r="F150" s="239">
        <v>102346089</v>
      </c>
      <c r="G150" s="239">
        <v>-95303</v>
      </c>
      <c r="H150" s="239">
        <v>0</v>
      </c>
      <c r="I150" s="239">
        <v>-95303</v>
      </c>
      <c r="J150" s="239">
        <v>-1630491</v>
      </c>
      <c r="K150" s="239">
        <v>0</v>
      </c>
      <c r="L150" s="239">
        <v>-1630491</v>
      </c>
      <c r="M150" s="239">
        <v>0</v>
      </c>
      <c r="N150" s="239">
        <v>0</v>
      </c>
      <c r="O150" s="239">
        <v>0</v>
      </c>
      <c r="P150" s="239">
        <v>-1148893</v>
      </c>
      <c r="Q150" s="239">
        <v>0</v>
      </c>
      <c r="R150" s="239">
        <v>-1148893</v>
      </c>
      <c r="S150" s="239">
        <v>0</v>
      </c>
      <c r="T150" s="239">
        <v>0</v>
      </c>
      <c r="U150" s="239">
        <v>0</v>
      </c>
      <c r="V150" s="239">
        <v>-1063609</v>
      </c>
      <c r="W150" s="239">
        <v>0</v>
      </c>
      <c r="X150" s="239">
        <v>-1063609</v>
      </c>
      <c r="Y150" s="239">
        <v>100038284</v>
      </c>
      <c r="Z150" s="239">
        <v>0</v>
      </c>
      <c r="AA150" s="239">
        <v>100038284</v>
      </c>
      <c r="AB150" s="239">
        <v>0</v>
      </c>
      <c r="AC150" s="239">
        <v>0</v>
      </c>
      <c r="AD150" s="239">
        <v>0</v>
      </c>
      <c r="AE150" s="239">
        <v>0</v>
      </c>
      <c r="AF150" s="239">
        <v>0</v>
      </c>
      <c r="AG150" s="239">
        <v>0</v>
      </c>
      <c r="AH150" s="239">
        <v>0</v>
      </c>
      <c r="AI150" s="239">
        <v>0</v>
      </c>
      <c r="AJ150" s="239">
        <v>0</v>
      </c>
      <c r="AK150" s="239">
        <v>0</v>
      </c>
      <c r="AL150" s="239">
        <v>0</v>
      </c>
      <c r="AM150" s="239">
        <v>0</v>
      </c>
      <c r="AN150" s="239">
        <v>0</v>
      </c>
      <c r="AO150" s="239">
        <v>0</v>
      </c>
      <c r="AP150" s="239">
        <v>0</v>
      </c>
      <c r="AQ150" s="239">
        <v>4826006</v>
      </c>
      <c r="AR150" s="239">
        <v>-1253396</v>
      </c>
      <c r="AS150" s="214" t="s">
        <v>382</v>
      </c>
      <c r="AT150" s="214" t="s">
        <v>768</v>
      </c>
      <c r="AU150" s="214" t="s">
        <v>818</v>
      </c>
      <c r="AV150" s="214" t="s">
        <v>1088</v>
      </c>
      <c r="AW150" s="214" t="s">
        <v>1088</v>
      </c>
      <c r="AX150" s="214" t="s">
        <v>1296</v>
      </c>
    </row>
    <row r="151" spans="2:50" x14ac:dyDescent="0.2">
      <c r="B151" s="610" t="s">
        <v>385</v>
      </c>
      <c r="C151" s="610" t="s">
        <v>384</v>
      </c>
      <c r="D151" s="239">
        <v>42013117</v>
      </c>
      <c r="E151" s="239">
        <v>0</v>
      </c>
      <c r="F151" s="239">
        <v>42013117</v>
      </c>
      <c r="G151" s="239">
        <v>-6723</v>
      </c>
      <c r="H151" s="239">
        <v>0</v>
      </c>
      <c r="I151" s="239">
        <v>-6723</v>
      </c>
      <c r="J151" s="239">
        <v>1450.26</v>
      </c>
      <c r="K151" s="239">
        <v>0</v>
      </c>
      <c r="L151" s="239">
        <v>1450.26</v>
      </c>
      <c r="M151" s="239">
        <v>0</v>
      </c>
      <c r="N151" s="239">
        <v>0</v>
      </c>
      <c r="O151" s="239">
        <v>0</v>
      </c>
      <c r="P151" s="239">
        <v>-643000</v>
      </c>
      <c r="Q151" s="239">
        <v>0</v>
      </c>
      <c r="R151" s="239">
        <v>-643000</v>
      </c>
      <c r="S151" s="239">
        <v>3012565</v>
      </c>
      <c r="T151" s="239">
        <v>0</v>
      </c>
      <c r="U151" s="239">
        <v>3012565</v>
      </c>
      <c r="V151" s="239">
        <v>-1359000</v>
      </c>
      <c r="W151" s="239">
        <v>0</v>
      </c>
      <c r="X151" s="239">
        <v>-1359000</v>
      </c>
      <c r="Y151" s="239">
        <v>43016959</v>
      </c>
      <c r="Z151" s="239">
        <v>0</v>
      </c>
      <c r="AA151" s="239">
        <v>43016959</v>
      </c>
      <c r="AB151" s="239">
        <v>0</v>
      </c>
      <c r="AC151" s="239">
        <v>0</v>
      </c>
      <c r="AD151" s="239">
        <v>0</v>
      </c>
      <c r="AE151" s="239">
        <v>0</v>
      </c>
      <c r="AF151" s="239">
        <v>0</v>
      </c>
      <c r="AG151" s="239">
        <v>0</v>
      </c>
      <c r="AH151" s="239">
        <v>0</v>
      </c>
      <c r="AI151" s="239">
        <v>0</v>
      </c>
      <c r="AJ151" s="239">
        <v>0</v>
      </c>
      <c r="AK151" s="239">
        <v>0</v>
      </c>
      <c r="AL151" s="239">
        <v>0</v>
      </c>
      <c r="AM151" s="239">
        <v>0</v>
      </c>
      <c r="AN151" s="239">
        <v>0</v>
      </c>
      <c r="AO151" s="239">
        <v>0</v>
      </c>
      <c r="AP151" s="239">
        <v>0</v>
      </c>
      <c r="AQ151" s="239">
        <v>4214637</v>
      </c>
      <c r="AR151" s="239">
        <v>-210929</v>
      </c>
      <c r="AS151" s="214" t="s">
        <v>384</v>
      </c>
      <c r="AT151" s="214" t="s">
        <v>768</v>
      </c>
      <c r="AU151" s="214" t="s">
        <v>774</v>
      </c>
      <c r="AV151" s="214" t="s">
        <v>1088</v>
      </c>
      <c r="AW151" s="214" t="s">
        <v>1088</v>
      </c>
      <c r="AX151" s="214" t="s">
        <v>1296</v>
      </c>
    </row>
    <row r="152" spans="2:50" x14ac:dyDescent="0.2">
      <c r="B152" s="610" t="s">
        <v>387</v>
      </c>
      <c r="C152" s="610" t="s">
        <v>386</v>
      </c>
      <c r="D152" s="239">
        <v>121947034</v>
      </c>
      <c r="E152" s="239">
        <v>0</v>
      </c>
      <c r="F152" s="239">
        <v>121947034</v>
      </c>
      <c r="G152" s="239">
        <v>-2880</v>
      </c>
      <c r="H152" s="239">
        <v>0</v>
      </c>
      <c r="I152" s="239">
        <v>-2880</v>
      </c>
      <c r="J152" s="239">
        <v>-920743</v>
      </c>
      <c r="K152" s="239">
        <v>0</v>
      </c>
      <c r="L152" s="239">
        <v>-920743</v>
      </c>
      <c r="M152" s="239">
        <v>0</v>
      </c>
      <c r="N152" s="239">
        <v>0</v>
      </c>
      <c r="O152" s="239">
        <v>0</v>
      </c>
      <c r="P152" s="239">
        <v>0</v>
      </c>
      <c r="Q152" s="239">
        <v>0</v>
      </c>
      <c r="R152" s="239">
        <v>0</v>
      </c>
      <c r="S152" s="239">
        <v>0</v>
      </c>
      <c r="T152" s="239">
        <v>0</v>
      </c>
      <c r="U152" s="239">
        <v>0</v>
      </c>
      <c r="V152" s="239">
        <v>0</v>
      </c>
      <c r="W152" s="239">
        <v>0</v>
      </c>
      <c r="X152" s="239">
        <v>0</v>
      </c>
      <c r="Y152" s="239">
        <v>121944154</v>
      </c>
      <c r="Z152" s="239">
        <v>0</v>
      </c>
      <c r="AA152" s="239">
        <v>121944154</v>
      </c>
      <c r="AB152" s="239">
        <v>0</v>
      </c>
      <c r="AC152" s="239">
        <v>0</v>
      </c>
      <c r="AD152" s="239">
        <v>0</v>
      </c>
      <c r="AE152" s="239">
        <v>0</v>
      </c>
      <c r="AF152" s="239">
        <v>0</v>
      </c>
      <c r="AG152" s="239">
        <v>0</v>
      </c>
      <c r="AH152" s="239">
        <v>0</v>
      </c>
      <c r="AI152" s="239">
        <v>0</v>
      </c>
      <c r="AJ152" s="239">
        <v>0</v>
      </c>
      <c r="AK152" s="239">
        <v>0</v>
      </c>
      <c r="AL152" s="239">
        <v>0</v>
      </c>
      <c r="AM152" s="239">
        <v>0</v>
      </c>
      <c r="AN152" s="239">
        <v>0</v>
      </c>
      <c r="AO152" s="239">
        <v>0</v>
      </c>
      <c r="AP152" s="239">
        <v>0</v>
      </c>
      <c r="AQ152" s="239">
        <v>5392335</v>
      </c>
      <c r="AR152" s="239">
        <v>-14938998</v>
      </c>
      <c r="AS152" s="214" t="s">
        <v>386</v>
      </c>
      <c r="AT152" s="214" t="s">
        <v>790</v>
      </c>
      <c r="AU152" s="214" t="s">
        <v>749</v>
      </c>
      <c r="AV152" s="214" t="s">
        <v>1088</v>
      </c>
      <c r="AW152" s="214" t="s">
        <v>1088</v>
      </c>
      <c r="AX152" s="214" t="s">
        <v>1297</v>
      </c>
    </row>
    <row r="153" spans="2:50" x14ac:dyDescent="0.2">
      <c r="B153" s="610" t="s">
        <v>389</v>
      </c>
      <c r="C153" s="610" t="s">
        <v>388</v>
      </c>
      <c r="D153" s="239">
        <v>66021585</v>
      </c>
      <c r="E153" s="239">
        <v>0</v>
      </c>
      <c r="F153" s="239">
        <v>66021585</v>
      </c>
      <c r="G153" s="239">
        <v>0</v>
      </c>
      <c r="H153" s="239">
        <v>0</v>
      </c>
      <c r="I153" s="239">
        <v>0</v>
      </c>
      <c r="J153" s="239">
        <v>0</v>
      </c>
      <c r="K153" s="239">
        <v>0</v>
      </c>
      <c r="L153" s="239">
        <v>0</v>
      </c>
      <c r="M153" s="239">
        <v>-164662</v>
      </c>
      <c r="N153" s="239">
        <v>0</v>
      </c>
      <c r="O153" s="239">
        <v>-164662</v>
      </c>
      <c r="P153" s="239">
        <v>-297974</v>
      </c>
      <c r="Q153" s="239">
        <v>0</v>
      </c>
      <c r="R153" s="239">
        <v>-297974</v>
      </c>
      <c r="S153" s="239">
        <v>1310928</v>
      </c>
      <c r="T153" s="239">
        <v>0</v>
      </c>
      <c r="U153" s="239">
        <v>1310928</v>
      </c>
      <c r="V153" s="239">
        <v>-8424641</v>
      </c>
      <c r="W153" s="239">
        <v>0</v>
      </c>
      <c r="X153" s="239">
        <v>-8424641</v>
      </c>
      <c r="Y153" s="239">
        <v>58445236</v>
      </c>
      <c r="Z153" s="239">
        <v>0</v>
      </c>
      <c r="AA153" s="239">
        <v>58445236</v>
      </c>
      <c r="AB153" s="239">
        <v>0</v>
      </c>
      <c r="AC153" s="239">
        <v>0</v>
      </c>
      <c r="AD153" s="239">
        <v>0</v>
      </c>
      <c r="AE153" s="239">
        <v>917731</v>
      </c>
      <c r="AF153" s="239">
        <v>917731</v>
      </c>
      <c r="AG153" s="239">
        <v>0</v>
      </c>
      <c r="AH153" s="239">
        <v>0</v>
      </c>
      <c r="AI153" s="239">
        <v>0</v>
      </c>
      <c r="AJ153" s="239">
        <v>0</v>
      </c>
      <c r="AK153" s="239">
        <v>0</v>
      </c>
      <c r="AL153" s="239">
        <v>0</v>
      </c>
      <c r="AM153" s="239">
        <v>0</v>
      </c>
      <c r="AN153" s="239">
        <v>0</v>
      </c>
      <c r="AO153" s="239">
        <v>0</v>
      </c>
      <c r="AP153" s="239">
        <v>0</v>
      </c>
      <c r="AQ153" s="239">
        <v>1235451</v>
      </c>
      <c r="AR153" s="239">
        <v>-612410</v>
      </c>
      <c r="AS153" s="214" t="s">
        <v>388</v>
      </c>
      <c r="AT153" s="214" t="s">
        <v>757</v>
      </c>
      <c r="AU153" s="214" t="s">
        <v>755</v>
      </c>
      <c r="AV153" s="214" t="s">
        <v>1088</v>
      </c>
      <c r="AW153" s="214" t="s">
        <v>1088</v>
      </c>
      <c r="AX153" s="214" t="s">
        <v>1294</v>
      </c>
    </row>
    <row r="154" spans="2:50" x14ac:dyDescent="0.2">
      <c r="B154" s="610" t="s">
        <v>391</v>
      </c>
      <c r="C154" s="610" t="s">
        <v>390</v>
      </c>
      <c r="D154" s="239">
        <v>344864279</v>
      </c>
      <c r="E154" s="239">
        <v>928874</v>
      </c>
      <c r="F154" s="239">
        <v>345793153</v>
      </c>
      <c r="G154" s="239">
        <v>-48435</v>
      </c>
      <c r="H154" s="239">
        <v>0</v>
      </c>
      <c r="I154" s="239">
        <v>-48435</v>
      </c>
      <c r="J154" s="239">
        <v>-3485855</v>
      </c>
      <c r="K154" s="239">
        <v>0</v>
      </c>
      <c r="L154" s="239">
        <v>-3485855</v>
      </c>
      <c r="M154" s="239">
        <v>0</v>
      </c>
      <c r="N154" s="239">
        <v>0</v>
      </c>
      <c r="O154" s="239">
        <v>0</v>
      </c>
      <c r="P154" s="239">
        <v>-3861281</v>
      </c>
      <c r="Q154" s="239">
        <v>0</v>
      </c>
      <c r="R154" s="239">
        <v>-3861281</v>
      </c>
      <c r="S154" s="239">
        <v>32731184</v>
      </c>
      <c r="T154" s="239">
        <v>0</v>
      </c>
      <c r="U154" s="239">
        <v>32731184</v>
      </c>
      <c r="V154" s="239">
        <v>-14489053</v>
      </c>
      <c r="W154" s="239">
        <v>0</v>
      </c>
      <c r="X154" s="239">
        <v>-14489053</v>
      </c>
      <c r="Y154" s="239">
        <v>359196694</v>
      </c>
      <c r="Z154" s="239">
        <v>928874</v>
      </c>
      <c r="AA154" s="239">
        <v>360125568</v>
      </c>
      <c r="AB154" s="239">
        <v>928874</v>
      </c>
      <c r="AC154" s="239">
        <v>928874</v>
      </c>
      <c r="AD154" s="239">
        <v>0</v>
      </c>
      <c r="AE154" s="239">
        <v>53464</v>
      </c>
      <c r="AF154" s="239">
        <v>53464</v>
      </c>
      <c r="AG154" s="239">
        <v>0</v>
      </c>
      <c r="AH154" s="239">
        <v>0</v>
      </c>
      <c r="AI154" s="239">
        <v>0</v>
      </c>
      <c r="AJ154" s="239">
        <v>0</v>
      </c>
      <c r="AK154" s="239">
        <v>0</v>
      </c>
      <c r="AL154" s="239">
        <v>940240</v>
      </c>
      <c r="AM154" s="239">
        <v>0</v>
      </c>
      <c r="AN154" s="239">
        <v>0</v>
      </c>
      <c r="AO154" s="239">
        <v>0</v>
      </c>
      <c r="AP154" s="239">
        <v>0</v>
      </c>
      <c r="AQ154" s="239">
        <v>11887297</v>
      </c>
      <c r="AR154" s="239">
        <v>-8131369</v>
      </c>
      <c r="AS154" s="214" t="s">
        <v>390</v>
      </c>
      <c r="AT154" s="214" t="s">
        <v>768</v>
      </c>
      <c r="AU154" s="214" t="s">
        <v>818</v>
      </c>
      <c r="AV154" s="214" t="s">
        <v>1109</v>
      </c>
      <c r="AW154" s="214" t="s">
        <v>1109</v>
      </c>
      <c r="AX154" s="214" t="s">
        <v>1296</v>
      </c>
    </row>
    <row r="155" spans="2:50" x14ac:dyDescent="0.2">
      <c r="B155" s="610" t="s">
        <v>393</v>
      </c>
      <c r="C155" s="610" t="s">
        <v>392</v>
      </c>
      <c r="D155" s="239">
        <v>102186515</v>
      </c>
      <c r="E155" s="239">
        <v>0</v>
      </c>
      <c r="F155" s="239">
        <v>102186515</v>
      </c>
      <c r="G155" s="239">
        <v>0</v>
      </c>
      <c r="H155" s="239">
        <v>0</v>
      </c>
      <c r="I155" s="239">
        <v>0</v>
      </c>
      <c r="J155" s="239">
        <v>-1315779</v>
      </c>
      <c r="K155" s="239">
        <v>0</v>
      </c>
      <c r="L155" s="239">
        <v>-1315779</v>
      </c>
      <c r="M155" s="239">
        <v>0</v>
      </c>
      <c r="N155" s="239">
        <v>0</v>
      </c>
      <c r="O155" s="239">
        <v>0</v>
      </c>
      <c r="P155" s="239">
        <v>-1480200</v>
      </c>
      <c r="Q155" s="239">
        <v>0</v>
      </c>
      <c r="R155" s="239">
        <v>-1480200</v>
      </c>
      <c r="S155" s="239">
        <v>1134581</v>
      </c>
      <c r="T155" s="239">
        <v>0</v>
      </c>
      <c r="U155" s="239">
        <v>1134581</v>
      </c>
      <c r="V155" s="239">
        <v>471277</v>
      </c>
      <c r="W155" s="239">
        <v>0</v>
      </c>
      <c r="X155" s="239">
        <v>471277</v>
      </c>
      <c r="Y155" s="239">
        <v>102312173</v>
      </c>
      <c r="Z155" s="239">
        <v>0</v>
      </c>
      <c r="AA155" s="239">
        <v>102312173</v>
      </c>
      <c r="AB155" s="239">
        <v>0</v>
      </c>
      <c r="AC155" s="239">
        <v>0</v>
      </c>
      <c r="AD155" s="239">
        <v>0</v>
      </c>
      <c r="AE155" s="239">
        <v>0</v>
      </c>
      <c r="AF155" s="239">
        <v>0</v>
      </c>
      <c r="AG155" s="239">
        <v>0</v>
      </c>
      <c r="AH155" s="239">
        <v>0</v>
      </c>
      <c r="AI155" s="239">
        <v>0</v>
      </c>
      <c r="AJ155" s="239">
        <v>0</v>
      </c>
      <c r="AK155" s="239">
        <v>0</v>
      </c>
      <c r="AL155" s="239">
        <v>0</v>
      </c>
      <c r="AM155" s="239">
        <v>0</v>
      </c>
      <c r="AN155" s="239">
        <v>0</v>
      </c>
      <c r="AO155" s="239">
        <v>0</v>
      </c>
      <c r="AP155" s="239">
        <v>0</v>
      </c>
      <c r="AQ155" s="239">
        <v>7637545</v>
      </c>
      <c r="AR155" s="239">
        <v>-1084491</v>
      </c>
      <c r="AS155" s="214" t="s">
        <v>901</v>
      </c>
      <c r="AT155" s="214" t="s">
        <v>748</v>
      </c>
      <c r="AU155" s="214" t="s">
        <v>869</v>
      </c>
      <c r="AV155" s="214" t="s">
        <v>1088</v>
      </c>
      <c r="AW155" s="214" t="s">
        <v>1088</v>
      </c>
      <c r="AX155" s="214" t="s">
        <v>748</v>
      </c>
    </row>
    <row r="156" spans="2:50" x14ac:dyDescent="0.2">
      <c r="B156" s="610" t="s">
        <v>395</v>
      </c>
      <c r="C156" s="610" t="s">
        <v>394</v>
      </c>
      <c r="D156" s="239">
        <v>24296344</v>
      </c>
      <c r="E156" s="239">
        <v>0</v>
      </c>
      <c r="F156" s="239">
        <v>24296344</v>
      </c>
      <c r="G156" s="239">
        <v>0</v>
      </c>
      <c r="H156" s="239">
        <v>0</v>
      </c>
      <c r="I156" s="239">
        <v>0</v>
      </c>
      <c r="J156" s="239">
        <v>-15514</v>
      </c>
      <c r="K156" s="239">
        <v>0</v>
      </c>
      <c r="L156" s="239">
        <v>-15514</v>
      </c>
      <c r="M156" s="239">
        <v>0</v>
      </c>
      <c r="N156" s="239">
        <v>0</v>
      </c>
      <c r="O156" s="239">
        <v>0</v>
      </c>
      <c r="P156" s="239">
        <v>-58691</v>
      </c>
      <c r="Q156" s="239">
        <v>0</v>
      </c>
      <c r="R156" s="239">
        <v>-58691</v>
      </c>
      <c r="S156" s="239">
        <v>0</v>
      </c>
      <c r="T156" s="239">
        <v>0</v>
      </c>
      <c r="U156" s="239">
        <v>0</v>
      </c>
      <c r="V156" s="239">
        <v>-253000</v>
      </c>
      <c r="W156" s="239">
        <v>0</v>
      </c>
      <c r="X156" s="239">
        <v>-253000</v>
      </c>
      <c r="Y156" s="239">
        <v>23984653</v>
      </c>
      <c r="Z156" s="239">
        <v>0</v>
      </c>
      <c r="AA156" s="239">
        <v>23984653</v>
      </c>
      <c r="AB156" s="239">
        <v>0</v>
      </c>
      <c r="AC156" s="239">
        <v>0</v>
      </c>
      <c r="AD156" s="239">
        <v>0</v>
      </c>
      <c r="AE156" s="239">
        <v>0</v>
      </c>
      <c r="AF156" s="239">
        <v>0</v>
      </c>
      <c r="AG156" s="239">
        <v>0</v>
      </c>
      <c r="AH156" s="239">
        <v>0</v>
      </c>
      <c r="AI156" s="239">
        <v>0</v>
      </c>
      <c r="AJ156" s="239">
        <v>0</v>
      </c>
      <c r="AK156" s="239">
        <v>0</v>
      </c>
      <c r="AL156" s="239">
        <v>0</v>
      </c>
      <c r="AM156" s="239">
        <v>0</v>
      </c>
      <c r="AN156" s="239">
        <v>0</v>
      </c>
      <c r="AO156" s="239">
        <v>0</v>
      </c>
      <c r="AP156" s="239">
        <v>0</v>
      </c>
      <c r="AQ156" s="239">
        <v>793753</v>
      </c>
      <c r="AR156" s="239">
        <v>-701188</v>
      </c>
      <c r="AS156" s="214" t="s">
        <v>394</v>
      </c>
      <c r="AT156" s="214" t="s">
        <v>809</v>
      </c>
      <c r="AU156" s="214" t="s">
        <v>807</v>
      </c>
      <c r="AV156" s="214" t="s">
        <v>1088</v>
      </c>
      <c r="AW156" s="214" t="s">
        <v>1088</v>
      </c>
      <c r="AX156" s="214" t="s">
        <v>1294</v>
      </c>
    </row>
    <row r="157" spans="2:50" x14ac:dyDescent="0.2">
      <c r="B157" s="610" t="s">
        <v>397</v>
      </c>
      <c r="C157" s="610" t="s">
        <v>396</v>
      </c>
      <c r="D157" s="239">
        <v>52922041</v>
      </c>
      <c r="E157" s="239">
        <v>0</v>
      </c>
      <c r="F157" s="239">
        <v>52922041</v>
      </c>
      <c r="G157" s="239">
        <v>-31994</v>
      </c>
      <c r="H157" s="239">
        <v>0</v>
      </c>
      <c r="I157" s="239">
        <v>-31994</v>
      </c>
      <c r="J157" s="239">
        <v>-1290700</v>
      </c>
      <c r="K157" s="239">
        <v>0</v>
      </c>
      <c r="L157" s="239">
        <v>-1290700</v>
      </c>
      <c r="M157" s="239">
        <v>0</v>
      </c>
      <c r="N157" s="239">
        <v>0</v>
      </c>
      <c r="O157" s="239">
        <v>0</v>
      </c>
      <c r="P157" s="239">
        <v>-1332278</v>
      </c>
      <c r="Q157" s="239">
        <v>0</v>
      </c>
      <c r="R157" s="239">
        <v>-1332278</v>
      </c>
      <c r="S157" s="239">
        <v>0</v>
      </c>
      <c r="T157" s="239">
        <v>0</v>
      </c>
      <c r="U157" s="239">
        <v>0</v>
      </c>
      <c r="V157" s="239">
        <v>-298957</v>
      </c>
      <c r="W157" s="239">
        <v>0</v>
      </c>
      <c r="X157" s="239">
        <v>-298957</v>
      </c>
      <c r="Y157" s="239">
        <v>51258812</v>
      </c>
      <c r="Z157" s="239">
        <v>0</v>
      </c>
      <c r="AA157" s="239">
        <v>51258812</v>
      </c>
      <c r="AB157" s="239">
        <v>0</v>
      </c>
      <c r="AC157" s="239">
        <v>0</v>
      </c>
      <c r="AD157" s="239">
        <v>0</v>
      </c>
      <c r="AE157" s="239">
        <v>0</v>
      </c>
      <c r="AF157" s="239">
        <v>0</v>
      </c>
      <c r="AG157" s="239">
        <v>0</v>
      </c>
      <c r="AH157" s="239">
        <v>0</v>
      </c>
      <c r="AI157" s="239">
        <v>0</v>
      </c>
      <c r="AJ157" s="239">
        <v>0</v>
      </c>
      <c r="AK157" s="239">
        <v>0</v>
      </c>
      <c r="AL157" s="239">
        <v>0</v>
      </c>
      <c r="AM157" s="239">
        <v>0</v>
      </c>
      <c r="AN157" s="239">
        <v>0</v>
      </c>
      <c r="AO157" s="239">
        <v>0</v>
      </c>
      <c r="AP157" s="239">
        <v>0</v>
      </c>
      <c r="AQ157" s="239">
        <v>4573166</v>
      </c>
      <c r="AR157" s="239">
        <v>-6381351</v>
      </c>
      <c r="AS157" s="214" t="s">
        <v>396</v>
      </c>
      <c r="AT157" s="214" t="s">
        <v>790</v>
      </c>
      <c r="AU157" s="214" t="s">
        <v>749</v>
      </c>
      <c r="AV157" s="214" t="s">
        <v>1088</v>
      </c>
      <c r="AW157" s="214" t="s">
        <v>1088</v>
      </c>
      <c r="AX157" s="214" t="s">
        <v>1297</v>
      </c>
    </row>
    <row r="158" spans="2:50" x14ac:dyDescent="0.2">
      <c r="B158" s="610" t="s">
        <v>399</v>
      </c>
      <c r="C158" s="610" t="s">
        <v>398</v>
      </c>
      <c r="D158" s="239">
        <v>34440579</v>
      </c>
      <c r="E158" s="239">
        <v>0</v>
      </c>
      <c r="F158" s="239">
        <v>34440579</v>
      </c>
      <c r="G158" s="239">
        <v>-3256</v>
      </c>
      <c r="H158" s="239">
        <v>0</v>
      </c>
      <c r="I158" s="239">
        <v>-3256</v>
      </c>
      <c r="J158" s="239">
        <v>10846</v>
      </c>
      <c r="K158" s="239">
        <v>0</v>
      </c>
      <c r="L158" s="239">
        <v>10846</v>
      </c>
      <c r="M158" s="239">
        <v>0</v>
      </c>
      <c r="N158" s="239">
        <v>0</v>
      </c>
      <c r="O158" s="239">
        <v>0</v>
      </c>
      <c r="P158" s="239">
        <v>-68278</v>
      </c>
      <c r="Q158" s="239">
        <v>0</v>
      </c>
      <c r="R158" s="239">
        <v>-68278</v>
      </c>
      <c r="S158" s="239">
        <v>555193</v>
      </c>
      <c r="T158" s="239">
        <v>0</v>
      </c>
      <c r="U158" s="239">
        <v>555193</v>
      </c>
      <c r="V158" s="239">
        <v>-501193</v>
      </c>
      <c r="W158" s="239">
        <v>0</v>
      </c>
      <c r="X158" s="239">
        <v>-501193</v>
      </c>
      <c r="Y158" s="239">
        <v>34423045</v>
      </c>
      <c r="Z158" s="239">
        <v>0</v>
      </c>
      <c r="AA158" s="239">
        <v>34423045</v>
      </c>
      <c r="AB158" s="239">
        <v>0</v>
      </c>
      <c r="AC158" s="239">
        <v>0</v>
      </c>
      <c r="AD158" s="239">
        <v>0</v>
      </c>
      <c r="AE158" s="239">
        <v>0</v>
      </c>
      <c r="AF158" s="239">
        <v>0</v>
      </c>
      <c r="AG158" s="239">
        <v>0</v>
      </c>
      <c r="AH158" s="239">
        <v>0</v>
      </c>
      <c r="AI158" s="239">
        <v>0</v>
      </c>
      <c r="AJ158" s="239">
        <v>0</v>
      </c>
      <c r="AK158" s="239">
        <v>0</v>
      </c>
      <c r="AL158" s="239">
        <v>0</v>
      </c>
      <c r="AM158" s="239">
        <v>0</v>
      </c>
      <c r="AN158" s="239">
        <v>0</v>
      </c>
      <c r="AO158" s="239">
        <v>0</v>
      </c>
      <c r="AP158" s="239">
        <v>0</v>
      </c>
      <c r="AQ158" s="239">
        <v>1259054</v>
      </c>
      <c r="AR158" s="239">
        <v>-583875</v>
      </c>
      <c r="AS158" s="214" t="s">
        <v>398</v>
      </c>
      <c r="AT158" s="214" t="s">
        <v>838</v>
      </c>
      <c r="AU158" s="214" t="s">
        <v>836</v>
      </c>
      <c r="AV158" s="214" t="s">
        <v>1088</v>
      </c>
      <c r="AW158" s="214" t="s">
        <v>1088</v>
      </c>
      <c r="AX158" s="214" t="s">
        <v>1294</v>
      </c>
    </row>
    <row r="159" spans="2:50" x14ac:dyDescent="0.2">
      <c r="B159" s="610" t="s">
        <v>401</v>
      </c>
      <c r="C159" s="610" t="s">
        <v>400</v>
      </c>
      <c r="D159" s="239">
        <v>42464470</v>
      </c>
      <c r="E159" s="239">
        <v>0</v>
      </c>
      <c r="F159" s="239">
        <v>42464470</v>
      </c>
      <c r="G159" s="239">
        <v>-5659</v>
      </c>
      <c r="H159" s="239">
        <v>0</v>
      </c>
      <c r="I159" s="239">
        <v>-5659</v>
      </c>
      <c r="J159" s="239">
        <v>-306763</v>
      </c>
      <c r="K159" s="239">
        <v>0</v>
      </c>
      <c r="L159" s="239">
        <v>-306763</v>
      </c>
      <c r="M159" s="239">
        <v>0</v>
      </c>
      <c r="N159" s="239">
        <v>0</v>
      </c>
      <c r="O159" s="239">
        <v>0</v>
      </c>
      <c r="P159" s="239">
        <v>-317222</v>
      </c>
      <c r="Q159" s="239">
        <v>0</v>
      </c>
      <c r="R159" s="239">
        <v>-317222</v>
      </c>
      <c r="S159" s="239">
        <v>91673</v>
      </c>
      <c r="T159" s="239">
        <v>0</v>
      </c>
      <c r="U159" s="239">
        <v>91673</v>
      </c>
      <c r="V159" s="239">
        <v>-3004696</v>
      </c>
      <c r="W159" s="239">
        <v>0</v>
      </c>
      <c r="X159" s="239">
        <v>-3004696</v>
      </c>
      <c r="Y159" s="239">
        <v>39228566</v>
      </c>
      <c r="Z159" s="239">
        <v>0</v>
      </c>
      <c r="AA159" s="239">
        <v>39228566</v>
      </c>
      <c r="AB159" s="239">
        <v>0</v>
      </c>
      <c r="AC159" s="239">
        <v>0</v>
      </c>
      <c r="AD159" s="239">
        <v>0</v>
      </c>
      <c r="AE159" s="239">
        <v>0</v>
      </c>
      <c r="AF159" s="239">
        <v>0</v>
      </c>
      <c r="AG159" s="239">
        <v>0</v>
      </c>
      <c r="AH159" s="239">
        <v>0</v>
      </c>
      <c r="AI159" s="239">
        <v>0</v>
      </c>
      <c r="AJ159" s="239">
        <v>0</v>
      </c>
      <c r="AK159" s="239">
        <v>0</v>
      </c>
      <c r="AL159" s="239">
        <v>0</v>
      </c>
      <c r="AM159" s="239">
        <v>0</v>
      </c>
      <c r="AN159" s="239">
        <v>0</v>
      </c>
      <c r="AO159" s="239">
        <v>0</v>
      </c>
      <c r="AP159" s="239">
        <v>0</v>
      </c>
      <c r="AQ159" s="239">
        <v>894002</v>
      </c>
      <c r="AR159" s="239">
        <v>-1184352</v>
      </c>
      <c r="AS159" s="214" t="s">
        <v>400</v>
      </c>
      <c r="AT159" s="214" t="s">
        <v>798</v>
      </c>
      <c r="AU159" s="214" t="s">
        <v>763</v>
      </c>
      <c r="AV159" s="214" t="s">
        <v>1088</v>
      </c>
      <c r="AW159" s="214" t="s">
        <v>1088</v>
      </c>
      <c r="AX159" s="214" t="s">
        <v>1294</v>
      </c>
    </row>
    <row r="160" spans="2:50" x14ac:dyDescent="0.2">
      <c r="B160" s="610" t="s">
        <v>403</v>
      </c>
      <c r="C160" s="610" t="s">
        <v>402</v>
      </c>
      <c r="D160" s="239">
        <v>163387442</v>
      </c>
      <c r="E160" s="239">
        <v>25176942</v>
      </c>
      <c r="F160" s="239">
        <v>188564384</v>
      </c>
      <c r="G160" s="239">
        <v>-3767</v>
      </c>
      <c r="H160" s="239">
        <v>0</v>
      </c>
      <c r="I160" s="239">
        <v>-3767</v>
      </c>
      <c r="J160" s="239">
        <v>-2251</v>
      </c>
      <c r="K160" s="239">
        <v>-3</v>
      </c>
      <c r="L160" s="239">
        <v>-2254</v>
      </c>
      <c r="M160" s="239">
        <v>0</v>
      </c>
      <c r="N160" s="239">
        <v>0</v>
      </c>
      <c r="O160" s="239">
        <v>0</v>
      </c>
      <c r="P160" s="239">
        <v>-5103516</v>
      </c>
      <c r="Q160" s="239">
        <v>0</v>
      </c>
      <c r="R160" s="239">
        <v>-5103516</v>
      </c>
      <c r="S160" s="239">
        <v>13868994</v>
      </c>
      <c r="T160" s="239">
        <v>0</v>
      </c>
      <c r="U160" s="239">
        <v>13868994</v>
      </c>
      <c r="V160" s="239">
        <v>-18648884</v>
      </c>
      <c r="W160" s="239">
        <v>0</v>
      </c>
      <c r="X160" s="239">
        <v>-18648884</v>
      </c>
      <c r="Y160" s="239">
        <v>153500269</v>
      </c>
      <c r="Z160" s="239">
        <v>25176942</v>
      </c>
      <c r="AA160" s="239">
        <v>178677211</v>
      </c>
      <c r="AB160" s="239">
        <v>25176942</v>
      </c>
      <c r="AC160" s="239">
        <v>2424973</v>
      </c>
      <c r="AD160" s="239">
        <v>22751969</v>
      </c>
      <c r="AE160" s="239">
        <v>0</v>
      </c>
      <c r="AF160" s="239">
        <v>0</v>
      </c>
      <c r="AG160" s="239">
        <v>0</v>
      </c>
      <c r="AH160" s="239">
        <v>0</v>
      </c>
      <c r="AI160" s="239">
        <v>-144976</v>
      </c>
      <c r="AJ160" s="239">
        <v>-1016</v>
      </c>
      <c r="AK160" s="239">
        <v>-143960</v>
      </c>
      <c r="AL160" s="239">
        <v>3663356</v>
      </c>
      <c r="AM160" s="239">
        <v>31386449</v>
      </c>
      <c r="AN160" s="239">
        <v>0</v>
      </c>
      <c r="AO160" s="239">
        <v>0</v>
      </c>
      <c r="AP160" s="239">
        <v>0</v>
      </c>
      <c r="AQ160" s="239">
        <v>75974770</v>
      </c>
      <c r="AR160" s="239">
        <v>-10555175</v>
      </c>
      <c r="AS160" s="214" t="s">
        <v>402</v>
      </c>
      <c r="AT160" s="214" t="s">
        <v>768</v>
      </c>
      <c r="AU160" s="214" t="s">
        <v>774</v>
      </c>
      <c r="AV160" s="214" t="s">
        <v>1110</v>
      </c>
      <c r="AW160" s="214" t="s">
        <v>1111</v>
      </c>
      <c r="AX160" s="214" t="s">
        <v>1296</v>
      </c>
    </row>
    <row r="161" spans="1:50" x14ac:dyDescent="0.2">
      <c r="B161" s="610" t="s">
        <v>405</v>
      </c>
      <c r="C161" s="610" t="s">
        <v>404</v>
      </c>
      <c r="D161" s="239">
        <v>67326383</v>
      </c>
      <c r="E161" s="239">
        <v>0</v>
      </c>
      <c r="F161" s="239">
        <v>67326383</v>
      </c>
      <c r="G161" s="239">
        <v>0</v>
      </c>
      <c r="H161" s="239">
        <v>0</v>
      </c>
      <c r="I161" s="239">
        <v>0</v>
      </c>
      <c r="J161" s="239">
        <v>-1674731</v>
      </c>
      <c r="K161" s="239">
        <v>0</v>
      </c>
      <c r="L161" s="239">
        <v>-1674731</v>
      </c>
      <c r="M161" s="239">
        <v>0</v>
      </c>
      <c r="N161" s="239">
        <v>0</v>
      </c>
      <c r="O161" s="239">
        <v>0</v>
      </c>
      <c r="P161" s="239">
        <v>-4391151</v>
      </c>
      <c r="Q161" s="239">
        <v>0</v>
      </c>
      <c r="R161" s="239">
        <v>-4391151</v>
      </c>
      <c r="S161" s="239">
        <v>3753961</v>
      </c>
      <c r="T161" s="239">
        <v>0</v>
      </c>
      <c r="U161" s="239">
        <v>3753961</v>
      </c>
      <c r="V161" s="239">
        <v>-7391140</v>
      </c>
      <c r="W161" s="239">
        <v>0</v>
      </c>
      <c r="X161" s="239">
        <v>-7391140</v>
      </c>
      <c r="Y161" s="239">
        <v>59298053</v>
      </c>
      <c r="Z161" s="239">
        <v>0</v>
      </c>
      <c r="AA161" s="239">
        <v>59298053</v>
      </c>
      <c r="AB161" s="239">
        <v>0</v>
      </c>
      <c r="AC161" s="239">
        <v>0</v>
      </c>
      <c r="AD161" s="239">
        <v>0</v>
      </c>
      <c r="AE161" s="239">
        <v>0</v>
      </c>
      <c r="AF161" s="239">
        <v>0</v>
      </c>
      <c r="AG161" s="239">
        <v>0</v>
      </c>
      <c r="AH161" s="239">
        <v>0</v>
      </c>
      <c r="AI161" s="239">
        <v>0</v>
      </c>
      <c r="AJ161" s="239">
        <v>0</v>
      </c>
      <c r="AK161" s="239">
        <v>0</v>
      </c>
      <c r="AL161" s="239">
        <v>0</v>
      </c>
      <c r="AM161" s="239">
        <v>0</v>
      </c>
      <c r="AN161" s="239">
        <v>0</v>
      </c>
      <c r="AO161" s="239">
        <v>0</v>
      </c>
      <c r="AP161" s="239">
        <v>0</v>
      </c>
      <c r="AQ161" s="239">
        <v>11523498</v>
      </c>
      <c r="AR161" s="239">
        <v>-4002857</v>
      </c>
      <c r="AS161" s="214" t="s">
        <v>900</v>
      </c>
      <c r="AT161" s="214" t="s">
        <v>748</v>
      </c>
      <c r="AU161" s="214" t="s">
        <v>898</v>
      </c>
      <c r="AV161" s="214" t="s">
        <v>1088</v>
      </c>
      <c r="AW161" s="214" t="s">
        <v>1088</v>
      </c>
      <c r="AX161" s="214" t="s">
        <v>748</v>
      </c>
    </row>
    <row r="162" spans="1:50" x14ac:dyDescent="0.2">
      <c r="B162" s="610" t="s">
        <v>407</v>
      </c>
      <c r="C162" s="610" t="s">
        <v>406</v>
      </c>
      <c r="D162" s="239">
        <v>58607516</v>
      </c>
      <c r="E162" s="239">
        <v>0</v>
      </c>
      <c r="F162" s="239">
        <v>58607516</v>
      </c>
      <c r="G162" s="239">
        <v>-110</v>
      </c>
      <c r="H162" s="239">
        <v>0</v>
      </c>
      <c r="I162" s="239">
        <v>-110</v>
      </c>
      <c r="J162" s="239">
        <v>-1254715</v>
      </c>
      <c r="K162" s="239">
        <v>0</v>
      </c>
      <c r="L162" s="239">
        <v>-1254715</v>
      </c>
      <c r="M162" s="239">
        <v>0</v>
      </c>
      <c r="N162" s="239">
        <v>0</v>
      </c>
      <c r="O162" s="239">
        <v>0</v>
      </c>
      <c r="P162" s="239">
        <v>-25711</v>
      </c>
      <c r="Q162" s="239">
        <v>0</v>
      </c>
      <c r="R162" s="239">
        <v>-25711</v>
      </c>
      <c r="S162" s="239">
        <v>1054740</v>
      </c>
      <c r="T162" s="239">
        <v>0</v>
      </c>
      <c r="U162" s="239">
        <v>1054740</v>
      </c>
      <c r="V162" s="239">
        <v>-4670796</v>
      </c>
      <c r="W162" s="239">
        <v>0</v>
      </c>
      <c r="X162" s="239">
        <v>-4670796</v>
      </c>
      <c r="Y162" s="239">
        <v>54965639</v>
      </c>
      <c r="Z162" s="239">
        <v>0</v>
      </c>
      <c r="AA162" s="239">
        <v>54965639</v>
      </c>
      <c r="AB162" s="239">
        <v>0</v>
      </c>
      <c r="AC162" s="239">
        <v>0</v>
      </c>
      <c r="AD162" s="239">
        <v>0</v>
      </c>
      <c r="AE162" s="239">
        <v>0</v>
      </c>
      <c r="AF162" s="239">
        <v>0</v>
      </c>
      <c r="AG162" s="239">
        <v>0</v>
      </c>
      <c r="AH162" s="239">
        <v>0</v>
      </c>
      <c r="AI162" s="239">
        <v>0</v>
      </c>
      <c r="AJ162" s="239">
        <v>0</v>
      </c>
      <c r="AK162" s="239">
        <v>0</v>
      </c>
      <c r="AL162" s="239">
        <v>0</v>
      </c>
      <c r="AM162" s="239">
        <v>0</v>
      </c>
      <c r="AN162" s="239">
        <v>0</v>
      </c>
      <c r="AO162" s="239">
        <v>0</v>
      </c>
      <c r="AP162" s="239">
        <v>0</v>
      </c>
      <c r="AQ162" s="239">
        <v>3271366</v>
      </c>
      <c r="AR162" s="239">
        <v>-491960</v>
      </c>
      <c r="AS162" s="214" t="s">
        <v>406</v>
      </c>
      <c r="AT162" s="214" t="s">
        <v>826</v>
      </c>
      <c r="AU162" s="214" t="s">
        <v>824</v>
      </c>
      <c r="AV162" s="214" t="s">
        <v>1088</v>
      </c>
      <c r="AW162" s="214" t="s">
        <v>1088</v>
      </c>
      <c r="AX162" s="214" t="s">
        <v>1294</v>
      </c>
    </row>
    <row r="163" spans="1:50" x14ac:dyDescent="0.2">
      <c r="A163" s="215" t="s">
        <v>1321</v>
      </c>
      <c r="B163" s="610" t="s">
        <v>409</v>
      </c>
      <c r="C163" s="610" t="s">
        <v>408</v>
      </c>
      <c r="D163" s="239">
        <v>14166204</v>
      </c>
      <c r="E163" s="239">
        <v>0</v>
      </c>
      <c r="F163" s="239">
        <v>14166204</v>
      </c>
      <c r="G163" s="239">
        <v>0</v>
      </c>
      <c r="H163" s="239">
        <v>0</v>
      </c>
      <c r="I163" s="239">
        <v>0</v>
      </c>
      <c r="J163" s="239">
        <v>-40758</v>
      </c>
      <c r="K163" s="239">
        <v>0</v>
      </c>
      <c r="L163" s="239">
        <v>-40758</v>
      </c>
      <c r="M163" s="239">
        <v>0</v>
      </c>
      <c r="N163" s="239">
        <v>0</v>
      </c>
      <c r="O163" s="239">
        <v>0</v>
      </c>
      <c r="P163" s="239">
        <v>-72758</v>
      </c>
      <c r="Q163" s="239">
        <v>0</v>
      </c>
      <c r="R163" s="239">
        <v>-72758</v>
      </c>
      <c r="S163" s="239">
        <v>21477</v>
      </c>
      <c r="T163" s="239">
        <v>0</v>
      </c>
      <c r="U163" s="239">
        <v>21477</v>
      </c>
      <c r="V163" s="239">
        <v>-224437</v>
      </c>
      <c r="W163" s="239">
        <v>0</v>
      </c>
      <c r="X163" s="239">
        <v>-224437</v>
      </c>
      <c r="Y163" s="239">
        <v>13890486</v>
      </c>
      <c r="Z163" s="239">
        <v>0</v>
      </c>
      <c r="AA163" s="239">
        <v>13890486</v>
      </c>
      <c r="AB163" s="239">
        <v>0</v>
      </c>
      <c r="AC163" s="239">
        <v>0</v>
      </c>
      <c r="AD163" s="239">
        <v>0</v>
      </c>
      <c r="AE163" s="239">
        <v>486386</v>
      </c>
      <c r="AF163" s="239">
        <v>486386</v>
      </c>
      <c r="AG163" s="239">
        <v>0</v>
      </c>
      <c r="AH163" s="239">
        <v>0</v>
      </c>
      <c r="AI163" s="239">
        <v>0</v>
      </c>
      <c r="AJ163" s="239">
        <v>0</v>
      </c>
      <c r="AK163" s="239">
        <v>0</v>
      </c>
      <c r="AL163" s="239">
        <v>0</v>
      </c>
      <c r="AM163" s="239">
        <v>0</v>
      </c>
      <c r="AN163" s="239">
        <v>0</v>
      </c>
      <c r="AO163" s="239">
        <v>0</v>
      </c>
      <c r="AP163" s="239">
        <v>0</v>
      </c>
      <c r="AQ163" s="239">
        <v>821110</v>
      </c>
      <c r="AR163" s="239">
        <v>-440206</v>
      </c>
      <c r="AS163" s="214" t="s">
        <v>408</v>
      </c>
      <c r="AT163" s="214" t="s">
        <v>822</v>
      </c>
      <c r="AU163" s="214" t="s">
        <v>820</v>
      </c>
      <c r="AV163" s="214" t="s">
        <v>1088</v>
      </c>
      <c r="AW163" s="214" t="s">
        <v>1088</v>
      </c>
      <c r="AX163" s="214" t="s">
        <v>1294</v>
      </c>
    </row>
    <row r="164" spans="1:50" x14ac:dyDescent="0.2">
      <c r="B164" s="610" t="s">
        <v>411</v>
      </c>
      <c r="C164" s="610" t="s">
        <v>410</v>
      </c>
      <c r="D164" s="239">
        <v>12986887</v>
      </c>
      <c r="E164" s="239">
        <v>0</v>
      </c>
      <c r="F164" s="239">
        <v>12986887</v>
      </c>
      <c r="G164" s="239">
        <v>-13581</v>
      </c>
      <c r="H164" s="239">
        <v>0</v>
      </c>
      <c r="I164" s="239">
        <v>-13581</v>
      </c>
      <c r="J164" s="239">
        <v>-63405</v>
      </c>
      <c r="K164" s="239">
        <v>0</v>
      </c>
      <c r="L164" s="239">
        <v>-63405</v>
      </c>
      <c r="M164" s="239">
        <v>0</v>
      </c>
      <c r="N164" s="239">
        <v>0</v>
      </c>
      <c r="O164" s="239">
        <v>0</v>
      </c>
      <c r="P164" s="239">
        <v>0</v>
      </c>
      <c r="Q164" s="239">
        <v>0</v>
      </c>
      <c r="R164" s="239">
        <v>0</v>
      </c>
      <c r="S164" s="239">
        <v>3479054</v>
      </c>
      <c r="T164" s="239">
        <v>0</v>
      </c>
      <c r="U164" s="239">
        <v>3479054</v>
      </c>
      <c r="V164" s="239">
        <v>-2358777</v>
      </c>
      <c r="W164" s="239">
        <v>0</v>
      </c>
      <c r="X164" s="239">
        <v>-2358777</v>
      </c>
      <c r="Y164" s="239">
        <v>14093583</v>
      </c>
      <c r="Z164" s="239">
        <v>0</v>
      </c>
      <c r="AA164" s="239">
        <v>14093583</v>
      </c>
      <c r="AB164" s="239">
        <v>0</v>
      </c>
      <c r="AC164" s="239">
        <v>0</v>
      </c>
      <c r="AD164" s="239">
        <v>0</v>
      </c>
      <c r="AE164" s="239">
        <v>0</v>
      </c>
      <c r="AF164" s="239">
        <v>0</v>
      </c>
      <c r="AG164" s="239">
        <v>0</v>
      </c>
      <c r="AH164" s="239">
        <v>0</v>
      </c>
      <c r="AI164" s="239">
        <v>0</v>
      </c>
      <c r="AJ164" s="239">
        <v>0</v>
      </c>
      <c r="AK164" s="239">
        <v>0</v>
      </c>
      <c r="AL164" s="239">
        <v>0</v>
      </c>
      <c r="AM164" s="239">
        <v>0</v>
      </c>
      <c r="AN164" s="239">
        <v>0</v>
      </c>
      <c r="AO164" s="239">
        <v>0</v>
      </c>
      <c r="AP164" s="239">
        <v>0</v>
      </c>
      <c r="AQ164" s="239">
        <v>466766</v>
      </c>
      <c r="AR164" s="239">
        <v>-57079</v>
      </c>
      <c r="AS164" s="214" t="s">
        <v>410</v>
      </c>
      <c r="AT164" s="214" t="s">
        <v>753</v>
      </c>
      <c r="AU164" s="214" t="s">
        <v>751</v>
      </c>
      <c r="AV164" s="214" t="s">
        <v>1088</v>
      </c>
      <c r="AW164" s="214" t="s">
        <v>1088</v>
      </c>
      <c r="AX164" s="214" t="s">
        <v>1294</v>
      </c>
    </row>
    <row r="165" spans="1:50" x14ac:dyDescent="0.2">
      <c r="B165" s="610" t="s">
        <v>413</v>
      </c>
      <c r="C165" s="610" t="s">
        <v>412</v>
      </c>
      <c r="D165" s="239">
        <v>321447788</v>
      </c>
      <c r="E165" s="239">
        <v>5395383</v>
      </c>
      <c r="F165" s="239">
        <v>326843171</v>
      </c>
      <c r="G165" s="239">
        <v>0</v>
      </c>
      <c r="H165" s="239">
        <v>0</v>
      </c>
      <c r="I165" s="239">
        <v>0</v>
      </c>
      <c r="J165" s="239">
        <v>-4275812</v>
      </c>
      <c r="K165" s="239">
        <v>-71834</v>
      </c>
      <c r="L165" s="239">
        <v>-4347646</v>
      </c>
      <c r="M165" s="239">
        <v>0</v>
      </c>
      <c r="N165" s="239">
        <v>0</v>
      </c>
      <c r="O165" s="239">
        <v>0</v>
      </c>
      <c r="P165" s="239">
        <v>-5854395</v>
      </c>
      <c r="Q165" s="239">
        <v>-98263</v>
      </c>
      <c r="R165" s="239">
        <v>-5952658</v>
      </c>
      <c r="S165" s="239">
        <v>37225880</v>
      </c>
      <c r="T165" s="239">
        <v>0</v>
      </c>
      <c r="U165" s="239">
        <v>37225880</v>
      </c>
      <c r="V165" s="239">
        <v>-4429830</v>
      </c>
      <c r="W165" s="239">
        <v>0</v>
      </c>
      <c r="X165" s="239">
        <v>-4429830</v>
      </c>
      <c r="Y165" s="239">
        <v>348389443</v>
      </c>
      <c r="Z165" s="239">
        <v>5297120</v>
      </c>
      <c r="AA165" s="239">
        <v>353686563</v>
      </c>
      <c r="AB165" s="239">
        <v>5297120</v>
      </c>
      <c r="AC165" s="239">
        <v>5297120</v>
      </c>
      <c r="AD165" s="239">
        <v>0</v>
      </c>
      <c r="AE165" s="239">
        <v>0</v>
      </c>
      <c r="AF165" s="239">
        <v>0</v>
      </c>
      <c r="AG165" s="239">
        <v>0</v>
      </c>
      <c r="AH165" s="239">
        <v>0</v>
      </c>
      <c r="AI165" s="239">
        <v>-2142</v>
      </c>
      <c r="AJ165" s="239">
        <v>-2142</v>
      </c>
      <c r="AK165" s="239">
        <v>0</v>
      </c>
      <c r="AL165" s="239">
        <v>6035290</v>
      </c>
      <c r="AM165" s="239">
        <v>0</v>
      </c>
      <c r="AN165" s="239">
        <v>0</v>
      </c>
      <c r="AO165" s="239">
        <v>0</v>
      </c>
      <c r="AP165" s="239">
        <v>0</v>
      </c>
      <c r="AQ165" s="239">
        <v>26127160</v>
      </c>
      <c r="AR165" s="239">
        <v>-16167083</v>
      </c>
      <c r="AS165" s="214" t="s">
        <v>412</v>
      </c>
      <c r="AT165" s="214" t="s">
        <v>768</v>
      </c>
      <c r="AU165" s="214" t="s">
        <v>783</v>
      </c>
      <c r="AV165" s="214" t="s">
        <v>1112</v>
      </c>
      <c r="AW165" s="214" t="s">
        <v>1088</v>
      </c>
      <c r="AX165" s="214" t="s">
        <v>1296</v>
      </c>
    </row>
    <row r="166" spans="1:50" x14ac:dyDescent="0.2">
      <c r="B166" s="610" t="s">
        <v>415</v>
      </c>
      <c r="C166" s="610" t="s">
        <v>414</v>
      </c>
      <c r="D166" s="239">
        <v>28810767</v>
      </c>
      <c r="E166" s="239">
        <v>0</v>
      </c>
      <c r="F166" s="239">
        <v>28810767</v>
      </c>
      <c r="G166" s="239">
        <v>-593</v>
      </c>
      <c r="H166" s="239">
        <v>0</v>
      </c>
      <c r="I166" s="239">
        <v>-593</v>
      </c>
      <c r="J166" s="239">
        <v>-365210</v>
      </c>
      <c r="K166" s="239">
        <v>0</v>
      </c>
      <c r="L166" s="239">
        <v>-365210</v>
      </c>
      <c r="M166" s="239">
        <v>0</v>
      </c>
      <c r="N166" s="239">
        <v>0</v>
      </c>
      <c r="O166" s="239">
        <v>0</v>
      </c>
      <c r="P166" s="239">
        <v>-341785</v>
      </c>
      <c r="Q166" s="239">
        <v>0</v>
      </c>
      <c r="R166" s="239">
        <v>-341785</v>
      </c>
      <c r="S166" s="239">
        <v>1610065</v>
      </c>
      <c r="T166" s="239">
        <v>0</v>
      </c>
      <c r="U166" s="239">
        <v>1610065</v>
      </c>
      <c r="V166" s="239">
        <v>-3808953</v>
      </c>
      <c r="W166" s="239">
        <v>0</v>
      </c>
      <c r="X166" s="239">
        <v>-3808953</v>
      </c>
      <c r="Y166" s="239">
        <v>26269501</v>
      </c>
      <c r="Z166" s="239">
        <v>0</v>
      </c>
      <c r="AA166" s="239">
        <v>26269501</v>
      </c>
      <c r="AB166" s="239">
        <v>0</v>
      </c>
      <c r="AC166" s="239">
        <v>0</v>
      </c>
      <c r="AD166" s="239">
        <v>0</v>
      </c>
      <c r="AE166" s="239">
        <v>0</v>
      </c>
      <c r="AF166" s="239">
        <v>0</v>
      </c>
      <c r="AG166" s="239">
        <v>0</v>
      </c>
      <c r="AH166" s="239">
        <v>0</v>
      </c>
      <c r="AI166" s="239">
        <v>0</v>
      </c>
      <c r="AJ166" s="239">
        <v>0</v>
      </c>
      <c r="AK166" s="239">
        <v>0</v>
      </c>
      <c r="AL166" s="239">
        <v>0</v>
      </c>
      <c r="AM166" s="239">
        <v>0</v>
      </c>
      <c r="AN166" s="239">
        <v>0</v>
      </c>
      <c r="AO166" s="239">
        <v>0</v>
      </c>
      <c r="AP166" s="239">
        <v>0</v>
      </c>
      <c r="AQ166" s="239">
        <v>813588</v>
      </c>
      <c r="AR166" s="239">
        <v>-138773</v>
      </c>
      <c r="AS166" s="214" t="s">
        <v>414</v>
      </c>
      <c r="AT166" s="214" t="s">
        <v>874</v>
      </c>
      <c r="AU166" s="214" t="s">
        <v>872</v>
      </c>
      <c r="AV166" s="214" t="s">
        <v>1088</v>
      </c>
      <c r="AW166" s="214" t="s">
        <v>1088</v>
      </c>
      <c r="AX166" s="214" t="s">
        <v>1294</v>
      </c>
    </row>
    <row r="167" spans="1:50" x14ac:dyDescent="0.2">
      <c r="B167" s="610" t="s">
        <v>417</v>
      </c>
      <c r="C167" s="610" t="s">
        <v>416</v>
      </c>
      <c r="D167" s="239">
        <v>88855332</v>
      </c>
      <c r="E167" s="239">
        <v>0</v>
      </c>
      <c r="F167" s="239">
        <v>88855332</v>
      </c>
      <c r="G167" s="239">
        <v>0</v>
      </c>
      <c r="H167" s="239">
        <v>0</v>
      </c>
      <c r="I167" s="239">
        <v>0</v>
      </c>
      <c r="J167" s="239">
        <v>-837035</v>
      </c>
      <c r="K167" s="239">
        <v>0</v>
      </c>
      <c r="L167" s="239">
        <v>-837035</v>
      </c>
      <c r="M167" s="239">
        <v>0</v>
      </c>
      <c r="N167" s="239">
        <v>0</v>
      </c>
      <c r="O167" s="239">
        <v>0</v>
      </c>
      <c r="P167" s="239">
        <v>-1469004</v>
      </c>
      <c r="Q167" s="239">
        <v>0</v>
      </c>
      <c r="R167" s="239">
        <v>-1469004</v>
      </c>
      <c r="S167" s="239">
        <v>0</v>
      </c>
      <c r="T167" s="239">
        <v>0</v>
      </c>
      <c r="U167" s="239">
        <v>0</v>
      </c>
      <c r="V167" s="239">
        <v>4095047</v>
      </c>
      <c r="W167" s="239">
        <v>0</v>
      </c>
      <c r="X167" s="239">
        <v>4095047</v>
      </c>
      <c r="Y167" s="239">
        <v>91481375</v>
      </c>
      <c r="Z167" s="239">
        <v>0</v>
      </c>
      <c r="AA167" s="239">
        <v>91481375</v>
      </c>
      <c r="AB167" s="239">
        <v>0</v>
      </c>
      <c r="AC167" s="239">
        <v>0</v>
      </c>
      <c r="AD167" s="239">
        <v>0</v>
      </c>
      <c r="AE167" s="239">
        <v>0</v>
      </c>
      <c r="AF167" s="239">
        <v>0</v>
      </c>
      <c r="AG167" s="239">
        <v>0</v>
      </c>
      <c r="AH167" s="239">
        <v>0</v>
      </c>
      <c r="AI167" s="239">
        <v>0</v>
      </c>
      <c r="AJ167" s="239">
        <v>0</v>
      </c>
      <c r="AK167" s="239">
        <v>0</v>
      </c>
      <c r="AL167" s="239">
        <v>0</v>
      </c>
      <c r="AM167" s="239">
        <v>0</v>
      </c>
      <c r="AN167" s="239">
        <v>0</v>
      </c>
      <c r="AO167" s="239">
        <v>0</v>
      </c>
      <c r="AP167" s="239">
        <v>0</v>
      </c>
      <c r="AQ167" s="239">
        <v>4820087</v>
      </c>
      <c r="AR167" s="239">
        <v>-1919731</v>
      </c>
      <c r="AS167" s="214" t="s">
        <v>897</v>
      </c>
      <c r="AT167" s="214" t="s">
        <v>748</v>
      </c>
      <c r="AU167" s="214" t="s">
        <v>824</v>
      </c>
      <c r="AV167" s="214" t="s">
        <v>1088</v>
      </c>
      <c r="AW167" s="214" t="s">
        <v>1088</v>
      </c>
      <c r="AX167" s="214" t="s">
        <v>748</v>
      </c>
    </row>
    <row r="168" spans="1:50" x14ac:dyDescent="0.2">
      <c r="B168" s="610" t="s">
        <v>419</v>
      </c>
      <c r="C168" s="610" t="s">
        <v>418</v>
      </c>
      <c r="D168" s="239">
        <v>13729329</v>
      </c>
      <c r="E168" s="239">
        <v>0</v>
      </c>
      <c r="F168" s="239">
        <v>13729329</v>
      </c>
      <c r="G168" s="239">
        <v>-1097</v>
      </c>
      <c r="H168" s="239">
        <v>0</v>
      </c>
      <c r="I168" s="239">
        <v>-1097</v>
      </c>
      <c r="J168" s="239">
        <v>-156194</v>
      </c>
      <c r="K168" s="239">
        <v>0</v>
      </c>
      <c r="L168" s="239">
        <v>-156194</v>
      </c>
      <c r="M168" s="239">
        <v>0</v>
      </c>
      <c r="N168" s="239">
        <v>0</v>
      </c>
      <c r="O168" s="239">
        <v>0</v>
      </c>
      <c r="P168" s="239">
        <v>-121184.41</v>
      </c>
      <c r="Q168" s="239">
        <v>0</v>
      </c>
      <c r="R168" s="239">
        <v>-121184.41</v>
      </c>
      <c r="S168" s="239">
        <v>273572</v>
      </c>
      <c r="T168" s="239">
        <v>0</v>
      </c>
      <c r="U168" s="239">
        <v>273572</v>
      </c>
      <c r="V168" s="239">
        <v>-669630.18999999994</v>
      </c>
      <c r="W168" s="239">
        <v>0</v>
      </c>
      <c r="X168" s="239">
        <v>-669630.18999999994</v>
      </c>
      <c r="Y168" s="239">
        <v>13210989.4</v>
      </c>
      <c r="Z168" s="239">
        <v>0</v>
      </c>
      <c r="AA168" s="239">
        <v>13210989.4</v>
      </c>
      <c r="AB168" s="239">
        <v>0</v>
      </c>
      <c r="AC168" s="239">
        <v>0</v>
      </c>
      <c r="AD168" s="239">
        <v>0</v>
      </c>
      <c r="AE168" s="239">
        <v>81750</v>
      </c>
      <c r="AF168" s="239">
        <v>81750</v>
      </c>
      <c r="AG168" s="239">
        <v>0</v>
      </c>
      <c r="AH168" s="239">
        <v>0</v>
      </c>
      <c r="AI168" s="239">
        <v>0</v>
      </c>
      <c r="AJ168" s="239">
        <v>0</v>
      </c>
      <c r="AK168" s="239">
        <v>0</v>
      </c>
      <c r="AL168" s="239">
        <v>0</v>
      </c>
      <c r="AM168" s="239">
        <v>0</v>
      </c>
      <c r="AN168" s="239">
        <v>0</v>
      </c>
      <c r="AO168" s="239">
        <v>0</v>
      </c>
      <c r="AP168" s="239">
        <v>0</v>
      </c>
      <c r="AQ168" s="239">
        <v>621140</v>
      </c>
      <c r="AR168" s="239">
        <v>-248062</v>
      </c>
      <c r="AS168" s="214" t="s">
        <v>418</v>
      </c>
      <c r="AT168" s="214" t="s">
        <v>884</v>
      </c>
      <c r="AU168" s="214" t="s">
        <v>869</v>
      </c>
      <c r="AV168" s="214" t="s">
        <v>1088</v>
      </c>
      <c r="AW168" s="214" t="s">
        <v>1088</v>
      </c>
      <c r="AX168" s="214" t="s">
        <v>1294</v>
      </c>
    </row>
    <row r="169" spans="1:50" x14ac:dyDescent="0.2">
      <c r="B169" s="610" t="s">
        <v>421</v>
      </c>
      <c r="C169" s="610" t="s">
        <v>420</v>
      </c>
      <c r="D169" s="239">
        <v>32629372</v>
      </c>
      <c r="E169" s="239">
        <v>0</v>
      </c>
      <c r="F169" s="239">
        <v>32629372</v>
      </c>
      <c r="G169" s="239">
        <v>-32558</v>
      </c>
      <c r="H169" s="239">
        <v>0</v>
      </c>
      <c r="I169" s="239">
        <v>-32558</v>
      </c>
      <c r="J169" s="239">
        <v>-147386</v>
      </c>
      <c r="K169" s="239">
        <v>0</v>
      </c>
      <c r="L169" s="239">
        <v>-147386</v>
      </c>
      <c r="M169" s="239">
        <v>0</v>
      </c>
      <c r="N169" s="239">
        <v>0</v>
      </c>
      <c r="O169" s="239">
        <v>0</v>
      </c>
      <c r="P169" s="239">
        <v>-118024</v>
      </c>
      <c r="Q169" s="239">
        <v>0</v>
      </c>
      <c r="R169" s="239">
        <v>-118024</v>
      </c>
      <c r="S169" s="239">
        <v>1104148</v>
      </c>
      <c r="T169" s="239">
        <v>0</v>
      </c>
      <c r="U169" s="239">
        <v>1104148</v>
      </c>
      <c r="V169" s="239">
        <v>-1521962</v>
      </c>
      <c r="W169" s="239">
        <v>0</v>
      </c>
      <c r="X169" s="239">
        <v>-1521962</v>
      </c>
      <c r="Y169" s="239">
        <v>32060976</v>
      </c>
      <c r="Z169" s="239">
        <v>0</v>
      </c>
      <c r="AA169" s="239">
        <v>32060976</v>
      </c>
      <c r="AB169" s="239">
        <v>0</v>
      </c>
      <c r="AC169" s="239">
        <v>0</v>
      </c>
      <c r="AD169" s="239">
        <v>0</v>
      </c>
      <c r="AE169" s="239">
        <v>220938</v>
      </c>
      <c r="AF169" s="239">
        <v>220938</v>
      </c>
      <c r="AG169" s="239">
        <v>0</v>
      </c>
      <c r="AH169" s="239">
        <v>0</v>
      </c>
      <c r="AI169" s="239">
        <v>0</v>
      </c>
      <c r="AJ169" s="239">
        <v>0</v>
      </c>
      <c r="AK169" s="239">
        <v>0</v>
      </c>
      <c r="AL169" s="239">
        <v>0</v>
      </c>
      <c r="AM169" s="239">
        <v>0</v>
      </c>
      <c r="AN169" s="239">
        <v>0</v>
      </c>
      <c r="AO169" s="239">
        <v>0</v>
      </c>
      <c r="AP169" s="239">
        <v>0</v>
      </c>
      <c r="AQ169" s="239">
        <v>980343</v>
      </c>
      <c r="AR169" s="239">
        <v>-669461</v>
      </c>
      <c r="AS169" s="214" t="s">
        <v>420</v>
      </c>
      <c r="AT169" s="214" t="s">
        <v>794</v>
      </c>
      <c r="AU169" s="214" t="s">
        <v>792</v>
      </c>
      <c r="AV169" s="214" t="s">
        <v>1088</v>
      </c>
      <c r="AW169" s="214" t="s">
        <v>1088</v>
      </c>
      <c r="AX169" s="214" t="s">
        <v>1294</v>
      </c>
    </row>
    <row r="170" spans="1:50" x14ac:dyDescent="0.2">
      <c r="B170" s="610" t="s">
        <v>423</v>
      </c>
      <c r="C170" s="610" t="s">
        <v>422</v>
      </c>
      <c r="D170" s="239">
        <v>85073192</v>
      </c>
      <c r="E170" s="239">
        <v>0</v>
      </c>
      <c r="F170" s="239">
        <v>85073192</v>
      </c>
      <c r="G170" s="239">
        <v>-20152</v>
      </c>
      <c r="H170" s="239">
        <v>0</v>
      </c>
      <c r="I170" s="239">
        <v>-20152</v>
      </c>
      <c r="J170" s="239">
        <v>-663570</v>
      </c>
      <c r="K170" s="239">
        <v>0</v>
      </c>
      <c r="L170" s="239">
        <v>-663570</v>
      </c>
      <c r="M170" s="239">
        <v>0</v>
      </c>
      <c r="N170" s="239">
        <v>0</v>
      </c>
      <c r="O170" s="239">
        <v>0</v>
      </c>
      <c r="P170" s="239">
        <v>-683570</v>
      </c>
      <c r="Q170" s="239">
        <v>0</v>
      </c>
      <c r="R170" s="239">
        <v>-683570</v>
      </c>
      <c r="S170" s="239">
        <v>2465987</v>
      </c>
      <c r="T170" s="239">
        <v>0</v>
      </c>
      <c r="U170" s="239">
        <v>2465987</v>
      </c>
      <c r="V170" s="239">
        <v>-1305000</v>
      </c>
      <c r="W170" s="239">
        <v>0</v>
      </c>
      <c r="X170" s="239">
        <v>-1305000</v>
      </c>
      <c r="Y170" s="239">
        <v>85530457</v>
      </c>
      <c r="Z170" s="239">
        <v>0</v>
      </c>
      <c r="AA170" s="239">
        <v>85530457</v>
      </c>
      <c r="AB170" s="239">
        <v>0</v>
      </c>
      <c r="AC170" s="239">
        <v>0</v>
      </c>
      <c r="AD170" s="239">
        <v>0</v>
      </c>
      <c r="AE170" s="239">
        <v>0</v>
      </c>
      <c r="AF170" s="239">
        <v>0</v>
      </c>
      <c r="AG170" s="239">
        <v>0</v>
      </c>
      <c r="AH170" s="239">
        <v>0</v>
      </c>
      <c r="AI170" s="239">
        <v>0</v>
      </c>
      <c r="AJ170" s="239">
        <v>0</v>
      </c>
      <c r="AK170" s="239">
        <v>0</v>
      </c>
      <c r="AL170" s="239">
        <v>0</v>
      </c>
      <c r="AM170" s="239">
        <v>0</v>
      </c>
      <c r="AN170" s="239">
        <v>0</v>
      </c>
      <c r="AO170" s="239">
        <v>0</v>
      </c>
      <c r="AP170" s="239">
        <v>0</v>
      </c>
      <c r="AQ170" s="239">
        <v>3589997</v>
      </c>
      <c r="AR170" s="239">
        <v>-2113015</v>
      </c>
      <c r="AS170" s="214" t="s">
        <v>422</v>
      </c>
      <c r="AT170" s="214" t="s">
        <v>790</v>
      </c>
      <c r="AU170" s="214" t="s">
        <v>749</v>
      </c>
      <c r="AV170" s="214" t="s">
        <v>1088</v>
      </c>
      <c r="AW170" s="214" t="s">
        <v>1088</v>
      </c>
      <c r="AX170" s="214" t="s">
        <v>1295</v>
      </c>
    </row>
    <row r="171" spans="1:50" x14ac:dyDescent="0.2">
      <c r="B171" s="610" t="s">
        <v>425</v>
      </c>
      <c r="C171" s="610" t="s">
        <v>424</v>
      </c>
      <c r="D171" s="239">
        <v>14984276</v>
      </c>
      <c r="E171" s="239">
        <v>0</v>
      </c>
      <c r="F171" s="239">
        <v>14984276</v>
      </c>
      <c r="G171" s="239">
        <v>-1590</v>
      </c>
      <c r="H171" s="239">
        <v>0</v>
      </c>
      <c r="I171" s="239">
        <v>-1590</v>
      </c>
      <c r="J171" s="239">
        <v>0</v>
      </c>
      <c r="K171" s="239">
        <v>0</v>
      </c>
      <c r="L171" s="239">
        <v>0</v>
      </c>
      <c r="M171" s="239">
        <v>-23208</v>
      </c>
      <c r="N171" s="239">
        <v>0</v>
      </c>
      <c r="O171" s="239">
        <v>-23208</v>
      </c>
      <c r="P171" s="239">
        <v>-18495</v>
      </c>
      <c r="Q171" s="239">
        <v>0</v>
      </c>
      <c r="R171" s="239">
        <v>-18495</v>
      </c>
      <c r="S171" s="239">
        <v>0</v>
      </c>
      <c r="T171" s="239">
        <v>0</v>
      </c>
      <c r="U171" s="239">
        <v>0</v>
      </c>
      <c r="V171" s="239">
        <v>-1582000</v>
      </c>
      <c r="W171" s="239">
        <v>0</v>
      </c>
      <c r="X171" s="239">
        <v>-1582000</v>
      </c>
      <c r="Y171" s="239">
        <v>13358983</v>
      </c>
      <c r="Z171" s="239">
        <v>0</v>
      </c>
      <c r="AA171" s="239">
        <v>13358983</v>
      </c>
      <c r="AB171" s="239">
        <v>0</v>
      </c>
      <c r="AC171" s="239">
        <v>0</v>
      </c>
      <c r="AD171" s="239">
        <v>0</v>
      </c>
      <c r="AE171" s="239">
        <v>91604</v>
      </c>
      <c r="AF171" s="239">
        <v>91604</v>
      </c>
      <c r="AG171" s="239">
        <v>0</v>
      </c>
      <c r="AH171" s="239">
        <v>0</v>
      </c>
      <c r="AI171" s="239">
        <v>0</v>
      </c>
      <c r="AJ171" s="239">
        <v>0</v>
      </c>
      <c r="AK171" s="239">
        <v>0</v>
      </c>
      <c r="AL171" s="239">
        <v>0</v>
      </c>
      <c r="AM171" s="239">
        <v>0</v>
      </c>
      <c r="AN171" s="239">
        <v>0</v>
      </c>
      <c r="AO171" s="239">
        <v>0</v>
      </c>
      <c r="AP171" s="239">
        <v>0</v>
      </c>
      <c r="AQ171" s="239">
        <v>381398</v>
      </c>
      <c r="AR171" s="239">
        <v>-268131</v>
      </c>
      <c r="AS171" s="214" t="s">
        <v>424</v>
      </c>
      <c r="AT171" s="214" t="s">
        <v>800</v>
      </c>
      <c r="AU171" s="214" t="s">
        <v>792</v>
      </c>
      <c r="AV171" s="214" t="s">
        <v>1088</v>
      </c>
      <c r="AW171" s="214" t="s">
        <v>1088</v>
      </c>
      <c r="AX171" s="214" t="s">
        <v>1294</v>
      </c>
    </row>
    <row r="172" spans="1:50" x14ac:dyDescent="0.2">
      <c r="B172" s="610" t="s">
        <v>427</v>
      </c>
      <c r="C172" s="610" t="s">
        <v>426</v>
      </c>
      <c r="D172" s="239">
        <v>22612360</v>
      </c>
      <c r="E172" s="239">
        <v>0</v>
      </c>
      <c r="F172" s="239">
        <v>22612360</v>
      </c>
      <c r="G172" s="239">
        <v>0</v>
      </c>
      <c r="H172" s="239">
        <v>0</v>
      </c>
      <c r="I172" s="239">
        <v>0</v>
      </c>
      <c r="J172" s="239">
        <v>-292009</v>
      </c>
      <c r="K172" s="239">
        <v>0</v>
      </c>
      <c r="L172" s="239">
        <v>-292009</v>
      </c>
      <c r="M172" s="239">
        <v>0</v>
      </c>
      <c r="N172" s="239">
        <v>0</v>
      </c>
      <c r="O172" s="239">
        <v>0</v>
      </c>
      <c r="P172" s="239">
        <v>-248155</v>
      </c>
      <c r="Q172" s="239">
        <v>0</v>
      </c>
      <c r="R172" s="239">
        <v>-248155</v>
      </c>
      <c r="S172" s="239">
        <v>409789</v>
      </c>
      <c r="T172" s="239">
        <v>0</v>
      </c>
      <c r="U172" s="239">
        <v>409789</v>
      </c>
      <c r="V172" s="239">
        <v>-667007</v>
      </c>
      <c r="W172" s="239">
        <v>0</v>
      </c>
      <c r="X172" s="239">
        <v>-667007</v>
      </c>
      <c r="Y172" s="239">
        <v>22106987</v>
      </c>
      <c r="Z172" s="239">
        <v>0</v>
      </c>
      <c r="AA172" s="239">
        <v>22106987</v>
      </c>
      <c r="AB172" s="239">
        <v>0</v>
      </c>
      <c r="AC172" s="239">
        <v>0</v>
      </c>
      <c r="AD172" s="239">
        <v>0</v>
      </c>
      <c r="AE172" s="239">
        <v>389351</v>
      </c>
      <c r="AF172" s="239">
        <v>389351</v>
      </c>
      <c r="AG172" s="239">
        <v>0</v>
      </c>
      <c r="AH172" s="239">
        <v>0</v>
      </c>
      <c r="AI172" s="239">
        <v>0</v>
      </c>
      <c r="AJ172" s="239">
        <v>0</v>
      </c>
      <c r="AK172" s="239">
        <v>0</v>
      </c>
      <c r="AL172" s="239">
        <v>0</v>
      </c>
      <c r="AM172" s="239">
        <v>0</v>
      </c>
      <c r="AN172" s="239">
        <v>0</v>
      </c>
      <c r="AO172" s="239">
        <v>0</v>
      </c>
      <c r="AP172" s="239">
        <v>0</v>
      </c>
      <c r="AQ172" s="239">
        <v>714333</v>
      </c>
      <c r="AR172" s="239">
        <v>-33084</v>
      </c>
      <c r="AS172" s="214" t="s">
        <v>426</v>
      </c>
      <c r="AT172" s="214" t="s">
        <v>811</v>
      </c>
      <c r="AU172" s="214" t="s">
        <v>763</v>
      </c>
      <c r="AV172" s="214" t="s">
        <v>1088</v>
      </c>
      <c r="AW172" s="214" t="s">
        <v>1088</v>
      </c>
      <c r="AX172" s="214" t="s">
        <v>1294</v>
      </c>
    </row>
    <row r="173" spans="1:50" x14ac:dyDescent="0.2">
      <c r="B173" s="610" t="s">
        <v>429</v>
      </c>
      <c r="C173" s="610" t="s">
        <v>428</v>
      </c>
      <c r="D173" s="239">
        <v>43515449</v>
      </c>
      <c r="E173" s="239">
        <v>0</v>
      </c>
      <c r="F173" s="239">
        <v>43515449</v>
      </c>
      <c r="G173" s="239">
        <v>0</v>
      </c>
      <c r="H173" s="239">
        <v>0</v>
      </c>
      <c r="I173" s="239">
        <v>0</v>
      </c>
      <c r="J173" s="239">
        <v>-168168</v>
      </c>
      <c r="K173" s="239">
        <v>0</v>
      </c>
      <c r="L173" s="239">
        <v>-168168</v>
      </c>
      <c r="M173" s="239">
        <v>0</v>
      </c>
      <c r="N173" s="239">
        <v>0</v>
      </c>
      <c r="O173" s="239">
        <v>0</v>
      </c>
      <c r="P173" s="239">
        <v>-258031</v>
      </c>
      <c r="Q173" s="239">
        <v>0</v>
      </c>
      <c r="R173" s="239">
        <v>-258031</v>
      </c>
      <c r="S173" s="239">
        <v>1103062</v>
      </c>
      <c r="T173" s="239">
        <v>0</v>
      </c>
      <c r="U173" s="239">
        <v>1103062</v>
      </c>
      <c r="V173" s="239">
        <v>-3811062</v>
      </c>
      <c r="W173" s="239">
        <v>0</v>
      </c>
      <c r="X173" s="239">
        <v>-3811062</v>
      </c>
      <c r="Y173" s="239">
        <v>40549418</v>
      </c>
      <c r="Z173" s="239">
        <v>0</v>
      </c>
      <c r="AA173" s="239">
        <v>40549418</v>
      </c>
      <c r="AB173" s="239">
        <v>0</v>
      </c>
      <c r="AC173" s="239">
        <v>0</v>
      </c>
      <c r="AD173" s="239">
        <v>0</v>
      </c>
      <c r="AE173" s="239">
        <v>0</v>
      </c>
      <c r="AF173" s="239">
        <v>0</v>
      </c>
      <c r="AG173" s="239">
        <v>0</v>
      </c>
      <c r="AH173" s="239">
        <v>0</v>
      </c>
      <c r="AI173" s="239">
        <v>0</v>
      </c>
      <c r="AJ173" s="239">
        <v>0</v>
      </c>
      <c r="AK173" s="239">
        <v>0</v>
      </c>
      <c r="AL173" s="239">
        <v>0</v>
      </c>
      <c r="AM173" s="239">
        <v>0</v>
      </c>
      <c r="AN173" s="239">
        <v>0</v>
      </c>
      <c r="AO173" s="239">
        <v>0</v>
      </c>
      <c r="AP173" s="239">
        <v>0</v>
      </c>
      <c r="AQ173" s="239">
        <v>2608034</v>
      </c>
      <c r="AR173" s="239">
        <v>-1699907</v>
      </c>
      <c r="AS173" s="214" t="s">
        <v>428</v>
      </c>
      <c r="AT173" s="214" t="s">
        <v>764</v>
      </c>
      <c r="AU173" s="214" t="s">
        <v>763</v>
      </c>
      <c r="AV173" s="214" t="s">
        <v>1088</v>
      </c>
      <c r="AW173" s="214" t="s">
        <v>1088</v>
      </c>
      <c r="AX173" s="214" t="s">
        <v>1294</v>
      </c>
    </row>
    <row r="174" spans="1:50" x14ac:dyDescent="0.2">
      <c r="B174" s="610" t="s">
        <v>431</v>
      </c>
      <c r="C174" s="610" t="s">
        <v>430</v>
      </c>
      <c r="D174" s="239">
        <v>39632995</v>
      </c>
      <c r="E174" s="239">
        <v>0</v>
      </c>
      <c r="F174" s="239">
        <v>39632995</v>
      </c>
      <c r="G174" s="239">
        <v>0</v>
      </c>
      <c r="H174" s="239">
        <v>0</v>
      </c>
      <c r="I174" s="239">
        <v>0</v>
      </c>
      <c r="J174" s="239">
        <v>-572528</v>
      </c>
      <c r="K174" s="239">
        <v>0</v>
      </c>
      <c r="L174" s="239">
        <v>-572528</v>
      </c>
      <c r="M174" s="239">
        <v>-88939</v>
      </c>
      <c r="N174" s="239">
        <v>0</v>
      </c>
      <c r="O174" s="239">
        <v>-88939</v>
      </c>
      <c r="P174" s="239">
        <v>-891667</v>
      </c>
      <c r="Q174" s="239">
        <v>0</v>
      </c>
      <c r="R174" s="239">
        <v>-891667</v>
      </c>
      <c r="S174" s="239">
        <v>3000000</v>
      </c>
      <c r="T174" s="239">
        <v>0</v>
      </c>
      <c r="U174" s="239">
        <v>3000000</v>
      </c>
      <c r="V174" s="239">
        <v>0</v>
      </c>
      <c r="W174" s="239">
        <v>0</v>
      </c>
      <c r="X174" s="239">
        <v>0</v>
      </c>
      <c r="Y174" s="239">
        <v>41652389</v>
      </c>
      <c r="Z174" s="239">
        <v>0</v>
      </c>
      <c r="AA174" s="239">
        <v>41652389</v>
      </c>
      <c r="AB174" s="239">
        <v>0</v>
      </c>
      <c r="AC174" s="239">
        <v>0</v>
      </c>
      <c r="AD174" s="239">
        <v>0</v>
      </c>
      <c r="AE174" s="239">
        <v>0</v>
      </c>
      <c r="AF174" s="239">
        <v>0</v>
      </c>
      <c r="AG174" s="239">
        <v>0</v>
      </c>
      <c r="AH174" s="239">
        <v>0</v>
      </c>
      <c r="AI174" s="239">
        <v>0</v>
      </c>
      <c r="AJ174" s="239">
        <v>0</v>
      </c>
      <c r="AK174" s="239">
        <v>0</v>
      </c>
      <c r="AL174" s="239">
        <v>0</v>
      </c>
      <c r="AM174" s="239">
        <v>0</v>
      </c>
      <c r="AN174" s="239">
        <v>0</v>
      </c>
      <c r="AO174" s="239">
        <v>0</v>
      </c>
      <c r="AP174" s="239">
        <v>0</v>
      </c>
      <c r="AQ174" s="239">
        <v>8753109</v>
      </c>
      <c r="AR174" s="239">
        <v>-3249072</v>
      </c>
      <c r="AS174" s="214" t="s">
        <v>896</v>
      </c>
      <c r="AT174" s="214" t="s">
        <v>748</v>
      </c>
      <c r="AU174" s="214" t="s">
        <v>844</v>
      </c>
      <c r="AV174" s="214" t="s">
        <v>1105</v>
      </c>
      <c r="AW174" s="214" t="s">
        <v>1088</v>
      </c>
      <c r="AX174" s="214" t="s">
        <v>748</v>
      </c>
    </row>
    <row r="175" spans="1:50" x14ac:dyDescent="0.2">
      <c r="B175" s="610" t="s">
        <v>433</v>
      </c>
      <c r="C175" s="610" t="s">
        <v>432</v>
      </c>
      <c r="D175" s="239">
        <v>160746664</v>
      </c>
      <c r="E175" s="239">
        <v>0</v>
      </c>
      <c r="F175" s="239">
        <v>160746664</v>
      </c>
      <c r="G175" s="239">
        <v>0</v>
      </c>
      <c r="H175" s="239">
        <v>0</v>
      </c>
      <c r="I175" s="239">
        <v>0</v>
      </c>
      <c r="J175" s="239">
        <v>-1069462</v>
      </c>
      <c r="K175" s="239">
        <v>0</v>
      </c>
      <c r="L175" s="239">
        <v>-1069462</v>
      </c>
      <c r="M175" s="239">
        <v>0</v>
      </c>
      <c r="N175" s="239">
        <v>0</v>
      </c>
      <c r="O175" s="239">
        <v>0</v>
      </c>
      <c r="P175" s="239">
        <v>-449462</v>
      </c>
      <c r="Q175" s="239">
        <v>0</v>
      </c>
      <c r="R175" s="239">
        <v>-449462</v>
      </c>
      <c r="S175" s="239">
        <v>6245758</v>
      </c>
      <c r="T175" s="239">
        <v>0</v>
      </c>
      <c r="U175" s="239">
        <v>6245758</v>
      </c>
      <c r="V175" s="239">
        <v>-11897688</v>
      </c>
      <c r="W175" s="239">
        <v>0</v>
      </c>
      <c r="X175" s="239">
        <v>-11897688</v>
      </c>
      <c r="Y175" s="239">
        <v>154645272</v>
      </c>
      <c r="Z175" s="239">
        <v>0</v>
      </c>
      <c r="AA175" s="239">
        <v>154645272</v>
      </c>
      <c r="AB175" s="239">
        <v>0</v>
      </c>
      <c r="AC175" s="239">
        <v>0</v>
      </c>
      <c r="AD175" s="239">
        <v>0</v>
      </c>
      <c r="AE175" s="239">
        <v>0</v>
      </c>
      <c r="AF175" s="239">
        <v>0</v>
      </c>
      <c r="AG175" s="239">
        <v>0</v>
      </c>
      <c r="AH175" s="239">
        <v>0</v>
      </c>
      <c r="AI175" s="239">
        <v>0</v>
      </c>
      <c r="AJ175" s="239">
        <v>0</v>
      </c>
      <c r="AK175" s="239">
        <v>0</v>
      </c>
      <c r="AL175" s="239">
        <v>0</v>
      </c>
      <c r="AM175" s="239">
        <v>0</v>
      </c>
      <c r="AN175" s="239">
        <v>0</v>
      </c>
      <c r="AO175" s="239">
        <v>0</v>
      </c>
      <c r="AP175" s="239">
        <v>0</v>
      </c>
      <c r="AQ175" s="239">
        <v>6139563</v>
      </c>
      <c r="AR175" s="239">
        <v>-2409026</v>
      </c>
      <c r="AS175" s="214" t="s">
        <v>895</v>
      </c>
      <c r="AT175" s="214" t="s">
        <v>748</v>
      </c>
      <c r="AU175" s="214" t="s">
        <v>759</v>
      </c>
      <c r="AV175" s="214" t="s">
        <v>1088</v>
      </c>
      <c r="AW175" s="214" t="s">
        <v>1088</v>
      </c>
      <c r="AX175" s="214" t="s">
        <v>748</v>
      </c>
    </row>
    <row r="176" spans="1:50" x14ac:dyDescent="0.2">
      <c r="B176" s="610" t="s">
        <v>435</v>
      </c>
      <c r="C176" s="610" t="s">
        <v>434</v>
      </c>
      <c r="D176" s="239">
        <v>37863402</v>
      </c>
      <c r="E176" s="239">
        <v>0</v>
      </c>
      <c r="F176" s="239">
        <v>37863402</v>
      </c>
      <c r="G176" s="239">
        <v>0</v>
      </c>
      <c r="H176" s="239">
        <v>0</v>
      </c>
      <c r="I176" s="239">
        <v>0</v>
      </c>
      <c r="J176" s="239">
        <v>-16473</v>
      </c>
      <c r="K176" s="239">
        <v>0</v>
      </c>
      <c r="L176" s="239">
        <v>-16473</v>
      </c>
      <c r="M176" s="239">
        <v>0</v>
      </c>
      <c r="N176" s="239">
        <v>0</v>
      </c>
      <c r="O176" s="239">
        <v>0</v>
      </c>
      <c r="P176" s="239">
        <v>-136473</v>
      </c>
      <c r="Q176" s="239">
        <v>0</v>
      </c>
      <c r="R176" s="239">
        <v>-136473</v>
      </c>
      <c r="S176" s="239">
        <v>260000</v>
      </c>
      <c r="T176" s="239">
        <v>0</v>
      </c>
      <c r="U176" s="239">
        <v>260000</v>
      </c>
      <c r="V176" s="239">
        <v>2849865</v>
      </c>
      <c r="W176" s="239">
        <v>0</v>
      </c>
      <c r="X176" s="239">
        <v>2849865</v>
      </c>
      <c r="Y176" s="239">
        <v>40836794</v>
      </c>
      <c r="Z176" s="239">
        <v>0</v>
      </c>
      <c r="AA176" s="239">
        <v>40836794</v>
      </c>
      <c r="AB176" s="239">
        <v>0</v>
      </c>
      <c r="AC176" s="239">
        <v>0</v>
      </c>
      <c r="AD176" s="239">
        <v>0</v>
      </c>
      <c r="AE176" s="239">
        <v>0</v>
      </c>
      <c r="AF176" s="239">
        <v>0</v>
      </c>
      <c r="AG176" s="239">
        <v>0</v>
      </c>
      <c r="AH176" s="239">
        <v>0</v>
      </c>
      <c r="AI176" s="239">
        <v>0</v>
      </c>
      <c r="AJ176" s="239">
        <v>0</v>
      </c>
      <c r="AK176" s="239">
        <v>0</v>
      </c>
      <c r="AL176" s="239">
        <v>0</v>
      </c>
      <c r="AM176" s="239">
        <v>0</v>
      </c>
      <c r="AN176" s="239">
        <v>0</v>
      </c>
      <c r="AO176" s="239">
        <v>0</v>
      </c>
      <c r="AP176" s="239">
        <v>0</v>
      </c>
      <c r="AQ176" s="239">
        <v>1827764</v>
      </c>
      <c r="AR176" s="239">
        <v>-2212420</v>
      </c>
      <c r="AS176" s="214" t="s">
        <v>434</v>
      </c>
      <c r="AT176" s="214" t="s">
        <v>772</v>
      </c>
      <c r="AU176" s="214" t="s">
        <v>763</v>
      </c>
      <c r="AV176" s="214" t="s">
        <v>1088</v>
      </c>
      <c r="AW176" s="214" t="s">
        <v>1088</v>
      </c>
      <c r="AX176" s="214" t="s">
        <v>1294</v>
      </c>
    </row>
    <row r="177" spans="2:50" x14ac:dyDescent="0.2">
      <c r="B177" s="610" t="s">
        <v>437</v>
      </c>
      <c r="C177" s="610" t="s">
        <v>436</v>
      </c>
      <c r="D177" s="239">
        <v>63593090</v>
      </c>
      <c r="E177" s="239">
        <v>0</v>
      </c>
      <c r="F177" s="239">
        <v>63593090</v>
      </c>
      <c r="G177" s="239">
        <v>0</v>
      </c>
      <c r="H177" s="239">
        <v>0</v>
      </c>
      <c r="I177" s="239">
        <v>0</v>
      </c>
      <c r="J177" s="239">
        <v>-168248</v>
      </c>
      <c r="K177" s="239">
        <v>0</v>
      </c>
      <c r="L177" s="239">
        <v>-168248</v>
      </c>
      <c r="M177" s="239">
        <v>0</v>
      </c>
      <c r="N177" s="239">
        <v>0</v>
      </c>
      <c r="O177" s="239">
        <v>0</v>
      </c>
      <c r="P177" s="239">
        <v>-185678</v>
      </c>
      <c r="Q177" s="239">
        <v>0</v>
      </c>
      <c r="R177" s="239">
        <v>-185678</v>
      </c>
      <c r="S177" s="239">
        <v>173372</v>
      </c>
      <c r="T177" s="239">
        <v>0</v>
      </c>
      <c r="U177" s="239">
        <v>173372</v>
      </c>
      <c r="V177" s="239">
        <v>-1898372</v>
      </c>
      <c r="W177" s="239">
        <v>0</v>
      </c>
      <c r="X177" s="239">
        <v>-1898372</v>
      </c>
      <c r="Y177" s="239">
        <v>61682412</v>
      </c>
      <c r="Z177" s="239">
        <v>0</v>
      </c>
      <c r="AA177" s="239">
        <v>61682412</v>
      </c>
      <c r="AB177" s="239">
        <v>0</v>
      </c>
      <c r="AC177" s="239">
        <v>0</v>
      </c>
      <c r="AD177" s="239">
        <v>0</v>
      </c>
      <c r="AE177" s="239">
        <v>35213</v>
      </c>
      <c r="AF177" s="239">
        <v>35213</v>
      </c>
      <c r="AG177" s="239">
        <v>0</v>
      </c>
      <c r="AH177" s="239">
        <v>0</v>
      </c>
      <c r="AI177" s="239">
        <v>0</v>
      </c>
      <c r="AJ177" s="239">
        <v>0</v>
      </c>
      <c r="AK177" s="239">
        <v>0</v>
      </c>
      <c r="AL177" s="239">
        <v>0</v>
      </c>
      <c r="AM177" s="239">
        <v>0</v>
      </c>
      <c r="AN177" s="239">
        <v>0</v>
      </c>
      <c r="AO177" s="239">
        <v>0</v>
      </c>
      <c r="AP177" s="239">
        <v>0</v>
      </c>
      <c r="AQ177" s="239">
        <v>1276559</v>
      </c>
      <c r="AR177" s="239">
        <v>-933542</v>
      </c>
      <c r="AS177" s="214" t="s">
        <v>436</v>
      </c>
      <c r="AT177" s="214" t="s">
        <v>779</v>
      </c>
      <c r="AU177" s="214" t="s">
        <v>777</v>
      </c>
      <c r="AV177" s="214" t="s">
        <v>1088</v>
      </c>
      <c r="AW177" s="214" t="s">
        <v>1088</v>
      </c>
      <c r="AX177" s="214" t="s">
        <v>1294</v>
      </c>
    </row>
    <row r="178" spans="2:50" x14ac:dyDescent="0.2">
      <c r="B178" s="610" t="s">
        <v>439</v>
      </c>
      <c r="C178" s="610" t="s">
        <v>438</v>
      </c>
      <c r="D178" s="239">
        <v>38781241</v>
      </c>
      <c r="E178" s="239">
        <v>0</v>
      </c>
      <c r="F178" s="239">
        <v>38781241</v>
      </c>
      <c r="G178" s="239">
        <v>0</v>
      </c>
      <c r="H178" s="239">
        <v>0</v>
      </c>
      <c r="I178" s="239">
        <v>0</v>
      </c>
      <c r="J178" s="239">
        <v>-194430</v>
      </c>
      <c r="K178" s="239">
        <v>0</v>
      </c>
      <c r="L178" s="239">
        <v>-194430</v>
      </c>
      <c r="M178" s="239">
        <v>0</v>
      </c>
      <c r="N178" s="239">
        <v>0</v>
      </c>
      <c r="O178" s="239">
        <v>0</v>
      </c>
      <c r="P178" s="239">
        <v>-259252</v>
      </c>
      <c r="Q178" s="239">
        <v>0</v>
      </c>
      <c r="R178" s="239">
        <v>-259252</v>
      </c>
      <c r="S178" s="239">
        <v>710000</v>
      </c>
      <c r="T178" s="239">
        <v>0</v>
      </c>
      <c r="U178" s="239">
        <v>710000</v>
      </c>
      <c r="V178" s="239">
        <v>-2600000</v>
      </c>
      <c r="W178" s="239">
        <v>0</v>
      </c>
      <c r="X178" s="239">
        <v>-2600000</v>
      </c>
      <c r="Y178" s="239">
        <v>36631989</v>
      </c>
      <c r="Z178" s="239">
        <v>0</v>
      </c>
      <c r="AA178" s="239">
        <v>36631989</v>
      </c>
      <c r="AB178" s="239">
        <v>0</v>
      </c>
      <c r="AC178" s="239">
        <v>0</v>
      </c>
      <c r="AD178" s="239">
        <v>0</v>
      </c>
      <c r="AE178" s="239">
        <v>64677</v>
      </c>
      <c r="AF178" s="239">
        <v>64677</v>
      </c>
      <c r="AG178" s="239">
        <v>0</v>
      </c>
      <c r="AH178" s="239">
        <v>0</v>
      </c>
      <c r="AI178" s="239">
        <v>0</v>
      </c>
      <c r="AJ178" s="239">
        <v>0</v>
      </c>
      <c r="AK178" s="239">
        <v>0</v>
      </c>
      <c r="AL178" s="239">
        <v>0</v>
      </c>
      <c r="AM178" s="239">
        <v>0</v>
      </c>
      <c r="AN178" s="239">
        <v>0</v>
      </c>
      <c r="AO178" s="239">
        <v>0</v>
      </c>
      <c r="AP178" s="239">
        <v>0</v>
      </c>
      <c r="AQ178" s="239">
        <v>1106768</v>
      </c>
      <c r="AR178" s="239">
        <v>-101426</v>
      </c>
      <c r="AS178" s="214" t="s">
        <v>894</v>
      </c>
      <c r="AT178" s="214" t="s">
        <v>874</v>
      </c>
      <c r="AU178" s="214" t="s">
        <v>872</v>
      </c>
      <c r="AV178" s="214" t="s">
        <v>1088</v>
      </c>
      <c r="AW178" s="214" t="s">
        <v>1088</v>
      </c>
      <c r="AX178" s="214" t="s">
        <v>1294</v>
      </c>
    </row>
    <row r="179" spans="2:50" x14ac:dyDescent="0.2">
      <c r="B179" s="610" t="s">
        <v>441</v>
      </c>
      <c r="C179" s="610" t="s">
        <v>1144</v>
      </c>
      <c r="D179" s="239">
        <v>144929132</v>
      </c>
      <c r="E179" s="239">
        <v>6507572</v>
      </c>
      <c r="F179" s="239">
        <v>151436704</v>
      </c>
      <c r="G179" s="239">
        <v>0</v>
      </c>
      <c r="H179" s="239">
        <v>0</v>
      </c>
      <c r="I179" s="239">
        <v>0</v>
      </c>
      <c r="J179" s="239">
        <v>-3643563.77</v>
      </c>
      <c r="K179" s="239">
        <v>12157</v>
      </c>
      <c r="L179" s="239">
        <v>-3631406.77</v>
      </c>
      <c r="M179" s="239">
        <v>0</v>
      </c>
      <c r="N179" s="239">
        <v>0</v>
      </c>
      <c r="O179" s="239">
        <v>0</v>
      </c>
      <c r="P179" s="239">
        <v>-4636790</v>
      </c>
      <c r="Q179" s="239">
        <v>12157</v>
      </c>
      <c r="R179" s="239">
        <v>-4624633</v>
      </c>
      <c r="S179" s="239">
        <v>7237447</v>
      </c>
      <c r="T179" s="239">
        <v>0</v>
      </c>
      <c r="U179" s="239">
        <v>7237447</v>
      </c>
      <c r="V179" s="239">
        <v>-13517725</v>
      </c>
      <c r="W179" s="239">
        <v>0</v>
      </c>
      <c r="X179" s="239">
        <v>-13517725</v>
      </c>
      <c r="Y179" s="239">
        <v>134012064</v>
      </c>
      <c r="Z179" s="239">
        <v>6519729</v>
      </c>
      <c r="AA179" s="239">
        <v>140531793</v>
      </c>
      <c r="AB179" s="239">
        <v>6519729</v>
      </c>
      <c r="AC179" s="239">
        <v>331320</v>
      </c>
      <c r="AD179" s="239">
        <v>6188409</v>
      </c>
      <c r="AE179" s="239">
        <v>0</v>
      </c>
      <c r="AF179" s="239">
        <v>0</v>
      </c>
      <c r="AG179" s="239">
        <v>0</v>
      </c>
      <c r="AH179" s="239">
        <v>0</v>
      </c>
      <c r="AI179" s="239">
        <v>-2470</v>
      </c>
      <c r="AJ179" s="239">
        <v>0</v>
      </c>
      <c r="AK179" s="239">
        <v>-2470</v>
      </c>
      <c r="AL179" s="239">
        <v>69165</v>
      </c>
      <c r="AM179" s="239">
        <v>5971988</v>
      </c>
      <c r="AN179" s="239">
        <v>476106</v>
      </c>
      <c r="AO179" s="239">
        <v>262155</v>
      </c>
      <c r="AP179" s="239">
        <v>213951</v>
      </c>
      <c r="AQ179" s="239">
        <v>8143785</v>
      </c>
      <c r="AR179" s="239">
        <v>-4948515</v>
      </c>
      <c r="AS179" s="214" t="s">
        <v>440</v>
      </c>
      <c r="AT179" s="214" t="s">
        <v>768</v>
      </c>
      <c r="AU179" s="214" t="s">
        <v>841</v>
      </c>
      <c r="AV179" s="214" t="s">
        <v>1113</v>
      </c>
      <c r="AW179" s="214" t="s">
        <v>1102</v>
      </c>
      <c r="AX179" s="214" t="s">
        <v>1296</v>
      </c>
    </row>
    <row r="180" spans="2:50" x14ac:dyDescent="0.2">
      <c r="B180" s="610" t="s">
        <v>443</v>
      </c>
      <c r="C180" s="610" t="s">
        <v>442</v>
      </c>
      <c r="D180" s="239">
        <v>33591502</v>
      </c>
      <c r="E180" s="239">
        <v>0</v>
      </c>
      <c r="F180" s="239">
        <v>33591502</v>
      </c>
      <c r="G180" s="239">
        <v>-3530</v>
      </c>
      <c r="H180" s="239">
        <v>0</v>
      </c>
      <c r="I180" s="239">
        <v>-3530</v>
      </c>
      <c r="J180" s="239">
        <v>-355979</v>
      </c>
      <c r="K180" s="239">
        <v>0</v>
      </c>
      <c r="L180" s="239">
        <v>-355979</v>
      </c>
      <c r="M180" s="239">
        <v>0</v>
      </c>
      <c r="N180" s="239">
        <v>0</v>
      </c>
      <c r="O180" s="239">
        <v>0</v>
      </c>
      <c r="P180" s="239">
        <v>-358776</v>
      </c>
      <c r="Q180" s="239">
        <v>0</v>
      </c>
      <c r="R180" s="239">
        <v>-358776</v>
      </c>
      <c r="S180" s="239">
        <v>864878</v>
      </c>
      <c r="T180" s="239">
        <v>0</v>
      </c>
      <c r="U180" s="239">
        <v>864878</v>
      </c>
      <c r="V180" s="239">
        <v>-1932265</v>
      </c>
      <c r="W180" s="239">
        <v>0</v>
      </c>
      <c r="X180" s="239">
        <v>-1932265</v>
      </c>
      <c r="Y180" s="239">
        <v>32161809</v>
      </c>
      <c r="Z180" s="239">
        <v>0</v>
      </c>
      <c r="AA180" s="239">
        <v>32161809</v>
      </c>
      <c r="AB180" s="239">
        <v>0</v>
      </c>
      <c r="AC180" s="239">
        <v>0</v>
      </c>
      <c r="AD180" s="239">
        <v>0</v>
      </c>
      <c r="AE180" s="239">
        <v>0</v>
      </c>
      <c r="AF180" s="239">
        <v>0</v>
      </c>
      <c r="AG180" s="239">
        <v>0</v>
      </c>
      <c r="AH180" s="239">
        <v>0</v>
      </c>
      <c r="AI180" s="239">
        <v>0</v>
      </c>
      <c r="AJ180" s="239">
        <v>0</v>
      </c>
      <c r="AK180" s="239">
        <v>0</v>
      </c>
      <c r="AL180" s="239">
        <v>0</v>
      </c>
      <c r="AM180" s="239">
        <v>0</v>
      </c>
      <c r="AN180" s="239">
        <v>0</v>
      </c>
      <c r="AO180" s="239">
        <v>0</v>
      </c>
      <c r="AP180" s="239">
        <v>0</v>
      </c>
      <c r="AQ180" s="239">
        <v>2328339</v>
      </c>
      <c r="AR180" s="239">
        <v>-440754</v>
      </c>
      <c r="AS180" s="214" t="s">
        <v>442</v>
      </c>
      <c r="AT180" s="214" t="s">
        <v>838</v>
      </c>
      <c r="AU180" s="214" t="s">
        <v>836</v>
      </c>
      <c r="AV180" s="214" t="s">
        <v>1088</v>
      </c>
      <c r="AW180" s="214" t="s">
        <v>1088</v>
      </c>
      <c r="AX180" s="214" t="s">
        <v>1294</v>
      </c>
    </row>
    <row r="181" spans="2:50" x14ac:dyDescent="0.2">
      <c r="B181" s="610" t="s">
        <v>445</v>
      </c>
      <c r="C181" s="610" t="s">
        <v>444</v>
      </c>
      <c r="D181" s="239">
        <v>127902659</v>
      </c>
      <c r="E181" s="239">
        <v>443100</v>
      </c>
      <c r="F181" s="239">
        <v>128345759</v>
      </c>
      <c r="G181" s="239">
        <v>0</v>
      </c>
      <c r="H181" s="239">
        <v>0</v>
      </c>
      <c r="I181" s="239">
        <v>0</v>
      </c>
      <c r="J181" s="239">
        <v>-1068613.8400000001</v>
      </c>
      <c r="K181" s="239">
        <v>0</v>
      </c>
      <c r="L181" s="239">
        <v>-1068613.8400000001</v>
      </c>
      <c r="M181" s="239">
        <v>0</v>
      </c>
      <c r="N181" s="239">
        <v>0</v>
      </c>
      <c r="O181" s="239">
        <v>0</v>
      </c>
      <c r="P181" s="239">
        <v>-702998</v>
      </c>
      <c r="Q181" s="239">
        <v>0</v>
      </c>
      <c r="R181" s="239">
        <v>-702998</v>
      </c>
      <c r="S181" s="239">
        <v>7341369</v>
      </c>
      <c r="T181" s="239">
        <v>0</v>
      </c>
      <c r="U181" s="239">
        <v>7341369</v>
      </c>
      <c r="V181" s="239">
        <v>-9534482</v>
      </c>
      <c r="W181" s="239">
        <v>0</v>
      </c>
      <c r="X181" s="239">
        <v>-9534482</v>
      </c>
      <c r="Y181" s="239">
        <v>125006548</v>
      </c>
      <c r="Z181" s="239">
        <v>443100</v>
      </c>
      <c r="AA181" s="239">
        <v>125449648</v>
      </c>
      <c r="AB181" s="239">
        <v>443100</v>
      </c>
      <c r="AC181" s="239">
        <v>443100</v>
      </c>
      <c r="AD181" s="239">
        <v>0</v>
      </c>
      <c r="AE181" s="239">
        <v>0</v>
      </c>
      <c r="AF181" s="239">
        <v>0</v>
      </c>
      <c r="AG181" s="239">
        <v>0</v>
      </c>
      <c r="AH181" s="239">
        <v>0</v>
      </c>
      <c r="AI181" s="239">
        <v>0</v>
      </c>
      <c r="AJ181" s="239">
        <v>0</v>
      </c>
      <c r="AK181" s="239">
        <v>0</v>
      </c>
      <c r="AL181" s="239">
        <v>239751</v>
      </c>
      <c r="AM181" s="239">
        <v>0</v>
      </c>
      <c r="AN181" s="239">
        <v>203349</v>
      </c>
      <c r="AO181" s="239">
        <v>203349</v>
      </c>
      <c r="AP181" s="239">
        <v>0</v>
      </c>
      <c r="AQ181" s="239">
        <v>3128049</v>
      </c>
      <c r="AR181" s="239">
        <v>-5354003</v>
      </c>
      <c r="AS181" s="214" t="s">
        <v>444</v>
      </c>
      <c r="AT181" s="214" t="s">
        <v>790</v>
      </c>
      <c r="AU181" s="214" t="s">
        <v>749</v>
      </c>
      <c r="AV181" s="214" t="s">
        <v>1114</v>
      </c>
      <c r="AW181" s="214" t="s">
        <v>1088</v>
      </c>
      <c r="AX181" s="214" t="s">
        <v>1295</v>
      </c>
    </row>
    <row r="182" spans="2:50" x14ac:dyDescent="0.2">
      <c r="B182" s="610" t="s">
        <v>447</v>
      </c>
      <c r="C182" s="610" t="s">
        <v>446</v>
      </c>
      <c r="D182" s="239">
        <v>30904502</v>
      </c>
      <c r="E182" s="239">
        <v>0</v>
      </c>
      <c r="F182" s="239">
        <v>30904502</v>
      </c>
      <c r="G182" s="239">
        <v>-28770</v>
      </c>
      <c r="H182" s="239">
        <v>0</v>
      </c>
      <c r="I182" s="239">
        <v>-28770</v>
      </c>
      <c r="J182" s="239">
        <v>-198409</v>
      </c>
      <c r="K182" s="239">
        <v>0</v>
      </c>
      <c r="L182" s="239">
        <v>-198409</v>
      </c>
      <c r="M182" s="239">
        <v>0</v>
      </c>
      <c r="N182" s="239">
        <v>0</v>
      </c>
      <c r="O182" s="239">
        <v>0</v>
      </c>
      <c r="P182" s="239">
        <v>-208904</v>
      </c>
      <c r="Q182" s="239">
        <v>0</v>
      </c>
      <c r="R182" s="239">
        <v>-208904</v>
      </c>
      <c r="S182" s="239">
        <v>1496405</v>
      </c>
      <c r="T182" s="239">
        <v>0</v>
      </c>
      <c r="U182" s="239">
        <v>1496405</v>
      </c>
      <c r="V182" s="239">
        <v>-2707329</v>
      </c>
      <c r="W182" s="239">
        <v>0</v>
      </c>
      <c r="X182" s="239">
        <v>-2707329</v>
      </c>
      <c r="Y182" s="239">
        <v>29455904</v>
      </c>
      <c r="Z182" s="239">
        <v>0</v>
      </c>
      <c r="AA182" s="239">
        <v>29455904</v>
      </c>
      <c r="AB182" s="239">
        <v>0</v>
      </c>
      <c r="AC182" s="239">
        <v>0</v>
      </c>
      <c r="AD182" s="239">
        <v>0</v>
      </c>
      <c r="AE182" s="239">
        <v>195352</v>
      </c>
      <c r="AF182" s="239">
        <v>195352</v>
      </c>
      <c r="AG182" s="239">
        <v>0</v>
      </c>
      <c r="AH182" s="239">
        <v>0</v>
      </c>
      <c r="AI182" s="239">
        <v>0</v>
      </c>
      <c r="AJ182" s="239">
        <v>0</v>
      </c>
      <c r="AK182" s="239">
        <v>0</v>
      </c>
      <c r="AL182" s="239">
        <v>0</v>
      </c>
      <c r="AM182" s="239">
        <v>0</v>
      </c>
      <c r="AN182" s="239">
        <v>0</v>
      </c>
      <c r="AO182" s="239">
        <v>0</v>
      </c>
      <c r="AP182" s="239">
        <v>0</v>
      </c>
      <c r="AQ182" s="239">
        <v>1360177</v>
      </c>
      <c r="AR182" s="239">
        <v>-2326776</v>
      </c>
      <c r="AS182" s="214" t="s">
        <v>446</v>
      </c>
      <c r="AT182" s="214" t="s">
        <v>800</v>
      </c>
      <c r="AU182" s="214" t="s">
        <v>792</v>
      </c>
      <c r="AV182" s="214" t="s">
        <v>1088</v>
      </c>
      <c r="AW182" s="214" t="s">
        <v>1088</v>
      </c>
      <c r="AX182" s="214" t="s">
        <v>1294</v>
      </c>
    </row>
    <row r="183" spans="2:50" x14ac:dyDescent="0.2">
      <c r="B183" s="610" t="s">
        <v>449</v>
      </c>
      <c r="C183" s="610" t="s">
        <v>448</v>
      </c>
      <c r="D183" s="239">
        <v>12884542</v>
      </c>
      <c r="E183" s="239">
        <v>0</v>
      </c>
      <c r="F183" s="239">
        <v>12884542</v>
      </c>
      <c r="G183" s="239">
        <v>-20655</v>
      </c>
      <c r="H183" s="239">
        <v>0</v>
      </c>
      <c r="I183" s="239">
        <v>-20655</v>
      </c>
      <c r="J183" s="239">
        <v>-54976</v>
      </c>
      <c r="K183" s="239">
        <v>0</v>
      </c>
      <c r="L183" s="239">
        <v>-54976</v>
      </c>
      <c r="M183" s="239">
        <v>0</v>
      </c>
      <c r="N183" s="239">
        <v>0</v>
      </c>
      <c r="O183" s="239">
        <v>0</v>
      </c>
      <c r="P183" s="239">
        <v>-71534</v>
      </c>
      <c r="Q183" s="239">
        <v>0</v>
      </c>
      <c r="R183" s="239">
        <v>-71534</v>
      </c>
      <c r="S183" s="239">
        <v>1105268</v>
      </c>
      <c r="T183" s="239">
        <v>0</v>
      </c>
      <c r="U183" s="239">
        <v>1105268</v>
      </c>
      <c r="V183" s="239">
        <v>-1198804</v>
      </c>
      <c r="W183" s="239">
        <v>0</v>
      </c>
      <c r="X183" s="239">
        <v>-1198804</v>
      </c>
      <c r="Y183" s="239">
        <v>12698817</v>
      </c>
      <c r="Z183" s="239">
        <v>0</v>
      </c>
      <c r="AA183" s="239">
        <v>12698817</v>
      </c>
      <c r="AB183" s="239">
        <v>0</v>
      </c>
      <c r="AC183" s="239">
        <v>0</v>
      </c>
      <c r="AD183" s="239">
        <v>0</v>
      </c>
      <c r="AE183" s="239">
        <v>179849</v>
      </c>
      <c r="AF183" s="239">
        <v>179849</v>
      </c>
      <c r="AG183" s="239">
        <v>0</v>
      </c>
      <c r="AH183" s="239">
        <v>0</v>
      </c>
      <c r="AI183" s="239">
        <v>0</v>
      </c>
      <c r="AJ183" s="239">
        <v>0</v>
      </c>
      <c r="AK183" s="239">
        <v>0</v>
      </c>
      <c r="AL183" s="239">
        <v>0</v>
      </c>
      <c r="AM183" s="239">
        <v>0</v>
      </c>
      <c r="AN183" s="239">
        <v>0</v>
      </c>
      <c r="AO183" s="239">
        <v>0</v>
      </c>
      <c r="AP183" s="239">
        <v>0</v>
      </c>
      <c r="AQ183" s="239">
        <v>689065</v>
      </c>
      <c r="AR183" s="239">
        <v>-61899</v>
      </c>
      <c r="AS183" s="214" t="s">
        <v>448</v>
      </c>
      <c r="AT183" s="214" t="s">
        <v>787</v>
      </c>
      <c r="AU183" s="214" t="s">
        <v>785</v>
      </c>
      <c r="AV183" s="214" t="s">
        <v>1088</v>
      </c>
      <c r="AW183" s="214" t="s">
        <v>1088</v>
      </c>
      <c r="AX183" s="214" t="s">
        <v>1294</v>
      </c>
    </row>
    <row r="184" spans="2:50" x14ac:dyDescent="0.2">
      <c r="B184" s="610" t="s">
        <v>451</v>
      </c>
      <c r="C184" s="610" t="s">
        <v>450</v>
      </c>
      <c r="D184" s="239">
        <v>16127042</v>
      </c>
      <c r="E184" s="239">
        <v>0</v>
      </c>
      <c r="F184" s="239">
        <v>16127042</v>
      </c>
      <c r="G184" s="239">
        <v>0</v>
      </c>
      <c r="H184" s="239">
        <v>0</v>
      </c>
      <c r="I184" s="239">
        <v>0</v>
      </c>
      <c r="J184" s="239">
        <v>-106022</v>
      </c>
      <c r="K184" s="239">
        <v>0</v>
      </c>
      <c r="L184" s="239">
        <v>-106022</v>
      </c>
      <c r="M184" s="239">
        <v>0</v>
      </c>
      <c r="N184" s="239">
        <v>0</v>
      </c>
      <c r="O184" s="239">
        <v>0</v>
      </c>
      <c r="P184" s="239">
        <v>-152305</v>
      </c>
      <c r="Q184" s="239">
        <v>0</v>
      </c>
      <c r="R184" s="239">
        <v>-152305</v>
      </c>
      <c r="S184" s="239">
        <v>342159</v>
      </c>
      <c r="T184" s="239">
        <v>0</v>
      </c>
      <c r="U184" s="239">
        <v>342159</v>
      </c>
      <c r="V184" s="239">
        <v>-2781305</v>
      </c>
      <c r="W184" s="239">
        <v>0</v>
      </c>
      <c r="X184" s="239">
        <v>-2781305</v>
      </c>
      <c r="Y184" s="239">
        <v>13535591</v>
      </c>
      <c r="Z184" s="239">
        <v>0</v>
      </c>
      <c r="AA184" s="239">
        <v>13535591</v>
      </c>
      <c r="AB184" s="239">
        <v>0</v>
      </c>
      <c r="AC184" s="239">
        <v>0</v>
      </c>
      <c r="AD184" s="239">
        <v>0</v>
      </c>
      <c r="AE184" s="239">
        <v>0</v>
      </c>
      <c r="AF184" s="239">
        <v>0</v>
      </c>
      <c r="AG184" s="239">
        <v>0</v>
      </c>
      <c r="AH184" s="239">
        <v>0</v>
      </c>
      <c r="AI184" s="239">
        <v>0</v>
      </c>
      <c r="AJ184" s="239">
        <v>0</v>
      </c>
      <c r="AK184" s="239">
        <v>0</v>
      </c>
      <c r="AL184" s="239">
        <v>0</v>
      </c>
      <c r="AM184" s="239">
        <v>0</v>
      </c>
      <c r="AN184" s="239">
        <v>0</v>
      </c>
      <c r="AO184" s="239">
        <v>0</v>
      </c>
      <c r="AP184" s="239">
        <v>0</v>
      </c>
      <c r="AQ184" s="239">
        <v>640754</v>
      </c>
      <c r="AR184" s="239">
        <v>-104248</v>
      </c>
      <c r="AS184" s="214" t="s">
        <v>450</v>
      </c>
      <c r="AT184" s="214" t="s">
        <v>858</v>
      </c>
      <c r="AU184" s="214" t="s">
        <v>856</v>
      </c>
      <c r="AV184" s="214" t="s">
        <v>1088</v>
      </c>
      <c r="AW184" s="214" t="s">
        <v>1088</v>
      </c>
      <c r="AX184" s="214" t="s">
        <v>1294</v>
      </c>
    </row>
    <row r="185" spans="2:50" x14ac:dyDescent="0.2">
      <c r="B185" s="610" t="s">
        <v>453</v>
      </c>
      <c r="C185" s="610" t="s">
        <v>452</v>
      </c>
      <c r="D185" s="239">
        <v>68112954</v>
      </c>
      <c r="E185" s="239">
        <v>0</v>
      </c>
      <c r="F185" s="239">
        <v>68112954</v>
      </c>
      <c r="G185" s="239">
        <v>0</v>
      </c>
      <c r="H185" s="239">
        <v>0</v>
      </c>
      <c r="I185" s="239">
        <v>0</v>
      </c>
      <c r="J185" s="239">
        <v>-2563775</v>
      </c>
      <c r="K185" s="239">
        <v>0</v>
      </c>
      <c r="L185" s="239">
        <v>-2563775</v>
      </c>
      <c r="M185" s="239">
        <v>0</v>
      </c>
      <c r="N185" s="239">
        <v>0</v>
      </c>
      <c r="O185" s="239">
        <v>0</v>
      </c>
      <c r="P185" s="239">
        <v>-2303569</v>
      </c>
      <c r="Q185" s="239">
        <v>0</v>
      </c>
      <c r="R185" s="239">
        <v>-2303569</v>
      </c>
      <c r="S185" s="239">
        <v>780009</v>
      </c>
      <c r="T185" s="239">
        <v>0</v>
      </c>
      <c r="U185" s="239">
        <v>780009</v>
      </c>
      <c r="V185" s="239">
        <v>-3763616</v>
      </c>
      <c r="W185" s="239">
        <v>0</v>
      </c>
      <c r="X185" s="239">
        <v>-3763616</v>
      </c>
      <c r="Y185" s="239">
        <v>62825778</v>
      </c>
      <c r="Z185" s="239">
        <v>0</v>
      </c>
      <c r="AA185" s="239">
        <v>62825778</v>
      </c>
      <c r="AB185" s="239">
        <v>0</v>
      </c>
      <c r="AC185" s="239">
        <v>0</v>
      </c>
      <c r="AD185" s="239">
        <v>0</v>
      </c>
      <c r="AE185" s="239">
        <v>0</v>
      </c>
      <c r="AF185" s="239">
        <v>0</v>
      </c>
      <c r="AG185" s="239">
        <v>0</v>
      </c>
      <c r="AH185" s="239">
        <v>0</v>
      </c>
      <c r="AI185" s="239">
        <v>0</v>
      </c>
      <c r="AJ185" s="239">
        <v>0</v>
      </c>
      <c r="AK185" s="239">
        <v>0</v>
      </c>
      <c r="AL185" s="239">
        <v>0</v>
      </c>
      <c r="AM185" s="239">
        <v>0</v>
      </c>
      <c r="AN185" s="239">
        <v>0</v>
      </c>
      <c r="AO185" s="239">
        <v>0</v>
      </c>
      <c r="AP185" s="239">
        <v>0</v>
      </c>
      <c r="AQ185" s="239">
        <v>4860951</v>
      </c>
      <c r="AR185" s="239">
        <v>-1568789</v>
      </c>
      <c r="AS185" s="214" t="s">
        <v>893</v>
      </c>
      <c r="AT185" s="214" t="s">
        <v>748</v>
      </c>
      <c r="AU185" s="214" t="s">
        <v>890</v>
      </c>
      <c r="AV185" s="214" t="s">
        <v>1098</v>
      </c>
      <c r="AW185" s="214" t="s">
        <v>1099</v>
      </c>
      <c r="AX185" s="214" t="s">
        <v>748</v>
      </c>
    </row>
    <row r="186" spans="2:50" x14ac:dyDescent="0.2">
      <c r="B186" s="610" t="s">
        <v>455</v>
      </c>
      <c r="C186" s="610" t="s">
        <v>454</v>
      </c>
      <c r="D186" s="239">
        <v>37713020</v>
      </c>
      <c r="E186" s="239">
        <v>0</v>
      </c>
      <c r="F186" s="239">
        <v>37713020</v>
      </c>
      <c r="G186" s="239">
        <v>-1283</v>
      </c>
      <c r="H186" s="239">
        <v>0</v>
      </c>
      <c r="I186" s="239">
        <v>-1283</v>
      </c>
      <c r="J186" s="239">
        <v>-375507</v>
      </c>
      <c r="K186" s="239">
        <v>0</v>
      </c>
      <c r="L186" s="239">
        <v>-375507</v>
      </c>
      <c r="M186" s="239">
        <v>0</v>
      </c>
      <c r="N186" s="239">
        <v>0</v>
      </c>
      <c r="O186" s="239">
        <v>0</v>
      </c>
      <c r="P186" s="239">
        <v>-382381</v>
      </c>
      <c r="Q186" s="239">
        <v>0</v>
      </c>
      <c r="R186" s="239">
        <v>-382381</v>
      </c>
      <c r="S186" s="239">
        <v>1841782</v>
      </c>
      <c r="T186" s="239">
        <v>0</v>
      </c>
      <c r="U186" s="239">
        <v>1841782</v>
      </c>
      <c r="V186" s="239">
        <v>-1738838</v>
      </c>
      <c r="W186" s="239">
        <v>0</v>
      </c>
      <c r="X186" s="239">
        <v>-1738838</v>
      </c>
      <c r="Y186" s="239">
        <v>37432300</v>
      </c>
      <c r="Z186" s="239">
        <v>0</v>
      </c>
      <c r="AA186" s="239">
        <v>37432300</v>
      </c>
      <c r="AB186" s="239">
        <v>0</v>
      </c>
      <c r="AC186" s="239">
        <v>0</v>
      </c>
      <c r="AD186" s="239">
        <v>0</v>
      </c>
      <c r="AE186" s="239">
        <v>37026</v>
      </c>
      <c r="AF186" s="239">
        <v>37026</v>
      </c>
      <c r="AG186" s="239">
        <v>0</v>
      </c>
      <c r="AH186" s="239">
        <v>0</v>
      </c>
      <c r="AI186" s="239">
        <v>0</v>
      </c>
      <c r="AJ186" s="239">
        <v>0</v>
      </c>
      <c r="AK186" s="239">
        <v>0</v>
      </c>
      <c r="AL186" s="239">
        <v>0</v>
      </c>
      <c r="AM186" s="239">
        <v>0</v>
      </c>
      <c r="AN186" s="239">
        <v>0</v>
      </c>
      <c r="AO186" s="239">
        <v>0</v>
      </c>
      <c r="AP186" s="239">
        <v>0</v>
      </c>
      <c r="AQ186" s="239">
        <v>2022766</v>
      </c>
      <c r="AR186" s="239">
        <v>-863138</v>
      </c>
      <c r="AS186" s="214" t="s">
        <v>454</v>
      </c>
      <c r="AT186" s="214" t="s">
        <v>803</v>
      </c>
      <c r="AU186" s="214" t="s">
        <v>763</v>
      </c>
      <c r="AV186" s="214" t="s">
        <v>1088</v>
      </c>
      <c r="AW186" s="214" t="s">
        <v>1088</v>
      </c>
      <c r="AX186" s="214" t="s">
        <v>1294</v>
      </c>
    </row>
    <row r="187" spans="2:50" x14ac:dyDescent="0.2">
      <c r="B187" s="610" t="s">
        <v>457</v>
      </c>
      <c r="C187" s="610" t="s">
        <v>456</v>
      </c>
      <c r="D187" s="239">
        <v>24239787</v>
      </c>
      <c r="E187" s="239">
        <v>0</v>
      </c>
      <c r="F187" s="239">
        <v>24239787</v>
      </c>
      <c r="G187" s="239">
        <v>-16801</v>
      </c>
      <c r="H187" s="239">
        <v>0</v>
      </c>
      <c r="I187" s="239">
        <v>-16801</v>
      </c>
      <c r="J187" s="239">
        <v>-64348</v>
      </c>
      <c r="K187" s="239">
        <v>0</v>
      </c>
      <c r="L187" s="239">
        <v>-64348</v>
      </c>
      <c r="M187" s="239">
        <v>0</v>
      </c>
      <c r="N187" s="239">
        <v>0</v>
      </c>
      <c r="O187" s="239">
        <v>0</v>
      </c>
      <c r="P187" s="239">
        <v>-56121</v>
      </c>
      <c r="Q187" s="239">
        <v>0</v>
      </c>
      <c r="R187" s="239">
        <v>-56121</v>
      </c>
      <c r="S187" s="239">
        <v>223100</v>
      </c>
      <c r="T187" s="239">
        <v>0</v>
      </c>
      <c r="U187" s="239">
        <v>223100</v>
      </c>
      <c r="V187" s="239">
        <v>-1883001</v>
      </c>
      <c r="W187" s="239">
        <v>0</v>
      </c>
      <c r="X187" s="239">
        <v>-1883001</v>
      </c>
      <c r="Y187" s="239">
        <v>22506964</v>
      </c>
      <c r="Z187" s="239">
        <v>0</v>
      </c>
      <c r="AA187" s="239">
        <v>22506964</v>
      </c>
      <c r="AB187" s="239">
        <v>0</v>
      </c>
      <c r="AC187" s="239">
        <v>0</v>
      </c>
      <c r="AD187" s="239">
        <v>0</v>
      </c>
      <c r="AE187" s="239">
        <v>1644240</v>
      </c>
      <c r="AF187" s="239">
        <v>1644240</v>
      </c>
      <c r="AG187" s="239">
        <v>0</v>
      </c>
      <c r="AH187" s="239">
        <v>0</v>
      </c>
      <c r="AI187" s="239">
        <v>0</v>
      </c>
      <c r="AJ187" s="239">
        <v>0</v>
      </c>
      <c r="AK187" s="239">
        <v>0</v>
      </c>
      <c r="AL187" s="239">
        <v>0</v>
      </c>
      <c r="AM187" s="239">
        <v>0</v>
      </c>
      <c r="AN187" s="239">
        <v>0</v>
      </c>
      <c r="AO187" s="239">
        <v>0</v>
      </c>
      <c r="AP187" s="239">
        <v>0</v>
      </c>
      <c r="AQ187" s="239">
        <v>295203</v>
      </c>
      <c r="AR187" s="239">
        <v>-541747</v>
      </c>
      <c r="AS187" s="214" t="s">
        <v>456</v>
      </c>
      <c r="AT187" s="214" t="s">
        <v>798</v>
      </c>
      <c r="AU187" s="214" t="s">
        <v>763</v>
      </c>
      <c r="AV187" s="214" t="s">
        <v>1088</v>
      </c>
      <c r="AW187" s="214" t="s">
        <v>1088</v>
      </c>
      <c r="AX187" s="214" t="s">
        <v>1294</v>
      </c>
    </row>
    <row r="188" spans="2:50" x14ac:dyDescent="0.2">
      <c r="B188" s="610" t="s">
        <v>459</v>
      </c>
      <c r="C188" s="610" t="s">
        <v>458</v>
      </c>
      <c r="D188" s="239">
        <v>77884996</v>
      </c>
      <c r="E188" s="239">
        <v>1131435</v>
      </c>
      <c r="F188" s="239">
        <v>79016431</v>
      </c>
      <c r="G188" s="239">
        <v>-2163</v>
      </c>
      <c r="H188" s="239">
        <v>0</v>
      </c>
      <c r="I188" s="239">
        <v>-2163</v>
      </c>
      <c r="J188" s="239">
        <v>-704577</v>
      </c>
      <c r="K188" s="239">
        <v>0</v>
      </c>
      <c r="L188" s="239">
        <v>-704577</v>
      </c>
      <c r="M188" s="239">
        <v>0</v>
      </c>
      <c r="N188" s="239">
        <v>0</v>
      </c>
      <c r="O188" s="239">
        <v>0</v>
      </c>
      <c r="P188" s="239">
        <v>-905477</v>
      </c>
      <c r="Q188" s="239">
        <v>0</v>
      </c>
      <c r="R188" s="239">
        <v>-905477</v>
      </c>
      <c r="S188" s="239">
        <v>13289400</v>
      </c>
      <c r="T188" s="239">
        <v>0</v>
      </c>
      <c r="U188" s="239">
        <v>13289400</v>
      </c>
      <c r="V188" s="239">
        <v>-7439500</v>
      </c>
      <c r="W188" s="239">
        <v>0</v>
      </c>
      <c r="X188" s="239">
        <v>-7439500</v>
      </c>
      <c r="Y188" s="239">
        <v>82827256</v>
      </c>
      <c r="Z188" s="239">
        <v>1131435</v>
      </c>
      <c r="AA188" s="239">
        <v>83958691</v>
      </c>
      <c r="AB188" s="239">
        <v>1131435</v>
      </c>
      <c r="AC188" s="239">
        <v>1131435</v>
      </c>
      <c r="AD188" s="239">
        <v>0</v>
      </c>
      <c r="AE188" s="239">
        <v>1122359</v>
      </c>
      <c r="AF188" s="239">
        <v>1122359</v>
      </c>
      <c r="AG188" s="239">
        <v>0</v>
      </c>
      <c r="AH188" s="239">
        <v>0</v>
      </c>
      <c r="AI188" s="239">
        <v>0</v>
      </c>
      <c r="AJ188" s="239">
        <v>0</v>
      </c>
      <c r="AK188" s="239">
        <v>0</v>
      </c>
      <c r="AL188" s="239">
        <v>975331</v>
      </c>
      <c r="AM188" s="239">
        <v>0</v>
      </c>
      <c r="AN188" s="239">
        <v>156104</v>
      </c>
      <c r="AO188" s="239">
        <v>156104</v>
      </c>
      <c r="AP188" s="239">
        <v>0</v>
      </c>
      <c r="AQ188" s="239">
        <v>4510044</v>
      </c>
      <c r="AR188" s="239">
        <v>-1013374</v>
      </c>
      <c r="AS188" s="214" t="s">
        <v>892</v>
      </c>
      <c r="AT188" s="214" t="s">
        <v>748</v>
      </c>
      <c r="AU188" s="214" t="s">
        <v>890</v>
      </c>
      <c r="AV188" s="214" t="s">
        <v>1099</v>
      </c>
      <c r="AW188" s="214" t="s">
        <v>1088</v>
      </c>
      <c r="AX188" s="214" t="s">
        <v>748</v>
      </c>
    </row>
    <row r="189" spans="2:50" x14ac:dyDescent="0.2">
      <c r="B189" s="610" t="s">
        <v>461</v>
      </c>
      <c r="C189" s="610" t="s">
        <v>460</v>
      </c>
      <c r="D189" s="239">
        <v>24538271</v>
      </c>
      <c r="E189" s="239">
        <v>0</v>
      </c>
      <c r="F189" s="239">
        <v>24538271</v>
      </c>
      <c r="G189" s="239">
        <v>0</v>
      </c>
      <c r="H189" s="239">
        <v>0</v>
      </c>
      <c r="I189" s="239">
        <v>0</v>
      </c>
      <c r="J189" s="239">
        <v>-46610</v>
      </c>
      <c r="K189" s="239">
        <v>0</v>
      </c>
      <c r="L189" s="239">
        <v>-46610</v>
      </c>
      <c r="M189" s="239">
        <v>0</v>
      </c>
      <c r="N189" s="239">
        <v>0</v>
      </c>
      <c r="O189" s="239">
        <v>0</v>
      </c>
      <c r="P189" s="239">
        <v>-79394</v>
      </c>
      <c r="Q189" s="239">
        <v>0</v>
      </c>
      <c r="R189" s="239">
        <v>-79394</v>
      </c>
      <c r="S189" s="239">
        <v>449098</v>
      </c>
      <c r="T189" s="239">
        <v>0</v>
      </c>
      <c r="U189" s="239">
        <v>449098</v>
      </c>
      <c r="V189" s="239">
        <v>-1747673</v>
      </c>
      <c r="W189" s="239">
        <v>0</v>
      </c>
      <c r="X189" s="239">
        <v>-1747673</v>
      </c>
      <c r="Y189" s="239">
        <v>23160302</v>
      </c>
      <c r="Z189" s="239">
        <v>0</v>
      </c>
      <c r="AA189" s="239">
        <v>23160302</v>
      </c>
      <c r="AB189" s="239">
        <v>0</v>
      </c>
      <c r="AC189" s="239">
        <v>0</v>
      </c>
      <c r="AD189" s="239">
        <v>0</v>
      </c>
      <c r="AE189" s="239">
        <v>587779</v>
      </c>
      <c r="AF189" s="239">
        <v>587779</v>
      </c>
      <c r="AG189" s="239">
        <v>0</v>
      </c>
      <c r="AH189" s="239">
        <v>0</v>
      </c>
      <c r="AI189" s="239">
        <v>0</v>
      </c>
      <c r="AJ189" s="239">
        <v>0</v>
      </c>
      <c r="AK189" s="239">
        <v>0</v>
      </c>
      <c r="AL189" s="239">
        <v>0</v>
      </c>
      <c r="AM189" s="239">
        <v>0</v>
      </c>
      <c r="AN189" s="239">
        <v>0</v>
      </c>
      <c r="AO189" s="239">
        <v>0</v>
      </c>
      <c r="AP189" s="239">
        <v>0</v>
      </c>
      <c r="AQ189" s="239">
        <v>342572</v>
      </c>
      <c r="AR189" s="239">
        <v>-191723</v>
      </c>
      <c r="AS189" s="214" t="s">
        <v>460</v>
      </c>
      <c r="AT189" s="214" t="s">
        <v>849</v>
      </c>
      <c r="AU189" s="214" t="s">
        <v>763</v>
      </c>
      <c r="AV189" s="214" t="s">
        <v>1088</v>
      </c>
      <c r="AW189" s="214" t="s">
        <v>1088</v>
      </c>
      <c r="AX189" s="214" t="s">
        <v>1294</v>
      </c>
    </row>
    <row r="190" spans="2:50" x14ac:dyDescent="0.2">
      <c r="B190" s="610" t="s">
        <v>463</v>
      </c>
      <c r="C190" s="610" t="s">
        <v>462</v>
      </c>
      <c r="D190" s="239">
        <v>68683005</v>
      </c>
      <c r="E190" s="239">
        <v>468351</v>
      </c>
      <c r="F190" s="239">
        <v>69151356</v>
      </c>
      <c r="G190" s="239">
        <v>-3306</v>
      </c>
      <c r="H190" s="239">
        <v>0</v>
      </c>
      <c r="I190" s="239">
        <v>-3306</v>
      </c>
      <c r="J190" s="239">
        <v>-611724</v>
      </c>
      <c r="K190" s="239">
        <v>-1704</v>
      </c>
      <c r="L190" s="239">
        <v>-613428</v>
      </c>
      <c r="M190" s="239">
        <v>0</v>
      </c>
      <c r="N190" s="239">
        <v>0</v>
      </c>
      <c r="O190" s="239">
        <v>0</v>
      </c>
      <c r="P190" s="239">
        <v>-128314</v>
      </c>
      <c r="Q190" s="239">
        <v>4930</v>
      </c>
      <c r="R190" s="239">
        <v>-123384</v>
      </c>
      <c r="S190" s="239">
        <v>1287784</v>
      </c>
      <c r="T190" s="239">
        <v>3989</v>
      </c>
      <c r="U190" s="239">
        <v>1291773</v>
      </c>
      <c r="V190" s="239">
        <v>-1748980</v>
      </c>
      <c r="W190" s="239">
        <v>-20704</v>
      </c>
      <c r="X190" s="239">
        <v>-1769684</v>
      </c>
      <c r="Y190" s="239">
        <v>68090189</v>
      </c>
      <c r="Z190" s="239">
        <v>456566</v>
      </c>
      <c r="AA190" s="239">
        <v>68546755</v>
      </c>
      <c r="AB190" s="239">
        <v>456566</v>
      </c>
      <c r="AC190" s="239">
        <v>456566</v>
      </c>
      <c r="AD190" s="239">
        <v>0</v>
      </c>
      <c r="AE190" s="239">
        <v>89320</v>
      </c>
      <c r="AF190" s="239">
        <v>89320</v>
      </c>
      <c r="AG190" s="239">
        <v>0</v>
      </c>
      <c r="AH190" s="239">
        <v>0</v>
      </c>
      <c r="AI190" s="239">
        <v>-47</v>
      </c>
      <c r="AJ190" s="239">
        <v>-47</v>
      </c>
      <c r="AK190" s="239">
        <v>0</v>
      </c>
      <c r="AL190" s="239">
        <v>198698</v>
      </c>
      <c r="AM190" s="239">
        <v>0</v>
      </c>
      <c r="AN190" s="239">
        <v>257821</v>
      </c>
      <c r="AO190" s="239">
        <v>257821</v>
      </c>
      <c r="AP190" s="239">
        <v>0</v>
      </c>
      <c r="AQ190" s="239">
        <v>12239609</v>
      </c>
      <c r="AR190" s="239">
        <v>-2272434</v>
      </c>
      <c r="AS190" s="214" t="s">
        <v>889</v>
      </c>
      <c r="AT190" s="214" t="s">
        <v>748</v>
      </c>
      <c r="AU190" s="214" t="s">
        <v>853</v>
      </c>
      <c r="AV190" s="214" t="s">
        <v>1091</v>
      </c>
      <c r="AW190" s="214" t="s">
        <v>1088</v>
      </c>
      <c r="AX190" s="214" t="s">
        <v>748</v>
      </c>
    </row>
    <row r="191" spans="2:50" x14ac:dyDescent="0.2">
      <c r="B191" s="610" t="s">
        <v>465</v>
      </c>
      <c r="C191" s="610" t="s">
        <v>464</v>
      </c>
      <c r="D191" s="239">
        <v>57410464</v>
      </c>
      <c r="E191" s="239">
        <v>576324</v>
      </c>
      <c r="F191" s="239">
        <v>57986788</v>
      </c>
      <c r="G191" s="239">
        <v>0</v>
      </c>
      <c r="H191" s="239">
        <v>0</v>
      </c>
      <c r="I191" s="239">
        <v>0</v>
      </c>
      <c r="J191" s="239">
        <v>-2940</v>
      </c>
      <c r="K191" s="239">
        <v>0</v>
      </c>
      <c r="L191" s="239">
        <v>-2940</v>
      </c>
      <c r="M191" s="239">
        <v>0</v>
      </c>
      <c r="N191" s="239">
        <v>0</v>
      </c>
      <c r="O191" s="239">
        <v>0</v>
      </c>
      <c r="P191" s="239">
        <v>239940</v>
      </c>
      <c r="Q191" s="239">
        <v>0</v>
      </c>
      <c r="R191" s="239">
        <v>239940</v>
      </c>
      <c r="S191" s="239">
        <v>0</v>
      </c>
      <c r="T191" s="239">
        <v>0</v>
      </c>
      <c r="U191" s="239">
        <v>0</v>
      </c>
      <c r="V191" s="239">
        <v>-1887000</v>
      </c>
      <c r="W191" s="239">
        <v>0</v>
      </c>
      <c r="X191" s="239">
        <v>-1887000</v>
      </c>
      <c r="Y191" s="239">
        <v>55763404</v>
      </c>
      <c r="Z191" s="239">
        <v>576324</v>
      </c>
      <c r="AA191" s="239">
        <v>56339728</v>
      </c>
      <c r="AB191" s="239">
        <v>576324</v>
      </c>
      <c r="AC191" s="239">
        <v>576324</v>
      </c>
      <c r="AD191" s="239">
        <v>0</v>
      </c>
      <c r="AE191" s="239">
        <v>0</v>
      </c>
      <c r="AF191" s="239">
        <v>0</v>
      </c>
      <c r="AG191" s="239">
        <v>0</v>
      </c>
      <c r="AH191" s="239">
        <v>0</v>
      </c>
      <c r="AI191" s="239">
        <v>-948</v>
      </c>
      <c r="AJ191" s="239">
        <v>-948</v>
      </c>
      <c r="AK191" s="239">
        <v>0</v>
      </c>
      <c r="AL191" s="239">
        <v>550844</v>
      </c>
      <c r="AM191" s="239">
        <v>0</v>
      </c>
      <c r="AN191" s="239">
        <v>24532</v>
      </c>
      <c r="AO191" s="239">
        <v>24532</v>
      </c>
      <c r="AP191" s="239">
        <v>0</v>
      </c>
      <c r="AQ191" s="239">
        <v>5397078</v>
      </c>
      <c r="AR191" s="239">
        <v>-1145608</v>
      </c>
      <c r="AS191" s="214" t="s">
        <v>464</v>
      </c>
      <c r="AT191" s="214" t="s">
        <v>768</v>
      </c>
      <c r="AU191" s="214" t="s">
        <v>841</v>
      </c>
      <c r="AV191" s="214" t="s">
        <v>1115</v>
      </c>
      <c r="AW191" s="214" t="s">
        <v>1088</v>
      </c>
      <c r="AX191" s="214" t="s">
        <v>1296</v>
      </c>
    </row>
    <row r="192" spans="2:50" x14ac:dyDescent="0.2">
      <c r="B192" s="610" t="s">
        <v>467</v>
      </c>
      <c r="C192" s="610" t="s">
        <v>466</v>
      </c>
      <c r="D192" s="239">
        <v>43267563</v>
      </c>
      <c r="E192" s="239">
        <v>0</v>
      </c>
      <c r="F192" s="239">
        <v>43267563</v>
      </c>
      <c r="G192" s="239">
        <v>0</v>
      </c>
      <c r="H192" s="239">
        <v>0</v>
      </c>
      <c r="I192" s="239">
        <v>0</v>
      </c>
      <c r="J192" s="239">
        <v>-196206</v>
      </c>
      <c r="K192" s="239">
        <v>0</v>
      </c>
      <c r="L192" s="239">
        <v>-196206</v>
      </c>
      <c r="M192" s="239">
        <v>0</v>
      </c>
      <c r="N192" s="239">
        <v>0</v>
      </c>
      <c r="O192" s="239">
        <v>0</v>
      </c>
      <c r="P192" s="239">
        <v>-119490</v>
      </c>
      <c r="Q192" s="239">
        <v>0</v>
      </c>
      <c r="R192" s="239">
        <v>-119490</v>
      </c>
      <c r="S192" s="239">
        <v>840730</v>
      </c>
      <c r="T192" s="239">
        <v>0</v>
      </c>
      <c r="U192" s="239">
        <v>840730</v>
      </c>
      <c r="V192" s="239">
        <v>-2519552</v>
      </c>
      <c r="W192" s="239">
        <v>0</v>
      </c>
      <c r="X192" s="239">
        <v>-2519552</v>
      </c>
      <c r="Y192" s="239">
        <v>41469251</v>
      </c>
      <c r="Z192" s="239">
        <v>0</v>
      </c>
      <c r="AA192" s="239">
        <v>41469251</v>
      </c>
      <c r="AB192" s="239">
        <v>0</v>
      </c>
      <c r="AC192" s="239">
        <v>0</v>
      </c>
      <c r="AD192" s="239">
        <v>0</v>
      </c>
      <c r="AE192" s="239">
        <v>0</v>
      </c>
      <c r="AF192" s="239">
        <v>0</v>
      </c>
      <c r="AG192" s="239">
        <v>0</v>
      </c>
      <c r="AH192" s="239">
        <v>0</v>
      </c>
      <c r="AI192" s="239">
        <v>0</v>
      </c>
      <c r="AJ192" s="239">
        <v>0</v>
      </c>
      <c r="AK192" s="239">
        <v>0</v>
      </c>
      <c r="AL192" s="239">
        <v>0</v>
      </c>
      <c r="AM192" s="239">
        <v>0</v>
      </c>
      <c r="AN192" s="239">
        <v>0</v>
      </c>
      <c r="AO192" s="239">
        <v>0</v>
      </c>
      <c r="AP192" s="239">
        <v>0</v>
      </c>
      <c r="AQ192" s="239">
        <v>327202</v>
      </c>
      <c r="AR192" s="239">
        <v>-3613</v>
      </c>
      <c r="AS192" s="214" t="s">
        <v>466</v>
      </c>
      <c r="AT192" s="214" t="s">
        <v>813</v>
      </c>
      <c r="AU192" s="214" t="s">
        <v>763</v>
      </c>
      <c r="AV192" s="214" t="s">
        <v>1088</v>
      </c>
      <c r="AW192" s="214" t="s">
        <v>1088</v>
      </c>
      <c r="AX192" s="214" t="s">
        <v>1294</v>
      </c>
    </row>
    <row r="193" spans="2:50" x14ac:dyDescent="0.2">
      <c r="B193" s="610" t="s">
        <v>469</v>
      </c>
      <c r="C193" s="610" t="s">
        <v>468</v>
      </c>
      <c r="D193" s="239">
        <v>52222386</v>
      </c>
      <c r="E193" s="239">
        <v>0</v>
      </c>
      <c r="F193" s="239">
        <v>52222386</v>
      </c>
      <c r="G193" s="239">
        <v>0</v>
      </c>
      <c r="H193" s="239">
        <v>0</v>
      </c>
      <c r="I193" s="239">
        <v>0</v>
      </c>
      <c r="J193" s="239">
        <v>-174272</v>
      </c>
      <c r="K193" s="239">
        <v>0</v>
      </c>
      <c r="L193" s="239">
        <v>-174272</v>
      </c>
      <c r="M193" s="239">
        <v>0</v>
      </c>
      <c r="N193" s="239">
        <v>0</v>
      </c>
      <c r="O193" s="239">
        <v>0</v>
      </c>
      <c r="P193" s="239">
        <v>110654</v>
      </c>
      <c r="Q193" s="239">
        <v>0</v>
      </c>
      <c r="R193" s="239">
        <v>110654</v>
      </c>
      <c r="S193" s="239">
        <v>370546</v>
      </c>
      <c r="T193" s="239">
        <v>0</v>
      </c>
      <c r="U193" s="239">
        <v>370546</v>
      </c>
      <c r="V193" s="239">
        <v>-1388230</v>
      </c>
      <c r="W193" s="239">
        <v>0</v>
      </c>
      <c r="X193" s="239">
        <v>-1388230</v>
      </c>
      <c r="Y193" s="239">
        <v>51315356</v>
      </c>
      <c r="Z193" s="239">
        <v>0</v>
      </c>
      <c r="AA193" s="239">
        <v>51315356</v>
      </c>
      <c r="AB193" s="239">
        <v>0</v>
      </c>
      <c r="AC193" s="239">
        <v>0</v>
      </c>
      <c r="AD193" s="239">
        <v>0</v>
      </c>
      <c r="AE193" s="239">
        <v>0</v>
      </c>
      <c r="AF193" s="239">
        <v>0</v>
      </c>
      <c r="AG193" s="239">
        <v>0</v>
      </c>
      <c r="AH193" s="239">
        <v>0</v>
      </c>
      <c r="AI193" s="239">
        <v>0</v>
      </c>
      <c r="AJ193" s="239">
        <v>0</v>
      </c>
      <c r="AK193" s="239">
        <v>0</v>
      </c>
      <c r="AL193" s="239">
        <v>0</v>
      </c>
      <c r="AM193" s="239">
        <v>0</v>
      </c>
      <c r="AN193" s="239">
        <v>0</v>
      </c>
      <c r="AO193" s="239">
        <v>0</v>
      </c>
      <c r="AP193" s="239">
        <v>0</v>
      </c>
      <c r="AQ193" s="239">
        <v>432456</v>
      </c>
      <c r="AR193" s="239">
        <v>-494832</v>
      </c>
      <c r="AS193" s="214" t="s">
        <v>468</v>
      </c>
      <c r="AT193" s="214" t="s">
        <v>884</v>
      </c>
      <c r="AU193" s="214" t="s">
        <v>869</v>
      </c>
      <c r="AV193" s="214" t="s">
        <v>1088</v>
      </c>
      <c r="AW193" s="214" t="s">
        <v>1088</v>
      </c>
      <c r="AX193" s="214" t="s">
        <v>1294</v>
      </c>
    </row>
    <row r="194" spans="2:50" x14ac:dyDescent="0.2">
      <c r="B194" s="610" t="s">
        <v>471</v>
      </c>
      <c r="C194" s="610" t="s">
        <v>470</v>
      </c>
      <c r="D194" s="239">
        <v>98194826</v>
      </c>
      <c r="E194" s="239">
        <v>4302613</v>
      </c>
      <c r="F194" s="239">
        <v>102497439</v>
      </c>
      <c r="G194" s="239">
        <v>0</v>
      </c>
      <c r="H194" s="239">
        <v>0</v>
      </c>
      <c r="I194" s="239">
        <v>0</v>
      </c>
      <c r="J194" s="239">
        <v>-311576</v>
      </c>
      <c r="K194" s="239">
        <v>0</v>
      </c>
      <c r="L194" s="239">
        <v>-311576</v>
      </c>
      <c r="M194" s="239">
        <v>311576</v>
      </c>
      <c r="N194" s="239">
        <v>0</v>
      </c>
      <c r="O194" s="239">
        <v>311576</v>
      </c>
      <c r="P194" s="239">
        <v>-216358</v>
      </c>
      <c r="Q194" s="239">
        <v>0</v>
      </c>
      <c r="R194" s="239">
        <v>-216358</v>
      </c>
      <c r="S194" s="239">
        <v>1601238</v>
      </c>
      <c r="T194" s="239">
        <v>122012</v>
      </c>
      <c r="U194" s="239">
        <v>1723250</v>
      </c>
      <c r="V194" s="239">
        <v>-6868128</v>
      </c>
      <c r="W194" s="239">
        <v>-453569</v>
      </c>
      <c r="X194" s="239">
        <v>-7321697</v>
      </c>
      <c r="Y194" s="239">
        <v>93023154</v>
      </c>
      <c r="Z194" s="239">
        <v>3971056</v>
      </c>
      <c r="AA194" s="239">
        <v>96994210</v>
      </c>
      <c r="AB194" s="239">
        <v>3971056</v>
      </c>
      <c r="AC194" s="239">
        <v>3971056</v>
      </c>
      <c r="AD194" s="239">
        <v>0</v>
      </c>
      <c r="AE194" s="239">
        <v>0</v>
      </c>
      <c r="AF194" s="239">
        <v>0</v>
      </c>
      <c r="AG194" s="239">
        <v>0</v>
      </c>
      <c r="AH194" s="239">
        <v>0</v>
      </c>
      <c r="AI194" s="239">
        <v>-12495</v>
      </c>
      <c r="AJ194" s="239">
        <v>-12495</v>
      </c>
      <c r="AK194" s="239">
        <v>0</v>
      </c>
      <c r="AL194" s="239">
        <v>3407447</v>
      </c>
      <c r="AM194" s="239">
        <v>0</v>
      </c>
      <c r="AN194" s="239">
        <v>551114</v>
      </c>
      <c r="AO194" s="239">
        <v>551114</v>
      </c>
      <c r="AP194" s="239">
        <v>0</v>
      </c>
      <c r="AQ194" s="239">
        <v>2598899</v>
      </c>
      <c r="AR194" s="239">
        <v>-545562</v>
      </c>
      <c r="AS194" s="214" t="s">
        <v>470</v>
      </c>
      <c r="AT194" s="214" t="s">
        <v>805</v>
      </c>
      <c r="AU194" s="214" t="s">
        <v>763</v>
      </c>
      <c r="AV194" s="214" t="s">
        <v>1116</v>
      </c>
      <c r="AW194" s="214" t="s">
        <v>1088</v>
      </c>
      <c r="AX194" s="214" t="s">
        <v>1294</v>
      </c>
    </row>
    <row r="195" spans="2:50" x14ac:dyDescent="0.2">
      <c r="B195" s="610" t="s">
        <v>473</v>
      </c>
      <c r="C195" s="610" t="s">
        <v>472</v>
      </c>
      <c r="D195" s="239">
        <v>75675864</v>
      </c>
      <c r="E195" s="239">
        <v>45194</v>
      </c>
      <c r="F195" s="239">
        <v>75721058</v>
      </c>
      <c r="G195" s="239">
        <v>-15974</v>
      </c>
      <c r="H195" s="239">
        <v>0</v>
      </c>
      <c r="I195" s="239">
        <v>-15974</v>
      </c>
      <c r="J195" s="239">
        <v>-626270</v>
      </c>
      <c r="K195" s="239">
        <v>0</v>
      </c>
      <c r="L195" s="239">
        <v>-626270</v>
      </c>
      <c r="M195" s="239">
        <v>0</v>
      </c>
      <c r="N195" s="239">
        <v>0</v>
      </c>
      <c r="O195" s="239">
        <v>0</v>
      </c>
      <c r="P195" s="239">
        <v>-585861</v>
      </c>
      <c r="Q195" s="239">
        <v>0</v>
      </c>
      <c r="R195" s="239">
        <v>-585861</v>
      </c>
      <c r="S195" s="239">
        <v>4437962</v>
      </c>
      <c r="T195" s="239">
        <v>0</v>
      </c>
      <c r="U195" s="239">
        <v>4437962</v>
      </c>
      <c r="V195" s="239">
        <v>-5513982</v>
      </c>
      <c r="W195" s="239">
        <v>0</v>
      </c>
      <c r="X195" s="239">
        <v>-5513982</v>
      </c>
      <c r="Y195" s="239">
        <v>73998009</v>
      </c>
      <c r="Z195" s="239">
        <v>45194</v>
      </c>
      <c r="AA195" s="239">
        <v>74043203</v>
      </c>
      <c r="AB195" s="239">
        <v>45194</v>
      </c>
      <c r="AC195" s="239">
        <v>45194</v>
      </c>
      <c r="AD195" s="239">
        <v>0</v>
      </c>
      <c r="AE195" s="239">
        <v>1221311</v>
      </c>
      <c r="AF195" s="239">
        <v>1221311</v>
      </c>
      <c r="AG195" s="239">
        <v>0</v>
      </c>
      <c r="AH195" s="239">
        <v>0</v>
      </c>
      <c r="AI195" s="239">
        <v>0</v>
      </c>
      <c r="AJ195" s="239">
        <v>0</v>
      </c>
      <c r="AK195" s="239">
        <v>0</v>
      </c>
      <c r="AL195" s="239">
        <v>11846</v>
      </c>
      <c r="AM195" s="239">
        <v>0</v>
      </c>
      <c r="AN195" s="239">
        <v>33348</v>
      </c>
      <c r="AO195" s="239">
        <v>33348</v>
      </c>
      <c r="AP195" s="239">
        <v>0</v>
      </c>
      <c r="AQ195" s="239">
        <v>2723496</v>
      </c>
      <c r="AR195" s="239">
        <v>-1076165</v>
      </c>
      <c r="AS195" s="214" t="s">
        <v>472</v>
      </c>
      <c r="AT195" s="214" t="s">
        <v>748</v>
      </c>
      <c r="AU195" s="214" t="s">
        <v>763</v>
      </c>
      <c r="AV195" s="214" t="s">
        <v>1117</v>
      </c>
      <c r="AW195" s="214" t="s">
        <v>1088</v>
      </c>
      <c r="AX195" s="214" t="s">
        <v>748</v>
      </c>
    </row>
    <row r="196" spans="2:50" x14ac:dyDescent="0.2">
      <c r="B196" s="610" t="s">
        <v>475</v>
      </c>
      <c r="C196" s="610" t="s">
        <v>474</v>
      </c>
      <c r="D196" s="239">
        <v>78371962</v>
      </c>
      <c r="E196" s="239">
        <v>0</v>
      </c>
      <c r="F196" s="239">
        <v>78371962</v>
      </c>
      <c r="G196" s="239">
        <v>-203</v>
      </c>
      <c r="H196" s="239">
        <v>0</v>
      </c>
      <c r="I196" s="239">
        <v>-203</v>
      </c>
      <c r="J196" s="239">
        <v>-1237615</v>
      </c>
      <c r="K196" s="239">
        <v>0</v>
      </c>
      <c r="L196" s="239">
        <v>-1237615</v>
      </c>
      <c r="M196" s="239">
        <v>0</v>
      </c>
      <c r="N196" s="239">
        <v>0</v>
      </c>
      <c r="O196" s="239">
        <v>0</v>
      </c>
      <c r="P196" s="239">
        <v>-885840</v>
      </c>
      <c r="Q196" s="239">
        <v>0</v>
      </c>
      <c r="R196" s="239">
        <v>-885840</v>
      </c>
      <c r="S196" s="239">
        <v>1433785</v>
      </c>
      <c r="T196" s="239">
        <v>0</v>
      </c>
      <c r="U196" s="239">
        <v>1433785</v>
      </c>
      <c r="V196" s="239">
        <v>-3930630</v>
      </c>
      <c r="W196" s="239">
        <v>0</v>
      </c>
      <c r="X196" s="239">
        <v>-3930630</v>
      </c>
      <c r="Y196" s="239">
        <v>74989074</v>
      </c>
      <c r="Z196" s="239">
        <v>0</v>
      </c>
      <c r="AA196" s="239">
        <v>74989074</v>
      </c>
      <c r="AB196" s="239">
        <v>0</v>
      </c>
      <c r="AC196" s="239">
        <v>0</v>
      </c>
      <c r="AD196" s="239">
        <v>0</v>
      </c>
      <c r="AE196" s="239">
        <v>0</v>
      </c>
      <c r="AF196" s="239">
        <v>0</v>
      </c>
      <c r="AG196" s="239">
        <v>0</v>
      </c>
      <c r="AH196" s="239">
        <v>0</v>
      </c>
      <c r="AI196" s="239">
        <v>0</v>
      </c>
      <c r="AJ196" s="239">
        <v>0</v>
      </c>
      <c r="AK196" s="239">
        <v>0</v>
      </c>
      <c r="AL196" s="239">
        <v>0</v>
      </c>
      <c r="AM196" s="239">
        <v>0</v>
      </c>
      <c r="AN196" s="239">
        <v>0</v>
      </c>
      <c r="AO196" s="239">
        <v>0</v>
      </c>
      <c r="AP196" s="239">
        <v>0</v>
      </c>
      <c r="AQ196" s="239">
        <v>2269182</v>
      </c>
      <c r="AR196" s="239">
        <v>-946070</v>
      </c>
      <c r="AS196" s="214" t="s">
        <v>474</v>
      </c>
      <c r="AT196" s="214" t="s">
        <v>849</v>
      </c>
      <c r="AU196" s="214" t="s">
        <v>763</v>
      </c>
      <c r="AV196" s="214" t="s">
        <v>1088</v>
      </c>
      <c r="AW196" s="214" t="s">
        <v>1088</v>
      </c>
      <c r="AX196" s="214" t="s">
        <v>1294</v>
      </c>
    </row>
    <row r="197" spans="2:50" x14ac:dyDescent="0.2">
      <c r="B197" s="610" t="s">
        <v>477</v>
      </c>
      <c r="C197" s="610" t="s">
        <v>476</v>
      </c>
      <c r="D197" s="239">
        <v>116600015</v>
      </c>
      <c r="E197" s="239">
        <v>9561002</v>
      </c>
      <c r="F197" s="239">
        <v>126161017</v>
      </c>
      <c r="G197" s="239">
        <v>-10581</v>
      </c>
      <c r="H197" s="239">
        <v>0</v>
      </c>
      <c r="I197" s="239">
        <v>-10581</v>
      </c>
      <c r="J197" s="239">
        <v>-620193</v>
      </c>
      <c r="K197" s="239">
        <v>-60805</v>
      </c>
      <c r="L197" s="239">
        <v>-680998</v>
      </c>
      <c r="M197" s="239">
        <v>0</v>
      </c>
      <c r="N197" s="239">
        <v>0</v>
      </c>
      <c r="O197" s="239">
        <v>0</v>
      </c>
      <c r="P197" s="239">
        <v>-627693</v>
      </c>
      <c r="Q197" s="239">
        <v>-60805</v>
      </c>
      <c r="R197" s="239">
        <v>-688498</v>
      </c>
      <c r="S197" s="239">
        <v>2685394</v>
      </c>
      <c r="T197" s="239">
        <v>217735</v>
      </c>
      <c r="U197" s="239">
        <v>2903129</v>
      </c>
      <c r="V197" s="239">
        <v>-17642802</v>
      </c>
      <c r="W197" s="239">
        <v>-1125000</v>
      </c>
      <c r="X197" s="239">
        <v>-18767802</v>
      </c>
      <c r="Y197" s="239">
        <v>101004333</v>
      </c>
      <c r="Z197" s="239">
        <v>8592932</v>
      </c>
      <c r="AA197" s="239">
        <v>109597265</v>
      </c>
      <c r="AB197" s="239">
        <v>8592932</v>
      </c>
      <c r="AC197" s="239">
        <v>3866819</v>
      </c>
      <c r="AD197" s="239">
        <v>4726113</v>
      </c>
      <c r="AE197" s="239">
        <v>0</v>
      </c>
      <c r="AF197" s="239">
        <v>0</v>
      </c>
      <c r="AG197" s="239">
        <v>0</v>
      </c>
      <c r="AH197" s="239">
        <v>0</v>
      </c>
      <c r="AI197" s="239">
        <v>33498</v>
      </c>
      <c r="AJ197" s="239">
        <v>14405</v>
      </c>
      <c r="AK197" s="239">
        <v>19093</v>
      </c>
      <c r="AL197" s="239">
        <v>4103539</v>
      </c>
      <c r="AM197" s="239">
        <v>5855936</v>
      </c>
      <c r="AN197" s="239">
        <v>0</v>
      </c>
      <c r="AO197" s="239">
        <v>0</v>
      </c>
      <c r="AP197" s="239">
        <v>0</v>
      </c>
      <c r="AQ197" s="239">
        <v>9940777</v>
      </c>
      <c r="AR197" s="239">
        <v>-2492807</v>
      </c>
      <c r="AS197" s="214" t="s">
        <v>888</v>
      </c>
      <c r="AT197" s="214" t="s">
        <v>748</v>
      </c>
      <c r="AU197" s="214" t="s">
        <v>872</v>
      </c>
      <c r="AV197" s="214" t="s">
        <v>1118</v>
      </c>
      <c r="AW197" s="214" t="s">
        <v>1119</v>
      </c>
      <c r="AX197" s="214" t="s">
        <v>748</v>
      </c>
    </row>
    <row r="198" spans="2:50" x14ac:dyDescent="0.2">
      <c r="B198" s="610" t="s">
        <v>479</v>
      </c>
      <c r="C198" s="610" t="s">
        <v>478</v>
      </c>
      <c r="D198" s="239">
        <v>34777854</v>
      </c>
      <c r="E198" s="239">
        <v>0</v>
      </c>
      <c r="F198" s="239">
        <v>34777854</v>
      </c>
      <c r="G198" s="239">
        <v>0</v>
      </c>
      <c r="H198" s="239">
        <v>0</v>
      </c>
      <c r="I198" s="239">
        <v>0</v>
      </c>
      <c r="J198" s="239">
        <v>-208668</v>
      </c>
      <c r="K198" s="239">
        <v>0</v>
      </c>
      <c r="L198" s="239">
        <v>-208668</v>
      </c>
      <c r="M198" s="239">
        <v>0</v>
      </c>
      <c r="N198" s="239">
        <v>0</v>
      </c>
      <c r="O198" s="239">
        <v>0</v>
      </c>
      <c r="P198" s="239">
        <v>-190768</v>
      </c>
      <c r="Q198" s="239">
        <v>0</v>
      </c>
      <c r="R198" s="239">
        <v>-190768</v>
      </c>
      <c r="S198" s="239">
        <v>860833</v>
      </c>
      <c r="T198" s="239">
        <v>0</v>
      </c>
      <c r="U198" s="239">
        <v>860833</v>
      </c>
      <c r="V198" s="239">
        <v>-1920046</v>
      </c>
      <c r="W198" s="239">
        <v>0</v>
      </c>
      <c r="X198" s="239">
        <v>-1920046</v>
      </c>
      <c r="Y198" s="239">
        <v>33527873</v>
      </c>
      <c r="Z198" s="239">
        <v>0</v>
      </c>
      <c r="AA198" s="239">
        <v>33527873</v>
      </c>
      <c r="AB198" s="239">
        <v>0</v>
      </c>
      <c r="AC198" s="239">
        <v>0</v>
      </c>
      <c r="AD198" s="239">
        <v>0</v>
      </c>
      <c r="AE198" s="239">
        <v>0</v>
      </c>
      <c r="AF198" s="239">
        <v>0</v>
      </c>
      <c r="AG198" s="239">
        <v>0</v>
      </c>
      <c r="AH198" s="239">
        <v>0</v>
      </c>
      <c r="AI198" s="239">
        <v>0</v>
      </c>
      <c r="AJ198" s="239">
        <v>0</v>
      </c>
      <c r="AK198" s="239">
        <v>0</v>
      </c>
      <c r="AL198" s="239">
        <v>0</v>
      </c>
      <c r="AM198" s="239">
        <v>0</v>
      </c>
      <c r="AN198" s="239">
        <v>0</v>
      </c>
      <c r="AO198" s="239">
        <v>0</v>
      </c>
      <c r="AP198" s="239">
        <v>0</v>
      </c>
      <c r="AQ198" s="239">
        <v>997567</v>
      </c>
      <c r="AR198" s="239">
        <v>-172456</v>
      </c>
      <c r="AS198" s="214" t="s">
        <v>887</v>
      </c>
      <c r="AT198" s="214" t="s">
        <v>813</v>
      </c>
      <c r="AU198" s="214" t="s">
        <v>763</v>
      </c>
      <c r="AV198" s="214" t="s">
        <v>1088</v>
      </c>
      <c r="AW198" s="214" t="s">
        <v>1088</v>
      </c>
      <c r="AX198" s="214" t="s">
        <v>1294</v>
      </c>
    </row>
    <row r="199" spans="2:50" x14ac:dyDescent="0.2">
      <c r="B199" s="610" t="s">
        <v>481</v>
      </c>
      <c r="C199" s="610" t="s">
        <v>480</v>
      </c>
      <c r="D199" s="239">
        <v>12375028</v>
      </c>
      <c r="E199" s="239">
        <v>0</v>
      </c>
      <c r="F199" s="239">
        <v>12375028</v>
      </c>
      <c r="G199" s="239">
        <v>0</v>
      </c>
      <c r="H199" s="239">
        <v>0</v>
      </c>
      <c r="I199" s="239">
        <v>0</v>
      </c>
      <c r="J199" s="239">
        <v>-40681</v>
      </c>
      <c r="K199" s="239">
        <v>0</v>
      </c>
      <c r="L199" s="239">
        <v>-40681</v>
      </c>
      <c r="M199" s="239">
        <v>0</v>
      </c>
      <c r="N199" s="239">
        <v>0</v>
      </c>
      <c r="O199" s="239">
        <v>0</v>
      </c>
      <c r="P199" s="239">
        <v>-100999</v>
      </c>
      <c r="Q199" s="239">
        <v>0</v>
      </c>
      <c r="R199" s="239">
        <v>-100999</v>
      </c>
      <c r="S199" s="239">
        <v>0</v>
      </c>
      <c r="T199" s="239">
        <v>0</v>
      </c>
      <c r="U199" s="239">
        <v>0</v>
      </c>
      <c r="V199" s="239">
        <v>-611845</v>
      </c>
      <c r="W199" s="239">
        <v>0</v>
      </c>
      <c r="X199" s="239">
        <v>-611845</v>
      </c>
      <c r="Y199" s="239">
        <v>11662184</v>
      </c>
      <c r="Z199" s="239">
        <v>0</v>
      </c>
      <c r="AA199" s="239">
        <v>11662184</v>
      </c>
      <c r="AB199" s="239">
        <v>0</v>
      </c>
      <c r="AC199" s="239">
        <v>0</v>
      </c>
      <c r="AD199" s="239">
        <v>0</v>
      </c>
      <c r="AE199" s="239">
        <v>0</v>
      </c>
      <c r="AF199" s="239">
        <v>0</v>
      </c>
      <c r="AG199" s="239">
        <v>0</v>
      </c>
      <c r="AH199" s="239">
        <v>0</v>
      </c>
      <c r="AI199" s="239">
        <v>0</v>
      </c>
      <c r="AJ199" s="239">
        <v>0</v>
      </c>
      <c r="AK199" s="239">
        <v>0</v>
      </c>
      <c r="AL199" s="239">
        <v>0</v>
      </c>
      <c r="AM199" s="239">
        <v>0</v>
      </c>
      <c r="AN199" s="239">
        <v>0</v>
      </c>
      <c r="AO199" s="239">
        <v>0</v>
      </c>
      <c r="AP199" s="239">
        <v>0</v>
      </c>
      <c r="AQ199" s="239">
        <v>1060033</v>
      </c>
      <c r="AR199" s="239">
        <v>-301977</v>
      </c>
      <c r="AS199" s="214" t="s">
        <v>886</v>
      </c>
      <c r="AT199" s="214" t="s">
        <v>884</v>
      </c>
      <c r="AU199" s="214" t="s">
        <v>869</v>
      </c>
      <c r="AV199" s="214" t="s">
        <v>1088</v>
      </c>
      <c r="AW199" s="214" t="s">
        <v>1088</v>
      </c>
      <c r="AX199" s="214" t="s">
        <v>1294</v>
      </c>
    </row>
    <row r="200" spans="2:50" x14ac:dyDescent="0.2">
      <c r="B200" s="610" t="s">
        <v>483</v>
      </c>
      <c r="C200" s="610" t="s">
        <v>482</v>
      </c>
      <c r="D200" s="239">
        <v>59336981</v>
      </c>
      <c r="E200" s="239">
        <v>0</v>
      </c>
      <c r="F200" s="239">
        <v>59336981</v>
      </c>
      <c r="G200" s="239">
        <v>-2081</v>
      </c>
      <c r="H200" s="239">
        <v>0</v>
      </c>
      <c r="I200" s="239">
        <v>-2081</v>
      </c>
      <c r="J200" s="239">
        <v>-870636</v>
      </c>
      <c r="K200" s="239">
        <v>0</v>
      </c>
      <c r="L200" s="239">
        <v>-870636</v>
      </c>
      <c r="M200" s="239">
        <v>0</v>
      </c>
      <c r="N200" s="239">
        <v>0</v>
      </c>
      <c r="O200" s="239">
        <v>0</v>
      </c>
      <c r="P200" s="239">
        <v>-1176303</v>
      </c>
      <c r="Q200" s="239">
        <v>0</v>
      </c>
      <c r="R200" s="239">
        <v>-1176303</v>
      </c>
      <c r="S200" s="239">
        <v>683290</v>
      </c>
      <c r="T200" s="239">
        <v>0</v>
      </c>
      <c r="U200" s="239">
        <v>683290</v>
      </c>
      <c r="V200" s="239">
        <v>-4710880</v>
      </c>
      <c r="W200" s="239">
        <v>0</v>
      </c>
      <c r="X200" s="239">
        <v>-4710880</v>
      </c>
      <c r="Y200" s="239">
        <v>54131007</v>
      </c>
      <c r="Z200" s="239">
        <v>0</v>
      </c>
      <c r="AA200" s="239">
        <v>54131007</v>
      </c>
      <c r="AB200" s="239">
        <v>0</v>
      </c>
      <c r="AC200" s="239">
        <v>0</v>
      </c>
      <c r="AD200" s="239">
        <v>0</v>
      </c>
      <c r="AE200" s="239">
        <v>0</v>
      </c>
      <c r="AF200" s="239">
        <v>0</v>
      </c>
      <c r="AG200" s="239">
        <v>0</v>
      </c>
      <c r="AH200" s="239">
        <v>0</v>
      </c>
      <c r="AI200" s="239">
        <v>0</v>
      </c>
      <c r="AJ200" s="239">
        <v>0</v>
      </c>
      <c r="AK200" s="239">
        <v>0</v>
      </c>
      <c r="AL200" s="239">
        <v>0</v>
      </c>
      <c r="AM200" s="239">
        <v>0</v>
      </c>
      <c r="AN200" s="239">
        <v>0</v>
      </c>
      <c r="AO200" s="239">
        <v>0</v>
      </c>
      <c r="AP200" s="239">
        <v>0</v>
      </c>
      <c r="AQ200" s="239">
        <v>7916322</v>
      </c>
      <c r="AR200" s="239">
        <v>-1927159</v>
      </c>
      <c r="AS200" s="214" t="s">
        <v>482</v>
      </c>
      <c r="AT200" s="214" t="s">
        <v>768</v>
      </c>
      <c r="AU200" s="214" t="s">
        <v>783</v>
      </c>
      <c r="AV200" s="214" t="s">
        <v>1088</v>
      </c>
      <c r="AW200" s="214" t="s">
        <v>1088</v>
      </c>
      <c r="AX200" s="214" t="s">
        <v>1296</v>
      </c>
    </row>
    <row r="201" spans="2:50" x14ac:dyDescent="0.2">
      <c r="B201" s="610" t="s">
        <v>485</v>
      </c>
      <c r="C201" s="610" t="s">
        <v>484</v>
      </c>
      <c r="D201" s="239">
        <v>88507479</v>
      </c>
      <c r="E201" s="239">
        <v>0</v>
      </c>
      <c r="F201" s="239">
        <v>88507479</v>
      </c>
      <c r="G201" s="239">
        <v>0</v>
      </c>
      <c r="H201" s="239">
        <v>0</v>
      </c>
      <c r="I201" s="239">
        <v>0</v>
      </c>
      <c r="J201" s="239">
        <v>0</v>
      </c>
      <c r="K201" s="239">
        <v>0</v>
      </c>
      <c r="L201" s="239">
        <v>0</v>
      </c>
      <c r="M201" s="239">
        <v>-366831</v>
      </c>
      <c r="N201" s="239">
        <v>0</v>
      </c>
      <c r="O201" s="239">
        <v>-366831</v>
      </c>
      <c r="P201" s="239">
        <v>-276247</v>
      </c>
      <c r="Q201" s="239">
        <v>0</v>
      </c>
      <c r="R201" s="239">
        <v>-276247</v>
      </c>
      <c r="S201" s="239">
        <v>530314</v>
      </c>
      <c r="T201" s="239">
        <v>0</v>
      </c>
      <c r="U201" s="239">
        <v>530314</v>
      </c>
      <c r="V201" s="239">
        <v>-651985</v>
      </c>
      <c r="W201" s="239">
        <v>0</v>
      </c>
      <c r="X201" s="239">
        <v>-651985</v>
      </c>
      <c r="Y201" s="239">
        <v>87742730</v>
      </c>
      <c r="Z201" s="239">
        <v>0</v>
      </c>
      <c r="AA201" s="239">
        <v>87742730</v>
      </c>
      <c r="AB201" s="239">
        <v>0</v>
      </c>
      <c r="AC201" s="239">
        <v>0</v>
      </c>
      <c r="AD201" s="239">
        <v>0</v>
      </c>
      <c r="AE201" s="239">
        <v>21818</v>
      </c>
      <c r="AF201" s="239">
        <v>21818</v>
      </c>
      <c r="AG201" s="239">
        <v>0</v>
      </c>
      <c r="AH201" s="239">
        <v>0</v>
      </c>
      <c r="AI201" s="239">
        <v>0</v>
      </c>
      <c r="AJ201" s="239">
        <v>0</v>
      </c>
      <c r="AK201" s="239">
        <v>0</v>
      </c>
      <c r="AL201" s="239">
        <v>0</v>
      </c>
      <c r="AM201" s="239">
        <v>0</v>
      </c>
      <c r="AN201" s="239">
        <v>0</v>
      </c>
      <c r="AO201" s="239">
        <v>0</v>
      </c>
      <c r="AP201" s="239">
        <v>0</v>
      </c>
      <c r="AQ201" s="239">
        <v>3001131</v>
      </c>
      <c r="AR201" s="239">
        <v>-1774271</v>
      </c>
      <c r="AS201" s="214" t="s">
        <v>484</v>
      </c>
      <c r="AT201" s="214" t="s">
        <v>796</v>
      </c>
      <c r="AU201" s="214" t="s">
        <v>763</v>
      </c>
      <c r="AV201" s="214" t="s">
        <v>1088</v>
      </c>
      <c r="AW201" s="214" t="s">
        <v>1088</v>
      </c>
      <c r="AX201" s="214" t="s">
        <v>1294</v>
      </c>
    </row>
    <row r="202" spans="2:50" x14ac:dyDescent="0.2">
      <c r="B202" s="610" t="s">
        <v>487</v>
      </c>
      <c r="C202" s="610" t="s">
        <v>486</v>
      </c>
      <c r="D202" s="239">
        <v>18707665</v>
      </c>
      <c r="E202" s="239">
        <v>0</v>
      </c>
      <c r="F202" s="239">
        <v>18707665</v>
      </c>
      <c r="G202" s="239">
        <v>0</v>
      </c>
      <c r="H202" s="239">
        <v>0</v>
      </c>
      <c r="I202" s="239">
        <v>0</v>
      </c>
      <c r="J202" s="239">
        <v>0</v>
      </c>
      <c r="K202" s="239">
        <v>0</v>
      </c>
      <c r="L202" s="239">
        <v>0</v>
      </c>
      <c r="M202" s="239">
        <v>-245866</v>
      </c>
      <c r="N202" s="239">
        <v>0</v>
      </c>
      <c r="O202" s="239">
        <v>-245866</v>
      </c>
      <c r="P202" s="239">
        <v>-140000</v>
      </c>
      <c r="Q202" s="239">
        <v>0</v>
      </c>
      <c r="R202" s="239">
        <v>-140000</v>
      </c>
      <c r="S202" s="239">
        <v>1443428</v>
      </c>
      <c r="T202" s="239">
        <v>0</v>
      </c>
      <c r="U202" s="239">
        <v>1443428</v>
      </c>
      <c r="V202" s="239">
        <v>-2538428</v>
      </c>
      <c r="W202" s="239">
        <v>0</v>
      </c>
      <c r="X202" s="239">
        <v>-2538428</v>
      </c>
      <c r="Y202" s="239">
        <v>17226799</v>
      </c>
      <c r="Z202" s="239">
        <v>0</v>
      </c>
      <c r="AA202" s="239">
        <v>17226799</v>
      </c>
      <c r="AB202" s="239">
        <v>0</v>
      </c>
      <c r="AC202" s="239">
        <v>0</v>
      </c>
      <c r="AD202" s="239">
        <v>0</v>
      </c>
      <c r="AE202" s="239">
        <v>0</v>
      </c>
      <c r="AF202" s="239">
        <v>0</v>
      </c>
      <c r="AG202" s="239">
        <v>0</v>
      </c>
      <c r="AH202" s="239">
        <v>0</v>
      </c>
      <c r="AI202" s="239">
        <v>0</v>
      </c>
      <c r="AJ202" s="239">
        <v>0</v>
      </c>
      <c r="AK202" s="239">
        <v>0</v>
      </c>
      <c r="AL202" s="239">
        <v>0</v>
      </c>
      <c r="AM202" s="239">
        <v>0</v>
      </c>
      <c r="AN202" s="239">
        <v>0</v>
      </c>
      <c r="AO202" s="239">
        <v>0</v>
      </c>
      <c r="AP202" s="239">
        <v>0</v>
      </c>
      <c r="AQ202" s="239">
        <v>1068287</v>
      </c>
      <c r="AR202" s="239">
        <v>-110831</v>
      </c>
      <c r="AS202" s="214" t="s">
        <v>486</v>
      </c>
      <c r="AT202" s="214" t="s">
        <v>757</v>
      </c>
      <c r="AU202" s="214" t="s">
        <v>755</v>
      </c>
      <c r="AV202" s="214" t="s">
        <v>1088</v>
      </c>
      <c r="AW202" s="214" t="s">
        <v>1088</v>
      </c>
      <c r="AX202" s="214" t="s">
        <v>1294</v>
      </c>
    </row>
    <row r="203" spans="2:50" x14ac:dyDescent="0.2">
      <c r="B203" s="610" t="s">
        <v>489</v>
      </c>
      <c r="C203" s="610" t="s">
        <v>488</v>
      </c>
      <c r="D203" s="239">
        <v>104259629</v>
      </c>
      <c r="E203" s="239">
        <v>0</v>
      </c>
      <c r="F203" s="239">
        <v>104259629</v>
      </c>
      <c r="G203" s="239">
        <v>-24385</v>
      </c>
      <c r="H203" s="239">
        <v>0</v>
      </c>
      <c r="I203" s="239">
        <v>-24385</v>
      </c>
      <c r="J203" s="239">
        <v>-26137</v>
      </c>
      <c r="K203" s="239">
        <v>0</v>
      </c>
      <c r="L203" s="239">
        <v>-26137</v>
      </c>
      <c r="M203" s="239">
        <v>0</v>
      </c>
      <c r="N203" s="239">
        <v>0</v>
      </c>
      <c r="O203" s="239">
        <v>0</v>
      </c>
      <c r="P203" s="239">
        <v>-1107867</v>
      </c>
      <c r="Q203" s="239">
        <v>0</v>
      </c>
      <c r="R203" s="239">
        <v>-1107867</v>
      </c>
      <c r="S203" s="239">
        <v>3431657</v>
      </c>
      <c r="T203" s="239">
        <v>0</v>
      </c>
      <c r="U203" s="239">
        <v>3431657</v>
      </c>
      <c r="V203" s="239">
        <v>-5262104</v>
      </c>
      <c r="W203" s="239">
        <v>0</v>
      </c>
      <c r="X203" s="239">
        <v>-5262104</v>
      </c>
      <c r="Y203" s="239">
        <v>101296930</v>
      </c>
      <c r="Z203" s="239">
        <v>0</v>
      </c>
      <c r="AA203" s="239">
        <v>101296930</v>
      </c>
      <c r="AB203" s="239">
        <v>0</v>
      </c>
      <c r="AC203" s="239">
        <v>0</v>
      </c>
      <c r="AD203" s="239">
        <v>0</v>
      </c>
      <c r="AE203" s="239">
        <v>20815</v>
      </c>
      <c r="AF203" s="239">
        <v>20815</v>
      </c>
      <c r="AG203" s="239">
        <v>0</v>
      </c>
      <c r="AH203" s="239">
        <v>0</v>
      </c>
      <c r="AI203" s="239">
        <v>0</v>
      </c>
      <c r="AJ203" s="239">
        <v>0</v>
      </c>
      <c r="AK203" s="239">
        <v>0</v>
      </c>
      <c r="AL203" s="239">
        <v>0</v>
      </c>
      <c r="AM203" s="239">
        <v>0</v>
      </c>
      <c r="AN203" s="239">
        <v>0</v>
      </c>
      <c r="AO203" s="239">
        <v>0</v>
      </c>
      <c r="AP203" s="239">
        <v>0</v>
      </c>
      <c r="AQ203" s="239">
        <v>11003822</v>
      </c>
      <c r="AR203" s="239">
        <v>-1624305</v>
      </c>
      <c r="AS203" s="214" t="s">
        <v>883</v>
      </c>
      <c r="AT203" s="214" t="s">
        <v>748</v>
      </c>
      <c r="AU203" s="214" t="s">
        <v>860</v>
      </c>
      <c r="AV203" s="214" t="s">
        <v>1088</v>
      </c>
      <c r="AW203" s="214" t="s">
        <v>1088</v>
      </c>
      <c r="AX203" s="214" t="s">
        <v>748</v>
      </c>
    </row>
    <row r="204" spans="2:50" x14ac:dyDescent="0.2">
      <c r="B204" s="610" t="s">
        <v>491</v>
      </c>
      <c r="C204" s="610" t="s">
        <v>490</v>
      </c>
      <c r="D204" s="239">
        <v>88237367</v>
      </c>
      <c r="E204" s="239">
        <v>0</v>
      </c>
      <c r="F204" s="239">
        <v>88237367</v>
      </c>
      <c r="G204" s="239">
        <v>-34433</v>
      </c>
      <c r="H204" s="239">
        <v>0</v>
      </c>
      <c r="I204" s="239">
        <v>-34433</v>
      </c>
      <c r="J204" s="239">
        <v>-710890</v>
      </c>
      <c r="K204" s="239">
        <v>0</v>
      </c>
      <c r="L204" s="239">
        <v>-710890</v>
      </c>
      <c r="M204" s="239">
        <v>0</v>
      </c>
      <c r="N204" s="239">
        <v>0</v>
      </c>
      <c r="O204" s="239">
        <v>0</v>
      </c>
      <c r="P204" s="239">
        <v>-481242</v>
      </c>
      <c r="Q204" s="239">
        <v>0</v>
      </c>
      <c r="R204" s="239">
        <v>-481242</v>
      </c>
      <c r="S204" s="239">
        <v>804759</v>
      </c>
      <c r="T204" s="239">
        <v>0</v>
      </c>
      <c r="U204" s="239">
        <v>804759</v>
      </c>
      <c r="V204" s="239">
        <v>-1581985</v>
      </c>
      <c r="W204" s="239">
        <v>0</v>
      </c>
      <c r="X204" s="239">
        <v>-1581985</v>
      </c>
      <c r="Y204" s="239">
        <v>86944466</v>
      </c>
      <c r="Z204" s="239">
        <v>0</v>
      </c>
      <c r="AA204" s="239">
        <v>86944466</v>
      </c>
      <c r="AB204" s="239">
        <v>0</v>
      </c>
      <c r="AC204" s="239">
        <v>0</v>
      </c>
      <c r="AD204" s="239">
        <v>0</v>
      </c>
      <c r="AE204" s="239">
        <v>101951</v>
      </c>
      <c r="AF204" s="239">
        <v>101951</v>
      </c>
      <c r="AG204" s="239">
        <v>0</v>
      </c>
      <c r="AH204" s="239">
        <v>0</v>
      </c>
      <c r="AI204" s="239">
        <v>0</v>
      </c>
      <c r="AJ204" s="239">
        <v>0</v>
      </c>
      <c r="AK204" s="239">
        <v>0</v>
      </c>
      <c r="AL204" s="239">
        <v>0</v>
      </c>
      <c r="AM204" s="239">
        <v>0</v>
      </c>
      <c r="AN204" s="239">
        <v>0</v>
      </c>
      <c r="AO204" s="239">
        <v>0</v>
      </c>
      <c r="AP204" s="239">
        <v>0</v>
      </c>
      <c r="AQ204" s="239">
        <v>2934568</v>
      </c>
      <c r="AR204" s="239">
        <v>-1851449</v>
      </c>
      <c r="AS204" s="214" t="s">
        <v>882</v>
      </c>
      <c r="AT204" s="214" t="s">
        <v>748</v>
      </c>
      <c r="AU204" s="214" t="s">
        <v>792</v>
      </c>
      <c r="AV204" s="214" t="s">
        <v>1088</v>
      </c>
      <c r="AW204" s="214" t="s">
        <v>1088</v>
      </c>
      <c r="AX204" s="214" t="s">
        <v>748</v>
      </c>
    </row>
    <row r="205" spans="2:50" x14ac:dyDescent="0.2">
      <c r="B205" s="610" t="s">
        <v>493</v>
      </c>
      <c r="C205" s="610" t="s">
        <v>492</v>
      </c>
      <c r="D205" s="239">
        <v>62923016</v>
      </c>
      <c r="E205" s="239">
        <v>0</v>
      </c>
      <c r="F205" s="239">
        <v>62923016</v>
      </c>
      <c r="G205" s="239">
        <v>-3466</v>
      </c>
      <c r="H205" s="239">
        <v>0</v>
      </c>
      <c r="I205" s="239">
        <v>-3466</v>
      </c>
      <c r="J205" s="239">
        <v>-256838</v>
      </c>
      <c r="K205" s="239">
        <v>0</v>
      </c>
      <c r="L205" s="239">
        <v>-256838</v>
      </c>
      <c r="M205" s="239">
        <v>0</v>
      </c>
      <c r="N205" s="239">
        <v>0</v>
      </c>
      <c r="O205" s="239">
        <v>0</v>
      </c>
      <c r="P205" s="239">
        <v>-203684</v>
      </c>
      <c r="Q205" s="239">
        <v>0</v>
      </c>
      <c r="R205" s="239">
        <v>-203684</v>
      </c>
      <c r="S205" s="239">
        <v>1198749</v>
      </c>
      <c r="T205" s="239">
        <v>0</v>
      </c>
      <c r="U205" s="239">
        <v>1198749</v>
      </c>
      <c r="V205" s="239">
        <v>-3809641</v>
      </c>
      <c r="W205" s="239">
        <v>0</v>
      </c>
      <c r="X205" s="239">
        <v>-3809641</v>
      </c>
      <c r="Y205" s="239">
        <v>60104974</v>
      </c>
      <c r="Z205" s="239">
        <v>0</v>
      </c>
      <c r="AA205" s="239">
        <v>60104974</v>
      </c>
      <c r="AB205" s="239">
        <v>0</v>
      </c>
      <c r="AC205" s="239">
        <v>0</v>
      </c>
      <c r="AD205" s="239">
        <v>0</v>
      </c>
      <c r="AE205" s="239">
        <v>0</v>
      </c>
      <c r="AF205" s="239">
        <v>0</v>
      </c>
      <c r="AG205" s="239">
        <v>0</v>
      </c>
      <c r="AH205" s="239">
        <v>0</v>
      </c>
      <c r="AI205" s="239">
        <v>0</v>
      </c>
      <c r="AJ205" s="239">
        <v>0</v>
      </c>
      <c r="AK205" s="239">
        <v>0</v>
      </c>
      <c r="AL205" s="239">
        <v>0</v>
      </c>
      <c r="AM205" s="239">
        <v>0</v>
      </c>
      <c r="AN205" s="239">
        <v>0</v>
      </c>
      <c r="AO205" s="239">
        <v>0</v>
      </c>
      <c r="AP205" s="239">
        <v>0</v>
      </c>
      <c r="AQ205" s="239">
        <v>1117244</v>
      </c>
      <c r="AR205" s="239">
        <v>-702185</v>
      </c>
      <c r="AS205" s="214" t="s">
        <v>881</v>
      </c>
      <c r="AT205" s="214" t="s">
        <v>748</v>
      </c>
      <c r="AU205" s="214" t="s">
        <v>785</v>
      </c>
      <c r="AV205" s="214" t="s">
        <v>1088</v>
      </c>
      <c r="AW205" s="214" t="s">
        <v>1088</v>
      </c>
      <c r="AX205" s="214" t="s">
        <v>748</v>
      </c>
    </row>
    <row r="206" spans="2:50" x14ac:dyDescent="0.2">
      <c r="B206" s="610" t="s">
        <v>495</v>
      </c>
      <c r="C206" s="610" t="s">
        <v>494</v>
      </c>
      <c r="D206" s="239">
        <v>81716570</v>
      </c>
      <c r="E206" s="239">
        <v>0</v>
      </c>
      <c r="F206" s="239">
        <v>81716570</v>
      </c>
      <c r="G206" s="239">
        <v>-9209</v>
      </c>
      <c r="H206" s="239">
        <v>0</v>
      </c>
      <c r="I206" s="239">
        <v>-9209</v>
      </c>
      <c r="J206" s="239">
        <v>-1271369</v>
      </c>
      <c r="K206" s="239">
        <v>0</v>
      </c>
      <c r="L206" s="239">
        <v>-1271369</v>
      </c>
      <c r="M206" s="239">
        <v>0</v>
      </c>
      <c r="N206" s="239">
        <v>0</v>
      </c>
      <c r="O206" s="239">
        <v>0</v>
      </c>
      <c r="P206" s="239">
        <v>-897369</v>
      </c>
      <c r="Q206" s="239">
        <v>0</v>
      </c>
      <c r="R206" s="239">
        <v>-897369</v>
      </c>
      <c r="S206" s="239">
        <v>1112522</v>
      </c>
      <c r="T206" s="239">
        <v>0</v>
      </c>
      <c r="U206" s="239">
        <v>1112522</v>
      </c>
      <c r="V206" s="239">
        <v>1292108</v>
      </c>
      <c r="W206" s="239">
        <v>0</v>
      </c>
      <c r="X206" s="239">
        <v>1292108</v>
      </c>
      <c r="Y206" s="239">
        <v>83214622</v>
      </c>
      <c r="Z206" s="239">
        <v>0</v>
      </c>
      <c r="AA206" s="239">
        <v>83214622</v>
      </c>
      <c r="AB206" s="239">
        <v>0</v>
      </c>
      <c r="AC206" s="239">
        <v>0</v>
      </c>
      <c r="AD206" s="239">
        <v>0</v>
      </c>
      <c r="AE206" s="239">
        <v>0</v>
      </c>
      <c r="AF206" s="239">
        <v>0</v>
      </c>
      <c r="AG206" s="239">
        <v>0</v>
      </c>
      <c r="AH206" s="239">
        <v>0</v>
      </c>
      <c r="AI206" s="239">
        <v>0</v>
      </c>
      <c r="AJ206" s="239">
        <v>0</v>
      </c>
      <c r="AK206" s="239">
        <v>0</v>
      </c>
      <c r="AL206" s="239">
        <v>0</v>
      </c>
      <c r="AM206" s="239">
        <v>0</v>
      </c>
      <c r="AN206" s="239">
        <v>0</v>
      </c>
      <c r="AO206" s="239">
        <v>0</v>
      </c>
      <c r="AP206" s="239">
        <v>0</v>
      </c>
      <c r="AQ206" s="239">
        <v>4418544</v>
      </c>
      <c r="AR206" s="239">
        <v>-2492789</v>
      </c>
      <c r="AS206" s="214" t="s">
        <v>880</v>
      </c>
      <c r="AT206" s="214" t="s">
        <v>748</v>
      </c>
      <c r="AU206" s="214" t="s">
        <v>777</v>
      </c>
      <c r="AV206" s="214" t="s">
        <v>1088</v>
      </c>
      <c r="AW206" s="214" t="s">
        <v>1088</v>
      </c>
      <c r="AX206" s="214" t="s">
        <v>748</v>
      </c>
    </row>
    <row r="207" spans="2:50" x14ac:dyDescent="0.2">
      <c r="B207" s="610" t="s">
        <v>497</v>
      </c>
      <c r="C207" s="610" t="s">
        <v>496</v>
      </c>
      <c r="D207" s="239">
        <v>68922737</v>
      </c>
      <c r="E207" s="239">
        <v>0</v>
      </c>
      <c r="F207" s="239">
        <v>68922737</v>
      </c>
      <c r="G207" s="239">
        <v>-1213</v>
      </c>
      <c r="H207" s="239">
        <v>0</v>
      </c>
      <c r="I207" s="239">
        <v>-1213</v>
      </c>
      <c r="J207" s="239">
        <v>-1214052</v>
      </c>
      <c r="K207" s="239">
        <v>0</v>
      </c>
      <c r="L207" s="239">
        <v>-1214052</v>
      </c>
      <c r="M207" s="239">
        <v>0</v>
      </c>
      <c r="N207" s="239">
        <v>0</v>
      </c>
      <c r="O207" s="239">
        <v>0</v>
      </c>
      <c r="P207" s="239">
        <v>-1540015</v>
      </c>
      <c r="Q207" s="239">
        <v>0</v>
      </c>
      <c r="R207" s="239">
        <v>-1540015</v>
      </c>
      <c r="S207" s="239">
        <v>2229853</v>
      </c>
      <c r="T207" s="239">
        <v>0</v>
      </c>
      <c r="U207" s="239">
        <v>2229853</v>
      </c>
      <c r="V207" s="239">
        <v>-3741891</v>
      </c>
      <c r="W207" s="239">
        <v>0</v>
      </c>
      <c r="X207" s="239">
        <v>-3741891</v>
      </c>
      <c r="Y207" s="239">
        <v>65869471</v>
      </c>
      <c r="Z207" s="239">
        <v>0</v>
      </c>
      <c r="AA207" s="239">
        <v>65869471</v>
      </c>
      <c r="AB207" s="239">
        <v>0</v>
      </c>
      <c r="AC207" s="239">
        <v>0</v>
      </c>
      <c r="AD207" s="239">
        <v>0</v>
      </c>
      <c r="AE207" s="239">
        <v>1988</v>
      </c>
      <c r="AF207" s="239">
        <v>1988</v>
      </c>
      <c r="AG207" s="239">
        <v>0</v>
      </c>
      <c r="AH207" s="239">
        <v>0</v>
      </c>
      <c r="AI207" s="239">
        <v>0</v>
      </c>
      <c r="AJ207" s="239">
        <v>0</v>
      </c>
      <c r="AK207" s="239">
        <v>0</v>
      </c>
      <c r="AL207" s="239">
        <v>0</v>
      </c>
      <c r="AM207" s="239">
        <v>0</v>
      </c>
      <c r="AN207" s="239">
        <v>0</v>
      </c>
      <c r="AO207" s="239">
        <v>0</v>
      </c>
      <c r="AP207" s="239">
        <v>0</v>
      </c>
      <c r="AQ207" s="239">
        <v>4228872</v>
      </c>
      <c r="AR207" s="239">
        <v>-1103884</v>
      </c>
      <c r="AS207" s="214" t="s">
        <v>496</v>
      </c>
      <c r="AT207" s="214" t="s">
        <v>757</v>
      </c>
      <c r="AU207" s="214" t="s">
        <v>755</v>
      </c>
      <c r="AV207" s="214" t="s">
        <v>1088</v>
      </c>
      <c r="AW207" s="214" t="s">
        <v>1088</v>
      </c>
      <c r="AX207" s="214" t="s">
        <v>1294</v>
      </c>
    </row>
    <row r="208" spans="2:50" x14ac:dyDescent="0.2">
      <c r="B208" s="610" t="s">
        <v>499</v>
      </c>
      <c r="C208" s="610" t="s">
        <v>498</v>
      </c>
      <c r="D208" s="239">
        <v>14672859</v>
      </c>
      <c r="E208" s="239">
        <v>0</v>
      </c>
      <c r="F208" s="239">
        <v>14672859</v>
      </c>
      <c r="G208" s="239">
        <v>-907</v>
      </c>
      <c r="H208" s="239">
        <v>0</v>
      </c>
      <c r="I208" s="239">
        <v>-907</v>
      </c>
      <c r="J208" s="239">
        <v>-144127</v>
      </c>
      <c r="K208" s="239">
        <v>0</v>
      </c>
      <c r="L208" s="239">
        <v>-144127</v>
      </c>
      <c r="M208" s="239">
        <v>0</v>
      </c>
      <c r="N208" s="239">
        <v>0</v>
      </c>
      <c r="O208" s="239">
        <v>0</v>
      </c>
      <c r="P208" s="239">
        <v>-225000</v>
      </c>
      <c r="Q208" s="239">
        <v>0</v>
      </c>
      <c r="R208" s="239">
        <v>-225000</v>
      </c>
      <c r="S208" s="239">
        <v>2363626</v>
      </c>
      <c r="T208" s="239">
        <v>0</v>
      </c>
      <c r="U208" s="239">
        <v>2363626</v>
      </c>
      <c r="V208" s="239">
        <v>-3464000</v>
      </c>
      <c r="W208" s="239">
        <v>0</v>
      </c>
      <c r="X208" s="239">
        <v>-3464000</v>
      </c>
      <c r="Y208" s="239">
        <v>13346578</v>
      </c>
      <c r="Z208" s="239">
        <v>0</v>
      </c>
      <c r="AA208" s="239">
        <v>13346578</v>
      </c>
      <c r="AB208" s="239">
        <v>0</v>
      </c>
      <c r="AC208" s="239">
        <v>0</v>
      </c>
      <c r="AD208" s="239">
        <v>0</v>
      </c>
      <c r="AE208" s="239">
        <v>174481</v>
      </c>
      <c r="AF208" s="239">
        <v>174481</v>
      </c>
      <c r="AG208" s="239">
        <v>0</v>
      </c>
      <c r="AH208" s="239">
        <v>0</v>
      </c>
      <c r="AI208" s="239">
        <v>0</v>
      </c>
      <c r="AJ208" s="239">
        <v>0</v>
      </c>
      <c r="AK208" s="239">
        <v>0</v>
      </c>
      <c r="AL208" s="239">
        <v>0</v>
      </c>
      <c r="AM208" s="239">
        <v>0</v>
      </c>
      <c r="AN208" s="239">
        <v>0</v>
      </c>
      <c r="AO208" s="239">
        <v>0</v>
      </c>
      <c r="AP208" s="239">
        <v>0</v>
      </c>
      <c r="AQ208" s="239">
        <v>467533</v>
      </c>
      <c r="AR208" s="239">
        <v>-129751</v>
      </c>
      <c r="AS208" s="214" t="s">
        <v>498</v>
      </c>
      <c r="AT208" s="214" t="s">
        <v>787</v>
      </c>
      <c r="AU208" s="214" t="s">
        <v>785</v>
      </c>
      <c r="AV208" s="214" t="s">
        <v>1088</v>
      </c>
      <c r="AW208" s="214" t="s">
        <v>1088</v>
      </c>
      <c r="AX208" s="214" t="s">
        <v>1294</v>
      </c>
    </row>
    <row r="209" spans="2:50" x14ac:dyDescent="0.2">
      <c r="B209" s="610" t="s">
        <v>501</v>
      </c>
      <c r="C209" s="610" t="s">
        <v>500</v>
      </c>
      <c r="D209" s="239">
        <v>109959225</v>
      </c>
      <c r="E209" s="239">
        <v>0</v>
      </c>
      <c r="F209" s="239">
        <v>109959225</v>
      </c>
      <c r="G209" s="239">
        <v>0</v>
      </c>
      <c r="H209" s="239">
        <v>0</v>
      </c>
      <c r="I209" s="239">
        <v>0</v>
      </c>
      <c r="J209" s="239">
        <v>-528209</v>
      </c>
      <c r="K209" s="239">
        <v>0</v>
      </c>
      <c r="L209" s="239">
        <v>-528209</v>
      </c>
      <c r="M209" s="239">
        <v>0</v>
      </c>
      <c r="N209" s="239">
        <v>0</v>
      </c>
      <c r="O209" s="239">
        <v>0</v>
      </c>
      <c r="P209" s="239">
        <v>-430794</v>
      </c>
      <c r="Q209" s="239">
        <v>0</v>
      </c>
      <c r="R209" s="239">
        <v>-430794</v>
      </c>
      <c r="S209" s="239">
        <v>3114674.7100000009</v>
      </c>
      <c r="T209" s="239">
        <v>0</v>
      </c>
      <c r="U209" s="239">
        <v>3114674.7100000009</v>
      </c>
      <c r="V209" s="239">
        <v>-7214675</v>
      </c>
      <c r="W209" s="239">
        <v>0</v>
      </c>
      <c r="X209" s="239">
        <v>-7214675</v>
      </c>
      <c r="Y209" s="239">
        <v>105428430.71000001</v>
      </c>
      <c r="Z209" s="239">
        <v>0</v>
      </c>
      <c r="AA209" s="239">
        <v>105428430.71000001</v>
      </c>
      <c r="AB209" s="239">
        <v>0</v>
      </c>
      <c r="AC209" s="239">
        <v>0</v>
      </c>
      <c r="AD209" s="239">
        <v>0</v>
      </c>
      <c r="AE209" s="239">
        <v>0</v>
      </c>
      <c r="AF209" s="239">
        <v>0</v>
      </c>
      <c r="AG209" s="239">
        <v>0</v>
      </c>
      <c r="AH209" s="239">
        <v>0</v>
      </c>
      <c r="AI209" s="239">
        <v>0</v>
      </c>
      <c r="AJ209" s="239">
        <v>0</v>
      </c>
      <c r="AK209" s="239">
        <v>0</v>
      </c>
      <c r="AL209" s="239">
        <v>0</v>
      </c>
      <c r="AM209" s="239">
        <v>0</v>
      </c>
      <c r="AN209" s="239">
        <v>0</v>
      </c>
      <c r="AO209" s="239">
        <v>0</v>
      </c>
      <c r="AP209" s="239">
        <v>0</v>
      </c>
      <c r="AQ209" s="239">
        <v>4929275</v>
      </c>
      <c r="AR209" s="239">
        <v>-2044517</v>
      </c>
      <c r="AS209" s="214" t="s">
        <v>879</v>
      </c>
      <c r="AT209" s="214" t="s">
        <v>748</v>
      </c>
      <c r="AU209" s="214" t="s">
        <v>769</v>
      </c>
      <c r="AV209" s="214" t="s">
        <v>1088</v>
      </c>
      <c r="AW209" s="214" t="s">
        <v>1088</v>
      </c>
      <c r="AX209" s="214" t="s">
        <v>748</v>
      </c>
    </row>
    <row r="210" spans="2:50" x14ac:dyDescent="0.2">
      <c r="B210" s="610" t="s">
        <v>503</v>
      </c>
      <c r="C210" s="610" t="s">
        <v>502</v>
      </c>
      <c r="D210" s="239">
        <v>53143671</v>
      </c>
      <c r="E210" s="239">
        <v>0</v>
      </c>
      <c r="F210" s="239">
        <v>53143671</v>
      </c>
      <c r="G210" s="239">
        <v>0</v>
      </c>
      <c r="H210" s="239">
        <v>0</v>
      </c>
      <c r="I210" s="239">
        <v>0</v>
      </c>
      <c r="J210" s="239">
        <v>-605293</v>
      </c>
      <c r="K210" s="239">
        <v>0</v>
      </c>
      <c r="L210" s="239">
        <v>-605293</v>
      </c>
      <c r="M210" s="239">
        <v>0</v>
      </c>
      <c r="N210" s="239">
        <v>0</v>
      </c>
      <c r="O210" s="239">
        <v>0</v>
      </c>
      <c r="P210" s="239">
        <v>-1270240</v>
      </c>
      <c r="Q210" s="239">
        <v>0</v>
      </c>
      <c r="R210" s="239">
        <v>-1270240</v>
      </c>
      <c r="S210" s="239">
        <v>0</v>
      </c>
      <c r="T210" s="239">
        <v>0</v>
      </c>
      <c r="U210" s="239">
        <v>0</v>
      </c>
      <c r="V210" s="239">
        <v>0</v>
      </c>
      <c r="W210" s="239">
        <v>0</v>
      </c>
      <c r="X210" s="239">
        <v>0</v>
      </c>
      <c r="Y210" s="239">
        <v>51873431</v>
      </c>
      <c r="Z210" s="239">
        <v>0</v>
      </c>
      <c r="AA210" s="239">
        <v>51873431</v>
      </c>
      <c r="AB210" s="239">
        <v>0</v>
      </c>
      <c r="AC210" s="239">
        <v>0</v>
      </c>
      <c r="AD210" s="239">
        <v>0</v>
      </c>
      <c r="AE210" s="239">
        <v>0</v>
      </c>
      <c r="AF210" s="239">
        <v>0</v>
      </c>
      <c r="AG210" s="239">
        <v>0</v>
      </c>
      <c r="AH210" s="239">
        <v>0</v>
      </c>
      <c r="AI210" s="239">
        <v>0</v>
      </c>
      <c r="AJ210" s="239">
        <v>0</v>
      </c>
      <c r="AK210" s="239">
        <v>0</v>
      </c>
      <c r="AL210" s="239">
        <v>0</v>
      </c>
      <c r="AM210" s="239">
        <v>0</v>
      </c>
      <c r="AN210" s="239">
        <v>0</v>
      </c>
      <c r="AO210" s="239">
        <v>0</v>
      </c>
      <c r="AP210" s="239">
        <v>0</v>
      </c>
      <c r="AQ210" s="239">
        <v>9133845</v>
      </c>
      <c r="AR210" s="239">
        <v>-1985949</v>
      </c>
      <c r="AS210" s="214" t="s">
        <v>502</v>
      </c>
      <c r="AT210" s="214" t="s">
        <v>790</v>
      </c>
      <c r="AU210" s="214" t="s">
        <v>749</v>
      </c>
      <c r="AV210" s="214" t="s">
        <v>1088</v>
      </c>
      <c r="AW210" s="214" t="s">
        <v>1088</v>
      </c>
      <c r="AX210" s="214" t="s">
        <v>1295</v>
      </c>
    </row>
    <row r="211" spans="2:50" x14ac:dyDescent="0.2">
      <c r="B211" s="610" t="s">
        <v>505</v>
      </c>
      <c r="C211" s="610" t="s">
        <v>504</v>
      </c>
      <c r="D211" s="239">
        <v>48184291</v>
      </c>
      <c r="E211" s="239">
        <v>0</v>
      </c>
      <c r="F211" s="239">
        <v>48184291</v>
      </c>
      <c r="G211" s="239">
        <v>-2557</v>
      </c>
      <c r="H211" s="239">
        <v>0</v>
      </c>
      <c r="I211" s="239">
        <v>-2557</v>
      </c>
      <c r="J211" s="239">
        <v>-284840</v>
      </c>
      <c r="K211" s="239">
        <v>0</v>
      </c>
      <c r="L211" s="239">
        <v>-284840</v>
      </c>
      <c r="M211" s="239">
        <v>0</v>
      </c>
      <c r="N211" s="239">
        <v>0</v>
      </c>
      <c r="O211" s="239">
        <v>0</v>
      </c>
      <c r="P211" s="239">
        <v>-10840716</v>
      </c>
      <c r="Q211" s="239">
        <v>0</v>
      </c>
      <c r="R211" s="239">
        <v>-10840716</v>
      </c>
      <c r="S211" s="239">
        <v>1455520</v>
      </c>
      <c r="T211" s="239">
        <v>0</v>
      </c>
      <c r="U211" s="239">
        <v>1455520</v>
      </c>
      <c r="V211" s="239">
        <v>-1382436</v>
      </c>
      <c r="W211" s="239">
        <v>0</v>
      </c>
      <c r="X211" s="239">
        <v>-1382436</v>
      </c>
      <c r="Y211" s="239">
        <v>37414102</v>
      </c>
      <c r="Z211" s="239">
        <v>0</v>
      </c>
      <c r="AA211" s="239">
        <v>37414102</v>
      </c>
      <c r="AB211" s="239">
        <v>0</v>
      </c>
      <c r="AC211" s="239">
        <v>0</v>
      </c>
      <c r="AD211" s="239">
        <v>0</v>
      </c>
      <c r="AE211" s="239">
        <v>0</v>
      </c>
      <c r="AF211" s="239">
        <v>0</v>
      </c>
      <c r="AG211" s="239">
        <v>0</v>
      </c>
      <c r="AH211" s="239">
        <v>0</v>
      </c>
      <c r="AI211" s="239">
        <v>0</v>
      </c>
      <c r="AJ211" s="239">
        <v>0</v>
      </c>
      <c r="AK211" s="239">
        <v>0</v>
      </c>
      <c r="AL211" s="239">
        <v>0</v>
      </c>
      <c r="AM211" s="239">
        <v>0</v>
      </c>
      <c r="AN211" s="239">
        <v>0</v>
      </c>
      <c r="AO211" s="239">
        <v>0</v>
      </c>
      <c r="AP211" s="239">
        <v>0</v>
      </c>
      <c r="AQ211" s="239">
        <v>12538250</v>
      </c>
      <c r="AR211" s="239">
        <v>-161230</v>
      </c>
      <c r="AS211" s="214" t="s">
        <v>878</v>
      </c>
      <c r="AT211" s="214" t="s">
        <v>748</v>
      </c>
      <c r="AU211" s="214" t="s">
        <v>844</v>
      </c>
      <c r="AV211" s="214" t="s">
        <v>1105</v>
      </c>
      <c r="AW211" s="214" t="s">
        <v>1088</v>
      </c>
      <c r="AX211" s="214" t="s">
        <v>748</v>
      </c>
    </row>
    <row r="212" spans="2:50" x14ac:dyDescent="0.2">
      <c r="B212" s="610" t="s">
        <v>507</v>
      </c>
      <c r="C212" s="610" t="s">
        <v>506</v>
      </c>
      <c r="D212" s="239">
        <v>36836534</v>
      </c>
      <c r="E212" s="239">
        <v>0</v>
      </c>
      <c r="F212" s="239">
        <v>36836534</v>
      </c>
      <c r="G212" s="239">
        <v>0</v>
      </c>
      <c r="H212" s="239">
        <v>0</v>
      </c>
      <c r="I212" s="239">
        <v>0</v>
      </c>
      <c r="J212" s="239">
        <v>-174215</v>
      </c>
      <c r="K212" s="239">
        <v>0</v>
      </c>
      <c r="L212" s="239">
        <v>-174215</v>
      </c>
      <c r="M212" s="239">
        <v>0</v>
      </c>
      <c r="N212" s="239">
        <v>0</v>
      </c>
      <c r="O212" s="239">
        <v>0</v>
      </c>
      <c r="P212" s="239">
        <v>-834910</v>
      </c>
      <c r="Q212" s="239">
        <v>0</v>
      </c>
      <c r="R212" s="239">
        <v>-834910</v>
      </c>
      <c r="S212" s="239">
        <v>819921</v>
      </c>
      <c r="T212" s="239">
        <v>0</v>
      </c>
      <c r="U212" s="239">
        <v>819921</v>
      </c>
      <c r="V212" s="239">
        <v>280075</v>
      </c>
      <c r="W212" s="239">
        <v>0</v>
      </c>
      <c r="X212" s="239">
        <v>280075</v>
      </c>
      <c r="Y212" s="239">
        <v>37101620</v>
      </c>
      <c r="Z212" s="239">
        <v>0</v>
      </c>
      <c r="AA212" s="239">
        <v>37101620</v>
      </c>
      <c r="AB212" s="239">
        <v>0</v>
      </c>
      <c r="AC212" s="239">
        <v>0</v>
      </c>
      <c r="AD212" s="239">
        <v>0</v>
      </c>
      <c r="AE212" s="239">
        <v>0</v>
      </c>
      <c r="AF212" s="239">
        <v>0</v>
      </c>
      <c r="AG212" s="239">
        <v>0</v>
      </c>
      <c r="AH212" s="239">
        <v>0</v>
      </c>
      <c r="AI212" s="239">
        <v>0</v>
      </c>
      <c r="AJ212" s="239">
        <v>0</v>
      </c>
      <c r="AK212" s="239">
        <v>0</v>
      </c>
      <c r="AL212" s="239">
        <v>0</v>
      </c>
      <c r="AM212" s="239">
        <v>0</v>
      </c>
      <c r="AN212" s="239">
        <v>0</v>
      </c>
      <c r="AO212" s="239">
        <v>0</v>
      </c>
      <c r="AP212" s="239">
        <v>0</v>
      </c>
      <c r="AQ212" s="239">
        <v>2788067</v>
      </c>
      <c r="AR212" s="239">
        <v>-342084</v>
      </c>
      <c r="AS212" s="214" t="s">
        <v>506</v>
      </c>
      <c r="AT212" s="214" t="s">
        <v>753</v>
      </c>
      <c r="AU212" s="214" t="s">
        <v>751</v>
      </c>
      <c r="AV212" s="214" t="s">
        <v>1088</v>
      </c>
      <c r="AW212" s="214" t="s">
        <v>1088</v>
      </c>
      <c r="AX212" s="214" t="s">
        <v>1294</v>
      </c>
    </row>
    <row r="213" spans="2:50" x14ac:dyDescent="0.2">
      <c r="B213" s="610" t="s">
        <v>509</v>
      </c>
      <c r="C213" s="610" t="s">
        <v>508</v>
      </c>
      <c r="D213" s="239">
        <v>49536962</v>
      </c>
      <c r="E213" s="239">
        <v>0</v>
      </c>
      <c r="F213" s="239">
        <v>49536962</v>
      </c>
      <c r="G213" s="239">
        <v>0</v>
      </c>
      <c r="H213" s="239">
        <v>0</v>
      </c>
      <c r="I213" s="239">
        <v>0</v>
      </c>
      <c r="J213" s="239">
        <v>-37512</v>
      </c>
      <c r="K213" s="239">
        <v>0</v>
      </c>
      <c r="L213" s="239">
        <v>-37512</v>
      </c>
      <c r="M213" s="239">
        <v>0</v>
      </c>
      <c r="N213" s="239">
        <v>0</v>
      </c>
      <c r="O213" s="239">
        <v>0</v>
      </c>
      <c r="P213" s="239">
        <v>-63506</v>
      </c>
      <c r="Q213" s="239">
        <v>0</v>
      </c>
      <c r="R213" s="239">
        <v>-63506</v>
      </c>
      <c r="S213" s="239">
        <v>682027</v>
      </c>
      <c r="T213" s="239">
        <v>0</v>
      </c>
      <c r="U213" s="239">
        <v>682027</v>
      </c>
      <c r="V213" s="239">
        <v>-2090074</v>
      </c>
      <c r="W213" s="239">
        <v>0</v>
      </c>
      <c r="X213" s="239">
        <v>-2090074</v>
      </c>
      <c r="Y213" s="239">
        <v>48065409</v>
      </c>
      <c r="Z213" s="239">
        <v>0</v>
      </c>
      <c r="AA213" s="239">
        <v>48065409</v>
      </c>
      <c r="AB213" s="239">
        <v>0</v>
      </c>
      <c r="AC213" s="239">
        <v>0</v>
      </c>
      <c r="AD213" s="239">
        <v>0</v>
      </c>
      <c r="AE213" s="239">
        <v>0</v>
      </c>
      <c r="AF213" s="239">
        <v>0</v>
      </c>
      <c r="AG213" s="239">
        <v>0</v>
      </c>
      <c r="AH213" s="239">
        <v>0</v>
      </c>
      <c r="AI213" s="239">
        <v>0</v>
      </c>
      <c r="AJ213" s="239">
        <v>0</v>
      </c>
      <c r="AK213" s="239">
        <v>0</v>
      </c>
      <c r="AL213" s="239">
        <v>0</v>
      </c>
      <c r="AM213" s="239">
        <v>0</v>
      </c>
      <c r="AN213" s="239">
        <v>0</v>
      </c>
      <c r="AO213" s="239">
        <v>0</v>
      </c>
      <c r="AP213" s="239">
        <v>0</v>
      </c>
      <c r="AQ213" s="239">
        <v>611370</v>
      </c>
      <c r="AR213" s="239">
        <v>-1528535</v>
      </c>
      <c r="AS213" s="214" t="s">
        <v>877</v>
      </c>
      <c r="AT213" s="214" t="s">
        <v>772</v>
      </c>
      <c r="AU213" s="214" t="s">
        <v>763</v>
      </c>
      <c r="AV213" s="214" t="s">
        <v>1088</v>
      </c>
      <c r="AW213" s="214" t="s">
        <v>1088</v>
      </c>
      <c r="AX213" s="214" t="s">
        <v>1294</v>
      </c>
    </row>
    <row r="214" spans="2:50" x14ac:dyDescent="0.2">
      <c r="B214" s="610" t="s">
        <v>511</v>
      </c>
      <c r="C214" s="610" t="s">
        <v>510</v>
      </c>
      <c r="D214" s="239">
        <v>12789273</v>
      </c>
      <c r="E214" s="239">
        <v>1888190</v>
      </c>
      <c r="F214" s="239">
        <v>14677463</v>
      </c>
      <c r="G214" s="239">
        <v>0</v>
      </c>
      <c r="H214" s="239">
        <v>0</v>
      </c>
      <c r="I214" s="239">
        <v>0</v>
      </c>
      <c r="J214" s="239">
        <v>-98648</v>
      </c>
      <c r="K214" s="239">
        <v>0</v>
      </c>
      <c r="L214" s="239">
        <v>-98648</v>
      </c>
      <c r="M214" s="239">
        <v>0</v>
      </c>
      <c r="N214" s="239">
        <v>0</v>
      </c>
      <c r="O214" s="239">
        <v>0</v>
      </c>
      <c r="P214" s="239">
        <v>-143648</v>
      </c>
      <c r="Q214" s="239">
        <v>0</v>
      </c>
      <c r="R214" s="239">
        <v>-143648</v>
      </c>
      <c r="S214" s="239">
        <v>0</v>
      </c>
      <c r="T214" s="239">
        <v>0</v>
      </c>
      <c r="U214" s="239">
        <v>0</v>
      </c>
      <c r="V214" s="239">
        <v>-704300</v>
      </c>
      <c r="W214" s="239">
        <v>0</v>
      </c>
      <c r="X214" s="239">
        <v>-704300</v>
      </c>
      <c r="Y214" s="239">
        <v>11941325</v>
      </c>
      <c r="Z214" s="239">
        <v>1888190</v>
      </c>
      <c r="AA214" s="239">
        <v>13829515</v>
      </c>
      <c r="AB214" s="239">
        <v>1888190</v>
      </c>
      <c r="AC214" s="239">
        <v>1888190</v>
      </c>
      <c r="AD214" s="239">
        <v>0</v>
      </c>
      <c r="AE214" s="239">
        <v>2489</v>
      </c>
      <c r="AF214" s="239">
        <v>11595</v>
      </c>
      <c r="AG214" s="239">
        <v>9106</v>
      </c>
      <c r="AH214" s="239">
        <v>0</v>
      </c>
      <c r="AI214" s="239">
        <v>0</v>
      </c>
      <c r="AJ214" s="239">
        <v>0</v>
      </c>
      <c r="AK214" s="239">
        <v>0</v>
      </c>
      <c r="AL214" s="239">
        <v>1861312</v>
      </c>
      <c r="AM214" s="239">
        <v>0</v>
      </c>
      <c r="AN214" s="239">
        <v>17772</v>
      </c>
      <c r="AO214" s="239">
        <v>17772</v>
      </c>
      <c r="AP214" s="239">
        <v>0</v>
      </c>
      <c r="AQ214" s="239">
        <v>638935</v>
      </c>
      <c r="AR214" s="239">
        <v>-95928</v>
      </c>
      <c r="AS214" s="214" t="s">
        <v>510</v>
      </c>
      <c r="AT214" s="214" t="s">
        <v>757</v>
      </c>
      <c r="AU214" s="214" t="s">
        <v>755</v>
      </c>
      <c r="AV214" s="214" t="s">
        <v>1101</v>
      </c>
      <c r="AW214" s="214" t="s">
        <v>1088</v>
      </c>
      <c r="AX214" s="214" t="s">
        <v>1294</v>
      </c>
    </row>
    <row r="215" spans="2:50" x14ac:dyDescent="0.2">
      <c r="B215" s="610" t="s">
        <v>513</v>
      </c>
      <c r="C215" s="610" t="s">
        <v>512</v>
      </c>
      <c r="D215" s="239">
        <v>82545296</v>
      </c>
      <c r="E215" s="239">
        <v>0</v>
      </c>
      <c r="F215" s="239">
        <v>82545296</v>
      </c>
      <c r="G215" s="239">
        <v>0</v>
      </c>
      <c r="H215" s="239">
        <v>0</v>
      </c>
      <c r="I215" s="239">
        <v>0</v>
      </c>
      <c r="J215" s="239">
        <v>0</v>
      </c>
      <c r="K215" s="239">
        <v>0</v>
      </c>
      <c r="L215" s="239">
        <v>0</v>
      </c>
      <c r="M215" s="239">
        <v>-1506050</v>
      </c>
      <c r="N215" s="239">
        <v>0</v>
      </c>
      <c r="O215" s="239">
        <v>-1506050</v>
      </c>
      <c r="P215" s="239">
        <v>225594</v>
      </c>
      <c r="Q215" s="239">
        <v>0</v>
      </c>
      <c r="R215" s="239">
        <v>225594</v>
      </c>
      <c r="S215" s="239">
        <v>2704121</v>
      </c>
      <c r="T215" s="239">
        <v>0</v>
      </c>
      <c r="U215" s="239">
        <v>2704121</v>
      </c>
      <c r="V215" s="239">
        <v>-5818912</v>
      </c>
      <c r="W215" s="239">
        <v>0</v>
      </c>
      <c r="X215" s="239">
        <v>-5818912</v>
      </c>
      <c r="Y215" s="239">
        <v>78150049</v>
      </c>
      <c r="Z215" s="239">
        <v>0</v>
      </c>
      <c r="AA215" s="239">
        <v>78150049</v>
      </c>
      <c r="AB215" s="239">
        <v>0</v>
      </c>
      <c r="AC215" s="239">
        <v>0</v>
      </c>
      <c r="AD215" s="239">
        <v>0</v>
      </c>
      <c r="AE215" s="239">
        <v>0</v>
      </c>
      <c r="AF215" s="239">
        <v>0</v>
      </c>
      <c r="AG215" s="239">
        <v>0</v>
      </c>
      <c r="AH215" s="239">
        <v>0</v>
      </c>
      <c r="AI215" s="239">
        <v>0</v>
      </c>
      <c r="AJ215" s="239">
        <v>0</v>
      </c>
      <c r="AK215" s="239">
        <v>0</v>
      </c>
      <c r="AL215" s="239">
        <v>0</v>
      </c>
      <c r="AM215" s="239">
        <v>0</v>
      </c>
      <c r="AN215" s="239">
        <v>0</v>
      </c>
      <c r="AO215" s="239">
        <v>0</v>
      </c>
      <c r="AP215" s="239">
        <v>0</v>
      </c>
      <c r="AQ215" s="239">
        <v>4127578</v>
      </c>
      <c r="AR215" s="239">
        <v>-2214815</v>
      </c>
      <c r="AS215" s="214" t="s">
        <v>876</v>
      </c>
      <c r="AT215" s="214" t="s">
        <v>790</v>
      </c>
      <c r="AU215" s="214" t="s">
        <v>749</v>
      </c>
      <c r="AV215" s="214" t="s">
        <v>1088</v>
      </c>
      <c r="AW215" s="214" t="s">
        <v>1088</v>
      </c>
      <c r="AX215" s="214" t="s">
        <v>1295</v>
      </c>
    </row>
    <row r="216" spans="2:50" x14ac:dyDescent="0.2">
      <c r="B216" s="610" t="s">
        <v>515</v>
      </c>
      <c r="C216" s="610" t="s">
        <v>514</v>
      </c>
      <c r="D216" s="239">
        <v>12438068</v>
      </c>
      <c r="E216" s="239">
        <v>0</v>
      </c>
      <c r="F216" s="239">
        <v>12438068</v>
      </c>
      <c r="G216" s="239">
        <v>-44083</v>
      </c>
      <c r="H216" s="239">
        <v>0</v>
      </c>
      <c r="I216" s="239">
        <v>-44083</v>
      </c>
      <c r="J216" s="239">
        <v>-260624</v>
      </c>
      <c r="K216" s="239">
        <v>0</v>
      </c>
      <c r="L216" s="239">
        <v>-260624</v>
      </c>
      <c r="M216" s="239">
        <v>0</v>
      </c>
      <c r="N216" s="239">
        <v>0</v>
      </c>
      <c r="O216" s="239">
        <v>0</v>
      </c>
      <c r="P216" s="239">
        <v>-196716</v>
      </c>
      <c r="Q216" s="239">
        <v>0</v>
      </c>
      <c r="R216" s="239">
        <v>-196716</v>
      </c>
      <c r="S216" s="239">
        <v>509979</v>
      </c>
      <c r="T216" s="239">
        <v>0</v>
      </c>
      <c r="U216" s="239">
        <v>509979</v>
      </c>
      <c r="V216" s="239">
        <v>-670714</v>
      </c>
      <c r="W216" s="239">
        <v>0</v>
      </c>
      <c r="X216" s="239">
        <v>-670714</v>
      </c>
      <c r="Y216" s="239">
        <v>12036534</v>
      </c>
      <c r="Z216" s="239">
        <v>0</v>
      </c>
      <c r="AA216" s="239">
        <v>12036534</v>
      </c>
      <c r="AB216" s="239">
        <v>0</v>
      </c>
      <c r="AC216" s="239">
        <v>0</v>
      </c>
      <c r="AD216" s="239">
        <v>0</v>
      </c>
      <c r="AE216" s="239">
        <v>0</v>
      </c>
      <c r="AF216" s="239">
        <v>0</v>
      </c>
      <c r="AG216" s="239">
        <v>0</v>
      </c>
      <c r="AH216" s="239">
        <v>0</v>
      </c>
      <c r="AI216" s="239">
        <v>0</v>
      </c>
      <c r="AJ216" s="239">
        <v>0</v>
      </c>
      <c r="AK216" s="239">
        <v>0</v>
      </c>
      <c r="AL216" s="239">
        <v>0</v>
      </c>
      <c r="AM216" s="239">
        <v>0</v>
      </c>
      <c r="AN216" s="239">
        <v>0</v>
      </c>
      <c r="AO216" s="239">
        <v>0</v>
      </c>
      <c r="AP216" s="239">
        <v>0</v>
      </c>
      <c r="AQ216" s="239">
        <v>575081</v>
      </c>
      <c r="AR216" s="239">
        <v>-100667</v>
      </c>
      <c r="AS216" s="214" t="s">
        <v>514</v>
      </c>
      <c r="AT216" s="214" t="s">
        <v>867</v>
      </c>
      <c r="AU216" s="214" t="s">
        <v>746</v>
      </c>
      <c r="AV216" s="214" t="s">
        <v>1088</v>
      </c>
      <c r="AW216" s="214" t="s">
        <v>1088</v>
      </c>
      <c r="AX216" s="214" t="s">
        <v>1294</v>
      </c>
    </row>
    <row r="217" spans="2:50" x14ac:dyDescent="0.2">
      <c r="B217" s="610" t="s">
        <v>517</v>
      </c>
      <c r="C217" s="610" t="s">
        <v>516</v>
      </c>
      <c r="D217" s="239">
        <v>65965520</v>
      </c>
      <c r="E217" s="239">
        <v>0</v>
      </c>
      <c r="F217" s="239">
        <v>65965520</v>
      </c>
      <c r="G217" s="239">
        <v>0</v>
      </c>
      <c r="H217" s="239">
        <v>0</v>
      </c>
      <c r="I217" s="239">
        <v>0</v>
      </c>
      <c r="J217" s="239">
        <v>-1271389</v>
      </c>
      <c r="K217" s="239">
        <v>0</v>
      </c>
      <c r="L217" s="239">
        <v>-1271389</v>
      </c>
      <c r="M217" s="239">
        <v>0</v>
      </c>
      <c r="N217" s="239">
        <v>0</v>
      </c>
      <c r="O217" s="239">
        <v>0</v>
      </c>
      <c r="P217" s="239">
        <v>-574781</v>
      </c>
      <c r="Q217" s="239">
        <v>0</v>
      </c>
      <c r="R217" s="239">
        <v>-574781</v>
      </c>
      <c r="S217" s="239">
        <v>1361352</v>
      </c>
      <c r="T217" s="239">
        <v>0</v>
      </c>
      <c r="U217" s="239">
        <v>1361352</v>
      </c>
      <c r="V217" s="239">
        <v>-3102911</v>
      </c>
      <c r="W217" s="239">
        <v>0</v>
      </c>
      <c r="X217" s="239">
        <v>-3102911</v>
      </c>
      <c r="Y217" s="239">
        <v>63649180</v>
      </c>
      <c r="Z217" s="239">
        <v>0</v>
      </c>
      <c r="AA217" s="239">
        <v>63649180</v>
      </c>
      <c r="AB217" s="239">
        <v>0</v>
      </c>
      <c r="AC217" s="239">
        <v>0</v>
      </c>
      <c r="AD217" s="239">
        <v>0</v>
      </c>
      <c r="AE217" s="239">
        <v>0</v>
      </c>
      <c r="AF217" s="239">
        <v>0</v>
      </c>
      <c r="AG217" s="239">
        <v>0</v>
      </c>
      <c r="AH217" s="239">
        <v>0</v>
      </c>
      <c r="AI217" s="239">
        <v>0</v>
      </c>
      <c r="AJ217" s="239">
        <v>0</v>
      </c>
      <c r="AK217" s="239">
        <v>0</v>
      </c>
      <c r="AL217" s="239">
        <v>0</v>
      </c>
      <c r="AM217" s="239">
        <v>0</v>
      </c>
      <c r="AN217" s="239">
        <v>0</v>
      </c>
      <c r="AO217" s="239">
        <v>0</v>
      </c>
      <c r="AP217" s="239">
        <v>0</v>
      </c>
      <c r="AQ217" s="239">
        <v>2090736</v>
      </c>
      <c r="AR217" s="239">
        <v>-694867</v>
      </c>
      <c r="AS217" s="214" t="s">
        <v>516</v>
      </c>
      <c r="AT217" s="214" t="s">
        <v>768</v>
      </c>
      <c r="AU217" s="214" t="s">
        <v>783</v>
      </c>
      <c r="AV217" s="214" t="s">
        <v>1088</v>
      </c>
      <c r="AW217" s="214" t="s">
        <v>1088</v>
      </c>
      <c r="AX217" s="214" t="s">
        <v>1296</v>
      </c>
    </row>
    <row r="218" spans="2:50" x14ac:dyDescent="0.2">
      <c r="B218" s="610" t="s">
        <v>519</v>
      </c>
      <c r="C218" s="610" t="s">
        <v>518</v>
      </c>
      <c r="D218" s="239">
        <v>15177013</v>
      </c>
      <c r="E218" s="239">
        <v>0</v>
      </c>
      <c r="F218" s="239">
        <v>15177013</v>
      </c>
      <c r="G218" s="239">
        <v>0</v>
      </c>
      <c r="H218" s="239">
        <v>0</v>
      </c>
      <c r="I218" s="239">
        <v>0</v>
      </c>
      <c r="J218" s="239">
        <v>0</v>
      </c>
      <c r="K218" s="239">
        <v>0</v>
      </c>
      <c r="L218" s="239">
        <v>0</v>
      </c>
      <c r="M218" s="239">
        <v>-145908</v>
      </c>
      <c r="N218" s="239">
        <v>0</v>
      </c>
      <c r="O218" s="239">
        <v>-145908</v>
      </c>
      <c r="P218" s="239">
        <v>113266</v>
      </c>
      <c r="Q218" s="239">
        <v>0</v>
      </c>
      <c r="R218" s="239">
        <v>113266</v>
      </c>
      <c r="S218" s="239">
        <v>284420</v>
      </c>
      <c r="T218" s="239">
        <v>0</v>
      </c>
      <c r="U218" s="239">
        <v>284420</v>
      </c>
      <c r="V218" s="239">
        <v>-380209</v>
      </c>
      <c r="W218" s="239">
        <v>0</v>
      </c>
      <c r="X218" s="239">
        <v>-380209</v>
      </c>
      <c r="Y218" s="239">
        <v>15048582</v>
      </c>
      <c r="Z218" s="239">
        <v>0</v>
      </c>
      <c r="AA218" s="239">
        <v>15048582</v>
      </c>
      <c r="AB218" s="239">
        <v>0</v>
      </c>
      <c r="AC218" s="239">
        <v>0</v>
      </c>
      <c r="AD218" s="239">
        <v>0</v>
      </c>
      <c r="AE218" s="239">
        <v>0</v>
      </c>
      <c r="AF218" s="239">
        <v>0</v>
      </c>
      <c r="AG218" s="239">
        <v>0</v>
      </c>
      <c r="AH218" s="239">
        <v>0</v>
      </c>
      <c r="AI218" s="239">
        <v>0</v>
      </c>
      <c r="AJ218" s="239">
        <v>0</v>
      </c>
      <c r="AK218" s="239">
        <v>0</v>
      </c>
      <c r="AL218" s="239">
        <v>0</v>
      </c>
      <c r="AM218" s="239">
        <v>0</v>
      </c>
      <c r="AN218" s="239">
        <v>0</v>
      </c>
      <c r="AO218" s="239">
        <v>0</v>
      </c>
      <c r="AP218" s="239">
        <v>0</v>
      </c>
      <c r="AQ218" s="239">
        <v>290540</v>
      </c>
      <c r="AR218" s="239">
        <v>-292247</v>
      </c>
      <c r="AS218" s="214" t="s">
        <v>518</v>
      </c>
      <c r="AT218" s="214" t="s">
        <v>822</v>
      </c>
      <c r="AU218" s="214" t="s">
        <v>820</v>
      </c>
      <c r="AV218" s="214" t="s">
        <v>1088</v>
      </c>
      <c r="AW218" s="214" t="s">
        <v>1088</v>
      </c>
      <c r="AX218" s="214" t="s">
        <v>1294</v>
      </c>
    </row>
    <row r="219" spans="2:50" x14ac:dyDescent="0.2">
      <c r="B219" s="610" t="s">
        <v>521</v>
      </c>
      <c r="C219" s="610" t="s">
        <v>520</v>
      </c>
      <c r="D219" s="239">
        <v>13303598</v>
      </c>
      <c r="E219" s="239">
        <v>0</v>
      </c>
      <c r="F219" s="239">
        <v>13303598</v>
      </c>
      <c r="G219" s="239">
        <v>0</v>
      </c>
      <c r="H219" s="239">
        <v>0</v>
      </c>
      <c r="I219" s="239">
        <v>0</v>
      </c>
      <c r="J219" s="239">
        <v>-83743</v>
      </c>
      <c r="K219" s="239">
        <v>0</v>
      </c>
      <c r="L219" s="239">
        <v>-83743</v>
      </c>
      <c r="M219" s="239">
        <v>0</v>
      </c>
      <c r="N219" s="239">
        <v>0</v>
      </c>
      <c r="O219" s="239">
        <v>0</v>
      </c>
      <c r="P219" s="239">
        <v>-328522</v>
      </c>
      <c r="Q219" s="239">
        <v>0</v>
      </c>
      <c r="R219" s="239">
        <v>-328522</v>
      </c>
      <c r="S219" s="239">
        <v>0</v>
      </c>
      <c r="T219" s="239">
        <v>0</v>
      </c>
      <c r="U219" s="239">
        <v>0</v>
      </c>
      <c r="V219" s="239">
        <v>-1290956</v>
      </c>
      <c r="W219" s="239">
        <v>0</v>
      </c>
      <c r="X219" s="239">
        <v>-1290956</v>
      </c>
      <c r="Y219" s="239">
        <v>11684120</v>
      </c>
      <c r="Z219" s="239">
        <v>0</v>
      </c>
      <c r="AA219" s="239">
        <v>11684120</v>
      </c>
      <c r="AB219" s="239">
        <v>0</v>
      </c>
      <c r="AC219" s="239">
        <v>0</v>
      </c>
      <c r="AD219" s="239">
        <v>0</v>
      </c>
      <c r="AE219" s="239">
        <v>0</v>
      </c>
      <c r="AF219" s="239">
        <v>0</v>
      </c>
      <c r="AG219" s="239">
        <v>0</v>
      </c>
      <c r="AH219" s="239">
        <v>0</v>
      </c>
      <c r="AI219" s="239">
        <v>0</v>
      </c>
      <c r="AJ219" s="239">
        <v>0</v>
      </c>
      <c r="AK219" s="239">
        <v>0</v>
      </c>
      <c r="AL219" s="239">
        <v>0</v>
      </c>
      <c r="AM219" s="239">
        <v>0</v>
      </c>
      <c r="AN219" s="239">
        <v>0</v>
      </c>
      <c r="AO219" s="239">
        <v>0</v>
      </c>
      <c r="AP219" s="239">
        <v>0</v>
      </c>
      <c r="AQ219" s="239">
        <v>1076271</v>
      </c>
      <c r="AR219" s="239">
        <v>-86</v>
      </c>
      <c r="AS219" s="214" t="s">
        <v>520</v>
      </c>
      <c r="AT219" s="214" t="s">
        <v>757</v>
      </c>
      <c r="AU219" s="214" t="s">
        <v>755</v>
      </c>
      <c r="AV219" s="214" t="s">
        <v>1101</v>
      </c>
      <c r="AW219" s="214" t="s">
        <v>1088</v>
      </c>
      <c r="AX219" s="214" t="s">
        <v>1294</v>
      </c>
    </row>
    <row r="220" spans="2:50" x14ac:dyDescent="0.2">
      <c r="B220" s="610" t="s">
        <v>523</v>
      </c>
      <c r="C220" s="610" t="s">
        <v>522</v>
      </c>
      <c r="D220" s="239">
        <v>17060419</v>
      </c>
      <c r="E220" s="239">
        <v>0</v>
      </c>
      <c r="F220" s="239">
        <v>17060419</v>
      </c>
      <c r="G220" s="239">
        <v>0</v>
      </c>
      <c r="H220" s="239">
        <v>0</v>
      </c>
      <c r="I220" s="239">
        <v>0</v>
      </c>
      <c r="J220" s="239">
        <v>0</v>
      </c>
      <c r="K220" s="239">
        <v>0</v>
      </c>
      <c r="L220" s="239">
        <v>0</v>
      </c>
      <c r="M220" s="239">
        <v>-81219</v>
      </c>
      <c r="N220" s="239">
        <v>0</v>
      </c>
      <c r="O220" s="239">
        <v>-81219</v>
      </c>
      <c r="P220" s="239">
        <v>27868</v>
      </c>
      <c r="Q220" s="239">
        <v>0</v>
      </c>
      <c r="R220" s="239">
        <v>27868</v>
      </c>
      <c r="S220" s="239">
        <v>133070</v>
      </c>
      <c r="T220" s="239">
        <v>0</v>
      </c>
      <c r="U220" s="239">
        <v>133070</v>
      </c>
      <c r="V220" s="239">
        <v>-855691</v>
      </c>
      <c r="W220" s="239">
        <v>0</v>
      </c>
      <c r="X220" s="239">
        <v>-855691</v>
      </c>
      <c r="Y220" s="239">
        <v>16284447</v>
      </c>
      <c r="Z220" s="239">
        <v>0</v>
      </c>
      <c r="AA220" s="239">
        <v>16284447</v>
      </c>
      <c r="AB220" s="239">
        <v>0</v>
      </c>
      <c r="AC220" s="239">
        <v>0</v>
      </c>
      <c r="AD220" s="239">
        <v>0</v>
      </c>
      <c r="AE220" s="239">
        <v>0</v>
      </c>
      <c r="AF220" s="239">
        <v>0</v>
      </c>
      <c r="AG220" s="239">
        <v>0</v>
      </c>
      <c r="AH220" s="239">
        <v>0</v>
      </c>
      <c r="AI220" s="239">
        <v>0</v>
      </c>
      <c r="AJ220" s="239">
        <v>0</v>
      </c>
      <c r="AK220" s="239">
        <v>0</v>
      </c>
      <c r="AL220" s="239">
        <v>0</v>
      </c>
      <c r="AM220" s="239">
        <v>0</v>
      </c>
      <c r="AN220" s="239">
        <v>0</v>
      </c>
      <c r="AO220" s="239">
        <v>0</v>
      </c>
      <c r="AP220" s="239">
        <v>0</v>
      </c>
      <c r="AQ220" s="239">
        <v>679738</v>
      </c>
      <c r="AR220" s="239">
        <v>-619147</v>
      </c>
      <c r="AS220" s="214" t="s">
        <v>522</v>
      </c>
      <c r="AT220" s="214" t="s">
        <v>809</v>
      </c>
      <c r="AU220" s="214" t="s">
        <v>807</v>
      </c>
      <c r="AV220" s="214" t="s">
        <v>1088</v>
      </c>
      <c r="AW220" s="214" t="s">
        <v>1088</v>
      </c>
      <c r="AX220" s="214" t="s">
        <v>1294</v>
      </c>
    </row>
    <row r="221" spans="2:50" x14ac:dyDescent="0.2">
      <c r="B221" s="610" t="s">
        <v>525</v>
      </c>
      <c r="C221" s="610" t="s">
        <v>524</v>
      </c>
      <c r="D221" s="239">
        <v>76235530</v>
      </c>
      <c r="E221" s="239">
        <v>173408</v>
      </c>
      <c r="F221" s="239">
        <v>76408938</v>
      </c>
      <c r="G221" s="239">
        <v>-18952</v>
      </c>
      <c r="H221" s="239">
        <v>0</v>
      </c>
      <c r="I221" s="239">
        <v>-18952</v>
      </c>
      <c r="J221" s="239">
        <v>-435791</v>
      </c>
      <c r="K221" s="239">
        <v>0</v>
      </c>
      <c r="L221" s="239">
        <v>-435791</v>
      </c>
      <c r="M221" s="239">
        <v>0</v>
      </c>
      <c r="N221" s="239">
        <v>0</v>
      </c>
      <c r="O221" s="239">
        <v>0</v>
      </c>
      <c r="P221" s="239">
        <v>-504427</v>
      </c>
      <c r="Q221" s="239">
        <v>0</v>
      </c>
      <c r="R221" s="239">
        <v>-504427</v>
      </c>
      <c r="S221" s="239">
        <v>2871229</v>
      </c>
      <c r="T221" s="239">
        <v>0</v>
      </c>
      <c r="U221" s="239">
        <v>2871229</v>
      </c>
      <c r="V221" s="239">
        <v>-5335250</v>
      </c>
      <c r="W221" s="239">
        <v>0</v>
      </c>
      <c r="X221" s="239">
        <v>-5335250</v>
      </c>
      <c r="Y221" s="239">
        <v>73248130</v>
      </c>
      <c r="Z221" s="239">
        <v>173408</v>
      </c>
      <c r="AA221" s="239">
        <v>73421538</v>
      </c>
      <c r="AB221" s="239">
        <v>173408</v>
      </c>
      <c r="AC221" s="239">
        <v>173408</v>
      </c>
      <c r="AD221" s="239">
        <v>0</v>
      </c>
      <c r="AE221" s="239">
        <v>162039</v>
      </c>
      <c r="AF221" s="239">
        <v>162039</v>
      </c>
      <c r="AG221" s="239">
        <v>0</v>
      </c>
      <c r="AH221" s="239">
        <v>0</v>
      </c>
      <c r="AI221" s="239">
        <v>0</v>
      </c>
      <c r="AJ221" s="239">
        <v>0</v>
      </c>
      <c r="AK221" s="239">
        <v>0</v>
      </c>
      <c r="AL221" s="239">
        <v>336819</v>
      </c>
      <c r="AM221" s="239">
        <v>0</v>
      </c>
      <c r="AN221" s="239">
        <v>0</v>
      </c>
      <c r="AO221" s="239">
        <v>0</v>
      </c>
      <c r="AP221" s="239">
        <v>0</v>
      </c>
      <c r="AQ221" s="239">
        <v>2827401</v>
      </c>
      <c r="AR221" s="239">
        <v>-189669</v>
      </c>
      <c r="AS221" s="214" t="s">
        <v>524</v>
      </c>
      <c r="AT221" s="214" t="s">
        <v>768</v>
      </c>
      <c r="AU221" s="214" t="s">
        <v>865</v>
      </c>
      <c r="AV221" s="214" t="s">
        <v>1095</v>
      </c>
      <c r="AW221" s="214" t="s">
        <v>1088</v>
      </c>
      <c r="AX221" s="214" t="s">
        <v>1296</v>
      </c>
    </row>
    <row r="222" spans="2:50" x14ac:dyDescent="0.2">
      <c r="B222" s="610" t="s">
        <v>527</v>
      </c>
      <c r="C222" s="610" t="s">
        <v>526</v>
      </c>
      <c r="D222" s="239">
        <v>45321696</v>
      </c>
      <c r="E222" s="239">
        <v>0</v>
      </c>
      <c r="F222" s="239">
        <v>45321696</v>
      </c>
      <c r="G222" s="239">
        <v>0</v>
      </c>
      <c r="H222" s="239">
        <v>0</v>
      </c>
      <c r="I222" s="239">
        <v>0</v>
      </c>
      <c r="J222" s="239">
        <v>-235579</v>
      </c>
      <c r="K222" s="239">
        <v>0</v>
      </c>
      <c r="L222" s="239">
        <v>-235579</v>
      </c>
      <c r="M222" s="239">
        <v>0</v>
      </c>
      <c r="N222" s="239">
        <v>0</v>
      </c>
      <c r="O222" s="239">
        <v>0</v>
      </c>
      <c r="P222" s="239">
        <v>-227644</v>
      </c>
      <c r="Q222" s="239">
        <v>0</v>
      </c>
      <c r="R222" s="239">
        <v>-227644</v>
      </c>
      <c r="S222" s="239">
        <v>1970523</v>
      </c>
      <c r="T222" s="239">
        <v>0</v>
      </c>
      <c r="U222" s="239">
        <v>1970523</v>
      </c>
      <c r="V222" s="239">
        <v>-3353441</v>
      </c>
      <c r="W222" s="239">
        <v>0</v>
      </c>
      <c r="X222" s="239">
        <v>-3353441</v>
      </c>
      <c r="Y222" s="239">
        <v>43711134</v>
      </c>
      <c r="Z222" s="239">
        <v>0</v>
      </c>
      <c r="AA222" s="239">
        <v>43711134</v>
      </c>
      <c r="AB222" s="239">
        <v>0</v>
      </c>
      <c r="AC222" s="239">
        <v>0</v>
      </c>
      <c r="AD222" s="239">
        <v>0</v>
      </c>
      <c r="AE222" s="239">
        <v>0</v>
      </c>
      <c r="AF222" s="239">
        <v>0</v>
      </c>
      <c r="AG222" s="239">
        <v>0</v>
      </c>
      <c r="AH222" s="239">
        <v>0</v>
      </c>
      <c r="AI222" s="239">
        <v>0</v>
      </c>
      <c r="AJ222" s="239">
        <v>0</v>
      </c>
      <c r="AK222" s="239">
        <v>0</v>
      </c>
      <c r="AL222" s="239">
        <v>0</v>
      </c>
      <c r="AM222" s="239">
        <v>0</v>
      </c>
      <c r="AN222" s="239">
        <v>0</v>
      </c>
      <c r="AO222" s="239">
        <v>0</v>
      </c>
      <c r="AP222" s="239">
        <v>0</v>
      </c>
      <c r="AQ222" s="239">
        <v>1584367</v>
      </c>
      <c r="AR222" s="239">
        <v>-641293</v>
      </c>
      <c r="AS222" s="214" t="s">
        <v>526</v>
      </c>
      <c r="AT222" s="214" t="s">
        <v>813</v>
      </c>
      <c r="AU222" s="214" t="s">
        <v>763</v>
      </c>
      <c r="AV222" s="214" t="s">
        <v>1088</v>
      </c>
      <c r="AW222" s="214" t="s">
        <v>1088</v>
      </c>
      <c r="AX222" s="214" t="s">
        <v>1294</v>
      </c>
    </row>
    <row r="223" spans="2:50" x14ac:dyDescent="0.2">
      <c r="B223" s="610" t="s">
        <v>529</v>
      </c>
      <c r="C223" s="610" t="s">
        <v>528</v>
      </c>
      <c r="D223" s="239">
        <v>46160045</v>
      </c>
      <c r="E223" s="239">
        <v>0</v>
      </c>
      <c r="F223" s="239">
        <v>46160045</v>
      </c>
      <c r="G223" s="239">
        <v>-9357</v>
      </c>
      <c r="H223" s="239">
        <v>0</v>
      </c>
      <c r="I223" s="239">
        <v>-9357</v>
      </c>
      <c r="J223" s="239">
        <v>0</v>
      </c>
      <c r="K223" s="239">
        <v>0</v>
      </c>
      <c r="L223" s="239">
        <v>0</v>
      </c>
      <c r="M223" s="239">
        <v>-434684.72000000003</v>
      </c>
      <c r="N223" s="239">
        <v>0</v>
      </c>
      <c r="O223" s="239">
        <v>-434684.72000000003</v>
      </c>
      <c r="P223" s="239">
        <v>339300</v>
      </c>
      <c r="Q223" s="239">
        <v>0</v>
      </c>
      <c r="R223" s="239">
        <v>339300</v>
      </c>
      <c r="S223" s="239">
        <v>0</v>
      </c>
      <c r="T223" s="239">
        <v>0</v>
      </c>
      <c r="U223" s="239">
        <v>0</v>
      </c>
      <c r="V223" s="239">
        <v>-1568292.06</v>
      </c>
      <c r="W223" s="239">
        <v>0</v>
      </c>
      <c r="X223" s="239">
        <v>-1568292.06</v>
      </c>
      <c r="Y223" s="239">
        <v>44487011.219999999</v>
      </c>
      <c r="Z223" s="239">
        <v>0</v>
      </c>
      <c r="AA223" s="239">
        <v>44487011.219999999</v>
      </c>
      <c r="AB223" s="239">
        <v>0</v>
      </c>
      <c r="AC223" s="239">
        <v>0</v>
      </c>
      <c r="AD223" s="239">
        <v>0</v>
      </c>
      <c r="AE223" s="239">
        <v>0</v>
      </c>
      <c r="AF223" s="239">
        <v>0</v>
      </c>
      <c r="AG223" s="239">
        <v>0</v>
      </c>
      <c r="AH223" s="239">
        <v>0</v>
      </c>
      <c r="AI223" s="239">
        <v>0</v>
      </c>
      <c r="AJ223" s="239">
        <v>0</v>
      </c>
      <c r="AK223" s="239">
        <v>0</v>
      </c>
      <c r="AL223" s="239">
        <v>0</v>
      </c>
      <c r="AM223" s="239">
        <v>0</v>
      </c>
      <c r="AN223" s="239">
        <v>0</v>
      </c>
      <c r="AO223" s="239">
        <v>0</v>
      </c>
      <c r="AP223" s="239">
        <v>0</v>
      </c>
      <c r="AQ223" s="239">
        <v>911524</v>
      </c>
      <c r="AR223" s="239">
        <v>-498433</v>
      </c>
      <c r="AS223" s="214" t="s">
        <v>528</v>
      </c>
      <c r="AT223" s="214" t="s">
        <v>772</v>
      </c>
      <c r="AU223" s="214" t="s">
        <v>763</v>
      </c>
      <c r="AV223" s="214" t="s">
        <v>1088</v>
      </c>
      <c r="AW223" s="214" t="s">
        <v>1088</v>
      </c>
      <c r="AX223" s="214" t="s">
        <v>1294</v>
      </c>
    </row>
    <row r="224" spans="2:50" x14ac:dyDescent="0.2">
      <c r="B224" s="610" t="s">
        <v>531</v>
      </c>
      <c r="C224" s="610" t="s">
        <v>530</v>
      </c>
      <c r="D224" s="239">
        <v>27637952</v>
      </c>
      <c r="E224" s="239">
        <v>0</v>
      </c>
      <c r="F224" s="239">
        <v>27637952</v>
      </c>
      <c r="G224" s="239">
        <v>0</v>
      </c>
      <c r="H224" s="239">
        <v>0</v>
      </c>
      <c r="I224" s="239">
        <v>0</v>
      </c>
      <c r="J224" s="239">
        <v>-22998</v>
      </c>
      <c r="K224" s="239">
        <v>0</v>
      </c>
      <c r="L224" s="239">
        <v>-22998</v>
      </c>
      <c r="M224" s="239">
        <v>0</v>
      </c>
      <c r="N224" s="239">
        <v>0</v>
      </c>
      <c r="O224" s="239">
        <v>0</v>
      </c>
      <c r="P224" s="239">
        <v>-30898</v>
      </c>
      <c r="Q224" s="239">
        <v>0</v>
      </c>
      <c r="R224" s="239">
        <v>-30898</v>
      </c>
      <c r="S224" s="239">
        <v>830683</v>
      </c>
      <c r="T224" s="239">
        <v>0</v>
      </c>
      <c r="U224" s="239">
        <v>830683</v>
      </c>
      <c r="V224" s="239">
        <v>-1198029</v>
      </c>
      <c r="W224" s="239">
        <v>0</v>
      </c>
      <c r="X224" s="239">
        <v>-1198029</v>
      </c>
      <c r="Y224" s="239">
        <v>27239708</v>
      </c>
      <c r="Z224" s="239">
        <v>0</v>
      </c>
      <c r="AA224" s="239">
        <v>27239708</v>
      </c>
      <c r="AB224" s="239">
        <v>0</v>
      </c>
      <c r="AC224" s="239">
        <v>0</v>
      </c>
      <c r="AD224" s="239">
        <v>0</v>
      </c>
      <c r="AE224" s="239">
        <v>62504</v>
      </c>
      <c r="AF224" s="239">
        <v>62504</v>
      </c>
      <c r="AG224" s="239">
        <v>0</v>
      </c>
      <c r="AH224" s="239">
        <v>0</v>
      </c>
      <c r="AI224" s="239">
        <v>0</v>
      </c>
      <c r="AJ224" s="239">
        <v>0</v>
      </c>
      <c r="AK224" s="239">
        <v>0</v>
      </c>
      <c r="AL224" s="239">
        <v>0</v>
      </c>
      <c r="AM224" s="239">
        <v>0</v>
      </c>
      <c r="AN224" s="239">
        <v>0</v>
      </c>
      <c r="AO224" s="239">
        <v>0</v>
      </c>
      <c r="AP224" s="239">
        <v>0</v>
      </c>
      <c r="AQ224" s="239">
        <v>836331</v>
      </c>
      <c r="AR224" s="239">
        <v>-268514</v>
      </c>
      <c r="AS224" s="214" t="s">
        <v>530</v>
      </c>
      <c r="AT224" s="214" t="s">
        <v>874</v>
      </c>
      <c r="AU224" s="214" t="s">
        <v>872</v>
      </c>
      <c r="AV224" s="214" t="s">
        <v>1088</v>
      </c>
      <c r="AW224" s="214" t="s">
        <v>1088</v>
      </c>
      <c r="AX224" s="214" t="s">
        <v>1294</v>
      </c>
    </row>
    <row r="225" spans="2:50" x14ac:dyDescent="0.2">
      <c r="B225" s="610" t="s">
        <v>533</v>
      </c>
      <c r="C225" s="610" t="s">
        <v>532</v>
      </c>
      <c r="D225" s="239">
        <v>46034136</v>
      </c>
      <c r="E225" s="239">
        <v>0</v>
      </c>
      <c r="F225" s="239">
        <v>46034136</v>
      </c>
      <c r="G225" s="239">
        <v>-593</v>
      </c>
      <c r="H225" s="239">
        <v>0</v>
      </c>
      <c r="I225" s="239">
        <v>-593</v>
      </c>
      <c r="J225" s="239">
        <v>-124949</v>
      </c>
      <c r="K225" s="239">
        <v>0</v>
      </c>
      <c r="L225" s="239">
        <v>-124949</v>
      </c>
      <c r="M225" s="239">
        <v>0</v>
      </c>
      <c r="N225" s="239">
        <v>0</v>
      </c>
      <c r="O225" s="239">
        <v>0</v>
      </c>
      <c r="P225" s="239">
        <v>-335470</v>
      </c>
      <c r="Q225" s="239">
        <v>0</v>
      </c>
      <c r="R225" s="239">
        <v>-335470</v>
      </c>
      <c r="S225" s="239">
        <v>405058</v>
      </c>
      <c r="T225" s="239">
        <v>0</v>
      </c>
      <c r="U225" s="239">
        <v>405058</v>
      </c>
      <c r="V225" s="239">
        <v>-1994699</v>
      </c>
      <c r="W225" s="239">
        <v>0</v>
      </c>
      <c r="X225" s="239">
        <v>-1994699</v>
      </c>
      <c r="Y225" s="239">
        <v>44108432</v>
      </c>
      <c r="Z225" s="239">
        <v>0</v>
      </c>
      <c r="AA225" s="239">
        <v>44108432</v>
      </c>
      <c r="AB225" s="239">
        <v>0</v>
      </c>
      <c r="AC225" s="239">
        <v>0</v>
      </c>
      <c r="AD225" s="239">
        <v>0</v>
      </c>
      <c r="AE225" s="239">
        <v>0</v>
      </c>
      <c r="AF225" s="239">
        <v>0</v>
      </c>
      <c r="AG225" s="239">
        <v>0</v>
      </c>
      <c r="AH225" s="239">
        <v>0</v>
      </c>
      <c r="AI225" s="239">
        <v>0</v>
      </c>
      <c r="AJ225" s="239">
        <v>0</v>
      </c>
      <c r="AK225" s="239">
        <v>0</v>
      </c>
      <c r="AL225" s="239">
        <v>0</v>
      </c>
      <c r="AM225" s="239">
        <v>0</v>
      </c>
      <c r="AN225" s="239">
        <v>0</v>
      </c>
      <c r="AO225" s="239">
        <v>0</v>
      </c>
      <c r="AP225" s="239">
        <v>0</v>
      </c>
      <c r="AQ225" s="239">
        <v>1822909</v>
      </c>
      <c r="AR225" s="239">
        <v>-1057815</v>
      </c>
      <c r="AS225" s="214" t="s">
        <v>532</v>
      </c>
      <c r="AT225" s="214" t="s">
        <v>779</v>
      </c>
      <c r="AU225" s="214" t="s">
        <v>777</v>
      </c>
      <c r="AV225" s="214" t="s">
        <v>1088</v>
      </c>
      <c r="AW225" s="214" t="s">
        <v>1088</v>
      </c>
      <c r="AX225" s="214" t="s">
        <v>1294</v>
      </c>
    </row>
    <row r="226" spans="2:50" x14ac:dyDescent="0.2">
      <c r="B226" s="610" t="s">
        <v>535</v>
      </c>
      <c r="C226" s="610" t="s">
        <v>534</v>
      </c>
      <c r="D226" s="239">
        <v>10314324</v>
      </c>
      <c r="E226" s="239">
        <v>0</v>
      </c>
      <c r="F226" s="239">
        <v>10314324</v>
      </c>
      <c r="G226" s="239">
        <v>0</v>
      </c>
      <c r="H226" s="239">
        <v>0</v>
      </c>
      <c r="I226" s="239">
        <v>0</v>
      </c>
      <c r="J226" s="239">
        <v>-36288</v>
      </c>
      <c r="K226" s="239">
        <v>0</v>
      </c>
      <c r="L226" s="239">
        <v>-36288</v>
      </c>
      <c r="M226" s="239">
        <v>0</v>
      </c>
      <c r="N226" s="239">
        <v>0</v>
      </c>
      <c r="O226" s="239">
        <v>0</v>
      </c>
      <c r="P226" s="239">
        <v>4875</v>
      </c>
      <c r="Q226" s="239">
        <v>0</v>
      </c>
      <c r="R226" s="239">
        <v>4875</v>
      </c>
      <c r="S226" s="239">
        <v>78566</v>
      </c>
      <c r="T226" s="239">
        <v>0</v>
      </c>
      <c r="U226" s="239">
        <v>78566</v>
      </c>
      <c r="V226" s="239">
        <v>0</v>
      </c>
      <c r="W226" s="239">
        <v>0</v>
      </c>
      <c r="X226" s="239">
        <v>0</v>
      </c>
      <c r="Y226" s="239">
        <v>10397765</v>
      </c>
      <c r="Z226" s="239">
        <v>0</v>
      </c>
      <c r="AA226" s="239">
        <v>10397765</v>
      </c>
      <c r="AB226" s="239">
        <v>0</v>
      </c>
      <c r="AC226" s="239">
        <v>0</v>
      </c>
      <c r="AD226" s="239">
        <v>0</v>
      </c>
      <c r="AE226" s="239">
        <v>35619</v>
      </c>
      <c r="AF226" s="239">
        <v>35619</v>
      </c>
      <c r="AG226" s="239">
        <v>0</v>
      </c>
      <c r="AH226" s="239">
        <v>0</v>
      </c>
      <c r="AI226" s="239">
        <v>0</v>
      </c>
      <c r="AJ226" s="239">
        <v>0</v>
      </c>
      <c r="AK226" s="239">
        <v>0</v>
      </c>
      <c r="AL226" s="239">
        <v>0</v>
      </c>
      <c r="AM226" s="239">
        <v>0</v>
      </c>
      <c r="AN226" s="239">
        <v>0</v>
      </c>
      <c r="AO226" s="239">
        <v>0</v>
      </c>
      <c r="AP226" s="239">
        <v>0</v>
      </c>
      <c r="AQ226" s="239">
        <v>123268</v>
      </c>
      <c r="AR226" s="239">
        <v>-124632</v>
      </c>
      <c r="AS226" s="214" t="s">
        <v>871</v>
      </c>
      <c r="AT226" s="214" t="s">
        <v>748</v>
      </c>
      <c r="AU226" s="214" t="s">
        <v>869</v>
      </c>
      <c r="AV226" s="214" t="s">
        <v>1088</v>
      </c>
      <c r="AW226" s="214" t="s">
        <v>1088</v>
      </c>
      <c r="AX226" s="214" t="s">
        <v>748</v>
      </c>
    </row>
    <row r="227" spans="2:50" x14ac:dyDescent="0.2">
      <c r="B227" s="610" t="s">
        <v>537</v>
      </c>
      <c r="C227" s="610" t="s">
        <v>536</v>
      </c>
      <c r="D227" s="239">
        <v>16643644</v>
      </c>
      <c r="E227" s="239">
        <v>0</v>
      </c>
      <c r="F227" s="239">
        <v>16643644</v>
      </c>
      <c r="G227" s="239">
        <v>0</v>
      </c>
      <c r="H227" s="239">
        <v>0</v>
      </c>
      <c r="I227" s="239">
        <v>0</v>
      </c>
      <c r="J227" s="239">
        <v>-78886</v>
      </c>
      <c r="K227" s="239">
        <v>0</v>
      </c>
      <c r="L227" s="239">
        <v>-78886</v>
      </c>
      <c r="M227" s="239">
        <v>0</v>
      </c>
      <c r="N227" s="239">
        <v>0</v>
      </c>
      <c r="O227" s="239">
        <v>0</v>
      </c>
      <c r="P227" s="239">
        <v>-48886</v>
      </c>
      <c r="Q227" s="239">
        <v>0</v>
      </c>
      <c r="R227" s="239">
        <v>-48886</v>
      </c>
      <c r="S227" s="239">
        <v>816855</v>
      </c>
      <c r="T227" s="239">
        <v>0</v>
      </c>
      <c r="U227" s="239">
        <v>816855</v>
      </c>
      <c r="V227" s="239">
        <v>-1033855</v>
      </c>
      <c r="W227" s="239">
        <v>0</v>
      </c>
      <c r="X227" s="239">
        <v>-1033855</v>
      </c>
      <c r="Y227" s="239">
        <v>16377758</v>
      </c>
      <c r="Z227" s="239">
        <v>0</v>
      </c>
      <c r="AA227" s="239">
        <v>16377758</v>
      </c>
      <c r="AB227" s="239">
        <v>0</v>
      </c>
      <c r="AC227" s="239">
        <v>0</v>
      </c>
      <c r="AD227" s="239">
        <v>0</v>
      </c>
      <c r="AE227" s="239">
        <v>5711</v>
      </c>
      <c r="AF227" s="239">
        <v>5711</v>
      </c>
      <c r="AG227" s="239">
        <v>0</v>
      </c>
      <c r="AH227" s="239">
        <v>0</v>
      </c>
      <c r="AI227" s="239">
        <v>0</v>
      </c>
      <c r="AJ227" s="239">
        <v>0</v>
      </c>
      <c r="AK227" s="239">
        <v>0</v>
      </c>
      <c r="AL227" s="239">
        <v>0</v>
      </c>
      <c r="AM227" s="239">
        <v>0</v>
      </c>
      <c r="AN227" s="239">
        <v>0</v>
      </c>
      <c r="AO227" s="239">
        <v>0</v>
      </c>
      <c r="AP227" s="239">
        <v>0</v>
      </c>
      <c r="AQ227" s="239">
        <v>168363</v>
      </c>
      <c r="AR227" s="239">
        <v>-259834</v>
      </c>
      <c r="AS227" s="214" t="s">
        <v>536</v>
      </c>
      <c r="AT227" s="214" t="s">
        <v>867</v>
      </c>
      <c r="AU227" s="214" t="s">
        <v>746</v>
      </c>
      <c r="AV227" s="214" t="s">
        <v>1088</v>
      </c>
      <c r="AW227" s="214" t="s">
        <v>1088</v>
      </c>
      <c r="AX227" s="214" t="s">
        <v>1294</v>
      </c>
    </row>
    <row r="228" spans="2:50" x14ac:dyDescent="0.2">
      <c r="B228" s="610" t="s">
        <v>539</v>
      </c>
      <c r="C228" s="610" t="s">
        <v>538</v>
      </c>
      <c r="D228" s="239">
        <v>97566643</v>
      </c>
      <c r="E228" s="239">
        <v>0</v>
      </c>
      <c r="F228" s="239">
        <v>97566643</v>
      </c>
      <c r="G228" s="239">
        <v>-578</v>
      </c>
      <c r="H228" s="239">
        <v>0</v>
      </c>
      <c r="I228" s="239">
        <v>-578</v>
      </c>
      <c r="J228" s="239">
        <v>-1984915</v>
      </c>
      <c r="K228" s="239">
        <v>0</v>
      </c>
      <c r="L228" s="239">
        <v>-1984915</v>
      </c>
      <c r="M228" s="239">
        <v>0</v>
      </c>
      <c r="N228" s="239">
        <v>0</v>
      </c>
      <c r="O228" s="239">
        <v>0</v>
      </c>
      <c r="P228" s="239">
        <v>-4489173</v>
      </c>
      <c r="Q228" s="239">
        <v>0</v>
      </c>
      <c r="R228" s="239">
        <v>-4489173</v>
      </c>
      <c r="S228" s="239">
        <v>5089866</v>
      </c>
      <c r="T228" s="239">
        <v>0</v>
      </c>
      <c r="U228" s="239">
        <v>5089866</v>
      </c>
      <c r="V228" s="239">
        <v>-8515537</v>
      </c>
      <c r="W228" s="239">
        <v>0</v>
      </c>
      <c r="X228" s="239">
        <v>-8515537</v>
      </c>
      <c r="Y228" s="239">
        <v>89651221</v>
      </c>
      <c r="Z228" s="239">
        <v>0</v>
      </c>
      <c r="AA228" s="239">
        <v>89651221</v>
      </c>
      <c r="AB228" s="239">
        <v>0</v>
      </c>
      <c r="AC228" s="239">
        <v>0</v>
      </c>
      <c r="AD228" s="239">
        <v>0</v>
      </c>
      <c r="AE228" s="239">
        <v>0</v>
      </c>
      <c r="AF228" s="239">
        <v>0</v>
      </c>
      <c r="AG228" s="239">
        <v>0</v>
      </c>
      <c r="AH228" s="239">
        <v>0</v>
      </c>
      <c r="AI228" s="239">
        <v>0</v>
      </c>
      <c r="AJ228" s="239">
        <v>0</v>
      </c>
      <c r="AK228" s="239">
        <v>0</v>
      </c>
      <c r="AL228" s="239">
        <v>0</v>
      </c>
      <c r="AM228" s="239">
        <v>0</v>
      </c>
      <c r="AN228" s="239">
        <v>0</v>
      </c>
      <c r="AO228" s="239">
        <v>0</v>
      </c>
      <c r="AP228" s="239">
        <v>0</v>
      </c>
      <c r="AQ228" s="239">
        <v>28571282</v>
      </c>
      <c r="AR228" s="239">
        <v>-4840954</v>
      </c>
      <c r="AS228" s="214" t="s">
        <v>538</v>
      </c>
      <c r="AT228" s="214" t="s">
        <v>768</v>
      </c>
      <c r="AU228" s="214" t="s">
        <v>783</v>
      </c>
      <c r="AV228" s="214" t="s">
        <v>1088</v>
      </c>
      <c r="AW228" s="214" t="s">
        <v>1088</v>
      </c>
      <c r="AX228" s="214" t="s">
        <v>1296</v>
      </c>
    </row>
    <row r="229" spans="2:50" x14ac:dyDescent="0.2">
      <c r="B229" s="610" t="s">
        <v>541</v>
      </c>
      <c r="C229" s="610" t="s">
        <v>540</v>
      </c>
      <c r="D229" s="239">
        <v>103014615</v>
      </c>
      <c r="E229" s="239">
        <v>0</v>
      </c>
      <c r="F229" s="239">
        <v>103014615</v>
      </c>
      <c r="G229" s="239">
        <v>-506</v>
      </c>
      <c r="H229" s="239">
        <v>0</v>
      </c>
      <c r="I229" s="239">
        <v>-506</v>
      </c>
      <c r="J229" s="239">
        <v>-2260605</v>
      </c>
      <c r="K229" s="239">
        <v>0</v>
      </c>
      <c r="L229" s="239">
        <v>-2260605</v>
      </c>
      <c r="M229" s="239">
        <v>0</v>
      </c>
      <c r="N229" s="239">
        <v>0</v>
      </c>
      <c r="O229" s="239">
        <v>0</v>
      </c>
      <c r="P229" s="239">
        <v>-2213289</v>
      </c>
      <c r="Q229" s="239">
        <v>0</v>
      </c>
      <c r="R229" s="239">
        <v>-2213289</v>
      </c>
      <c r="S229" s="239">
        <v>0</v>
      </c>
      <c r="T229" s="239">
        <v>0</v>
      </c>
      <c r="U229" s="239">
        <v>0</v>
      </c>
      <c r="V229" s="239">
        <v>-428068</v>
      </c>
      <c r="W229" s="239">
        <v>0</v>
      </c>
      <c r="X229" s="239">
        <v>-428068</v>
      </c>
      <c r="Y229" s="239">
        <v>100372752</v>
      </c>
      <c r="Z229" s="239">
        <v>0</v>
      </c>
      <c r="AA229" s="239">
        <v>100372752</v>
      </c>
      <c r="AB229" s="239">
        <v>0</v>
      </c>
      <c r="AC229" s="239">
        <v>0</v>
      </c>
      <c r="AD229" s="239">
        <v>0</v>
      </c>
      <c r="AE229" s="239">
        <v>0</v>
      </c>
      <c r="AF229" s="239">
        <v>0</v>
      </c>
      <c r="AG229" s="239">
        <v>0</v>
      </c>
      <c r="AH229" s="239">
        <v>0</v>
      </c>
      <c r="AI229" s="239">
        <v>0</v>
      </c>
      <c r="AJ229" s="239">
        <v>0</v>
      </c>
      <c r="AK229" s="239">
        <v>0</v>
      </c>
      <c r="AL229" s="239">
        <v>0</v>
      </c>
      <c r="AM229" s="239">
        <v>0</v>
      </c>
      <c r="AN229" s="239">
        <v>0</v>
      </c>
      <c r="AO229" s="239">
        <v>0</v>
      </c>
      <c r="AP229" s="239">
        <v>0</v>
      </c>
      <c r="AQ229" s="239">
        <v>5496045</v>
      </c>
      <c r="AR229" s="239">
        <v>-481644</v>
      </c>
      <c r="AS229" s="214" t="s">
        <v>540</v>
      </c>
      <c r="AT229" s="214" t="s">
        <v>768</v>
      </c>
      <c r="AU229" s="214" t="s">
        <v>766</v>
      </c>
      <c r="AV229" s="214" t="s">
        <v>1088</v>
      </c>
      <c r="AW229" s="214" t="s">
        <v>1088</v>
      </c>
      <c r="AX229" s="214" t="s">
        <v>1296</v>
      </c>
    </row>
    <row r="230" spans="2:50" x14ac:dyDescent="0.2">
      <c r="B230" s="610" t="s">
        <v>543</v>
      </c>
      <c r="C230" s="610" t="s">
        <v>542</v>
      </c>
      <c r="D230" s="239">
        <v>33417355</v>
      </c>
      <c r="E230" s="239">
        <v>0</v>
      </c>
      <c r="F230" s="239">
        <v>33417355</v>
      </c>
      <c r="G230" s="239">
        <v>-1891</v>
      </c>
      <c r="H230" s="239">
        <v>0</v>
      </c>
      <c r="I230" s="239">
        <v>-1891</v>
      </c>
      <c r="J230" s="239">
        <v>-226382</v>
      </c>
      <c r="K230" s="239">
        <v>0</v>
      </c>
      <c r="L230" s="239">
        <v>-226382</v>
      </c>
      <c r="M230" s="239">
        <v>0</v>
      </c>
      <c r="N230" s="239">
        <v>0</v>
      </c>
      <c r="O230" s="239">
        <v>0</v>
      </c>
      <c r="P230" s="239">
        <v>-263766</v>
      </c>
      <c r="Q230" s="239">
        <v>0</v>
      </c>
      <c r="R230" s="239">
        <v>-263766</v>
      </c>
      <c r="S230" s="239">
        <v>991062</v>
      </c>
      <c r="T230" s="239">
        <v>0</v>
      </c>
      <c r="U230" s="239">
        <v>991062</v>
      </c>
      <c r="V230" s="239">
        <v>-1477291</v>
      </c>
      <c r="W230" s="239">
        <v>0</v>
      </c>
      <c r="X230" s="239">
        <v>-1477291</v>
      </c>
      <c r="Y230" s="239">
        <v>32665469</v>
      </c>
      <c r="Z230" s="239">
        <v>0</v>
      </c>
      <c r="AA230" s="239">
        <v>32665469</v>
      </c>
      <c r="AB230" s="239">
        <v>0</v>
      </c>
      <c r="AC230" s="239">
        <v>0</v>
      </c>
      <c r="AD230" s="239">
        <v>0</v>
      </c>
      <c r="AE230" s="239">
        <v>0</v>
      </c>
      <c r="AF230" s="239">
        <v>0</v>
      </c>
      <c r="AG230" s="239">
        <v>0</v>
      </c>
      <c r="AH230" s="239">
        <v>0</v>
      </c>
      <c r="AI230" s="239">
        <v>0</v>
      </c>
      <c r="AJ230" s="239">
        <v>0</v>
      </c>
      <c r="AK230" s="239">
        <v>0</v>
      </c>
      <c r="AL230" s="239">
        <v>0</v>
      </c>
      <c r="AM230" s="239">
        <v>0</v>
      </c>
      <c r="AN230" s="239">
        <v>0</v>
      </c>
      <c r="AO230" s="239">
        <v>0</v>
      </c>
      <c r="AP230" s="239">
        <v>0</v>
      </c>
      <c r="AQ230" s="239">
        <v>1517906</v>
      </c>
      <c r="AR230" s="239">
        <v>-833463</v>
      </c>
      <c r="AS230" s="214" t="s">
        <v>542</v>
      </c>
      <c r="AT230" s="214" t="s">
        <v>867</v>
      </c>
      <c r="AU230" s="214" t="s">
        <v>746</v>
      </c>
      <c r="AV230" s="214" t="s">
        <v>1088</v>
      </c>
      <c r="AW230" s="214" t="s">
        <v>1088</v>
      </c>
      <c r="AX230" s="214" t="s">
        <v>1294</v>
      </c>
    </row>
    <row r="231" spans="2:50" x14ac:dyDescent="0.2">
      <c r="B231" s="610" t="s">
        <v>545</v>
      </c>
      <c r="C231" s="610" t="s">
        <v>544</v>
      </c>
      <c r="D231" s="239">
        <v>36476122</v>
      </c>
      <c r="E231" s="239">
        <v>0</v>
      </c>
      <c r="F231" s="239">
        <v>36476122</v>
      </c>
      <c r="G231" s="239">
        <v>-71919</v>
      </c>
      <c r="H231" s="239">
        <v>0</v>
      </c>
      <c r="I231" s="239">
        <v>-71919</v>
      </c>
      <c r="J231" s="239">
        <v>-176124</v>
      </c>
      <c r="K231" s="239">
        <v>0</v>
      </c>
      <c r="L231" s="239">
        <v>-176124</v>
      </c>
      <c r="M231" s="239">
        <v>0</v>
      </c>
      <c r="N231" s="239">
        <v>0</v>
      </c>
      <c r="O231" s="239">
        <v>0</v>
      </c>
      <c r="P231" s="239">
        <v>303647</v>
      </c>
      <c r="Q231" s="239">
        <v>0</v>
      </c>
      <c r="R231" s="239">
        <v>303647</v>
      </c>
      <c r="S231" s="239">
        <v>1262504</v>
      </c>
      <c r="T231" s="239">
        <v>0</v>
      </c>
      <c r="U231" s="239">
        <v>1262504</v>
      </c>
      <c r="V231" s="239">
        <v>-1391475</v>
      </c>
      <c r="W231" s="239">
        <v>0</v>
      </c>
      <c r="X231" s="239">
        <v>-1391475</v>
      </c>
      <c r="Y231" s="239">
        <v>36578879</v>
      </c>
      <c r="Z231" s="239">
        <v>0</v>
      </c>
      <c r="AA231" s="239">
        <v>36578879</v>
      </c>
      <c r="AB231" s="239">
        <v>0</v>
      </c>
      <c r="AC231" s="239">
        <v>0</v>
      </c>
      <c r="AD231" s="239">
        <v>0</v>
      </c>
      <c r="AE231" s="239">
        <v>154030</v>
      </c>
      <c r="AF231" s="239">
        <v>154030</v>
      </c>
      <c r="AG231" s="239">
        <v>0</v>
      </c>
      <c r="AH231" s="239">
        <v>0</v>
      </c>
      <c r="AI231" s="239">
        <v>0</v>
      </c>
      <c r="AJ231" s="239">
        <v>0</v>
      </c>
      <c r="AK231" s="239">
        <v>0</v>
      </c>
      <c r="AL231" s="239">
        <v>0</v>
      </c>
      <c r="AM231" s="239">
        <v>0</v>
      </c>
      <c r="AN231" s="239">
        <v>0</v>
      </c>
      <c r="AO231" s="239">
        <v>0</v>
      </c>
      <c r="AP231" s="239">
        <v>0</v>
      </c>
      <c r="AQ231" s="239">
        <v>1316045</v>
      </c>
      <c r="AR231" s="239">
        <v>-1049780</v>
      </c>
      <c r="AS231" s="214" t="s">
        <v>544</v>
      </c>
      <c r="AT231" s="214" t="s">
        <v>794</v>
      </c>
      <c r="AU231" s="214" t="s">
        <v>792</v>
      </c>
      <c r="AV231" s="214" t="s">
        <v>1088</v>
      </c>
      <c r="AW231" s="214" t="s">
        <v>1088</v>
      </c>
      <c r="AX231" s="214" t="s">
        <v>1294</v>
      </c>
    </row>
    <row r="232" spans="2:50" x14ac:dyDescent="0.2">
      <c r="B232" s="610" t="s">
        <v>547</v>
      </c>
      <c r="C232" s="610" t="s">
        <v>546</v>
      </c>
      <c r="D232" s="239">
        <v>72412028</v>
      </c>
      <c r="E232" s="239">
        <v>0</v>
      </c>
      <c r="F232" s="239">
        <v>72412028</v>
      </c>
      <c r="G232" s="239">
        <v>-1062</v>
      </c>
      <c r="H232" s="239">
        <v>0</v>
      </c>
      <c r="I232" s="239">
        <v>-1062</v>
      </c>
      <c r="J232" s="239">
        <v>-1559100</v>
      </c>
      <c r="K232" s="239">
        <v>0</v>
      </c>
      <c r="L232" s="239">
        <v>-1559100</v>
      </c>
      <c r="M232" s="239">
        <v>-371351</v>
      </c>
      <c r="N232" s="239">
        <v>0</v>
      </c>
      <c r="O232" s="239">
        <v>-371351</v>
      </c>
      <c r="P232" s="239">
        <v>-870100</v>
      </c>
      <c r="Q232" s="239">
        <v>0</v>
      </c>
      <c r="R232" s="239">
        <v>-870100</v>
      </c>
      <c r="S232" s="239">
        <v>629563</v>
      </c>
      <c r="T232" s="239">
        <v>0</v>
      </c>
      <c r="U232" s="239">
        <v>629563</v>
      </c>
      <c r="V232" s="239">
        <v>-6430863</v>
      </c>
      <c r="W232" s="239">
        <v>0</v>
      </c>
      <c r="X232" s="239">
        <v>-6430863</v>
      </c>
      <c r="Y232" s="239">
        <v>65368215</v>
      </c>
      <c r="Z232" s="239">
        <v>0</v>
      </c>
      <c r="AA232" s="239">
        <v>65368215</v>
      </c>
      <c r="AB232" s="239">
        <v>0</v>
      </c>
      <c r="AC232" s="239">
        <v>0</v>
      </c>
      <c r="AD232" s="239">
        <v>0</v>
      </c>
      <c r="AE232" s="239">
        <v>0</v>
      </c>
      <c r="AF232" s="239">
        <v>0</v>
      </c>
      <c r="AG232" s="239">
        <v>0</v>
      </c>
      <c r="AH232" s="239">
        <v>0</v>
      </c>
      <c r="AI232" s="239">
        <v>0</v>
      </c>
      <c r="AJ232" s="239">
        <v>0</v>
      </c>
      <c r="AK232" s="239">
        <v>0</v>
      </c>
      <c r="AL232" s="239">
        <v>0</v>
      </c>
      <c r="AM232" s="239">
        <v>0</v>
      </c>
      <c r="AN232" s="239">
        <v>0</v>
      </c>
      <c r="AO232" s="239">
        <v>0</v>
      </c>
      <c r="AP232" s="239">
        <v>0</v>
      </c>
      <c r="AQ232" s="239">
        <v>2472465</v>
      </c>
      <c r="AR232" s="239">
        <v>-1138170</v>
      </c>
      <c r="AS232" s="214" t="s">
        <v>546</v>
      </c>
      <c r="AT232" s="214" t="s">
        <v>768</v>
      </c>
      <c r="AU232" s="214" t="s">
        <v>774</v>
      </c>
      <c r="AV232" s="214" t="s">
        <v>1088</v>
      </c>
      <c r="AW232" s="214" t="s">
        <v>1088</v>
      </c>
      <c r="AX232" s="214" t="s">
        <v>1296</v>
      </c>
    </row>
    <row r="233" spans="2:50" x14ac:dyDescent="0.2">
      <c r="B233" s="610" t="s">
        <v>549</v>
      </c>
      <c r="C233" s="610" t="s">
        <v>548</v>
      </c>
      <c r="D233" s="239">
        <v>44882371</v>
      </c>
      <c r="E233" s="239">
        <v>0</v>
      </c>
      <c r="F233" s="239">
        <v>44882371</v>
      </c>
      <c r="G233" s="239">
        <v>-456</v>
      </c>
      <c r="H233" s="239">
        <v>0</v>
      </c>
      <c r="I233" s="239">
        <v>-456</v>
      </c>
      <c r="J233" s="239">
        <v>-484106</v>
      </c>
      <c r="K233" s="239">
        <v>0</v>
      </c>
      <c r="L233" s="239">
        <v>-484106</v>
      </c>
      <c r="M233" s="239">
        <v>0</v>
      </c>
      <c r="N233" s="239">
        <v>0</v>
      </c>
      <c r="O233" s="239">
        <v>0</v>
      </c>
      <c r="P233" s="239">
        <v>-329599</v>
      </c>
      <c r="Q233" s="239">
        <v>0</v>
      </c>
      <c r="R233" s="239">
        <v>-329599</v>
      </c>
      <c r="S233" s="239">
        <v>150411</v>
      </c>
      <c r="T233" s="239">
        <v>0</v>
      </c>
      <c r="U233" s="239">
        <v>150411</v>
      </c>
      <c r="V233" s="239">
        <v>-3166474</v>
      </c>
      <c r="W233" s="239">
        <v>0</v>
      </c>
      <c r="X233" s="239">
        <v>-3166474</v>
      </c>
      <c r="Y233" s="239">
        <v>41536253</v>
      </c>
      <c r="Z233" s="239">
        <v>0</v>
      </c>
      <c r="AA233" s="239">
        <v>41536253</v>
      </c>
      <c r="AB233" s="239">
        <v>0</v>
      </c>
      <c r="AC233" s="239">
        <v>0</v>
      </c>
      <c r="AD233" s="239">
        <v>0</v>
      </c>
      <c r="AE233" s="239">
        <v>5367070</v>
      </c>
      <c r="AF233" s="239">
        <v>5367070</v>
      </c>
      <c r="AG233" s="239">
        <v>0</v>
      </c>
      <c r="AH233" s="239">
        <v>0</v>
      </c>
      <c r="AI233" s="239">
        <v>0</v>
      </c>
      <c r="AJ233" s="239">
        <v>0</v>
      </c>
      <c r="AK233" s="239">
        <v>0</v>
      </c>
      <c r="AL233" s="239">
        <v>0</v>
      </c>
      <c r="AM233" s="239">
        <v>0</v>
      </c>
      <c r="AN233" s="239">
        <v>0</v>
      </c>
      <c r="AO233" s="239">
        <v>0</v>
      </c>
      <c r="AP233" s="239">
        <v>0</v>
      </c>
      <c r="AQ233" s="239">
        <v>1359903</v>
      </c>
      <c r="AR233" s="239">
        <v>-311603</v>
      </c>
      <c r="AS233" s="214" t="s">
        <v>548</v>
      </c>
      <c r="AT233" s="214" t="s">
        <v>867</v>
      </c>
      <c r="AU233" s="214" t="s">
        <v>746</v>
      </c>
      <c r="AV233" s="214" t="s">
        <v>1088</v>
      </c>
      <c r="AW233" s="214" t="s">
        <v>1088</v>
      </c>
      <c r="AX233" s="214" t="s">
        <v>1294</v>
      </c>
    </row>
    <row r="234" spans="2:50" x14ac:dyDescent="0.2">
      <c r="B234" s="610" t="s">
        <v>551</v>
      </c>
      <c r="C234" s="610" t="s">
        <v>550</v>
      </c>
      <c r="D234" s="239">
        <v>36298110</v>
      </c>
      <c r="E234" s="239">
        <v>0</v>
      </c>
      <c r="F234" s="239">
        <v>36298110</v>
      </c>
      <c r="G234" s="239">
        <v>0</v>
      </c>
      <c r="H234" s="239">
        <v>0</v>
      </c>
      <c r="I234" s="239">
        <v>0</v>
      </c>
      <c r="J234" s="239">
        <v>-155343</v>
      </c>
      <c r="K234" s="239">
        <v>0</v>
      </c>
      <c r="L234" s="239">
        <v>-155343</v>
      </c>
      <c r="M234" s="239">
        <v>0</v>
      </c>
      <c r="N234" s="239">
        <v>0</v>
      </c>
      <c r="O234" s="239">
        <v>0</v>
      </c>
      <c r="P234" s="239">
        <v>-63743</v>
      </c>
      <c r="Q234" s="239">
        <v>0</v>
      </c>
      <c r="R234" s="239">
        <v>-63743</v>
      </c>
      <c r="S234" s="239">
        <v>348470</v>
      </c>
      <c r="T234" s="239">
        <v>0</v>
      </c>
      <c r="U234" s="239">
        <v>348470</v>
      </c>
      <c r="V234" s="239">
        <v>-2178354</v>
      </c>
      <c r="W234" s="239">
        <v>0</v>
      </c>
      <c r="X234" s="239">
        <v>-2178354</v>
      </c>
      <c r="Y234" s="239">
        <v>34404483</v>
      </c>
      <c r="Z234" s="239">
        <v>0</v>
      </c>
      <c r="AA234" s="239">
        <v>34404483</v>
      </c>
      <c r="AB234" s="239">
        <v>0</v>
      </c>
      <c r="AC234" s="239">
        <v>0</v>
      </c>
      <c r="AD234" s="239">
        <v>0</v>
      </c>
      <c r="AE234" s="239">
        <v>0</v>
      </c>
      <c r="AF234" s="239">
        <v>0</v>
      </c>
      <c r="AG234" s="239">
        <v>0</v>
      </c>
      <c r="AH234" s="239">
        <v>0</v>
      </c>
      <c r="AI234" s="239">
        <v>0</v>
      </c>
      <c r="AJ234" s="239">
        <v>0</v>
      </c>
      <c r="AK234" s="239">
        <v>0</v>
      </c>
      <c r="AL234" s="239">
        <v>0</v>
      </c>
      <c r="AM234" s="239">
        <v>0</v>
      </c>
      <c r="AN234" s="239">
        <v>0</v>
      </c>
      <c r="AO234" s="239">
        <v>0</v>
      </c>
      <c r="AP234" s="239">
        <v>0</v>
      </c>
      <c r="AQ234" s="239">
        <v>1888228</v>
      </c>
      <c r="AR234" s="239">
        <v>-1366847</v>
      </c>
      <c r="AS234" s="214" t="s">
        <v>550</v>
      </c>
      <c r="AT234" s="214" t="s">
        <v>826</v>
      </c>
      <c r="AU234" s="214" t="s">
        <v>824</v>
      </c>
      <c r="AV234" s="214" t="s">
        <v>1088</v>
      </c>
      <c r="AW234" s="214" t="s">
        <v>1088</v>
      </c>
      <c r="AX234" s="214" t="s">
        <v>1294</v>
      </c>
    </row>
    <row r="235" spans="2:50" x14ac:dyDescent="0.2">
      <c r="B235" s="610" t="s">
        <v>553</v>
      </c>
      <c r="C235" s="610" t="s">
        <v>552</v>
      </c>
      <c r="D235" s="239">
        <v>210103067</v>
      </c>
      <c r="E235" s="239">
        <v>3764321</v>
      </c>
      <c r="F235" s="239">
        <v>213867388</v>
      </c>
      <c r="G235" s="239">
        <v>0</v>
      </c>
      <c r="H235" s="239">
        <v>0</v>
      </c>
      <c r="I235" s="239">
        <v>0</v>
      </c>
      <c r="J235" s="239">
        <v>-2021134</v>
      </c>
      <c r="K235" s="239">
        <v>-8943</v>
      </c>
      <c r="L235" s="239">
        <v>-2030077</v>
      </c>
      <c r="M235" s="239">
        <v>0</v>
      </c>
      <c r="N235" s="239">
        <v>0</v>
      </c>
      <c r="O235" s="239">
        <v>0</v>
      </c>
      <c r="P235" s="239">
        <v>-1394077</v>
      </c>
      <c r="Q235" s="239">
        <v>0</v>
      </c>
      <c r="R235" s="239">
        <v>-1394077</v>
      </c>
      <c r="S235" s="239">
        <v>8644240</v>
      </c>
      <c r="T235" s="239">
        <v>154875</v>
      </c>
      <c r="U235" s="239">
        <v>8799115</v>
      </c>
      <c r="V235" s="239">
        <v>-18660982</v>
      </c>
      <c r="W235" s="239">
        <v>-334340</v>
      </c>
      <c r="X235" s="239">
        <v>-18995322</v>
      </c>
      <c r="Y235" s="239">
        <v>198692248</v>
      </c>
      <c r="Z235" s="239">
        <v>3584856</v>
      </c>
      <c r="AA235" s="239">
        <v>202277104</v>
      </c>
      <c r="AB235" s="239">
        <v>3584856</v>
      </c>
      <c r="AC235" s="239">
        <v>2512984</v>
      </c>
      <c r="AD235" s="239">
        <v>1071872</v>
      </c>
      <c r="AE235" s="239">
        <v>1314476</v>
      </c>
      <c r="AF235" s="239">
        <v>1314476</v>
      </c>
      <c r="AG235" s="239">
        <v>0</v>
      </c>
      <c r="AH235" s="239">
        <v>0</v>
      </c>
      <c r="AI235" s="239">
        <v>1107</v>
      </c>
      <c r="AJ235" s="239">
        <v>7438</v>
      </c>
      <c r="AK235" s="239">
        <v>-6331</v>
      </c>
      <c r="AL235" s="239">
        <v>1681289</v>
      </c>
      <c r="AM235" s="239">
        <v>1529012</v>
      </c>
      <c r="AN235" s="239">
        <v>839133</v>
      </c>
      <c r="AO235" s="239">
        <v>839133</v>
      </c>
      <c r="AP235" s="239">
        <v>0</v>
      </c>
      <c r="AQ235" s="239">
        <v>11672589</v>
      </c>
      <c r="AR235" s="239">
        <v>-3034191</v>
      </c>
      <c r="AS235" s="214" t="s">
        <v>552</v>
      </c>
      <c r="AT235" s="214" t="s">
        <v>768</v>
      </c>
      <c r="AU235" s="214" t="s">
        <v>865</v>
      </c>
      <c r="AV235" s="214" t="s">
        <v>1095</v>
      </c>
      <c r="AW235" s="214" t="s">
        <v>1102</v>
      </c>
      <c r="AX235" s="214" t="s">
        <v>1296</v>
      </c>
    </row>
    <row r="236" spans="2:50" x14ac:dyDescent="0.2">
      <c r="B236" s="610" t="s">
        <v>555</v>
      </c>
      <c r="C236" s="610" t="s">
        <v>554</v>
      </c>
      <c r="D236" s="239">
        <v>27041673</v>
      </c>
      <c r="E236" s="239">
        <v>0</v>
      </c>
      <c r="F236" s="239">
        <v>27041673</v>
      </c>
      <c r="G236" s="239">
        <v>0</v>
      </c>
      <c r="H236" s="239">
        <v>0</v>
      </c>
      <c r="I236" s="239">
        <v>0</v>
      </c>
      <c r="J236" s="239">
        <v>-311515</v>
      </c>
      <c r="K236" s="239">
        <v>0</v>
      </c>
      <c r="L236" s="239">
        <v>-311515</v>
      </c>
      <c r="M236" s="239">
        <v>0</v>
      </c>
      <c r="N236" s="239">
        <v>0</v>
      </c>
      <c r="O236" s="239">
        <v>0</v>
      </c>
      <c r="P236" s="239">
        <v>-165790</v>
      </c>
      <c r="Q236" s="239">
        <v>0</v>
      </c>
      <c r="R236" s="239">
        <v>-165790</v>
      </c>
      <c r="S236" s="239">
        <v>1559385</v>
      </c>
      <c r="T236" s="239">
        <v>0</v>
      </c>
      <c r="U236" s="239">
        <v>1559385</v>
      </c>
      <c r="V236" s="239">
        <v>-2143597</v>
      </c>
      <c r="W236" s="239">
        <v>0</v>
      </c>
      <c r="X236" s="239">
        <v>-2143597</v>
      </c>
      <c r="Y236" s="239">
        <v>26291671</v>
      </c>
      <c r="Z236" s="239">
        <v>0</v>
      </c>
      <c r="AA236" s="239">
        <v>26291671</v>
      </c>
      <c r="AB236" s="239">
        <v>0</v>
      </c>
      <c r="AC236" s="239">
        <v>0</v>
      </c>
      <c r="AD236" s="239">
        <v>0</v>
      </c>
      <c r="AE236" s="239">
        <v>0</v>
      </c>
      <c r="AF236" s="239">
        <v>0</v>
      </c>
      <c r="AG236" s="239">
        <v>0</v>
      </c>
      <c r="AH236" s="239">
        <v>0</v>
      </c>
      <c r="AI236" s="239">
        <v>0</v>
      </c>
      <c r="AJ236" s="239">
        <v>0</v>
      </c>
      <c r="AK236" s="239">
        <v>0</v>
      </c>
      <c r="AL236" s="239">
        <v>0</v>
      </c>
      <c r="AM236" s="239">
        <v>0</v>
      </c>
      <c r="AN236" s="239">
        <v>0</v>
      </c>
      <c r="AO236" s="239">
        <v>0</v>
      </c>
      <c r="AP236" s="239">
        <v>0</v>
      </c>
      <c r="AQ236" s="239">
        <v>747217</v>
      </c>
      <c r="AR236" s="239">
        <v>-351609</v>
      </c>
      <c r="AS236" s="214" t="s">
        <v>554</v>
      </c>
      <c r="AT236" s="214" t="s">
        <v>826</v>
      </c>
      <c r="AU236" s="214" t="s">
        <v>824</v>
      </c>
      <c r="AV236" s="214" t="s">
        <v>1088</v>
      </c>
      <c r="AW236" s="214" t="s">
        <v>1088</v>
      </c>
      <c r="AX236" s="214" t="s">
        <v>1294</v>
      </c>
    </row>
    <row r="237" spans="2:50" x14ac:dyDescent="0.2">
      <c r="B237" s="610" t="s">
        <v>557</v>
      </c>
      <c r="C237" s="610" t="s">
        <v>556</v>
      </c>
      <c r="D237" s="239">
        <v>75926954</v>
      </c>
      <c r="E237" s="239">
        <v>0</v>
      </c>
      <c r="F237" s="239">
        <v>75926954</v>
      </c>
      <c r="G237" s="239">
        <v>-31881</v>
      </c>
      <c r="H237" s="239">
        <v>0</v>
      </c>
      <c r="I237" s="239">
        <v>-31881</v>
      </c>
      <c r="J237" s="239">
        <v>-374691</v>
      </c>
      <c r="K237" s="239">
        <v>0</v>
      </c>
      <c r="L237" s="239">
        <v>-374691</v>
      </c>
      <c r="M237" s="239">
        <v>0</v>
      </c>
      <c r="N237" s="239">
        <v>0</v>
      </c>
      <c r="O237" s="239">
        <v>0</v>
      </c>
      <c r="P237" s="239">
        <v>-593618</v>
      </c>
      <c r="Q237" s="239">
        <v>0</v>
      </c>
      <c r="R237" s="239">
        <v>-593618</v>
      </c>
      <c r="S237" s="239">
        <v>2258303</v>
      </c>
      <c r="T237" s="239">
        <v>0</v>
      </c>
      <c r="U237" s="239">
        <v>2258303</v>
      </c>
      <c r="V237" s="239">
        <v>-3852254</v>
      </c>
      <c r="W237" s="239">
        <v>0</v>
      </c>
      <c r="X237" s="239">
        <v>-3852254</v>
      </c>
      <c r="Y237" s="239">
        <v>73707504</v>
      </c>
      <c r="Z237" s="239">
        <v>0</v>
      </c>
      <c r="AA237" s="239">
        <v>73707504</v>
      </c>
      <c r="AB237" s="239">
        <v>0</v>
      </c>
      <c r="AC237" s="239">
        <v>0</v>
      </c>
      <c r="AD237" s="239">
        <v>0</v>
      </c>
      <c r="AE237" s="239">
        <v>1376647</v>
      </c>
      <c r="AF237" s="239">
        <v>1376647</v>
      </c>
      <c r="AG237" s="239">
        <v>0</v>
      </c>
      <c r="AH237" s="239">
        <v>0</v>
      </c>
      <c r="AI237" s="239">
        <v>0</v>
      </c>
      <c r="AJ237" s="239">
        <v>0</v>
      </c>
      <c r="AK237" s="239">
        <v>0</v>
      </c>
      <c r="AL237" s="239">
        <v>0</v>
      </c>
      <c r="AM237" s="239">
        <v>0</v>
      </c>
      <c r="AN237" s="239">
        <v>0</v>
      </c>
      <c r="AO237" s="239">
        <v>0</v>
      </c>
      <c r="AP237" s="239">
        <v>0</v>
      </c>
      <c r="AQ237" s="239">
        <v>3272214</v>
      </c>
      <c r="AR237" s="239">
        <v>-2180010</v>
      </c>
      <c r="AS237" s="214" t="s">
        <v>556</v>
      </c>
      <c r="AT237" s="214" t="s">
        <v>748</v>
      </c>
      <c r="AU237" s="214" t="s">
        <v>833</v>
      </c>
      <c r="AV237" s="214" t="s">
        <v>1088</v>
      </c>
      <c r="AW237" s="214" t="s">
        <v>1088</v>
      </c>
      <c r="AX237" s="214" t="s">
        <v>748</v>
      </c>
    </row>
    <row r="238" spans="2:50" x14ac:dyDescent="0.2">
      <c r="B238" s="610" t="s">
        <v>559</v>
      </c>
      <c r="C238" s="610" t="s">
        <v>558</v>
      </c>
      <c r="D238" s="239">
        <v>100334024</v>
      </c>
      <c r="E238" s="239">
        <v>0</v>
      </c>
      <c r="F238" s="239">
        <v>100334024</v>
      </c>
      <c r="G238" s="239">
        <v>-8338</v>
      </c>
      <c r="H238" s="239">
        <v>0</v>
      </c>
      <c r="I238" s="239">
        <v>-8338</v>
      </c>
      <c r="J238" s="239">
        <v>-3064947</v>
      </c>
      <c r="K238" s="239">
        <v>0</v>
      </c>
      <c r="L238" s="239">
        <v>-3064947</v>
      </c>
      <c r="M238" s="239">
        <v>0</v>
      </c>
      <c r="N238" s="239">
        <v>0</v>
      </c>
      <c r="O238" s="239">
        <v>0</v>
      </c>
      <c r="P238" s="239">
        <v>-2351260</v>
      </c>
      <c r="Q238" s="239">
        <v>0</v>
      </c>
      <c r="R238" s="239">
        <v>-2351260</v>
      </c>
      <c r="S238" s="239">
        <v>732201</v>
      </c>
      <c r="T238" s="239">
        <v>0</v>
      </c>
      <c r="U238" s="239">
        <v>732201</v>
      </c>
      <c r="V238" s="239">
        <v>-119600</v>
      </c>
      <c r="W238" s="239">
        <v>0</v>
      </c>
      <c r="X238" s="239">
        <v>-119600</v>
      </c>
      <c r="Y238" s="239">
        <v>98587027</v>
      </c>
      <c r="Z238" s="239">
        <v>0</v>
      </c>
      <c r="AA238" s="239">
        <v>98587027</v>
      </c>
      <c r="AB238" s="239">
        <v>0</v>
      </c>
      <c r="AC238" s="239">
        <v>0</v>
      </c>
      <c r="AD238" s="239">
        <v>0</v>
      </c>
      <c r="AE238" s="239">
        <v>0</v>
      </c>
      <c r="AF238" s="239">
        <v>0</v>
      </c>
      <c r="AG238" s="239">
        <v>0</v>
      </c>
      <c r="AH238" s="239">
        <v>0</v>
      </c>
      <c r="AI238" s="239">
        <v>0</v>
      </c>
      <c r="AJ238" s="239">
        <v>0</v>
      </c>
      <c r="AK238" s="239">
        <v>0</v>
      </c>
      <c r="AL238" s="239">
        <v>0</v>
      </c>
      <c r="AM238" s="239">
        <v>0</v>
      </c>
      <c r="AN238" s="239">
        <v>0</v>
      </c>
      <c r="AO238" s="239">
        <v>0</v>
      </c>
      <c r="AP238" s="239">
        <v>0</v>
      </c>
      <c r="AQ238" s="239">
        <v>4414212</v>
      </c>
      <c r="AR238" s="239">
        <v>-316302</v>
      </c>
      <c r="AS238" s="214" t="s">
        <v>864</v>
      </c>
      <c r="AT238" s="214" t="s">
        <v>748</v>
      </c>
      <c r="AU238" s="214" t="s">
        <v>769</v>
      </c>
      <c r="AV238" s="214" t="s">
        <v>1088</v>
      </c>
      <c r="AW238" s="214" t="s">
        <v>1088</v>
      </c>
      <c r="AX238" s="214" t="s">
        <v>748</v>
      </c>
    </row>
    <row r="239" spans="2:50" x14ac:dyDescent="0.2">
      <c r="B239" s="610" t="s">
        <v>561</v>
      </c>
      <c r="C239" s="610" t="s">
        <v>560</v>
      </c>
      <c r="D239" s="239">
        <v>121731676</v>
      </c>
      <c r="E239" s="239">
        <v>0</v>
      </c>
      <c r="F239" s="239">
        <v>121731676</v>
      </c>
      <c r="G239" s="239">
        <v>-1586</v>
      </c>
      <c r="H239" s="239">
        <v>0</v>
      </c>
      <c r="I239" s="239">
        <v>-1586</v>
      </c>
      <c r="J239" s="239">
        <v>-246116</v>
      </c>
      <c r="K239" s="239">
        <v>0</v>
      </c>
      <c r="L239" s="239">
        <v>-246116</v>
      </c>
      <c r="M239" s="239">
        <v>0</v>
      </c>
      <c r="N239" s="239">
        <v>0</v>
      </c>
      <c r="O239" s="239">
        <v>0</v>
      </c>
      <c r="P239" s="239">
        <v>-513708</v>
      </c>
      <c r="Q239" s="239">
        <v>0</v>
      </c>
      <c r="R239" s="239">
        <v>-513708</v>
      </c>
      <c r="S239" s="239">
        <v>964987</v>
      </c>
      <c r="T239" s="239">
        <v>0</v>
      </c>
      <c r="U239" s="239">
        <v>964987</v>
      </c>
      <c r="V239" s="239">
        <v>-4287958</v>
      </c>
      <c r="W239" s="239">
        <v>0</v>
      </c>
      <c r="X239" s="239">
        <v>-4287958</v>
      </c>
      <c r="Y239" s="239">
        <v>117893411</v>
      </c>
      <c r="Z239" s="239">
        <v>0</v>
      </c>
      <c r="AA239" s="239">
        <v>117893411</v>
      </c>
      <c r="AB239" s="239">
        <v>0</v>
      </c>
      <c r="AC239" s="239">
        <v>0</v>
      </c>
      <c r="AD239" s="239">
        <v>0</v>
      </c>
      <c r="AE239" s="239">
        <v>0</v>
      </c>
      <c r="AF239" s="239">
        <v>0</v>
      </c>
      <c r="AG239" s="239">
        <v>0</v>
      </c>
      <c r="AH239" s="239">
        <v>0</v>
      </c>
      <c r="AI239" s="239">
        <v>0</v>
      </c>
      <c r="AJ239" s="239">
        <v>0</v>
      </c>
      <c r="AK239" s="239">
        <v>0</v>
      </c>
      <c r="AL239" s="239">
        <v>0</v>
      </c>
      <c r="AM239" s="239">
        <v>0</v>
      </c>
      <c r="AN239" s="239">
        <v>0</v>
      </c>
      <c r="AO239" s="239">
        <v>0</v>
      </c>
      <c r="AP239" s="239">
        <v>0</v>
      </c>
      <c r="AQ239" s="239">
        <v>6981117</v>
      </c>
      <c r="AR239" s="239">
        <v>-2831457</v>
      </c>
      <c r="AS239" s="214" t="s">
        <v>560</v>
      </c>
      <c r="AT239" s="214" t="s">
        <v>768</v>
      </c>
      <c r="AU239" s="214" t="s">
        <v>766</v>
      </c>
      <c r="AV239" s="214" t="s">
        <v>1088</v>
      </c>
      <c r="AW239" s="214" t="s">
        <v>1088</v>
      </c>
      <c r="AX239" s="214" t="s">
        <v>1296</v>
      </c>
    </row>
    <row r="240" spans="2:50" x14ac:dyDescent="0.2">
      <c r="B240" s="610" t="s">
        <v>563</v>
      </c>
      <c r="C240" s="610" t="s">
        <v>562</v>
      </c>
      <c r="D240" s="239">
        <v>30910197</v>
      </c>
      <c r="E240" s="239">
        <v>0</v>
      </c>
      <c r="F240" s="239">
        <v>30910197</v>
      </c>
      <c r="G240" s="239">
        <v>0</v>
      </c>
      <c r="H240" s="239">
        <v>0</v>
      </c>
      <c r="I240" s="239">
        <v>0</v>
      </c>
      <c r="J240" s="239">
        <v>79248</v>
      </c>
      <c r="K240" s="239">
        <v>0</v>
      </c>
      <c r="L240" s="239">
        <v>79248</v>
      </c>
      <c r="M240" s="239">
        <v>0</v>
      </c>
      <c r="N240" s="239">
        <v>0</v>
      </c>
      <c r="O240" s="239">
        <v>0</v>
      </c>
      <c r="P240" s="239">
        <v>-93752</v>
      </c>
      <c r="Q240" s="239">
        <v>0</v>
      </c>
      <c r="R240" s="239">
        <v>-93752</v>
      </c>
      <c r="S240" s="239">
        <v>303543</v>
      </c>
      <c r="T240" s="239">
        <v>0</v>
      </c>
      <c r="U240" s="239">
        <v>303543</v>
      </c>
      <c r="V240" s="239">
        <v>273845</v>
      </c>
      <c r="W240" s="239">
        <v>0</v>
      </c>
      <c r="X240" s="239">
        <v>273845</v>
      </c>
      <c r="Y240" s="239">
        <v>31393833</v>
      </c>
      <c r="Z240" s="239">
        <v>0</v>
      </c>
      <c r="AA240" s="239">
        <v>31393833</v>
      </c>
      <c r="AB240" s="239">
        <v>0</v>
      </c>
      <c r="AC240" s="239">
        <v>0</v>
      </c>
      <c r="AD240" s="239">
        <v>0</v>
      </c>
      <c r="AE240" s="239">
        <v>0</v>
      </c>
      <c r="AF240" s="239">
        <v>0</v>
      </c>
      <c r="AG240" s="239">
        <v>0</v>
      </c>
      <c r="AH240" s="239">
        <v>0</v>
      </c>
      <c r="AI240" s="239">
        <v>0</v>
      </c>
      <c r="AJ240" s="239">
        <v>0</v>
      </c>
      <c r="AK240" s="239">
        <v>0</v>
      </c>
      <c r="AL240" s="239">
        <v>0</v>
      </c>
      <c r="AM240" s="239">
        <v>0</v>
      </c>
      <c r="AN240" s="239">
        <v>0</v>
      </c>
      <c r="AO240" s="239">
        <v>0</v>
      </c>
      <c r="AP240" s="239">
        <v>0</v>
      </c>
      <c r="AQ240" s="239">
        <v>1305896</v>
      </c>
      <c r="AR240" s="239">
        <v>-429785</v>
      </c>
      <c r="AS240" s="214" t="s">
        <v>562</v>
      </c>
      <c r="AT240" s="214" t="s">
        <v>761</v>
      </c>
      <c r="AU240" s="214" t="s">
        <v>759</v>
      </c>
      <c r="AV240" s="214" t="s">
        <v>1088</v>
      </c>
      <c r="AW240" s="214" t="s">
        <v>1088</v>
      </c>
      <c r="AX240" s="214" t="s">
        <v>1294</v>
      </c>
    </row>
    <row r="241" spans="2:50" x14ac:dyDescent="0.2">
      <c r="B241" s="610" t="s">
        <v>565</v>
      </c>
      <c r="C241" s="610" t="s">
        <v>564</v>
      </c>
      <c r="D241" s="239">
        <v>70686122</v>
      </c>
      <c r="E241" s="239">
        <v>0</v>
      </c>
      <c r="F241" s="239">
        <v>70686122</v>
      </c>
      <c r="G241" s="239">
        <v>-26933</v>
      </c>
      <c r="H241" s="239">
        <v>0</v>
      </c>
      <c r="I241" s="239">
        <v>-26933</v>
      </c>
      <c r="J241" s="239">
        <v>-28137</v>
      </c>
      <c r="K241" s="239">
        <v>0</v>
      </c>
      <c r="L241" s="239">
        <v>-28137</v>
      </c>
      <c r="M241" s="239">
        <v>0</v>
      </c>
      <c r="N241" s="239">
        <v>0</v>
      </c>
      <c r="O241" s="239">
        <v>0</v>
      </c>
      <c r="P241" s="239">
        <v>-66490</v>
      </c>
      <c r="Q241" s="239">
        <v>0</v>
      </c>
      <c r="R241" s="239">
        <v>-66490</v>
      </c>
      <c r="S241" s="239">
        <v>3900811</v>
      </c>
      <c r="T241" s="239">
        <v>0</v>
      </c>
      <c r="U241" s="239">
        <v>3900811</v>
      </c>
      <c r="V241" s="239">
        <v>-6436362</v>
      </c>
      <c r="W241" s="239">
        <v>0</v>
      </c>
      <c r="X241" s="239">
        <v>-6436362</v>
      </c>
      <c r="Y241" s="239">
        <v>68057148</v>
      </c>
      <c r="Z241" s="239">
        <v>0</v>
      </c>
      <c r="AA241" s="239">
        <v>68057148</v>
      </c>
      <c r="AB241" s="239">
        <v>0</v>
      </c>
      <c r="AC241" s="239">
        <v>0</v>
      </c>
      <c r="AD241" s="239">
        <v>0</v>
      </c>
      <c r="AE241" s="239">
        <v>675017</v>
      </c>
      <c r="AF241" s="239">
        <v>675017</v>
      </c>
      <c r="AG241" s="239">
        <v>0</v>
      </c>
      <c r="AH241" s="239">
        <v>0</v>
      </c>
      <c r="AI241" s="239">
        <v>0</v>
      </c>
      <c r="AJ241" s="239">
        <v>0</v>
      </c>
      <c r="AK241" s="239">
        <v>0</v>
      </c>
      <c r="AL241" s="239">
        <v>0</v>
      </c>
      <c r="AM241" s="239">
        <v>0</v>
      </c>
      <c r="AN241" s="239">
        <v>0</v>
      </c>
      <c r="AO241" s="239">
        <v>0</v>
      </c>
      <c r="AP241" s="239">
        <v>0</v>
      </c>
      <c r="AQ241" s="239">
        <v>573847</v>
      </c>
      <c r="AR241" s="239">
        <v>-637385</v>
      </c>
      <c r="AS241" s="214" t="s">
        <v>564</v>
      </c>
      <c r="AT241" s="214" t="s">
        <v>862</v>
      </c>
      <c r="AU241" s="214" t="s">
        <v>860</v>
      </c>
      <c r="AV241" s="214" t="s">
        <v>1088</v>
      </c>
      <c r="AW241" s="214" t="s">
        <v>1088</v>
      </c>
      <c r="AX241" s="214" t="s">
        <v>1294</v>
      </c>
    </row>
    <row r="242" spans="2:50" x14ac:dyDescent="0.2">
      <c r="B242" s="610" t="s">
        <v>567</v>
      </c>
      <c r="C242" s="610" t="s">
        <v>566</v>
      </c>
      <c r="D242" s="239">
        <v>23350830</v>
      </c>
      <c r="E242" s="239">
        <v>0</v>
      </c>
      <c r="F242" s="239">
        <v>23350830</v>
      </c>
      <c r="G242" s="239">
        <v>0</v>
      </c>
      <c r="H242" s="239">
        <v>0</v>
      </c>
      <c r="I242" s="239">
        <v>0</v>
      </c>
      <c r="J242" s="239">
        <v>-255249</v>
      </c>
      <c r="K242" s="239">
        <v>0</v>
      </c>
      <c r="L242" s="239">
        <v>-255249</v>
      </c>
      <c r="M242" s="239">
        <v>0</v>
      </c>
      <c r="N242" s="239">
        <v>0</v>
      </c>
      <c r="O242" s="239">
        <v>0</v>
      </c>
      <c r="P242" s="239">
        <v>-90380</v>
      </c>
      <c r="Q242" s="239">
        <v>0</v>
      </c>
      <c r="R242" s="239">
        <v>-90380</v>
      </c>
      <c r="S242" s="239">
        <v>189000</v>
      </c>
      <c r="T242" s="239">
        <v>0</v>
      </c>
      <c r="U242" s="239">
        <v>189000</v>
      </c>
      <c r="V242" s="239">
        <v>-1677867</v>
      </c>
      <c r="W242" s="239">
        <v>0</v>
      </c>
      <c r="X242" s="239">
        <v>-1677867</v>
      </c>
      <c r="Y242" s="239">
        <v>21771583</v>
      </c>
      <c r="Z242" s="239">
        <v>0</v>
      </c>
      <c r="AA242" s="239">
        <v>21771583</v>
      </c>
      <c r="AB242" s="239">
        <v>0</v>
      </c>
      <c r="AC242" s="239">
        <v>0</v>
      </c>
      <c r="AD242" s="239">
        <v>0</v>
      </c>
      <c r="AE242" s="239">
        <v>0</v>
      </c>
      <c r="AF242" s="239">
        <v>0</v>
      </c>
      <c r="AG242" s="239">
        <v>0</v>
      </c>
      <c r="AH242" s="239">
        <v>0</v>
      </c>
      <c r="AI242" s="239">
        <v>0</v>
      </c>
      <c r="AJ242" s="239">
        <v>0</v>
      </c>
      <c r="AK242" s="239">
        <v>0</v>
      </c>
      <c r="AL242" s="239">
        <v>0</v>
      </c>
      <c r="AM242" s="239">
        <v>0</v>
      </c>
      <c r="AN242" s="239">
        <v>0</v>
      </c>
      <c r="AO242" s="239">
        <v>0</v>
      </c>
      <c r="AP242" s="239">
        <v>0</v>
      </c>
      <c r="AQ242" s="239">
        <v>1689123</v>
      </c>
      <c r="AR242" s="239">
        <v>-200470</v>
      </c>
      <c r="AS242" s="214" t="s">
        <v>566</v>
      </c>
      <c r="AT242" s="214" t="s">
        <v>858</v>
      </c>
      <c r="AU242" s="214" t="s">
        <v>856</v>
      </c>
      <c r="AV242" s="214" t="s">
        <v>1088</v>
      </c>
      <c r="AW242" s="214" t="s">
        <v>1088</v>
      </c>
      <c r="AX242" s="214" t="s">
        <v>1294</v>
      </c>
    </row>
    <row r="243" spans="2:50" x14ac:dyDescent="0.2">
      <c r="B243" s="610" t="s">
        <v>569</v>
      </c>
      <c r="C243" s="610" t="s">
        <v>568</v>
      </c>
      <c r="D243" s="239">
        <v>140239633</v>
      </c>
      <c r="E243" s="239">
        <v>5723002</v>
      </c>
      <c r="F243" s="239">
        <v>145962635</v>
      </c>
      <c r="G243" s="239">
        <v>-183294</v>
      </c>
      <c r="H243" s="239">
        <v>0</v>
      </c>
      <c r="I243" s="239">
        <v>-183294</v>
      </c>
      <c r="J243" s="239">
        <v>-336608</v>
      </c>
      <c r="K243" s="239">
        <v>0</v>
      </c>
      <c r="L243" s="239">
        <v>-336608</v>
      </c>
      <c r="M243" s="239">
        <v>0</v>
      </c>
      <c r="N243" s="239">
        <v>0</v>
      </c>
      <c r="O243" s="239">
        <v>0</v>
      </c>
      <c r="P243" s="239">
        <v>-315500</v>
      </c>
      <c r="Q243" s="239">
        <v>0</v>
      </c>
      <c r="R243" s="239">
        <v>-315500</v>
      </c>
      <c r="S243" s="239">
        <v>8451085</v>
      </c>
      <c r="T243" s="239">
        <v>0</v>
      </c>
      <c r="U243" s="239">
        <v>8451085</v>
      </c>
      <c r="V243" s="239">
        <v>-13865530</v>
      </c>
      <c r="W243" s="239">
        <v>-135332</v>
      </c>
      <c r="X243" s="239">
        <v>-14000862</v>
      </c>
      <c r="Y243" s="239">
        <v>134326394</v>
      </c>
      <c r="Z243" s="239">
        <v>5587670</v>
      </c>
      <c r="AA243" s="239">
        <v>139914064</v>
      </c>
      <c r="AB243" s="239">
        <v>5587670</v>
      </c>
      <c r="AC243" s="239">
        <v>5587670</v>
      </c>
      <c r="AD243" s="239">
        <v>0</v>
      </c>
      <c r="AE243" s="239">
        <v>195484</v>
      </c>
      <c r="AF243" s="239">
        <v>195484</v>
      </c>
      <c r="AG243" s="239">
        <v>0</v>
      </c>
      <c r="AH243" s="239">
        <v>0</v>
      </c>
      <c r="AI243" s="239">
        <v>0</v>
      </c>
      <c r="AJ243" s="239">
        <v>0</v>
      </c>
      <c r="AK243" s="239">
        <v>0</v>
      </c>
      <c r="AL243" s="239">
        <v>640636</v>
      </c>
      <c r="AM243" s="239">
        <v>0</v>
      </c>
      <c r="AN243" s="239">
        <v>4947034</v>
      </c>
      <c r="AO243" s="239">
        <v>4947034</v>
      </c>
      <c r="AP243" s="239">
        <v>0</v>
      </c>
      <c r="AQ243" s="239">
        <v>2862044</v>
      </c>
      <c r="AR243" s="239">
        <v>-2524702</v>
      </c>
      <c r="AS243" s="214" t="s">
        <v>855</v>
      </c>
      <c r="AT243" s="214" t="s">
        <v>748</v>
      </c>
      <c r="AU243" s="214" t="s">
        <v>853</v>
      </c>
      <c r="AV243" s="214" t="s">
        <v>1091</v>
      </c>
      <c r="AW243" s="214" t="s">
        <v>1088</v>
      </c>
      <c r="AX243" s="214" t="s">
        <v>748</v>
      </c>
    </row>
    <row r="244" spans="2:50" x14ac:dyDescent="0.2">
      <c r="B244" s="610" t="s">
        <v>571</v>
      </c>
      <c r="C244" s="610" t="s">
        <v>570</v>
      </c>
      <c r="D244" s="239">
        <v>31512697</v>
      </c>
      <c r="E244" s="239">
        <v>0</v>
      </c>
      <c r="F244" s="239">
        <v>31512697</v>
      </c>
      <c r="G244" s="239">
        <v>0</v>
      </c>
      <c r="H244" s="239">
        <v>0</v>
      </c>
      <c r="I244" s="239">
        <v>0</v>
      </c>
      <c r="J244" s="239">
        <v>-341941</v>
      </c>
      <c r="K244" s="239">
        <v>0</v>
      </c>
      <c r="L244" s="239">
        <v>-341941</v>
      </c>
      <c r="M244" s="239">
        <v>0</v>
      </c>
      <c r="N244" s="239">
        <v>0</v>
      </c>
      <c r="O244" s="239">
        <v>0</v>
      </c>
      <c r="P244" s="239">
        <v>-267716</v>
      </c>
      <c r="Q244" s="239">
        <v>0</v>
      </c>
      <c r="R244" s="239">
        <v>-267716</v>
      </c>
      <c r="S244" s="239">
        <v>171139</v>
      </c>
      <c r="T244" s="239">
        <v>0</v>
      </c>
      <c r="U244" s="239">
        <v>171139</v>
      </c>
      <c r="V244" s="239">
        <v>-26873239</v>
      </c>
      <c r="W244" s="239">
        <v>0</v>
      </c>
      <c r="X244" s="239">
        <v>-26873239</v>
      </c>
      <c r="Y244" s="239">
        <v>4542881</v>
      </c>
      <c r="Z244" s="239">
        <v>0</v>
      </c>
      <c r="AA244" s="239">
        <v>4542881</v>
      </c>
      <c r="AB244" s="239">
        <v>0</v>
      </c>
      <c r="AC244" s="239">
        <v>0</v>
      </c>
      <c r="AD244" s="239">
        <v>0</v>
      </c>
      <c r="AE244" s="239">
        <v>0</v>
      </c>
      <c r="AF244" s="239">
        <v>0</v>
      </c>
      <c r="AG244" s="239">
        <v>0</v>
      </c>
      <c r="AH244" s="239">
        <v>0</v>
      </c>
      <c r="AI244" s="239">
        <v>0</v>
      </c>
      <c r="AJ244" s="239">
        <v>0</v>
      </c>
      <c r="AK244" s="239">
        <v>0</v>
      </c>
      <c r="AL244" s="239">
        <v>0</v>
      </c>
      <c r="AM244" s="239">
        <v>0</v>
      </c>
      <c r="AN244" s="239">
        <v>0</v>
      </c>
      <c r="AO244" s="239">
        <v>0</v>
      </c>
      <c r="AP244" s="239">
        <v>0</v>
      </c>
      <c r="AQ244" s="239">
        <v>1387961</v>
      </c>
      <c r="AR244" s="239">
        <v>-315346</v>
      </c>
      <c r="AS244" s="214" t="s">
        <v>570</v>
      </c>
      <c r="AT244" s="214" t="s">
        <v>800</v>
      </c>
      <c r="AU244" s="214" t="s">
        <v>792</v>
      </c>
      <c r="AV244" s="214" t="s">
        <v>1088</v>
      </c>
      <c r="AW244" s="214" t="s">
        <v>1088</v>
      </c>
      <c r="AX244" s="214" t="s">
        <v>1294</v>
      </c>
    </row>
    <row r="245" spans="2:50" x14ac:dyDescent="0.2">
      <c r="B245" s="610" t="s">
        <v>573</v>
      </c>
      <c r="C245" s="610" t="s">
        <v>572</v>
      </c>
      <c r="D245" s="239">
        <v>25571928</v>
      </c>
      <c r="E245" s="239">
        <v>0</v>
      </c>
      <c r="F245" s="239">
        <v>25571928</v>
      </c>
      <c r="G245" s="239">
        <v>-19449</v>
      </c>
      <c r="H245" s="239">
        <v>0</v>
      </c>
      <c r="I245" s="239">
        <v>-19449</v>
      </c>
      <c r="J245" s="239">
        <v>54888</v>
      </c>
      <c r="K245" s="239">
        <v>0</v>
      </c>
      <c r="L245" s="239">
        <v>54888</v>
      </c>
      <c r="M245" s="239">
        <v>0</v>
      </c>
      <c r="N245" s="239">
        <v>0</v>
      </c>
      <c r="O245" s="239">
        <v>0</v>
      </c>
      <c r="P245" s="239">
        <v>-30112</v>
      </c>
      <c r="Q245" s="239">
        <v>0</v>
      </c>
      <c r="R245" s="239">
        <v>-30112</v>
      </c>
      <c r="S245" s="239">
        <v>407967</v>
      </c>
      <c r="T245" s="239">
        <v>0</v>
      </c>
      <c r="U245" s="239">
        <v>407967</v>
      </c>
      <c r="V245" s="239">
        <v>-334395</v>
      </c>
      <c r="W245" s="239">
        <v>0</v>
      </c>
      <c r="X245" s="239">
        <v>-334395</v>
      </c>
      <c r="Y245" s="239">
        <v>25595939</v>
      </c>
      <c r="Z245" s="239">
        <v>0</v>
      </c>
      <c r="AA245" s="239">
        <v>25595939</v>
      </c>
      <c r="AB245" s="239">
        <v>0</v>
      </c>
      <c r="AC245" s="239">
        <v>0</v>
      </c>
      <c r="AD245" s="239">
        <v>0</v>
      </c>
      <c r="AE245" s="239">
        <v>207060</v>
      </c>
      <c r="AF245" s="239">
        <v>207060</v>
      </c>
      <c r="AG245" s="239">
        <v>0</v>
      </c>
      <c r="AH245" s="239">
        <v>0</v>
      </c>
      <c r="AI245" s="239">
        <v>0</v>
      </c>
      <c r="AJ245" s="239">
        <v>0</v>
      </c>
      <c r="AK245" s="239">
        <v>0</v>
      </c>
      <c r="AL245" s="239">
        <v>0</v>
      </c>
      <c r="AM245" s="239">
        <v>0</v>
      </c>
      <c r="AN245" s="239">
        <v>0</v>
      </c>
      <c r="AO245" s="239">
        <v>0</v>
      </c>
      <c r="AP245" s="239">
        <v>0</v>
      </c>
      <c r="AQ245" s="239">
        <v>800359</v>
      </c>
      <c r="AR245" s="239">
        <v>-847923</v>
      </c>
      <c r="AS245" s="214" t="s">
        <v>572</v>
      </c>
      <c r="AT245" s="214" t="s">
        <v>798</v>
      </c>
      <c r="AU245" s="214" t="s">
        <v>763</v>
      </c>
      <c r="AV245" s="214" t="s">
        <v>1088</v>
      </c>
      <c r="AW245" s="214" t="s">
        <v>1088</v>
      </c>
      <c r="AX245" s="214" t="s">
        <v>1294</v>
      </c>
    </row>
    <row r="246" spans="2:50" x14ac:dyDescent="0.2">
      <c r="B246" s="610" t="s">
        <v>575</v>
      </c>
      <c r="C246" s="610" t="s">
        <v>574</v>
      </c>
      <c r="D246" s="239">
        <v>38202175</v>
      </c>
      <c r="E246" s="239">
        <v>0</v>
      </c>
      <c r="F246" s="239">
        <v>38202175</v>
      </c>
      <c r="G246" s="239">
        <v>-26662</v>
      </c>
      <c r="H246" s="239">
        <v>0</v>
      </c>
      <c r="I246" s="239">
        <v>-26662</v>
      </c>
      <c r="J246" s="239">
        <v>0</v>
      </c>
      <c r="K246" s="239">
        <v>0</v>
      </c>
      <c r="L246" s="239">
        <v>0</v>
      </c>
      <c r="M246" s="239">
        <v>0</v>
      </c>
      <c r="N246" s="239">
        <v>0</v>
      </c>
      <c r="O246" s="239">
        <v>0</v>
      </c>
      <c r="P246" s="239">
        <v>-125000</v>
      </c>
      <c r="Q246" s="239">
        <v>0</v>
      </c>
      <c r="R246" s="239">
        <v>-125000</v>
      </c>
      <c r="S246" s="239">
        <v>600380</v>
      </c>
      <c r="T246" s="239">
        <v>0</v>
      </c>
      <c r="U246" s="239">
        <v>600380</v>
      </c>
      <c r="V246" s="239">
        <v>-1126555</v>
      </c>
      <c r="W246" s="239">
        <v>0</v>
      </c>
      <c r="X246" s="239">
        <v>-1126555</v>
      </c>
      <c r="Y246" s="239">
        <v>37524338</v>
      </c>
      <c r="Z246" s="239">
        <v>0</v>
      </c>
      <c r="AA246" s="239">
        <v>37524338</v>
      </c>
      <c r="AB246" s="239">
        <v>0</v>
      </c>
      <c r="AC246" s="239">
        <v>0</v>
      </c>
      <c r="AD246" s="239">
        <v>0</v>
      </c>
      <c r="AE246" s="239">
        <v>43334</v>
      </c>
      <c r="AF246" s="239">
        <v>43334</v>
      </c>
      <c r="AG246" s="239">
        <v>0</v>
      </c>
      <c r="AH246" s="239">
        <v>0</v>
      </c>
      <c r="AI246" s="239">
        <v>0</v>
      </c>
      <c r="AJ246" s="239">
        <v>0</v>
      </c>
      <c r="AK246" s="239">
        <v>0</v>
      </c>
      <c r="AL246" s="239">
        <v>0</v>
      </c>
      <c r="AM246" s="239">
        <v>0</v>
      </c>
      <c r="AN246" s="239">
        <v>0</v>
      </c>
      <c r="AO246" s="239">
        <v>0</v>
      </c>
      <c r="AP246" s="239">
        <v>0</v>
      </c>
      <c r="AQ246" s="239">
        <v>1177310</v>
      </c>
      <c r="AR246" s="239">
        <v>-1165685</v>
      </c>
      <c r="AS246" s="214" t="s">
        <v>574</v>
      </c>
      <c r="AT246" s="214" t="s">
        <v>798</v>
      </c>
      <c r="AU246" s="214" t="s">
        <v>763</v>
      </c>
      <c r="AV246" s="214" t="s">
        <v>1088</v>
      </c>
      <c r="AW246" s="214" t="s">
        <v>1088</v>
      </c>
      <c r="AX246" s="214" t="s">
        <v>1294</v>
      </c>
    </row>
    <row r="247" spans="2:50" x14ac:dyDescent="0.2">
      <c r="B247" s="610" t="s">
        <v>577</v>
      </c>
      <c r="C247" s="610" t="s">
        <v>576</v>
      </c>
      <c r="D247" s="239">
        <v>39906401</v>
      </c>
      <c r="E247" s="239">
        <v>0</v>
      </c>
      <c r="F247" s="239">
        <v>39906401</v>
      </c>
      <c r="G247" s="239">
        <v>0</v>
      </c>
      <c r="H247" s="239">
        <v>0</v>
      </c>
      <c r="I247" s="239">
        <v>0</v>
      </c>
      <c r="J247" s="239">
        <v>-246106</v>
      </c>
      <c r="K247" s="239">
        <v>0</v>
      </c>
      <c r="L247" s="239">
        <v>-246106</v>
      </c>
      <c r="M247" s="239">
        <v>0</v>
      </c>
      <c r="N247" s="239">
        <v>0</v>
      </c>
      <c r="O247" s="239">
        <v>0</v>
      </c>
      <c r="P247" s="239">
        <v>-232132</v>
      </c>
      <c r="Q247" s="239">
        <v>0</v>
      </c>
      <c r="R247" s="239">
        <v>-232132</v>
      </c>
      <c r="S247" s="239">
        <v>512000</v>
      </c>
      <c r="T247" s="239">
        <v>0</v>
      </c>
      <c r="U247" s="239">
        <v>512000</v>
      </c>
      <c r="V247" s="239">
        <v>-166000</v>
      </c>
      <c r="W247" s="239">
        <v>0</v>
      </c>
      <c r="X247" s="239">
        <v>-166000</v>
      </c>
      <c r="Y247" s="239">
        <v>40020269</v>
      </c>
      <c r="Z247" s="239">
        <v>0</v>
      </c>
      <c r="AA247" s="239">
        <v>40020269</v>
      </c>
      <c r="AB247" s="239">
        <v>0</v>
      </c>
      <c r="AC247" s="239">
        <v>0</v>
      </c>
      <c r="AD247" s="239">
        <v>0</v>
      </c>
      <c r="AE247" s="239">
        <v>0</v>
      </c>
      <c r="AF247" s="239">
        <v>0</v>
      </c>
      <c r="AG247" s="239">
        <v>0</v>
      </c>
      <c r="AH247" s="239">
        <v>0</v>
      </c>
      <c r="AI247" s="239">
        <v>0</v>
      </c>
      <c r="AJ247" s="239">
        <v>0</v>
      </c>
      <c r="AK247" s="239">
        <v>0</v>
      </c>
      <c r="AL247" s="239">
        <v>0</v>
      </c>
      <c r="AM247" s="239">
        <v>0</v>
      </c>
      <c r="AN247" s="239">
        <v>0</v>
      </c>
      <c r="AO247" s="239">
        <v>0</v>
      </c>
      <c r="AP247" s="239">
        <v>0</v>
      </c>
      <c r="AQ247" s="239">
        <v>1578383</v>
      </c>
      <c r="AR247" s="239">
        <v>-527519</v>
      </c>
      <c r="AS247" s="214" t="s">
        <v>576</v>
      </c>
      <c r="AT247" s="214" t="s">
        <v>851</v>
      </c>
      <c r="AU247" s="214" t="s">
        <v>763</v>
      </c>
      <c r="AV247" s="214" t="s">
        <v>1088</v>
      </c>
      <c r="AW247" s="214" t="s">
        <v>1088</v>
      </c>
      <c r="AX247" s="214" t="s">
        <v>1294</v>
      </c>
    </row>
    <row r="248" spans="2:50" x14ac:dyDescent="0.2">
      <c r="B248" s="610" t="s">
        <v>579</v>
      </c>
      <c r="C248" s="610" t="s">
        <v>578</v>
      </c>
      <c r="D248" s="239">
        <v>29994215</v>
      </c>
      <c r="E248" s="239">
        <v>0</v>
      </c>
      <c r="F248" s="239">
        <v>29994215</v>
      </c>
      <c r="G248" s="239">
        <v>-4730</v>
      </c>
      <c r="H248" s="239">
        <v>0</v>
      </c>
      <c r="I248" s="239">
        <v>-4730</v>
      </c>
      <c r="J248" s="239">
        <v>-18925</v>
      </c>
      <c r="K248" s="239">
        <v>0</v>
      </c>
      <c r="L248" s="239">
        <v>-18925</v>
      </c>
      <c r="M248" s="239">
        <v>0</v>
      </c>
      <c r="N248" s="239">
        <v>0</v>
      </c>
      <c r="O248" s="239">
        <v>0</v>
      </c>
      <c r="P248" s="239">
        <v>-85344</v>
      </c>
      <c r="Q248" s="239">
        <v>0</v>
      </c>
      <c r="R248" s="239">
        <v>-85344</v>
      </c>
      <c r="S248" s="239">
        <v>0</v>
      </c>
      <c r="T248" s="239">
        <v>0</v>
      </c>
      <c r="U248" s="239">
        <v>0</v>
      </c>
      <c r="V248" s="239">
        <v>-1959861</v>
      </c>
      <c r="W248" s="239">
        <v>0</v>
      </c>
      <c r="X248" s="239">
        <v>-1959861</v>
      </c>
      <c r="Y248" s="239">
        <v>27944280</v>
      </c>
      <c r="Z248" s="239">
        <v>0</v>
      </c>
      <c r="AA248" s="239">
        <v>27944280</v>
      </c>
      <c r="AB248" s="239">
        <v>0</v>
      </c>
      <c r="AC248" s="239">
        <v>0</v>
      </c>
      <c r="AD248" s="239">
        <v>0</v>
      </c>
      <c r="AE248" s="239">
        <v>90480</v>
      </c>
      <c r="AF248" s="239">
        <v>90480</v>
      </c>
      <c r="AG248" s="239">
        <v>0</v>
      </c>
      <c r="AH248" s="239">
        <v>0</v>
      </c>
      <c r="AI248" s="239">
        <v>0</v>
      </c>
      <c r="AJ248" s="239">
        <v>0</v>
      </c>
      <c r="AK248" s="239">
        <v>0</v>
      </c>
      <c r="AL248" s="239">
        <v>0</v>
      </c>
      <c r="AM248" s="239">
        <v>0</v>
      </c>
      <c r="AN248" s="239">
        <v>0</v>
      </c>
      <c r="AO248" s="239">
        <v>0</v>
      </c>
      <c r="AP248" s="239">
        <v>0</v>
      </c>
      <c r="AQ248" s="239">
        <v>1522685</v>
      </c>
      <c r="AR248" s="239">
        <v>-392898</v>
      </c>
      <c r="AS248" s="214" t="s">
        <v>578</v>
      </c>
      <c r="AT248" s="214" t="s">
        <v>849</v>
      </c>
      <c r="AU248" s="214" t="s">
        <v>763</v>
      </c>
      <c r="AV248" s="214" t="s">
        <v>1088</v>
      </c>
      <c r="AW248" s="214" t="s">
        <v>1088</v>
      </c>
      <c r="AX248" s="214" t="s">
        <v>1294</v>
      </c>
    </row>
    <row r="249" spans="2:50" x14ac:dyDescent="0.2">
      <c r="B249" s="610" t="s">
        <v>581</v>
      </c>
      <c r="C249" s="610" t="s">
        <v>580</v>
      </c>
      <c r="D249" s="239">
        <v>21442388</v>
      </c>
      <c r="E249" s="239">
        <v>0</v>
      </c>
      <c r="F249" s="239">
        <v>21442388</v>
      </c>
      <c r="G249" s="239">
        <v>0</v>
      </c>
      <c r="H249" s="239">
        <v>0</v>
      </c>
      <c r="I249" s="239">
        <v>0</v>
      </c>
      <c r="J249" s="239">
        <v>0</v>
      </c>
      <c r="K249" s="239">
        <v>0</v>
      </c>
      <c r="L249" s="239">
        <v>0</v>
      </c>
      <c r="M249" s="239">
        <v>-65540</v>
      </c>
      <c r="N249" s="239">
        <v>0</v>
      </c>
      <c r="O249" s="239">
        <v>-65540</v>
      </c>
      <c r="P249" s="239">
        <v>-59366</v>
      </c>
      <c r="Q249" s="239">
        <v>0</v>
      </c>
      <c r="R249" s="239">
        <v>-59366</v>
      </c>
      <c r="S249" s="239">
        <v>114641</v>
      </c>
      <c r="T249" s="239">
        <v>0</v>
      </c>
      <c r="U249" s="239">
        <v>114641</v>
      </c>
      <c r="V249" s="239">
        <v>-365489</v>
      </c>
      <c r="W249" s="239">
        <v>0</v>
      </c>
      <c r="X249" s="239">
        <v>-365489</v>
      </c>
      <c r="Y249" s="239">
        <v>21066634</v>
      </c>
      <c r="Z249" s="239">
        <v>0</v>
      </c>
      <c r="AA249" s="239">
        <v>21066634</v>
      </c>
      <c r="AB249" s="239">
        <v>0</v>
      </c>
      <c r="AC249" s="239">
        <v>0</v>
      </c>
      <c r="AD249" s="239">
        <v>0</v>
      </c>
      <c r="AE249" s="239">
        <v>259511</v>
      </c>
      <c r="AF249" s="239">
        <v>259511</v>
      </c>
      <c r="AG249" s="239">
        <v>0</v>
      </c>
      <c r="AH249" s="239">
        <v>0</v>
      </c>
      <c r="AI249" s="239">
        <v>0</v>
      </c>
      <c r="AJ249" s="239">
        <v>0</v>
      </c>
      <c r="AK249" s="239">
        <v>0</v>
      </c>
      <c r="AL249" s="239">
        <v>0</v>
      </c>
      <c r="AM249" s="239">
        <v>0</v>
      </c>
      <c r="AN249" s="239">
        <v>0</v>
      </c>
      <c r="AO249" s="239">
        <v>0</v>
      </c>
      <c r="AP249" s="239">
        <v>0</v>
      </c>
      <c r="AQ249" s="239">
        <v>695735</v>
      </c>
      <c r="AR249" s="239">
        <v>-441341</v>
      </c>
      <c r="AS249" s="214" t="s">
        <v>580</v>
      </c>
      <c r="AT249" s="214" t="s">
        <v>805</v>
      </c>
      <c r="AU249" s="214" t="s">
        <v>763</v>
      </c>
      <c r="AV249" s="214" t="s">
        <v>1088</v>
      </c>
      <c r="AW249" s="214" t="s">
        <v>1088</v>
      </c>
      <c r="AX249" s="214" t="s">
        <v>1294</v>
      </c>
    </row>
    <row r="250" spans="2:50" x14ac:dyDescent="0.2">
      <c r="B250" s="610" t="s">
        <v>583</v>
      </c>
      <c r="C250" s="610" t="s">
        <v>582</v>
      </c>
      <c r="D250" s="239">
        <v>43238622</v>
      </c>
      <c r="E250" s="239">
        <v>0</v>
      </c>
      <c r="F250" s="239">
        <v>43238622</v>
      </c>
      <c r="G250" s="239">
        <v>-514</v>
      </c>
      <c r="H250" s="239">
        <v>0</v>
      </c>
      <c r="I250" s="239">
        <v>-514</v>
      </c>
      <c r="J250" s="239">
        <v>-84490</v>
      </c>
      <c r="K250" s="239">
        <v>0</v>
      </c>
      <c r="L250" s="239">
        <v>-84490</v>
      </c>
      <c r="M250" s="239">
        <v>0</v>
      </c>
      <c r="N250" s="239">
        <v>0</v>
      </c>
      <c r="O250" s="239">
        <v>0</v>
      </c>
      <c r="P250" s="239">
        <v>-409340</v>
      </c>
      <c r="Q250" s="239">
        <v>0</v>
      </c>
      <c r="R250" s="239">
        <v>-409340</v>
      </c>
      <c r="S250" s="239">
        <v>359926</v>
      </c>
      <c r="T250" s="239">
        <v>0</v>
      </c>
      <c r="U250" s="239">
        <v>359926</v>
      </c>
      <c r="V250" s="239">
        <v>-1437776</v>
      </c>
      <c r="W250" s="239">
        <v>0</v>
      </c>
      <c r="X250" s="239">
        <v>-1437776</v>
      </c>
      <c r="Y250" s="239">
        <v>41750918</v>
      </c>
      <c r="Z250" s="239">
        <v>0</v>
      </c>
      <c r="AA250" s="239">
        <v>41750918</v>
      </c>
      <c r="AB250" s="239">
        <v>0</v>
      </c>
      <c r="AC250" s="239">
        <v>0</v>
      </c>
      <c r="AD250" s="239">
        <v>0</v>
      </c>
      <c r="AE250" s="239">
        <v>0</v>
      </c>
      <c r="AF250" s="239">
        <v>0</v>
      </c>
      <c r="AG250" s="239">
        <v>0</v>
      </c>
      <c r="AH250" s="239">
        <v>0</v>
      </c>
      <c r="AI250" s="239">
        <v>0</v>
      </c>
      <c r="AJ250" s="239">
        <v>0</v>
      </c>
      <c r="AK250" s="239">
        <v>0</v>
      </c>
      <c r="AL250" s="239">
        <v>0</v>
      </c>
      <c r="AM250" s="239">
        <v>0</v>
      </c>
      <c r="AN250" s="239">
        <v>0</v>
      </c>
      <c r="AO250" s="239">
        <v>0</v>
      </c>
      <c r="AP250" s="239">
        <v>0</v>
      </c>
      <c r="AQ250" s="239">
        <v>2189072</v>
      </c>
      <c r="AR250" s="239">
        <v>-835310</v>
      </c>
      <c r="AS250" s="214" t="s">
        <v>582</v>
      </c>
      <c r="AT250" s="214" t="s">
        <v>796</v>
      </c>
      <c r="AU250" s="214" t="s">
        <v>763</v>
      </c>
      <c r="AV250" s="214" t="s">
        <v>1088</v>
      </c>
      <c r="AW250" s="214" t="s">
        <v>1088</v>
      </c>
      <c r="AX250" s="214" t="s">
        <v>1294</v>
      </c>
    </row>
    <row r="251" spans="2:50" x14ac:dyDescent="0.2">
      <c r="B251" s="610" t="s">
        <v>585</v>
      </c>
      <c r="C251" s="610" t="s">
        <v>584</v>
      </c>
      <c r="D251" s="239">
        <v>39154021</v>
      </c>
      <c r="E251" s="239">
        <v>0</v>
      </c>
      <c r="F251" s="239">
        <v>39154021</v>
      </c>
      <c r="G251" s="239">
        <v>0</v>
      </c>
      <c r="H251" s="239">
        <v>0</v>
      </c>
      <c r="I251" s="239">
        <v>0</v>
      </c>
      <c r="J251" s="239">
        <v>-230044</v>
      </c>
      <c r="K251" s="239">
        <v>0</v>
      </c>
      <c r="L251" s="239">
        <v>-230044</v>
      </c>
      <c r="M251" s="239">
        <v>-83130</v>
      </c>
      <c r="N251" s="239">
        <v>0</v>
      </c>
      <c r="O251" s="239">
        <v>-83130</v>
      </c>
      <c r="P251" s="239">
        <v>-370532</v>
      </c>
      <c r="Q251" s="239">
        <v>0</v>
      </c>
      <c r="R251" s="239">
        <v>-370532</v>
      </c>
      <c r="S251" s="239">
        <v>430425</v>
      </c>
      <c r="T251" s="239">
        <v>0</v>
      </c>
      <c r="U251" s="239">
        <v>430425</v>
      </c>
      <c r="V251" s="239">
        <v>-2113701</v>
      </c>
      <c r="W251" s="239">
        <v>0</v>
      </c>
      <c r="X251" s="239">
        <v>-2113701</v>
      </c>
      <c r="Y251" s="239">
        <v>37017083</v>
      </c>
      <c r="Z251" s="239">
        <v>0</v>
      </c>
      <c r="AA251" s="239">
        <v>37017083</v>
      </c>
      <c r="AB251" s="239">
        <v>0</v>
      </c>
      <c r="AC251" s="239">
        <v>0</v>
      </c>
      <c r="AD251" s="239">
        <v>0</v>
      </c>
      <c r="AE251" s="239">
        <v>0</v>
      </c>
      <c r="AF251" s="239">
        <v>0</v>
      </c>
      <c r="AG251" s="239">
        <v>0</v>
      </c>
      <c r="AH251" s="239">
        <v>0</v>
      </c>
      <c r="AI251" s="239">
        <v>0</v>
      </c>
      <c r="AJ251" s="239">
        <v>0</v>
      </c>
      <c r="AK251" s="239">
        <v>0</v>
      </c>
      <c r="AL251" s="239">
        <v>0</v>
      </c>
      <c r="AM251" s="239">
        <v>0</v>
      </c>
      <c r="AN251" s="239">
        <v>0</v>
      </c>
      <c r="AO251" s="239">
        <v>0</v>
      </c>
      <c r="AP251" s="239">
        <v>0</v>
      </c>
      <c r="AQ251" s="239">
        <v>1237228</v>
      </c>
      <c r="AR251" s="239">
        <v>-302599</v>
      </c>
      <c r="AS251" s="214" t="s">
        <v>584</v>
      </c>
      <c r="AT251" s="214" t="s">
        <v>757</v>
      </c>
      <c r="AU251" s="214" t="s">
        <v>755</v>
      </c>
      <c r="AV251" s="214" t="s">
        <v>1088</v>
      </c>
      <c r="AW251" s="214" t="s">
        <v>1088</v>
      </c>
      <c r="AX251" s="214" t="s">
        <v>1294</v>
      </c>
    </row>
    <row r="252" spans="2:50" x14ac:dyDescent="0.2">
      <c r="B252" s="610" t="s">
        <v>587</v>
      </c>
      <c r="C252" s="610" t="s">
        <v>586</v>
      </c>
      <c r="D252" s="239">
        <v>41881980</v>
      </c>
      <c r="E252" s="239">
        <v>0</v>
      </c>
      <c r="F252" s="239">
        <v>41881980</v>
      </c>
      <c r="G252" s="239">
        <v>-100956</v>
      </c>
      <c r="H252" s="239">
        <v>0</v>
      </c>
      <c r="I252" s="239">
        <v>-100956</v>
      </c>
      <c r="J252" s="239">
        <v>-510464</v>
      </c>
      <c r="K252" s="239">
        <v>0</v>
      </c>
      <c r="L252" s="239">
        <v>-510464</v>
      </c>
      <c r="M252" s="239">
        <v>0</v>
      </c>
      <c r="N252" s="239">
        <v>0</v>
      </c>
      <c r="O252" s="239">
        <v>0</v>
      </c>
      <c r="P252" s="239">
        <v>-903351</v>
      </c>
      <c r="Q252" s="239">
        <v>0</v>
      </c>
      <c r="R252" s="239">
        <v>-903351</v>
      </c>
      <c r="S252" s="239">
        <v>2226554</v>
      </c>
      <c r="T252" s="239">
        <v>0</v>
      </c>
      <c r="U252" s="239">
        <v>2226554</v>
      </c>
      <c r="V252" s="239">
        <v>-3012336</v>
      </c>
      <c r="W252" s="239">
        <v>0</v>
      </c>
      <c r="X252" s="239">
        <v>-3012336</v>
      </c>
      <c r="Y252" s="239">
        <v>40091891</v>
      </c>
      <c r="Z252" s="239">
        <v>0</v>
      </c>
      <c r="AA252" s="239">
        <v>40091891</v>
      </c>
      <c r="AB252" s="239">
        <v>0</v>
      </c>
      <c r="AC252" s="239">
        <v>0</v>
      </c>
      <c r="AD252" s="239">
        <v>0</v>
      </c>
      <c r="AE252" s="239">
        <v>229340</v>
      </c>
      <c r="AF252" s="239">
        <v>229340</v>
      </c>
      <c r="AG252" s="239">
        <v>0</v>
      </c>
      <c r="AH252" s="239">
        <v>0</v>
      </c>
      <c r="AI252" s="239">
        <v>0</v>
      </c>
      <c r="AJ252" s="239">
        <v>0</v>
      </c>
      <c r="AK252" s="239">
        <v>0</v>
      </c>
      <c r="AL252" s="239">
        <v>0</v>
      </c>
      <c r="AM252" s="239">
        <v>0</v>
      </c>
      <c r="AN252" s="239">
        <v>0</v>
      </c>
      <c r="AO252" s="239">
        <v>0</v>
      </c>
      <c r="AP252" s="239">
        <v>0</v>
      </c>
      <c r="AQ252" s="239">
        <v>3170063</v>
      </c>
      <c r="AR252" s="239">
        <v>-2557748</v>
      </c>
      <c r="AS252" s="214" t="s">
        <v>586</v>
      </c>
      <c r="AT252" s="214" t="s">
        <v>794</v>
      </c>
      <c r="AU252" s="214" t="s">
        <v>792</v>
      </c>
      <c r="AV252" s="214" t="s">
        <v>1088</v>
      </c>
      <c r="AW252" s="214" t="s">
        <v>1088</v>
      </c>
      <c r="AX252" s="214" t="s">
        <v>1294</v>
      </c>
    </row>
    <row r="253" spans="2:50" x14ac:dyDescent="0.2">
      <c r="B253" s="610" t="s">
        <v>589</v>
      </c>
      <c r="C253" s="610" t="s">
        <v>588</v>
      </c>
      <c r="D253" s="239">
        <v>22324485</v>
      </c>
      <c r="E253" s="239">
        <v>2308398</v>
      </c>
      <c r="F253" s="239">
        <v>24632883</v>
      </c>
      <c r="G253" s="239">
        <v>0</v>
      </c>
      <c r="H253" s="239">
        <v>0</v>
      </c>
      <c r="I253" s="239">
        <v>0</v>
      </c>
      <c r="J253" s="239">
        <v>-196683</v>
      </c>
      <c r="K253" s="239">
        <v>0</v>
      </c>
      <c r="L253" s="239">
        <v>-196683</v>
      </c>
      <c r="M253" s="239">
        <v>0</v>
      </c>
      <c r="N253" s="239">
        <v>0</v>
      </c>
      <c r="O253" s="239">
        <v>0</v>
      </c>
      <c r="P253" s="239">
        <v>-296683</v>
      </c>
      <c r="Q253" s="239">
        <v>0</v>
      </c>
      <c r="R253" s="239">
        <v>-296683</v>
      </c>
      <c r="S253" s="239">
        <v>719654</v>
      </c>
      <c r="T253" s="239">
        <v>0</v>
      </c>
      <c r="U253" s="239">
        <v>719654</v>
      </c>
      <c r="V253" s="239">
        <v>-878654</v>
      </c>
      <c r="W253" s="239">
        <v>-111000</v>
      </c>
      <c r="X253" s="239">
        <v>-989654</v>
      </c>
      <c r="Y253" s="239">
        <v>21868802</v>
      </c>
      <c r="Z253" s="239">
        <v>2197398</v>
      </c>
      <c r="AA253" s="239">
        <v>24066200</v>
      </c>
      <c r="AB253" s="239">
        <v>2197398</v>
      </c>
      <c r="AC253" s="239">
        <v>2197398</v>
      </c>
      <c r="AD253" s="239">
        <v>0</v>
      </c>
      <c r="AE253" s="239">
        <v>215688</v>
      </c>
      <c r="AF253" s="239">
        <v>215688</v>
      </c>
      <c r="AG253" s="239">
        <v>0</v>
      </c>
      <c r="AH253" s="239">
        <v>0</v>
      </c>
      <c r="AI253" s="239">
        <v>0</v>
      </c>
      <c r="AJ253" s="239">
        <v>0</v>
      </c>
      <c r="AK253" s="239">
        <v>0</v>
      </c>
      <c r="AL253" s="239">
        <v>0</v>
      </c>
      <c r="AM253" s="239">
        <v>0</v>
      </c>
      <c r="AN253" s="239">
        <v>2197398</v>
      </c>
      <c r="AO253" s="239">
        <v>2197398</v>
      </c>
      <c r="AP253" s="239">
        <v>0</v>
      </c>
      <c r="AQ253" s="239">
        <v>1126727</v>
      </c>
      <c r="AR253" s="239">
        <v>-373733</v>
      </c>
      <c r="AS253" s="214" t="s">
        <v>588</v>
      </c>
      <c r="AT253" s="214" t="s">
        <v>838</v>
      </c>
      <c r="AU253" s="214" t="s">
        <v>836</v>
      </c>
      <c r="AV253" s="214" t="s">
        <v>1120</v>
      </c>
      <c r="AW253" s="214" t="s">
        <v>1088</v>
      </c>
      <c r="AX253" s="214" t="s">
        <v>1294</v>
      </c>
    </row>
    <row r="254" spans="2:50" x14ac:dyDescent="0.2">
      <c r="B254" s="610" t="s">
        <v>591</v>
      </c>
      <c r="C254" s="610" t="s">
        <v>590</v>
      </c>
      <c r="D254" s="239">
        <v>31346377</v>
      </c>
      <c r="E254" s="239">
        <v>0</v>
      </c>
      <c r="F254" s="239">
        <v>31346377</v>
      </c>
      <c r="G254" s="239">
        <v>-311</v>
      </c>
      <c r="H254" s="239">
        <v>0</v>
      </c>
      <c r="I254" s="239">
        <v>-311</v>
      </c>
      <c r="J254" s="239">
        <v>-279600</v>
      </c>
      <c r="K254" s="239">
        <v>0</v>
      </c>
      <c r="L254" s="239">
        <v>-279600</v>
      </c>
      <c r="M254" s="239">
        <v>0</v>
      </c>
      <c r="N254" s="239">
        <v>0</v>
      </c>
      <c r="O254" s="239">
        <v>0</v>
      </c>
      <c r="P254" s="239">
        <v>-396437</v>
      </c>
      <c r="Q254" s="239">
        <v>0</v>
      </c>
      <c r="R254" s="239">
        <v>-396437</v>
      </c>
      <c r="S254" s="239">
        <v>1435548</v>
      </c>
      <c r="T254" s="239">
        <v>0</v>
      </c>
      <c r="U254" s="239">
        <v>1435548</v>
      </c>
      <c r="V254" s="239">
        <v>-2069412</v>
      </c>
      <c r="W254" s="239">
        <v>0</v>
      </c>
      <c r="X254" s="239">
        <v>-2069412</v>
      </c>
      <c r="Y254" s="239">
        <v>30315765</v>
      </c>
      <c r="Z254" s="239">
        <v>0</v>
      </c>
      <c r="AA254" s="239">
        <v>30315765</v>
      </c>
      <c r="AB254" s="239">
        <v>0</v>
      </c>
      <c r="AC254" s="239">
        <v>0</v>
      </c>
      <c r="AD254" s="239">
        <v>0</v>
      </c>
      <c r="AE254" s="239">
        <v>0</v>
      </c>
      <c r="AF254" s="239">
        <v>0</v>
      </c>
      <c r="AG254" s="239">
        <v>0</v>
      </c>
      <c r="AH254" s="239">
        <v>0</v>
      </c>
      <c r="AI254" s="239">
        <v>0</v>
      </c>
      <c r="AJ254" s="239">
        <v>0</v>
      </c>
      <c r="AK254" s="239">
        <v>0</v>
      </c>
      <c r="AL254" s="239">
        <v>0</v>
      </c>
      <c r="AM254" s="239">
        <v>0</v>
      </c>
      <c r="AN254" s="239">
        <v>0</v>
      </c>
      <c r="AO254" s="239">
        <v>0</v>
      </c>
      <c r="AP254" s="239">
        <v>0</v>
      </c>
      <c r="AQ254" s="239">
        <v>2015554</v>
      </c>
      <c r="AR254" s="239">
        <v>-738806</v>
      </c>
      <c r="AS254" s="214" t="s">
        <v>590</v>
      </c>
      <c r="AT254" s="214" t="s">
        <v>768</v>
      </c>
      <c r="AU254" s="214" t="s">
        <v>841</v>
      </c>
      <c r="AV254" s="214" t="s">
        <v>1088</v>
      </c>
      <c r="AW254" s="214" t="s">
        <v>1088</v>
      </c>
      <c r="AX254" s="214" t="s">
        <v>1296</v>
      </c>
    </row>
    <row r="255" spans="2:50" x14ac:dyDescent="0.2">
      <c r="B255" s="610" t="s">
        <v>593</v>
      </c>
      <c r="C255" s="610" t="s">
        <v>592</v>
      </c>
      <c r="D255" s="239">
        <v>103064256</v>
      </c>
      <c r="E255" s="239">
        <v>0</v>
      </c>
      <c r="F255" s="239">
        <v>103064256</v>
      </c>
      <c r="G255" s="239">
        <v>-42948</v>
      </c>
      <c r="H255" s="239">
        <v>0</v>
      </c>
      <c r="I255" s="239">
        <v>-42948</v>
      </c>
      <c r="J255" s="239">
        <v>-580739</v>
      </c>
      <c r="K255" s="239">
        <v>0</v>
      </c>
      <c r="L255" s="239">
        <v>-580739</v>
      </c>
      <c r="M255" s="239">
        <v>0</v>
      </c>
      <c r="N255" s="239">
        <v>0</v>
      </c>
      <c r="O255" s="239">
        <v>0</v>
      </c>
      <c r="P255" s="239">
        <v>-990504</v>
      </c>
      <c r="Q255" s="239">
        <v>0</v>
      </c>
      <c r="R255" s="239">
        <v>-990504</v>
      </c>
      <c r="S255" s="239">
        <v>8056283</v>
      </c>
      <c r="T255" s="239">
        <v>0</v>
      </c>
      <c r="U255" s="239">
        <v>8056283</v>
      </c>
      <c r="V255" s="239">
        <v>-7571669</v>
      </c>
      <c r="W255" s="239">
        <v>0</v>
      </c>
      <c r="X255" s="239">
        <v>-7571669</v>
      </c>
      <c r="Y255" s="239">
        <v>102515418</v>
      </c>
      <c r="Z255" s="239">
        <v>0</v>
      </c>
      <c r="AA255" s="239">
        <v>102515418</v>
      </c>
      <c r="AB255" s="239">
        <v>0</v>
      </c>
      <c r="AC255" s="239">
        <v>0</v>
      </c>
      <c r="AD255" s="239">
        <v>0</v>
      </c>
      <c r="AE255" s="239">
        <v>0</v>
      </c>
      <c r="AF255" s="239">
        <v>0</v>
      </c>
      <c r="AG255" s="239">
        <v>0</v>
      </c>
      <c r="AH255" s="239">
        <v>0</v>
      </c>
      <c r="AI255" s="239">
        <v>0</v>
      </c>
      <c r="AJ255" s="239">
        <v>0</v>
      </c>
      <c r="AK255" s="239">
        <v>0</v>
      </c>
      <c r="AL255" s="239">
        <v>0</v>
      </c>
      <c r="AM255" s="239">
        <v>0</v>
      </c>
      <c r="AN255" s="239">
        <v>0</v>
      </c>
      <c r="AO255" s="239">
        <v>0</v>
      </c>
      <c r="AP255" s="239">
        <v>0</v>
      </c>
      <c r="AQ255" s="239">
        <v>4643352</v>
      </c>
      <c r="AR255" s="239">
        <v>-2693440</v>
      </c>
      <c r="AS255" s="214" t="s">
        <v>848</v>
      </c>
      <c r="AT255" s="214" t="s">
        <v>748</v>
      </c>
      <c r="AU255" s="214" t="s">
        <v>777</v>
      </c>
      <c r="AV255" s="214" t="s">
        <v>1088</v>
      </c>
      <c r="AW255" s="214" t="s">
        <v>1088</v>
      </c>
      <c r="AX255" s="214" t="s">
        <v>748</v>
      </c>
    </row>
    <row r="256" spans="2:50" x14ac:dyDescent="0.2">
      <c r="B256" s="610" t="s">
        <v>595</v>
      </c>
      <c r="C256" s="610" t="s">
        <v>594</v>
      </c>
      <c r="D256" s="239">
        <v>45595778</v>
      </c>
      <c r="E256" s="239">
        <v>0</v>
      </c>
      <c r="F256" s="239">
        <v>45595778</v>
      </c>
      <c r="G256" s="239">
        <v>0</v>
      </c>
      <c r="H256" s="239">
        <v>0</v>
      </c>
      <c r="I256" s="239">
        <v>0</v>
      </c>
      <c r="J256" s="239">
        <v>-408096.61</v>
      </c>
      <c r="K256" s="239">
        <v>0</v>
      </c>
      <c r="L256" s="239">
        <v>-408096.61</v>
      </c>
      <c r="M256" s="239">
        <v>-83670</v>
      </c>
      <c r="N256" s="239">
        <v>0</v>
      </c>
      <c r="O256" s="239">
        <v>-83670</v>
      </c>
      <c r="P256" s="239">
        <v>-503792</v>
      </c>
      <c r="Q256" s="239">
        <v>0</v>
      </c>
      <c r="R256" s="239">
        <v>-503792</v>
      </c>
      <c r="S256" s="239">
        <v>2128074</v>
      </c>
      <c r="T256" s="239">
        <v>0</v>
      </c>
      <c r="U256" s="239">
        <v>2128074</v>
      </c>
      <c r="V256" s="239">
        <v>-3387509</v>
      </c>
      <c r="W256" s="239">
        <v>0</v>
      </c>
      <c r="X256" s="239">
        <v>-3387509</v>
      </c>
      <c r="Y256" s="239">
        <v>43748881</v>
      </c>
      <c r="Z256" s="239">
        <v>0</v>
      </c>
      <c r="AA256" s="239">
        <v>43748881</v>
      </c>
      <c r="AB256" s="239">
        <v>0</v>
      </c>
      <c r="AC256" s="239">
        <v>0</v>
      </c>
      <c r="AD256" s="239">
        <v>0</v>
      </c>
      <c r="AE256" s="239">
        <v>0</v>
      </c>
      <c r="AF256" s="239">
        <v>0</v>
      </c>
      <c r="AG256" s="239">
        <v>0</v>
      </c>
      <c r="AH256" s="239">
        <v>0</v>
      </c>
      <c r="AI256" s="239">
        <v>0</v>
      </c>
      <c r="AJ256" s="239">
        <v>0</v>
      </c>
      <c r="AK256" s="239">
        <v>0</v>
      </c>
      <c r="AL256" s="239">
        <v>0</v>
      </c>
      <c r="AM256" s="239">
        <v>0</v>
      </c>
      <c r="AN256" s="239">
        <v>0</v>
      </c>
      <c r="AO256" s="239">
        <v>0</v>
      </c>
      <c r="AP256" s="239">
        <v>0</v>
      </c>
      <c r="AQ256" s="239">
        <v>2028757</v>
      </c>
      <c r="AR256" s="239">
        <v>-1210877</v>
      </c>
      <c r="AS256" s="214" t="s">
        <v>847</v>
      </c>
      <c r="AT256" s="214" t="s">
        <v>748</v>
      </c>
      <c r="AU256" s="214" t="s">
        <v>820</v>
      </c>
      <c r="AV256" s="214" t="s">
        <v>1088</v>
      </c>
      <c r="AW256" s="214" t="s">
        <v>1088</v>
      </c>
      <c r="AX256" s="214" t="s">
        <v>748</v>
      </c>
    </row>
    <row r="257" spans="2:50" x14ac:dyDescent="0.2">
      <c r="B257" s="610" t="s">
        <v>597</v>
      </c>
      <c r="C257" s="610" t="s">
        <v>596</v>
      </c>
      <c r="D257" s="239">
        <v>224414628</v>
      </c>
      <c r="E257" s="239">
        <v>0</v>
      </c>
      <c r="F257" s="239">
        <v>224414628</v>
      </c>
      <c r="G257" s="239">
        <v>-417</v>
      </c>
      <c r="H257" s="239">
        <v>0</v>
      </c>
      <c r="I257" s="239">
        <v>-417</v>
      </c>
      <c r="J257" s="239">
        <v>-1844645</v>
      </c>
      <c r="K257" s="239">
        <v>0</v>
      </c>
      <c r="L257" s="239">
        <v>-1844645</v>
      </c>
      <c r="M257" s="239">
        <v>0</v>
      </c>
      <c r="N257" s="239">
        <v>0</v>
      </c>
      <c r="O257" s="239">
        <v>0</v>
      </c>
      <c r="P257" s="239">
        <v>-782601</v>
      </c>
      <c r="Q257" s="239">
        <v>0</v>
      </c>
      <c r="R257" s="239">
        <v>-782601</v>
      </c>
      <c r="S257" s="239">
        <v>7419782</v>
      </c>
      <c r="T257" s="239">
        <v>0</v>
      </c>
      <c r="U257" s="239">
        <v>7419782</v>
      </c>
      <c r="V257" s="239">
        <v>4208943</v>
      </c>
      <c r="W257" s="239">
        <v>0</v>
      </c>
      <c r="X257" s="239">
        <v>4208943</v>
      </c>
      <c r="Y257" s="239">
        <v>235260335</v>
      </c>
      <c r="Z257" s="239">
        <v>0</v>
      </c>
      <c r="AA257" s="239">
        <v>235260335</v>
      </c>
      <c r="AB257" s="239">
        <v>0</v>
      </c>
      <c r="AC257" s="239">
        <v>0</v>
      </c>
      <c r="AD257" s="239">
        <v>0</v>
      </c>
      <c r="AE257" s="239">
        <v>0</v>
      </c>
      <c r="AF257" s="239">
        <v>0</v>
      </c>
      <c r="AG257" s="239">
        <v>0</v>
      </c>
      <c r="AH257" s="239">
        <v>0</v>
      </c>
      <c r="AI257" s="239">
        <v>0</v>
      </c>
      <c r="AJ257" s="239">
        <v>0</v>
      </c>
      <c r="AK257" s="239">
        <v>0</v>
      </c>
      <c r="AL257" s="239">
        <v>0</v>
      </c>
      <c r="AM257" s="239">
        <v>0</v>
      </c>
      <c r="AN257" s="239">
        <v>0</v>
      </c>
      <c r="AO257" s="239">
        <v>0</v>
      </c>
      <c r="AP257" s="239">
        <v>0</v>
      </c>
      <c r="AQ257" s="239">
        <v>9657220</v>
      </c>
      <c r="AR257" s="239">
        <v>-17453025</v>
      </c>
      <c r="AS257" s="214" t="s">
        <v>596</v>
      </c>
      <c r="AT257" s="214" t="s">
        <v>790</v>
      </c>
      <c r="AU257" s="214" t="s">
        <v>749</v>
      </c>
      <c r="AV257" s="214" t="s">
        <v>1088</v>
      </c>
      <c r="AW257" s="214" t="s">
        <v>1088</v>
      </c>
      <c r="AX257" s="214" t="s">
        <v>1297</v>
      </c>
    </row>
    <row r="258" spans="2:50" x14ac:dyDescent="0.2">
      <c r="B258" s="610" t="s">
        <v>599</v>
      </c>
      <c r="C258" s="610" t="s">
        <v>598</v>
      </c>
      <c r="D258" s="239">
        <v>41967497</v>
      </c>
      <c r="E258" s="239">
        <v>0</v>
      </c>
      <c r="F258" s="239">
        <v>41967497</v>
      </c>
      <c r="G258" s="239">
        <v>-3966</v>
      </c>
      <c r="H258" s="239">
        <v>0</v>
      </c>
      <c r="I258" s="239">
        <v>-3966</v>
      </c>
      <c r="J258" s="239">
        <v>-47620</v>
      </c>
      <c r="K258" s="239">
        <v>0</v>
      </c>
      <c r="L258" s="239">
        <v>-47620</v>
      </c>
      <c r="M258" s="239">
        <v>0</v>
      </c>
      <c r="N258" s="239">
        <v>0</v>
      </c>
      <c r="O258" s="239">
        <v>0</v>
      </c>
      <c r="P258" s="239">
        <v>-790000</v>
      </c>
      <c r="Q258" s="239">
        <v>0</v>
      </c>
      <c r="R258" s="239">
        <v>-790000</v>
      </c>
      <c r="S258" s="239">
        <v>538627</v>
      </c>
      <c r="T258" s="239">
        <v>0</v>
      </c>
      <c r="U258" s="239">
        <v>538627</v>
      </c>
      <c r="V258" s="239">
        <v>653509</v>
      </c>
      <c r="W258" s="239">
        <v>0</v>
      </c>
      <c r="X258" s="239">
        <v>653509</v>
      </c>
      <c r="Y258" s="239">
        <v>42365667</v>
      </c>
      <c r="Z258" s="239">
        <v>0</v>
      </c>
      <c r="AA258" s="239">
        <v>42365667</v>
      </c>
      <c r="AB258" s="239">
        <v>0</v>
      </c>
      <c r="AC258" s="239">
        <v>0</v>
      </c>
      <c r="AD258" s="239">
        <v>0</v>
      </c>
      <c r="AE258" s="239">
        <v>0</v>
      </c>
      <c r="AF258" s="239">
        <v>0</v>
      </c>
      <c r="AG258" s="239">
        <v>0</v>
      </c>
      <c r="AH258" s="239">
        <v>0</v>
      </c>
      <c r="AI258" s="239">
        <v>0</v>
      </c>
      <c r="AJ258" s="239">
        <v>0</v>
      </c>
      <c r="AK258" s="239">
        <v>0</v>
      </c>
      <c r="AL258" s="239">
        <v>0</v>
      </c>
      <c r="AM258" s="239">
        <v>0</v>
      </c>
      <c r="AN258" s="239">
        <v>0</v>
      </c>
      <c r="AO258" s="239">
        <v>0</v>
      </c>
      <c r="AP258" s="239">
        <v>0</v>
      </c>
      <c r="AQ258" s="239">
        <v>2004492</v>
      </c>
      <c r="AR258" s="239">
        <v>-1134852</v>
      </c>
      <c r="AS258" s="214" t="s">
        <v>598</v>
      </c>
      <c r="AT258" s="214" t="s">
        <v>772</v>
      </c>
      <c r="AU258" s="214" t="s">
        <v>763</v>
      </c>
      <c r="AV258" s="214" t="s">
        <v>1088</v>
      </c>
      <c r="AW258" s="214" t="s">
        <v>1088</v>
      </c>
      <c r="AX258" s="214" t="s">
        <v>1294</v>
      </c>
    </row>
    <row r="259" spans="2:50" x14ac:dyDescent="0.2">
      <c r="B259" s="610" t="s">
        <v>601</v>
      </c>
      <c r="C259" s="610" t="s">
        <v>600</v>
      </c>
      <c r="D259" s="239">
        <v>63553982</v>
      </c>
      <c r="E259" s="239">
        <v>0</v>
      </c>
      <c r="F259" s="239">
        <v>63553982</v>
      </c>
      <c r="G259" s="239">
        <v>0</v>
      </c>
      <c r="H259" s="239">
        <v>0</v>
      </c>
      <c r="I259" s="239">
        <v>0</v>
      </c>
      <c r="J259" s="239">
        <v>0</v>
      </c>
      <c r="K259" s="239">
        <v>0</v>
      </c>
      <c r="L259" s="239">
        <v>0</v>
      </c>
      <c r="M259" s="239">
        <v>-249337</v>
      </c>
      <c r="N259" s="239">
        <v>0</v>
      </c>
      <c r="O259" s="239">
        <v>-249337</v>
      </c>
      <c r="P259" s="239">
        <v>-156000</v>
      </c>
      <c r="Q259" s="239">
        <v>0</v>
      </c>
      <c r="R259" s="239">
        <v>-156000</v>
      </c>
      <c r="S259" s="239">
        <v>899060</v>
      </c>
      <c r="T259" s="239">
        <v>0</v>
      </c>
      <c r="U259" s="239">
        <v>899060</v>
      </c>
      <c r="V259" s="239">
        <v>-3869748</v>
      </c>
      <c r="W259" s="239">
        <v>0</v>
      </c>
      <c r="X259" s="239">
        <v>-3869748</v>
      </c>
      <c r="Y259" s="239">
        <v>60177957</v>
      </c>
      <c r="Z259" s="239">
        <v>0</v>
      </c>
      <c r="AA259" s="239">
        <v>60177957</v>
      </c>
      <c r="AB259" s="239">
        <v>0</v>
      </c>
      <c r="AC259" s="239">
        <v>0</v>
      </c>
      <c r="AD259" s="239">
        <v>0</v>
      </c>
      <c r="AE259" s="239">
        <v>0</v>
      </c>
      <c r="AF259" s="239">
        <v>0</v>
      </c>
      <c r="AG259" s="239">
        <v>0</v>
      </c>
      <c r="AH259" s="239">
        <v>0</v>
      </c>
      <c r="AI259" s="239">
        <v>0</v>
      </c>
      <c r="AJ259" s="239">
        <v>0</v>
      </c>
      <c r="AK259" s="239">
        <v>0</v>
      </c>
      <c r="AL259" s="239">
        <v>0</v>
      </c>
      <c r="AM259" s="239">
        <v>0</v>
      </c>
      <c r="AN259" s="239">
        <v>0</v>
      </c>
      <c r="AO259" s="239">
        <v>0</v>
      </c>
      <c r="AP259" s="239">
        <v>0</v>
      </c>
      <c r="AQ259" s="239">
        <v>2428638</v>
      </c>
      <c r="AR259" s="239">
        <v>-851622</v>
      </c>
      <c r="AS259" s="214" t="s">
        <v>600</v>
      </c>
      <c r="AT259" s="214" t="s">
        <v>803</v>
      </c>
      <c r="AU259" s="214" t="s">
        <v>763</v>
      </c>
      <c r="AV259" s="214" t="s">
        <v>1088</v>
      </c>
      <c r="AW259" s="214" t="s">
        <v>1088</v>
      </c>
      <c r="AX259" s="214" t="s">
        <v>1294</v>
      </c>
    </row>
    <row r="260" spans="2:50" x14ac:dyDescent="0.2">
      <c r="B260" s="610" t="s">
        <v>603</v>
      </c>
      <c r="C260" s="610" t="s">
        <v>602</v>
      </c>
      <c r="D260" s="239">
        <v>47372083</v>
      </c>
      <c r="E260" s="239">
        <v>0</v>
      </c>
      <c r="F260" s="239">
        <v>47372083</v>
      </c>
      <c r="G260" s="239">
        <v>0</v>
      </c>
      <c r="H260" s="239">
        <v>0</v>
      </c>
      <c r="I260" s="239">
        <v>0</v>
      </c>
      <c r="J260" s="239">
        <v>-160248</v>
      </c>
      <c r="K260" s="239">
        <v>0</v>
      </c>
      <c r="L260" s="239">
        <v>-160248</v>
      </c>
      <c r="M260" s="239">
        <v>0</v>
      </c>
      <c r="N260" s="239">
        <v>0</v>
      </c>
      <c r="O260" s="239">
        <v>0</v>
      </c>
      <c r="P260" s="239">
        <v>-189801.72</v>
      </c>
      <c r="Q260" s="239">
        <v>0</v>
      </c>
      <c r="R260" s="239">
        <v>-189801.72</v>
      </c>
      <c r="S260" s="239">
        <v>567231</v>
      </c>
      <c r="T260" s="239">
        <v>0</v>
      </c>
      <c r="U260" s="239">
        <v>567231</v>
      </c>
      <c r="V260" s="239">
        <v>-1859452</v>
      </c>
      <c r="W260" s="239">
        <v>0</v>
      </c>
      <c r="X260" s="239">
        <v>-1859452</v>
      </c>
      <c r="Y260" s="239">
        <v>45890060.280000001</v>
      </c>
      <c r="Z260" s="239">
        <v>0</v>
      </c>
      <c r="AA260" s="239">
        <v>45890060.280000001</v>
      </c>
      <c r="AB260" s="239">
        <v>0</v>
      </c>
      <c r="AC260" s="239">
        <v>0</v>
      </c>
      <c r="AD260" s="239">
        <v>0</v>
      </c>
      <c r="AE260" s="239">
        <v>260058</v>
      </c>
      <c r="AF260" s="239">
        <v>260058</v>
      </c>
      <c r="AG260" s="239">
        <v>0</v>
      </c>
      <c r="AH260" s="239">
        <v>0</v>
      </c>
      <c r="AI260" s="239">
        <v>0</v>
      </c>
      <c r="AJ260" s="239">
        <v>0</v>
      </c>
      <c r="AK260" s="239">
        <v>0</v>
      </c>
      <c r="AL260" s="239">
        <v>0</v>
      </c>
      <c r="AM260" s="239">
        <v>0</v>
      </c>
      <c r="AN260" s="239">
        <v>0</v>
      </c>
      <c r="AO260" s="239">
        <v>0</v>
      </c>
      <c r="AP260" s="239">
        <v>0</v>
      </c>
      <c r="AQ260" s="239">
        <v>1535963</v>
      </c>
      <c r="AR260" s="239">
        <v>-463803</v>
      </c>
      <c r="AS260" s="214" t="s">
        <v>602</v>
      </c>
      <c r="AT260" s="214" t="s">
        <v>811</v>
      </c>
      <c r="AU260" s="214" t="s">
        <v>763</v>
      </c>
      <c r="AV260" s="214" t="s">
        <v>1088</v>
      </c>
      <c r="AW260" s="214" t="s">
        <v>1088</v>
      </c>
      <c r="AX260" s="214" t="s">
        <v>1294</v>
      </c>
    </row>
    <row r="261" spans="2:50" x14ac:dyDescent="0.2">
      <c r="B261" s="610" t="s">
        <v>605</v>
      </c>
      <c r="C261" s="610" t="s">
        <v>604</v>
      </c>
      <c r="D261" s="239">
        <v>51661928</v>
      </c>
      <c r="E261" s="239">
        <v>0</v>
      </c>
      <c r="F261" s="239">
        <v>51661928</v>
      </c>
      <c r="G261" s="239">
        <v>0</v>
      </c>
      <c r="H261" s="239">
        <v>0</v>
      </c>
      <c r="I261" s="239">
        <v>0</v>
      </c>
      <c r="J261" s="239">
        <v>-516557</v>
      </c>
      <c r="K261" s="239">
        <v>0</v>
      </c>
      <c r="L261" s="239">
        <v>-516557</v>
      </c>
      <c r="M261" s="239">
        <v>0</v>
      </c>
      <c r="N261" s="239">
        <v>0</v>
      </c>
      <c r="O261" s="239">
        <v>0</v>
      </c>
      <c r="P261" s="239">
        <v>-858306</v>
      </c>
      <c r="Q261" s="239">
        <v>0</v>
      </c>
      <c r="R261" s="239">
        <v>-858306</v>
      </c>
      <c r="S261" s="239">
        <v>1231833</v>
      </c>
      <c r="T261" s="239">
        <v>0</v>
      </c>
      <c r="U261" s="239">
        <v>1231833</v>
      </c>
      <c r="V261" s="239">
        <v>-3262622</v>
      </c>
      <c r="W261" s="239">
        <v>0</v>
      </c>
      <c r="X261" s="239">
        <v>-3262622</v>
      </c>
      <c r="Y261" s="239">
        <v>48772833</v>
      </c>
      <c r="Z261" s="239">
        <v>0</v>
      </c>
      <c r="AA261" s="239">
        <v>48772833</v>
      </c>
      <c r="AB261" s="239">
        <v>0</v>
      </c>
      <c r="AC261" s="239">
        <v>0</v>
      </c>
      <c r="AD261" s="239">
        <v>0</v>
      </c>
      <c r="AE261" s="239">
        <v>0</v>
      </c>
      <c r="AF261" s="239">
        <v>0</v>
      </c>
      <c r="AG261" s="239">
        <v>0</v>
      </c>
      <c r="AH261" s="239">
        <v>0</v>
      </c>
      <c r="AI261" s="239">
        <v>0</v>
      </c>
      <c r="AJ261" s="239">
        <v>0</v>
      </c>
      <c r="AK261" s="239">
        <v>0</v>
      </c>
      <c r="AL261" s="239">
        <v>0</v>
      </c>
      <c r="AM261" s="239">
        <v>0</v>
      </c>
      <c r="AN261" s="239">
        <v>0</v>
      </c>
      <c r="AO261" s="239">
        <v>0</v>
      </c>
      <c r="AP261" s="239">
        <v>0</v>
      </c>
      <c r="AQ261" s="239">
        <v>4470264</v>
      </c>
      <c r="AR261" s="239">
        <v>-1464546</v>
      </c>
      <c r="AS261" s="214" t="s">
        <v>604</v>
      </c>
      <c r="AT261" s="214" t="s">
        <v>768</v>
      </c>
      <c r="AU261" s="214" t="s">
        <v>774</v>
      </c>
      <c r="AV261" s="214" t="s">
        <v>1088</v>
      </c>
      <c r="AW261" s="214" t="s">
        <v>1088</v>
      </c>
      <c r="AX261" s="214" t="s">
        <v>1296</v>
      </c>
    </row>
    <row r="262" spans="2:50" x14ac:dyDescent="0.2">
      <c r="B262" s="610" t="s">
        <v>607</v>
      </c>
      <c r="C262" s="610" t="s">
        <v>606</v>
      </c>
      <c r="D262" s="239">
        <v>45864164</v>
      </c>
      <c r="E262" s="239">
        <v>0</v>
      </c>
      <c r="F262" s="239">
        <v>45864164</v>
      </c>
      <c r="G262" s="239">
        <v>-25100</v>
      </c>
      <c r="H262" s="239">
        <v>0</v>
      </c>
      <c r="I262" s="239">
        <v>-25100</v>
      </c>
      <c r="J262" s="239">
        <v>-258293</v>
      </c>
      <c r="K262" s="239">
        <v>0</v>
      </c>
      <c r="L262" s="239">
        <v>-258293</v>
      </c>
      <c r="M262" s="239">
        <v>0</v>
      </c>
      <c r="N262" s="239">
        <v>0</v>
      </c>
      <c r="O262" s="239">
        <v>0</v>
      </c>
      <c r="P262" s="239">
        <v>-407561</v>
      </c>
      <c r="Q262" s="239">
        <v>0</v>
      </c>
      <c r="R262" s="239">
        <v>-407561</v>
      </c>
      <c r="S262" s="239">
        <v>768135</v>
      </c>
      <c r="T262" s="239">
        <v>0</v>
      </c>
      <c r="U262" s="239">
        <v>768135</v>
      </c>
      <c r="V262" s="239">
        <v>-731365</v>
      </c>
      <c r="W262" s="239">
        <v>0</v>
      </c>
      <c r="X262" s="239">
        <v>-731365</v>
      </c>
      <c r="Y262" s="239">
        <v>45468273</v>
      </c>
      <c r="Z262" s="239">
        <v>0</v>
      </c>
      <c r="AA262" s="239">
        <v>45468273</v>
      </c>
      <c r="AB262" s="239">
        <v>0</v>
      </c>
      <c r="AC262" s="239">
        <v>0</v>
      </c>
      <c r="AD262" s="239">
        <v>0</v>
      </c>
      <c r="AE262" s="239">
        <v>0</v>
      </c>
      <c r="AF262" s="239">
        <v>0</v>
      </c>
      <c r="AG262" s="239">
        <v>0</v>
      </c>
      <c r="AH262" s="239">
        <v>0</v>
      </c>
      <c r="AI262" s="239">
        <v>0</v>
      </c>
      <c r="AJ262" s="239">
        <v>0</v>
      </c>
      <c r="AK262" s="239">
        <v>0</v>
      </c>
      <c r="AL262" s="239">
        <v>0</v>
      </c>
      <c r="AM262" s="239">
        <v>0</v>
      </c>
      <c r="AN262" s="239">
        <v>0</v>
      </c>
      <c r="AO262" s="239">
        <v>0</v>
      </c>
      <c r="AP262" s="239">
        <v>0</v>
      </c>
      <c r="AQ262" s="239">
        <v>1778391</v>
      </c>
      <c r="AR262" s="239">
        <v>-176355</v>
      </c>
      <c r="AS262" s="214" t="s">
        <v>606</v>
      </c>
      <c r="AT262" s="214" t="s">
        <v>838</v>
      </c>
      <c r="AU262" s="214" t="s">
        <v>836</v>
      </c>
      <c r="AV262" s="214" t="s">
        <v>1088</v>
      </c>
      <c r="AW262" s="214" t="s">
        <v>1088</v>
      </c>
      <c r="AX262" s="214" t="s">
        <v>1294</v>
      </c>
    </row>
    <row r="263" spans="2:50" x14ac:dyDescent="0.2">
      <c r="B263" s="610" t="s">
        <v>609</v>
      </c>
      <c r="C263" s="610" t="s">
        <v>608</v>
      </c>
      <c r="D263" s="239">
        <v>18603688</v>
      </c>
      <c r="E263" s="239">
        <v>0</v>
      </c>
      <c r="F263" s="239">
        <v>18603688</v>
      </c>
      <c r="G263" s="239">
        <v>0</v>
      </c>
      <c r="H263" s="239">
        <v>0</v>
      </c>
      <c r="I263" s="239">
        <v>0</v>
      </c>
      <c r="J263" s="239">
        <v>-148402</v>
      </c>
      <c r="K263" s="239">
        <v>0</v>
      </c>
      <c r="L263" s="239">
        <v>-148402</v>
      </c>
      <c r="M263" s="239">
        <v>0</v>
      </c>
      <c r="N263" s="239">
        <v>0</v>
      </c>
      <c r="O263" s="239">
        <v>0</v>
      </c>
      <c r="P263" s="239">
        <v>-141868</v>
      </c>
      <c r="Q263" s="239">
        <v>0</v>
      </c>
      <c r="R263" s="239">
        <v>-141868</v>
      </c>
      <c r="S263" s="239">
        <v>351119</v>
      </c>
      <c r="T263" s="239">
        <v>0</v>
      </c>
      <c r="U263" s="239">
        <v>351119</v>
      </c>
      <c r="V263" s="239">
        <v>-1238370</v>
      </c>
      <c r="W263" s="239">
        <v>0</v>
      </c>
      <c r="X263" s="239">
        <v>-1238370</v>
      </c>
      <c r="Y263" s="239">
        <v>17574569</v>
      </c>
      <c r="Z263" s="239">
        <v>0</v>
      </c>
      <c r="AA263" s="239">
        <v>17574569</v>
      </c>
      <c r="AB263" s="239">
        <v>0</v>
      </c>
      <c r="AC263" s="239">
        <v>0</v>
      </c>
      <c r="AD263" s="239">
        <v>0</v>
      </c>
      <c r="AE263" s="239">
        <v>0</v>
      </c>
      <c r="AF263" s="239">
        <v>0</v>
      </c>
      <c r="AG263" s="239">
        <v>0</v>
      </c>
      <c r="AH263" s="239">
        <v>0</v>
      </c>
      <c r="AI263" s="239">
        <v>0</v>
      </c>
      <c r="AJ263" s="239">
        <v>0</v>
      </c>
      <c r="AK263" s="239">
        <v>0</v>
      </c>
      <c r="AL263" s="239">
        <v>0</v>
      </c>
      <c r="AM263" s="239">
        <v>0</v>
      </c>
      <c r="AN263" s="239">
        <v>0</v>
      </c>
      <c r="AO263" s="239">
        <v>0</v>
      </c>
      <c r="AP263" s="239">
        <v>0</v>
      </c>
      <c r="AQ263" s="239">
        <v>692851</v>
      </c>
      <c r="AR263" s="239">
        <v>-280495</v>
      </c>
      <c r="AS263" s="214" t="s">
        <v>608</v>
      </c>
      <c r="AT263" s="214" t="s">
        <v>838</v>
      </c>
      <c r="AU263" s="214" t="s">
        <v>836</v>
      </c>
      <c r="AV263" s="214" t="s">
        <v>1088</v>
      </c>
      <c r="AW263" s="214" t="s">
        <v>1088</v>
      </c>
      <c r="AX263" s="214" t="s">
        <v>1294</v>
      </c>
    </row>
    <row r="264" spans="2:50" x14ac:dyDescent="0.2">
      <c r="B264" s="610" t="s">
        <v>611</v>
      </c>
      <c r="C264" s="610" t="s">
        <v>610</v>
      </c>
      <c r="D264" s="239">
        <v>48815130</v>
      </c>
      <c r="E264" s="239">
        <v>0</v>
      </c>
      <c r="F264" s="239">
        <v>48815130</v>
      </c>
      <c r="G264" s="239">
        <v>0</v>
      </c>
      <c r="H264" s="239">
        <v>0</v>
      </c>
      <c r="I264" s="239">
        <v>0</v>
      </c>
      <c r="J264" s="239">
        <v>-1796446</v>
      </c>
      <c r="K264" s="239">
        <v>0</v>
      </c>
      <c r="L264" s="239">
        <v>-1796446</v>
      </c>
      <c r="M264" s="239">
        <v>0</v>
      </c>
      <c r="N264" s="239">
        <v>0</v>
      </c>
      <c r="O264" s="239">
        <v>0</v>
      </c>
      <c r="P264" s="239">
        <v>-734014</v>
      </c>
      <c r="Q264" s="239">
        <v>0</v>
      </c>
      <c r="R264" s="239">
        <v>-734014</v>
      </c>
      <c r="S264" s="239">
        <v>599905</v>
      </c>
      <c r="T264" s="239">
        <v>0</v>
      </c>
      <c r="U264" s="239">
        <v>599905</v>
      </c>
      <c r="V264" s="239">
        <v>-1288008</v>
      </c>
      <c r="W264" s="239">
        <v>0</v>
      </c>
      <c r="X264" s="239">
        <v>-1288008</v>
      </c>
      <c r="Y264" s="239">
        <v>47393013</v>
      </c>
      <c r="Z264" s="239">
        <v>0</v>
      </c>
      <c r="AA264" s="239">
        <v>47393013</v>
      </c>
      <c r="AB264" s="239">
        <v>0</v>
      </c>
      <c r="AC264" s="239">
        <v>0</v>
      </c>
      <c r="AD264" s="239">
        <v>0</v>
      </c>
      <c r="AE264" s="239">
        <v>0</v>
      </c>
      <c r="AF264" s="239">
        <v>0</v>
      </c>
      <c r="AG264" s="239">
        <v>0</v>
      </c>
      <c r="AH264" s="239">
        <v>0</v>
      </c>
      <c r="AI264" s="239">
        <v>0</v>
      </c>
      <c r="AJ264" s="239">
        <v>0</v>
      </c>
      <c r="AK264" s="239">
        <v>0</v>
      </c>
      <c r="AL264" s="239">
        <v>0</v>
      </c>
      <c r="AM264" s="239">
        <v>0</v>
      </c>
      <c r="AN264" s="239">
        <v>0</v>
      </c>
      <c r="AO264" s="239">
        <v>0</v>
      </c>
      <c r="AP264" s="239">
        <v>0</v>
      </c>
      <c r="AQ264" s="239">
        <v>1671069</v>
      </c>
      <c r="AR264" s="239">
        <v>-1102376</v>
      </c>
      <c r="AS264" s="214" t="s">
        <v>610</v>
      </c>
      <c r="AT264" s="214" t="s">
        <v>803</v>
      </c>
      <c r="AU264" s="214" t="s">
        <v>763</v>
      </c>
      <c r="AV264" s="214" t="s">
        <v>1088</v>
      </c>
      <c r="AW264" s="214" t="s">
        <v>1088</v>
      </c>
      <c r="AX264" s="214" t="s">
        <v>1294</v>
      </c>
    </row>
    <row r="265" spans="2:50" x14ac:dyDescent="0.2">
      <c r="B265" s="610" t="s">
        <v>613</v>
      </c>
      <c r="C265" s="610" t="s">
        <v>612</v>
      </c>
      <c r="D265" s="239">
        <v>96208244</v>
      </c>
      <c r="E265" s="239">
        <v>0</v>
      </c>
      <c r="F265" s="239">
        <v>96208244</v>
      </c>
      <c r="G265" s="239">
        <v>-3271</v>
      </c>
      <c r="H265" s="239">
        <v>0</v>
      </c>
      <c r="I265" s="239">
        <v>-3271</v>
      </c>
      <c r="J265" s="239">
        <v>-3088243</v>
      </c>
      <c r="K265" s="239">
        <v>0</v>
      </c>
      <c r="L265" s="239">
        <v>-3088243</v>
      </c>
      <c r="M265" s="239">
        <v>0</v>
      </c>
      <c r="N265" s="239">
        <v>0</v>
      </c>
      <c r="O265" s="239">
        <v>0</v>
      </c>
      <c r="P265" s="239">
        <v>-5486636</v>
      </c>
      <c r="Q265" s="239">
        <v>0</v>
      </c>
      <c r="R265" s="239">
        <v>-5486636</v>
      </c>
      <c r="S265" s="239">
        <v>1666439</v>
      </c>
      <c r="T265" s="239">
        <v>0</v>
      </c>
      <c r="U265" s="239">
        <v>1666439</v>
      </c>
      <c r="V265" s="239">
        <v>-3369330</v>
      </c>
      <c r="W265" s="239">
        <v>0</v>
      </c>
      <c r="X265" s="239">
        <v>-3369330</v>
      </c>
      <c r="Y265" s="239">
        <v>89015446</v>
      </c>
      <c r="Z265" s="239">
        <v>0</v>
      </c>
      <c r="AA265" s="239">
        <v>89015446</v>
      </c>
      <c r="AB265" s="239">
        <v>0</v>
      </c>
      <c r="AC265" s="239">
        <v>0</v>
      </c>
      <c r="AD265" s="239">
        <v>0</v>
      </c>
      <c r="AE265" s="239">
        <v>0</v>
      </c>
      <c r="AF265" s="239">
        <v>0</v>
      </c>
      <c r="AG265" s="239">
        <v>0</v>
      </c>
      <c r="AH265" s="239">
        <v>0</v>
      </c>
      <c r="AI265" s="239">
        <v>0</v>
      </c>
      <c r="AJ265" s="239">
        <v>0</v>
      </c>
      <c r="AK265" s="239">
        <v>0</v>
      </c>
      <c r="AL265" s="239">
        <v>6035290</v>
      </c>
      <c r="AM265" s="239">
        <v>0</v>
      </c>
      <c r="AN265" s="239">
        <v>0</v>
      </c>
      <c r="AO265" s="239">
        <v>0</v>
      </c>
      <c r="AP265" s="239">
        <v>0</v>
      </c>
      <c r="AQ265" s="239">
        <v>11084045</v>
      </c>
      <c r="AR265" s="239">
        <v>-2162144</v>
      </c>
      <c r="AS265" s="214" t="s">
        <v>612</v>
      </c>
      <c r="AT265" s="214" t="s">
        <v>768</v>
      </c>
      <c r="AU265" s="214" t="s">
        <v>783</v>
      </c>
      <c r="AV265" s="214" t="s">
        <v>1121</v>
      </c>
      <c r="AW265" s="214" t="s">
        <v>1088</v>
      </c>
      <c r="AX265" s="214" t="s">
        <v>1296</v>
      </c>
    </row>
    <row r="266" spans="2:50" x14ac:dyDescent="0.2">
      <c r="B266" s="610" t="s">
        <v>615</v>
      </c>
      <c r="C266" s="610" t="s">
        <v>614</v>
      </c>
      <c r="D266" s="239">
        <v>84246640</v>
      </c>
      <c r="E266" s="239">
        <v>178705</v>
      </c>
      <c r="F266" s="239">
        <v>84425345</v>
      </c>
      <c r="G266" s="239">
        <v>0</v>
      </c>
      <c r="H266" s="239">
        <v>0</v>
      </c>
      <c r="I266" s="239">
        <v>0</v>
      </c>
      <c r="J266" s="239">
        <v>-171033</v>
      </c>
      <c r="K266" s="239">
        <v>0</v>
      </c>
      <c r="L266" s="239">
        <v>-171033</v>
      </c>
      <c r="M266" s="239">
        <v>0</v>
      </c>
      <c r="N266" s="239">
        <v>0</v>
      </c>
      <c r="O266" s="239">
        <v>0</v>
      </c>
      <c r="P266" s="239">
        <v>-149032.5</v>
      </c>
      <c r="Q266" s="239">
        <v>0</v>
      </c>
      <c r="R266" s="239">
        <v>-149032.5</v>
      </c>
      <c r="S266" s="239">
        <v>2242111</v>
      </c>
      <c r="T266" s="239">
        <v>0</v>
      </c>
      <c r="U266" s="239">
        <v>2242111</v>
      </c>
      <c r="V266" s="239">
        <v>-7016868</v>
      </c>
      <c r="W266" s="239">
        <v>0</v>
      </c>
      <c r="X266" s="239">
        <v>-7016868</v>
      </c>
      <c r="Y266" s="239">
        <v>79322850.5</v>
      </c>
      <c r="Z266" s="239">
        <v>178705</v>
      </c>
      <c r="AA266" s="239">
        <v>79501555.5</v>
      </c>
      <c r="AB266" s="239">
        <v>178705</v>
      </c>
      <c r="AC266" s="239">
        <v>178705</v>
      </c>
      <c r="AD266" s="239">
        <v>0</v>
      </c>
      <c r="AE266" s="239">
        <v>0</v>
      </c>
      <c r="AF266" s="239">
        <v>0</v>
      </c>
      <c r="AG266" s="239">
        <v>0</v>
      </c>
      <c r="AH266" s="239">
        <v>0</v>
      </c>
      <c r="AI266" s="239">
        <v>0</v>
      </c>
      <c r="AJ266" s="239">
        <v>0</v>
      </c>
      <c r="AK266" s="239">
        <v>0</v>
      </c>
      <c r="AL266" s="239">
        <v>0</v>
      </c>
      <c r="AM266" s="239">
        <v>0</v>
      </c>
      <c r="AN266" s="239">
        <v>178705</v>
      </c>
      <c r="AO266" s="239">
        <v>178705</v>
      </c>
      <c r="AP266" s="239">
        <v>0</v>
      </c>
      <c r="AQ266" s="239">
        <v>1545429</v>
      </c>
      <c r="AR266" s="239">
        <v>-1247650</v>
      </c>
      <c r="AS266" s="214" t="s">
        <v>846</v>
      </c>
      <c r="AT266" s="214" t="s">
        <v>748</v>
      </c>
      <c r="AU266" s="214" t="s">
        <v>844</v>
      </c>
      <c r="AV266" s="214" t="s">
        <v>1105</v>
      </c>
      <c r="AW266" s="214" t="s">
        <v>1088</v>
      </c>
      <c r="AX266" s="214" t="s">
        <v>748</v>
      </c>
    </row>
    <row r="267" spans="2:50" x14ac:dyDescent="0.2">
      <c r="B267" s="610" t="s">
        <v>617</v>
      </c>
      <c r="C267" s="610" t="s">
        <v>616</v>
      </c>
      <c r="D267" s="239">
        <v>87814479</v>
      </c>
      <c r="E267" s="239">
        <v>0</v>
      </c>
      <c r="F267" s="239">
        <v>87814479</v>
      </c>
      <c r="G267" s="239">
        <v>-424</v>
      </c>
      <c r="H267" s="239">
        <v>0</v>
      </c>
      <c r="I267" s="239">
        <v>-424</v>
      </c>
      <c r="J267" s="239">
        <v>-773698</v>
      </c>
      <c r="K267" s="239">
        <v>0</v>
      </c>
      <c r="L267" s="239">
        <v>-773698</v>
      </c>
      <c r="M267" s="239">
        <v>0</v>
      </c>
      <c r="N267" s="239">
        <v>0</v>
      </c>
      <c r="O267" s="239">
        <v>0</v>
      </c>
      <c r="P267" s="239">
        <v>-651698</v>
      </c>
      <c r="Q267" s="239">
        <v>0</v>
      </c>
      <c r="R267" s="239">
        <v>-651698</v>
      </c>
      <c r="S267" s="239">
        <v>1008001</v>
      </c>
      <c r="T267" s="239">
        <v>0</v>
      </c>
      <c r="U267" s="239">
        <v>1008001</v>
      </c>
      <c r="V267" s="239">
        <v>2140800</v>
      </c>
      <c r="W267" s="239">
        <v>0</v>
      </c>
      <c r="X267" s="239">
        <v>2140800</v>
      </c>
      <c r="Y267" s="239">
        <v>90311158</v>
      </c>
      <c r="Z267" s="239">
        <v>0</v>
      </c>
      <c r="AA267" s="239">
        <v>90311158</v>
      </c>
      <c r="AB267" s="239">
        <v>0</v>
      </c>
      <c r="AC267" s="239">
        <v>0</v>
      </c>
      <c r="AD267" s="239">
        <v>0</v>
      </c>
      <c r="AE267" s="239">
        <v>0</v>
      </c>
      <c r="AF267" s="239">
        <v>0</v>
      </c>
      <c r="AG267" s="239">
        <v>0</v>
      </c>
      <c r="AH267" s="239">
        <v>0</v>
      </c>
      <c r="AI267" s="239">
        <v>0</v>
      </c>
      <c r="AJ267" s="239">
        <v>0</v>
      </c>
      <c r="AK267" s="239">
        <v>0</v>
      </c>
      <c r="AL267" s="239">
        <v>0</v>
      </c>
      <c r="AM267" s="239">
        <v>0</v>
      </c>
      <c r="AN267" s="239">
        <v>0</v>
      </c>
      <c r="AO267" s="239">
        <v>0</v>
      </c>
      <c r="AP267" s="239">
        <v>0</v>
      </c>
      <c r="AQ267" s="239">
        <v>4572194</v>
      </c>
      <c r="AR267" s="239">
        <v>-1771693</v>
      </c>
      <c r="AS267" s="214" t="s">
        <v>843</v>
      </c>
      <c r="AT267" s="214" t="s">
        <v>748</v>
      </c>
      <c r="AU267" s="214" t="s">
        <v>836</v>
      </c>
      <c r="AV267" s="214" t="s">
        <v>1088</v>
      </c>
      <c r="AW267" s="214" t="s">
        <v>1088</v>
      </c>
      <c r="AX267" s="214" t="s">
        <v>748</v>
      </c>
    </row>
    <row r="268" spans="2:50" x14ac:dyDescent="0.2">
      <c r="B268" s="610" t="s">
        <v>619</v>
      </c>
      <c r="C268" s="610" t="s">
        <v>618</v>
      </c>
      <c r="D268" s="239">
        <v>53118652</v>
      </c>
      <c r="E268" s="239">
        <v>0</v>
      </c>
      <c r="F268" s="239">
        <v>53118652</v>
      </c>
      <c r="G268" s="239">
        <v>-70</v>
      </c>
      <c r="H268" s="239">
        <v>0</v>
      </c>
      <c r="I268" s="239">
        <v>-70</v>
      </c>
      <c r="J268" s="239">
        <v>-179473</v>
      </c>
      <c r="K268" s="239">
        <v>0</v>
      </c>
      <c r="L268" s="239">
        <v>-179473</v>
      </c>
      <c r="M268" s="239">
        <v>-566252</v>
      </c>
      <c r="N268" s="239">
        <v>0</v>
      </c>
      <c r="O268" s="239">
        <v>-566252</v>
      </c>
      <c r="P268" s="239">
        <v>-16755</v>
      </c>
      <c r="Q268" s="239">
        <v>0</v>
      </c>
      <c r="R268" s="239">
        <v>-16755</v>
      </c>
      <c r="S268" s="239">
        <v>0</v>
      </c>
      <c r="T268" s="239">
        <v>0</v>
      </c>
      <c r="U268" s="239">
        <v>0</v>
      </c>
      <c r="V268" s="239">
        <v>-250000</v>
      </c>
      <c r="W268" s="239">
        <v>0</v>
      </c>
      <c r="X268" s="239">
        <v>-250000</v>
      </c>
      <c r="Y268" s="239">
        <v>52285575</v>
      </c>
      <c r="Z268" s="239">
        <v>0</v>
      </c>
      <c r="AA268" s="239">
        <v>52285575</v>
      </c>
      <c r="AB268" s="239">
        <v>0</v>
      </c>
      <c r="AC268" s="239">
        <v>0</v>
      </c>
      <c r="AD268" s="239">
        <v>0</v>
      </c>
      <c r="AE268" s="239">
        <v>62687</v>
      </c>
      <c r="AF268" s="239">
        <v>62687</v>
      </c>
      <c r="AG268" s="239">
        <v>0</v>
      </c>
      <c r="AH268" s="239">
        <v>0</v>
      </c>
      <c r="AI268" s="239">
        <v>0</v>
      </c>
      <c r="AJ268" s="239">
        <v>0</v>
      </c>
      <c r="AK268" s="239">
        <v>0</v>
      </c>
      <c r="AL268" s="239">
        <v>0</v>
      </c>
      <c r="AM268" s="239">
        <v>0</v>
      </c>
      <c r="AN268" s="239">
        <v>0</v>
      </c>
      <c r="AO268" s="239">
        <v>0</v>
      </c>
      <c r="AP268" s="239">
        <v>0</v>
      </c>
      <c r="AQ268" s="239">
        <v>1379647</v>
      </c>
      <c r="AR268" s="239">
        <v>-336227</v>
      </c>
      <c r="AS268" s="214" t="s">
        <v>618</v>
      </c>
      <c r="AT268" s="214" t="s">
        <v>813</v>
      </c>
      <c r="AU268" s="214" t="s">
        <v>763</v>
      </c>
      <c r="AV268" s="214" t="s">
        <v>1088</v>
      </c>
      <c r="AW268" s="214" t="s">
        <v>1088</v>
      </c>
      <c r="AX268" s="214" t="s">
        <v>1294</v>
      </c>
    </row>
    <row r="269" spans="2:50" x14ac:dyDescent="0.2">
      <c r="B269" s="610" t="s">
        <v>621</v>
      </c>
      <c r="C269" s="610" t="s">
        <v>620</v>
      </c>
      <c r="D269" s="239">
        <v>26169379</v>
      </c>
      <c r="E269" s="239">
        <v>0</v>
      </c>
      <c r="F269" s="239">
        <v>26169379</v>
      </c>
      <c r="G269" s="239">
        <v>-29698</v>
      </c>
      <c r="H269" s="239">
        <v>0</v>
      </c>
      <c r="I269" s="239">
        <v>-29698</v>
      </c>
      <c r="J269" s="239">
        <v>-120705</v>
      </c>
      <c r="K269" s="239">
        <v>0</v>
      </c>
      <c r="L269" s="239">
        <v>-120705</v>
      </c>
      <c r="M269" s="239">
        <v>0</v>
      </c>
      <c r="N269" s="239">
        <v>0</v>
      </c>
      <c r="O269" s="239">
        <v>0</v>
      </c>
      <c r="P269" s="239">
        <v>61282</v>
      </c>
      <c r="Q269" s="239">
        <v>0</v>
      </c>
      <c r="R269" s="239">
        <v>61282</v>
      </c>
      <c r="S269" s="239">
        <v>760056</v>
      </c>
      <c r="T269" s="239">
        <v>0</v>
      </c>
      <c r="U269" s="239">
        <v>760056</v>
      </c>
      <c r="V269" s="239">
        <v>-524395</v>
      </c>
      <c r="W269" s="239">
        <v>0</v>
      </c>
      <c r="X269" s="239">
        <v>-524395</v>
      </c>
      <c r="Y269" s="239">
        <v>26436624</v>
      </c>
      <c r="Z269" s="239">
        <v>0</v>
      </c>
      <c r="AA269" s="239">
        <v>26436624</v>
      </c>
      <c r="AB269" s="239">
        <v>0</v>
      </c>
      <c r="AC269" s="239">
        <v>0</v>
      </c>
      <c r="AD269" s="239">
        <v>0</v>
      </c>
      <c r="AE269" s="239">
        <v>0</v>
      </c>
      <c r="AF269" s="239">
        <v>109176</v>
      </c>
      <c r="AG269" s="239">
        <v>109176</v>
      </c>
      <c r="AH269" s="239">
        <v>0</v>
      </c>
      <c r="AI269" s="239">
        <v>0</v>
      </c>
      <c r="AJ269" s="239">
        <v>0</v>
      </c>
      <c r="AK269" s="239">
        <v>0</v>
      </c>
      <c r="AL269" s="239">
        <v>0</v>
      </c>
      <c r="AM269" s="239">
        <v>0</v>
      </c>
      <c r="AN269" s="239">
        <v>0</v>
      </c>
      <c r="AO269" s="239">
        <v>0</v>
      </c>
      <c r="AP269" s="239">
        <v>0</v>
      </c>
      <c r="AQ269" s="239">
        <v>603691</v>
      </c>
      <c r="AR269" s="239">
        <v>-222323</v>
      </c>
      <c r="AS269" s="214" t="s">
        <v>620</v>
      </c>
      <c r="AT269" s="214" t="s">
        <v>831</v>
      </c>
      <c r="AU269" s="214" t="s">
        <v>763</v>
      </c>
      <c r="AV269" s="214" t="s">
        <v>1088</v>
      </c>
      <c r="AW269" s="214" t="s">
        <v>1088</v>
      </c>
      <c r="AX269" s="214" t="s">
        <v>1294</v>
      </c>
    </row>
    <row r="270" spans="2:50" x14ac:dyDescent="0.2">
      <c r="B270" s="610" t="s">
        <v>623</v>
      </c>
      <c r="C270" s="610" t="s">
        <v>622</v>
      </c>
      <c r="D270" s="239">
        <v>66428036</v>
      </c>
      <c r="E270" s="239">
        <v>0</v>
      </c>
      <c r="F270" s="239">
        <v>66428036</v>
      </c>
      <c r="G270" s="239">
        <v>0</v>
      </c>
      <c r="H270" s="239">
        <v>0</v>
      </c>
      <c r="I270" s="239">
        <v>0</v>
      </c>
      <c r="J270" s="239">
        <v>-51381</v>
      </c>
      <c r="K270" s="239">
        <v>0</v>
      </c>
      <c r="L270" s="239">
        <v>-51381</v>
      </c>
      <c r="M270" s="239">
        <v>0</v>
      </c>
      <c r="N270" s="239">
        <v>0</v>
      </c>
      <c r="O270" s="239">
        <v>0</v>
      </c>
      <c r="P270" s="239">
        <v>-520596</v>
      </c>
      <c r="Q270" s="239">
        <v>0</v>
      </c>
      <c r="R270" s="239">
        <v>-520596</v>
      </c>
      <c r="S270" s="239">
        <v>547302</v>
      </c>
      <c r="T270" s="239">
        <v>0</v>
      </c>
      <c r="U270" s="239">
        <v>547302</v>
      </c>
      <c r="V270" s="239">
        <v>-3844287</v>
      </c>
      <c r="W270" s="239">
        <v>0</v>
      </c>
      <c r="X270" s="239">
        <v>-3844287</v>
      </c>
      <c r="Y270" s="239">
        <v>62610455</v>
      </c>
      <c r="Z270" s="239">
        <v>0</v>
      </c>
      <c r="AA270" s="239">
        <v>62610455</v>
      </c>
      <c r="AB270" s="239">
        <v>0</v>
      </c>
      <c r="AC270" s="239">
        <v>0</v>
      </c>
      <c r="AD270" s="239">
        <v>0</v>
      </c>
      <c r="AE270" s="239">
        <v>184900</v>
      </c>
      <c r="AF270" s="239">
        <v>184900</v>
      </c>
      <c r="AG270" s="239">
        <v>0</v>
      </c>
      <c r="AH270" s="239">
        <v>0</v>
      </c>
      <c r="AI270" s="239">
        <v>0</v>
      </c>
      <c r="AJ270" s="239">
        <v>0</v>
      </c>
      <c r="AK270" s="239">
        <v>0</v>
      </c>
      <c r="AL270" s="239">
        <v>0</v>
      </c>
      <c r="AM270" s="239">
        <v>0</v>
      </c>
      <c r="AN270" s="239">
        <v>0</v>
      </c>
      <c r="AO270" s="239">
        <v>0</v>
      </c>
      <c r="AP270" s="239">
        <v>0</v>
      </c>
      <c r="AQ270" s="239">
        <v>1940186</v>
      </c>
      <c r="AR270" s="239">
        <v>-2706662</v>
      </c>
      <c r="AS270" s="214" t="s">
        <v>622</v>
      </c>
      <c r="AT270" s="214" t="s">
        <v>811</v>
      </c>
      <c r="AU270" s="214" t="s">
        <v>763</v>
      </c>
      <c r="AV270" s="214" t="s">
        <v>1088</v>
      </c>
      <c r="AW270" s="214" t="s">
        <v>1088</v>
      </c>
      <c r="AX270" s="214" t="s">
        <v>1294</v>
      </c>
    </row>
    <row r="271" spans="2:50" x14ac:dyDescent="0.2">
      <c r="B271" s="610" t="s">
        <v>625</v>
      </c>
      <c r="C271" s="610" t="s">
        <v>624</v>
      </c>
      <c r="D271" s="239">
        <v>89212968</v>
      </c>
      <c r="E271" s="239">
        <v>851396</v>
      </c>
      <c r="F271" s="239">
        <v>90064364</v>
      </c>
      <c r="G271" s="239">
        <v>-919</v>
      </c>
      <c r="H271" s="239">
        <v>0</v>
      </c>
      <c r="I271" s="239">
        <v>-919</v>
      </c>
      <c r="J271" s="239">
        <v>-1061853</v>
      </c>
      <c r="K271" s="239">
        <v>0</v>
      </c>
      <c r="L271" s="239">
        <v>-1061853</v>
      </c>
      <c r="M271" s="239">
        <v>0</v>
      </c>
      <c r="N271" s="239">
        <v>0</v>
      </c>
      <c r="O271" s="239">
        <v>0</v>
      </c>
      <c r="P271" s="239">
        <v>-794360</v>
      </c>
      <c r="Q271" s="239">
        <v>0</v>
      </c>
      <c r="R271" s="239">
        <v>-794360</v>
      </c>
      <c r="S271" s="239">
        <v>2949626</v>
      </c>
      <c r="T271" s="239">
        <v>0</v>
      </c>
      <c r="U271" s="239">
        <v>2949626</v>
      </c>
      <c r="V271" s="239">
        <v>-3012308</v>
      </c>
      <c r="W271" s="239">
        <v>0</v>
      </c>
      <c r="X271" s="239">
        <v>-3012308</v>
      </c>
      <c r="Y271" s="239">
        <v>88355007</v>
      </c>
      <c r="Z271" s="239">
        <v>851396</v>
      </c>
      <c r="AA271" s="239">
        <v>89206403</v>
      </c>
      <c r="AB271" s="239">
        <v>851396</v>
      </c>
      <c r="AC271" s="239">
        <v>851396</v>
      </c>
      <c r="AD271" s="239">
        <v>0</v>
      </c>
      <c r="AE271" s="239">
        <v>0</v>
      </c>
      <c r="AF271" s="239">
        <v>0</v>
      </c>
      <c r="AG271" s="239">
        <v>0</v>
      </c>
      <c r="AH271" s="239">
        <v>0</v>
      </c>
      <c r="AI271" s="239">
        <v>0</v>
      </c>
      <c r="AJ271" s="239">
        <v>0</v>
      </c>
      <c r="AK271" s="239">
        <v>0</v>
      </c>
      <c r="AL271" s="239">
        <v>142652</v>
      </c>
      <c r="AM271" s="239">
        <v>0</v>
      </c>
      <c r="AN271" s="239">
        <v>708744</v>
      </c>
      <c r="AO271" s="239">
        <v>708744</v>
      </c>
      <c r="AP271" s="239">
        <v>0</v>
      </c>
      <c r="AQ271" s="239">
        <v>7197408</v>
      </c>
      <c r="AR271" s="239">
        <v>-782267</v>
      </c>
      <c r="AS271" s="214" t="s">
        <v>624</v>
      </c>
      <c r="AT271" s="214" t="s">
        <v>768</v>
      </c>
      <c r="AU271" s="214" t="s">
        <v>841</v>
      </c>
      <c r="AV271" s="214" t="s">
        <v>1117</v>
      </c>
      <c r="AW271" s="214" t="s">
        <v>1088</v>
      </c>
      <c r="AX271" s="214" t="s">
        <v>1296</v>
      </c>
    </row>
    <row r="272" spans="2:50" x14ac:dyDescent="0.2">
      <c r="B272" s="610" t="s">
        <v>627</v>
      </c>
      <c r="C272" s="610" t="s">
        <v>626</v>
      </c>
      <c r="D272" s="239">
        <v>36212516</v>
      </c>
      <c r="E272" s="239">
        <v>0</v>
      </c>
      <c r="F272" s="239">
        <v>36212516</v>
      </c>
      <c r="G272" s="239">
        <v>0</v>
      </c>
      <c r="H272" s="239">
        <v>0</v>
      </c>
      <c r="I272" s="239">
        <v>0</v>
      </c>
      <c r="J272" s="239">
        <v>-109554</v>
      </c>
      <c r="K272" s="239">
        <v>0</v>
      </c>
      <c r="L272" s="239">
        <v>-109554</v>
      </c>
      <c r="M272" s="239">
        <v>0</v>
      </c>
      <c r="N272" s="239">
        <v>0</v>
      </c>
      <c r="O272" s="239">
        <v>0</v>
      </c>
      <c r="P272" s="239">
        <v>-62832</v>
      </c>
      <c r="Q272" s="239">
        <v>0</v>
      </c>
      <c r="R272" s="239">
        <v>-62832</v>
      </c>
      <c r="S272" s="239">
        <v>1101000</v>
      </c>
      <c r="T272" s="239">
        <v>0</v>
      </c>
      <c r="U272" s="239">
        <v>1101000</v>
      </c>
      <c r="V272" s="239">
        <v>-2301000</v>
      </c>
      <c r="W272" s="239">
        <v>0</v>
      </c>
      <c r="X272" s="239">
        <v>-2301000</v>
      </c>
      <c r="Y272" s="239">
        <v>34949684</v>
      </c>
      <c r="Z272" s="239">
        <v>0</v>
      </c>
      <c r="AA272" s="239">
        <v>34949684</v>
      </c>
      <c r="AB272" s="239">
        <v>0</v>
      </c>
      <c r="AC272" s="239">
        <v>0</v>
      </c>
      <c r="AD272" s="239">
        <v>0</v>
      </c>
      <c r="AE272" s="239">
        <v>0</v>
      </c>
      <c r="AF272" s="239">
        <v>0</v>
      </c>
      <c r="AG272" s="239">
        <v>0</v>
      </c>
      <c r="AH272" s="239">
        <v>0</v>
      </c>
      <c r="AI272" s="239">
        <v>0</v>
      </c>
      <c r="AJ272" s="239">
        <v>0</v>
      </c>
      <c r="AK272" s="239">
        <v>0</v>
      </c>
      <c r="AL272" s="239">
        <v>0</v>
      </c>
      <c r="AM272" s="239">
        <v>0</v>
      </c>
      <c r="AN272" s="239">
        <v>0</v>
      </c>
      <c r="AO272" s="239">
        <v>0</v>
      </c>
      <c r="AP272" s="239">
        <v>0</v>
      </c>
      <c r="AQ272" s="239">
        <v>1645818</v>
      </c>
      <c r="AR272" s="239">
        <v>-655998</v>
      </c>
      <c r="AS272" s="214" t="s">
        <v>626</v>
      </c>
      <c r="AT272" s="214" t="s">
        <v>772</v>
      </c>
      <c r="AU272" s="214" t="s">
        <v>763</v>
      </c>
      <c r="AV272" s="214" t="s">
        <v>1088</v>
      </c>
      <c r="AW272" s="214" t="s">
        <v>1088</v>
      </c>
      <c r="AX272" s="214" t="s">
        <v>1294</v>
      </c>
    </row>
    <row r="273" spans="2:50" x14ac:dyDescent="0.2">
      <c r="B273" s="610" t="s">
        <v>629</v>
      </c>
      <c r="C273" s="610" t="s">
        <v>628</v>
      </c>
      <c r="D273" s="239">
        <v>51332689</v>
      </c>
      <c r="E273" s="239">
        <v>0</v>
      </c>
      <c r="F273" s="239">
        <v>51332689</v>
      </c>
      <c r="G273" s="239">
        <v>-350</v>
      </c>
      <c r="H273" s="239">
        <v>0</v>
      </c>
      <c r="I273" s="239">
        <v>-350</v>
      </c>
      <c r="J273" s="239">
        <v>-673549</v>
      </c>
      <c r="K273" s="239">
        <v>0</v>
      </c>
      <c r="L273" s="239">
        <v>-673549</v>
      </c>
      <c r="M273" s="239">
        <v>0</v>
      </c>
      <c r="N273" s="239">
        <v>0</v>
      </c>
      <c r="O273" s="239">
        <v>0</v>
      </c>
      <c r="P273" s="239">
        <v>-561208</v>
      </c>
      <c r="Q273" s="239">
        <v>0</v>
      </c>
      <c r="R273" s="239">
        <v>-561208</v>
      </c>
      <c r="S273" s="239">
        <v>1535799</v>
      </c>
      <c r="T273" s="239">
        <v>0</v>
      </c>
      <c r="U273" s="239">
        <v>1535799</v>
      </c>
      <c r="V273" s="239">
        <v>1853975</v>
      </c>
      <c r="W273" s="239">
        <v>0</v>
      </c>
      <c r="X273" s="239">
        <v>1853975</v>
      </c>
      <c r="Y273" s="239">
        <v>54160905</v>
      </c>
      <c r="Z273" s="239">
        <v>0</v>
      </c>
      <c r="AA273" s="239">
        <v>54160905</v>
      </c>
      <c r="AB273" s="239">
        <v>0</v>
      </c>
      <c r="AC273" s="239">
        <v>0</v>
      </c>
      <c r="AD273" s="239">
        <v>0</v>
      </c>
      <c r="AE273" s="239">
        <v>0</v>
      </c>
      <c r="AF273" s="239">
        <v>0</v>
      </c>
      <c r="AG273" s="239">
        <v>0</v>
      </c>
      <c r="AH273" s="239">
        <v>0</v>
      </c>
      <c r="AI273" s="239">
        <v>0</v>
      </c>
      <c r="AJ273" s="239">
        <v>0</v>
      </c>
      <c r="AK273" s="239">
        <v>0</v>
      </c>
      <c r="AL273" s="239">
        <v>0</v>
      </c>
      <c r="AM273" s="239">
        <v>0</v>
      </c>
      <c r="AN273" s="239">
        <v>0</v>
      </c>
      <c r="AO273" s="239">
        <v>0</v>
      </c>
      <c r="AP273" s="239">
        <v>0</v>
      </c>
      <c r="AQ273" s="239">
        <v>2108081</v>
      </c>
      <c r="AR273" s="239">
        <v>-537658</v>
      </c>
      <c r="AS273" s="214" t="s">
        <v>628</v>
      </c>
      <c r="AT273" s="214" t="s">
        <v>790</v>
      </c>
      <c r="AU273" s="214" t="s">
        <v>749</v>
      </c>
      <c r="AV273" s="214" t="s">
        <v>1088</v>
      </c>
      <c r="AW273" s="214" t="s">
        <v>1088</v>
      </c>
      <c r="AX273" s="214" t="s">
        <v>1295</v>
      </c>
    </row>
    <row r="274" spans="2:50" x14ac:dyDescent="0.2">
      <c r="B274" s="610" t="s">
        <v>631</v>
      </c>
      <c r="C274" s="610" t="s">
        <v>630</v>
      </c>
      <c r="D274" s="239">
        <v>44689846</v>
      </c>
      <c r="E274" s="239">
        <v>0</v>
      </c>
      <c r="F274" s="239">
        <v>44689846</v>
      </c>
      <c r="G274" s="239">
        <v>0</v>
      </c>
      <c r="H274" s="239">
        <v>0</v>
      </c>
      <c r="I274" s="239">
        <v>0</v>
      </c>
      <c r="J274" s="239">
        <v>-1335083</v>
      </c>
      <c r="K274" s="239">
        <v>0</v>
      </c>
      <c r="L274" s="239">
        <v>-1335083</v>
      </c>
      <c r="M274" s="239">
        <v>0</v>
      </c>
      <c r="N274" s="239">
        <v>0</v>
      </c>
      <c r="O274" s="239">
        <v>0</v>
      </c>
      <c r="P274" s="239">
        <v>233599</v>
      </c>
      <c r="Q274" s="239">
        <v>0</v>
      </c>
      <c r="R274" s="239">
        <v>233599</v>
      </c>
      <c r="S274" s="239">
        <v>1147175</v>
      </c>
      <c r="T274" s="239">
        <v>0</v>
      </c>
      <c r="U274" s="239">
        <v>1147175</v>
      </c>
      <c r="V274" s="239">
        <v>-3627522</v>
      </c>
      <c r="W274" s="239">
        <v>0</v>
      </c>
      <c r="X274" s="239">
        <v>-3627522</v>
      </c>
      <c r="Y274" s="239">
        <v>42443098</v>
      </c>
      <c r="Z274" s="239">
        <v>0</v>
      </c>
      <c r="AA274" s="239">
        <v>42443098</v>
      </c>
      <c r="AB274" s="239">
        <v>0</v>
      </c>
      <c r="AC274" s="239">
        <v>0</v>
      </c>
      <c r="AD274" s="239">
        <v>0</v>
      </c>
      <c r="AE274" s="239">
        <v>512550</v>
      </c>
      <c r="AF274" s="239">
        <v>512550</v>
      </c>
      <c r="AG274" s="239">
        <v>0</v>
      </c>
      <c r="AH274" s="239">
        <v>0</v>
      </c>
      <c r="AI274" s="239">
        <v>0</v>
      </c>
      <c r="AJ274" s="239">
        <v>0</v>
      </c>
      <c r="AK274" s="239">
        <v>0</v>
      </c>
      <c r="AL274" s="239">
        <v>0</v>
      </c>
      <c r="AM274" s="239">
        <v>0</v>
      </c>
      <c r="AN274" s="239">
        <v>0</v>
      </c>
      <c r="AO274" s="239">
        <v>0</v>
      </c>
      <c r="AP274" s="239">
        <v>0</v>
      </c>
      <c r="AQ274" s="239">
        <v>969962</v>
      </c>
      <c r="AR274" s="239">
        <v>-327926</v>
      </c>
      <c r="AS274" s="214" t="s">
        <v>630</v>
      </c>
      <c r="AT274" s="214" t="s">
        <v>826</v>
      </c>
      <c r="AU274" s="214" t="s">
        <v>824</v>
      </c>
      <c r="AV274" s="214" t="s">
        <v>1088</v>
      </c>
      <c r="AW274" s="214" t="s">
        <v>1088</v>
      </c>
      <c r="AX274" s="214" t="s">
        <v>1294</v>
      </c>
    </row>
    <row r="275" spans="2:50" x14ac:dyDescent="0.2">
      <c r="B275" s="610" t="s">
        <v>633</v>
      </c>
      <c r="C275" s="610" t="s">
        <v>632</v>
      </c>
      <c r="D275" s="239">
        <v>110574252</v>
      </c>
      <c r="E275" s="239">
        <v>0</v>
      </c>
      <c r="F275" s="239">
        <v>110574252</v>
      </c>
      <c r="G275" s="239">
        <v>-8816</v>
      </c>
      <c r="H275" s="239">
        <v>0</v>
      </c>
      <c r="I275" s="239">
        <v>-8816</v>
      </c>
      <c r="J275" s="239">
        <v>-1089654</v>
      </c>
      <c r="K275" s="239">
        <v>0</v>
      </c>
      <c r="L275" s="239">
        <v>-1089654</v>
      </c>
      <c r="M275" s="239">
        <v>0</v>
      </c>
      <c r="N275" s="239">
        <v>0</v>
      </c>
      <c r="O275" s="239">
        <v>0</v>
      </c>
      <c r="P275" s="239">
        <v>-1087869</v>
      </c>
      <c r="Q275" s="239">
        <v>0</v>
      </c>
      <c r="R275" s="239">
        <v>-1087869</v>
      </c>
      <c r="S275" s="239">
        <v>2654824</v>
      </c>
      <c r="T275" s="239">
        <v>0</v>
      </c>
      <c r="U275" s="239">
        <v>2654824</v>
      </c>
      <c r="V275" s="239">
        <v>-5231380</v>
      </c>
      <c r="W275" s="239">
        <v>0</v>
      </c>
      <c r="X275" s="239">
        <v>-5231380</v>
      </c>
      <c r="Y275" s="239">
        <v>106901011</v>
      </c>
      <c r="Z275" s="239">
        <v>0</v>
      </c>
      <c r="AA275" s="239">
        <v>106901011</v>
      </c>
      <c r="AB275" s="239">
        <v>0</v>
      </c>
      <c r="AC275" s="239">
        <v>0</v>
      </c>
      <c r="AD275" s="239">
        <v>0</v>
      </c>
      <c r="AE275" s="239">
        <v>376686</v>
      </c>
      <c r="AF275" s="239">
        <v>376686</v>
      </c>
      <c r="AG275" s="239">
        <v>0</v>
      </c>
      <c r="AH275" s="239">
        <v>0</v>
      </c>
      <c r="AI275" s="239">
        <v>0</v>
      </c>
      <c r="AJ275" s="239">
        <v>0</v>
      </c>
      <c r="AK275" s="239">
        <v>0</v>
      </c>
      <c r="AL275" s="239">
        <v>0</v>
      </c>
      <c r="AM275" s="239">
        <v>0</v>
      </c>
      <c r="AN275" s="239">
        <v>0</v>
      </c>
      <c r="AO275" s="239">
        <v>0</v>
      </c>
      <c r="AP275" s="239">
        <v>0</v>
      </c>
      <c r="AQ275" s="239">
        <v>3642054</v>
      </c>
      <c r="AR275" s="239">
        <v>-559936</v>
      </c>
      <c r="AS275" s="214" t="s">
        <v>840</v>
      </c>
      <c r="AT275" s="214" t="s">
        <v>748</v>
      </c>
      <c r="AU275" s="214" t="s">
        <v>781</v>
      </c>
      <c r="AV275" s="214" t="s">
        <v>1088</v>
      </c>
      <c r="AW275" s="214" t="s">
        <v>1088</v>
      </c>
      <c r="AX275" s="214" t="s">
        <v>748</v>
      </c>
    </row>
    <row r="276" spans="2:50" x14ac:dyDescent="0.2">
      <c r="B276" s="610" t="s">
        <v>635</v>
      </c>
      <c r="C276" s="610" t="s">
        <v>634</v>
      </c>
      <c r="D276" s="239">
        <v>58976063</v>
      </c>
      <c r="E276" s="239">
        <v>0</v>
      </c>
      <c r="F276" s="239">
        <v>58976063</v>
      </c>
      <c r="G276" s="239">
        <v>-5223</v>
      </c>
      <c r="H276" s="239">
        <v>0</v>
      </c>
      <c r="I276" s="239">
        <v>-5223</v>
      </c>
      <c r="J276" s="239">
        <v>-702768</v>
      </c>
      <c r="K276" s="239">
        <v>0</v>
      </c>
      <c r="L276" s="239">
        <v>-702768</v>
      </c>
      <c r="M276" s="239">
        <v>0</v>
      </c>
      <c r="N276" s="239">
        <v>0</v>
      </c>
      <c r="O276" s="239">
        <v>0</v>
      </c>
      <c r="P276" s="239">
        <v>-983267</v>
      </c>
      <c r="Q276" s="239">
        <v>0</v>
      </c>
      <c r="R276" s="239">
        <v>-983267</v>
      </c>
      <c r="S276" s="239">
        <v>489157</v>
      </c>
      <c r="T276" s="239">
        <v>0</v>
      </c>
      <c r="U276" s="239">
        <v>489157</v>
      </c>
      <c r="V276" s="239">
        <v>-962902</v>
      </c>
      <c r="W276" s="239">
        <v>0</v>
      </c>
      <c r="X276" s="239">
        <v>-962902</v>
      </c>
      <c r="Y276" s="239">
        <v>57513828</v>
      </c>
      <c r="Z276" s="239">
        <v>0</v>
      </c>
      <c r="AA276" s="239">
        <v>57513828</v>
      </c>
      <c r="AB276" s="239">
        <v>0</v>
      </c>
      <c r="AC276" s="239">
        <v>0</v>
      </c>
      <c r="AD276" s="239">
        <v>0</v>
      </c>
      <c r="AE276" s="239">
        <v>0</v>
      </c>
      <c r="AF276" s="239">
        <v>0</v>
      </c>
      <c r="AG276" s="239">
        <v>0</v>
      </c>
      <c r="AH276" s="239">
        <v>0</v>
      </c>
      <c r="AI276" s="239">
        <v>0</v>
      </c>
      <c r="AJ276" s="239">
        <v>0</v>
      </c>
      <c r="AK276" s="239">
        <v>0</v>
      </c>
      <c r="AL276" s="239">
        <v>0</v>
      </c>
      <c r="AM276" s="239">
        <v>0</v>
      </c>
      <c r="AN276" s="239">
        <v>0</v>
      </c>
      <c r="AO276" s="239">
        <v>0</v>
      </c>
      <c r="AP276" s="239">
        <v>0</v>
      </c>
      <c r="AQ276" s="239">
        <v>6934914</v>
      </c>
      <c r="AR276" s="239">
        <v>-2281422</v>
      </c>
      <c r="AS276" s="214" t="s">
        <v>634</v>
      </c>
      <c r="AT276" s="214" t="s">
        <v>768</v>
      </c>
      <c r="AU276" s="214" t="s">
        <v>783</v>
      </c>
      <c r="AV276" s="214" t="s">
        <v>1088</v>
      </c>
      <c r="AW276" s="214" t="s">
        <v>1088</v>
      </c>
      <c r="AX276" s="214" t="s">
        <v>1296</v>
      </c>
    </row>
    <row r="277" spans="2:50" x14ac:dyDescent="0.2">
      <c r="B277" s="610" t="s">
        <v>637</v>
      </c>
      <c r="C277" s="610" t="s">
        <v>636</v>
      </c>
      <c r="D277" s="239">
        <v>34295615</v>
      </c>
      <c r="E277" s="239">
        <v>0</v>
      </c>
      <c r="F277" s="239">
        <v>34295615</v>
      </c>
      <c r="G277" s="239">
        <v>0</v>
      </c>
      <c r="H277" s="239">
        <v>0</v>
      </c>
      <c r="I277" s="239">
        <v>0</v>
      </c>
      <c r="J277" s="239">
        <v>-38925</v>
      </c>
      <c r="K277" s="239">
        <v>0</v>
      </c>
      <c r="L277" s="239">
        <v>-38925</v>
      </c>
      <c r="M277" s="239">
        <v>0</v>
      </c>
      <c r="N277" s="239">
        <v>0</v>
      </c>
      <c r="O277" s="239">
        <v>0</v>
      </c>
      <c r="P277" s="239">
        <v>-273036</v>
      </c>
      <c r="Q277" s="239">
        <v>0</v>
      </c>
      <c r="R277" s="239">
        <v>-273036</v>
      </c>
      <c r="S277" s="239">
        <v>1239855</v>
      </c>
      <c r="T277" s="239">
        <v>0</v>
      </c>
      <c r="U277" s="239">
        <v>1239855</v>
      </c>
      <c r="V277" s="239">
        <v>-1745633</v>
      </c>
      <c r="W277" s="239">
        <v>0</v>
      </c>
      <c r="X277" s="239">
        <v>-1745633</v>
      </c>
      <c r="Y277" s="239">
        <v>33516801</v>
      </c>
      <c r="Z277" s="239">
        <v>0</v>
      </c>
      <c r="AA277" s="239">
        <v>33516801</v>
      </c>
      <c r="AB277" s="239">
        <v>0</v>
      </c>
      <c r="AC277" s="239">
        <v>0</v>
      </c>
      <c r="AD277" s="239">
        <v>0</v>
      </c>
      <c r="AE277" s="239">
        <v>0</v>
      </c>
      <c r="AF277" s="239">
        <v>0</v>
      </c>
      <c r="AG277" s="239">
        <v>0</v>
      </c>
      <c r="AH277" s="239">
        <v>0</v>
      </c>
      <c r="AI277" s="239">
        <v>0</v>
      </c>
      <c r="AJ277" s="239">
        <v>0</v>
      </c>
      <c r="AK277" s="239">
        <v>0</v>
      </c>
      <c r="AL277" s="239">
        <v>0</v>
      </c>
      <c r="AM277" s="239">
        <v>0</v>
      </c>
      <c r="AN277" s="239">
        <v>0</v>
      </c>
      <c r="AO277" s="239">
        <v>0</v>
      </c>
      <c r="AP277" s="239">
        <v>0</v>
      </c>
      <c r="AQ277" s="239">
        <v>1204623</v>
      </c>
      <c r="AR277" s="239">
        <v>-637651</v>
      </c>
      <c r="AS277" s="214" t="s">
        <v>636</v>
      </c>
      <c r="AT277" s="214" t="s">
        <v>838</v>
      </c>
      <c r="AU277" s="214" t="s">
        <v>836</v>
      </c>
      <c r="AV277" s="214" t="s">
        <v>1088</v>
      </c>
      <c r="AW277" s="214" t="s">
        <v>1088</v>
      </c>
      <c r="AX277" s="214" t="s">
        <v>1294</v>
      </c>
    </row>
    <row r="278" spans="2:50" x14ac:dyDescent="0.2">
      <c r="B278" s="610" t="s">
        <v>639</v>
      </c>
      <c r="C278" s="610" t="s">
        <v>638</v>
      </c>
      <c r="D278" s="239">
        <v>20001251</v>
      </c>
      <c r="E278" s="239">
        <v>0</v>
      </c>
      <c r="F278" s="239">
        <v>20001251</v>
      </c>
      <c r="G278" s="239">
        <v>0</v>
      </c>
      <c r="H278" s="239">
        <v>0</v>
      </c>
      <c r="I278" s="239">
        <v>0</v>
      </c>
      <c r="J278" s="239">
        <v>-127083</v>
      </c>
      <c r="K278" s="239">
        <v>0</v>
      </c>
      <c r="L278" s="239">
        <v>-127083</v>
      </c>
      <c r="M278" s="239">
        <v>-180</v>
      </c>
      <c r="N278" s="239">
        <v>0</v>
      </c>
      <c r="O278" s="239">
        <v>-180</v>
      </c>
      <c r="P278" s="239">
        <v>-123344</v>
      </c>
      <c r="Q278" s="239">
        <v>0</v>
      </c>
      <c r="R278" s="239">
        <v>-123344</v>
      </c>
      <c r="S278" s="239">
        <v>135238</v>
      </c>
      <c r="T278" s="239">
        <v>0</v>
      </c>
      <c r="U278" s="239">
        <v>135238</v>
      </c>
      <c r="V278" s="239">
        <v>-55847</v>
      </c>
      <c r="W278" s="239">
        <v>0</v>
      </c>
      <c r="X278" s="239">
        <v>-55847</v>
      </c>
      <c r="Y278" s="239">
        <v>19957118</v>
      </c>
      <c r="Z278" s="239">
        <v>0</v>
      </c>
      <c r="AA278" s="239">
        <v>19957118</v>
      </c>
      <c r="AB278" s="239">
        <v>0</v>
      </c>
      <c r="AC278" s="239">
        <v>0</v>
      </c>
      <c r="AD278" s="239">
        <v>0</v>
      </c>
      <c r="AE278" s="239">
        <v>0</v>
      </c>
      <c r="AF278" s="239">
        <v>0</v>
      </c>
      <c r="AG278" s="239">
        <v>0</v>
      </c>
      <c r="AH278" s="239">
        <v>0</v>
      </c>
      <c r="AI278" s="239">
        <v>0</v>
      </c>
      <c r="AJ278" s="239">
        <v>0</v>
      </c>
      <c r="AK278" s="239">
        <v>0</v>
      </c>
      <c r="AL278" s="239">
        <v>0</v>
      </c>
      <c r="AM278" s="239">
        <v>0</v>
      </c>
      <c r="AN278" s="239">
        <v>0</v>
      </c>
      <c r="AO278" s="239">
        <v>0</v>
      </c>
      <c r="AP278" s="239">
        <v>0</v>
      </c>
      <c r="AQ278" s="239">
        <v>361221</v>
      </c>
      <c r="AR278" s="239">
        <v>-349850</v>
      </c>
      <c r="AS278" s="214" t="s">
        <v>638</v>
      </c>
      <c r="AT278" s="214" t="s">
        <v>772</v>
      </c>
      <c r="AU278" s="214" t="s">
        <v>763</v>
      </c>
      <c r="AV278" s="214" t="s">
        <v>1088</v>
      </c>
      <c r="AW278" s="214" t="s">
        <v>1088</v>
      </c>
      <c r="AX278" s="214" t="s">
        <v>1294</v>
      </c>
    </row>
    <row r="279" spans="2:50" x14ac:dyDescent="0.2">
      <c r="B279" s="610" t="s">
        <v>641</v>
      </c>
      <c r="C279" s="610" t="s">
        <v>640</v>
      </c>
      <c r="D279" s="239">
        <v>38608826</v>
      </c>
      <c r="E279" s="239">
        <v>0</v>
      </c>
      <c r="F279" s="239">
        <v>38608826</v>
      </c>
      <c r="G279" s="239">
        <v>-15471</v>
      </c>
      <c r="H279" s="239">
        <v>0</v>
      </c>
      <c r="I279" s="239">
        <v>-15471</v>
      </c>
      <c r="J279" s="239">
        <v>0</v>
      </c>
      <c r="K279" s="239">
        <v>0</v>
      </c>
      <c r="L279" s="239">
        <v>0</v>
      </c>
      <c r="M279" s="239">
        <v>-258193</v>
      </c>
      <c r="N279" s="239">
        <v>0</v>
      </c>
      <c r="O279" s="239">
        <v>-258193</v>
      </c>
      <c r="P279" s="239">
        <v>362409</v>
      </c>
      <c r="Q279" s="239">
        <v>0</v>
      </c>
      <c r="R279" s="239">
        <v>362409</v>
      </c>
      <c r="S279" s="239">
        <v>1349849</v>
      </c>
      <c r="T279" s="239">
        <v>0</v>
      </c>
      <c r="U279" s="239">
        <v>1349849</v>
      </c>
      <c r="V279" s="239">
        <v>1190309</v>
      </c>
      <c r="W279" s="239">
        <v>0</v>
      </c>
      <c r="X279" s="239">
        <v>1190309</v>
      </c>
      <c r="Y279" s="239">
        <v>41237729</v>
      </c>
      <c r="Z279" s="239">
        <v>0</v>
      </c>
      <c r="AA279" s="239">
        <v>41237729</v>
      </c>
      <c r="AB279" s="239">
        <v>0</v>
      </c>
      <c r="AC279" s="239">
        <v>0</v>
      </c>
      <c r="AD279" s="239">
        <v>0</v>
      </c>
      <c r="AE279" s="239">
        <v>148334</v>
      </c>
      <c r="AF279" s="239">
        <v>148334</v>
      </c>
      <c r="AG279" s="239">
        <v>0</v>
      </c>
      <c r="AH279" s="239">
        <v>0</v>
      </c>
      <c r="AI279" s="239">
        <v>0</v>
      </c>
      <c r="AJ279" s="239">
        <v>0</v>
      </c>
      <c r="AK279" s="239">
        <v>0</v>
      </c>
      <c r="AL279" s="239">
        <v>0</v>
      </c>
      <c r="AM279" s="239">
        <v>0</v>
      </c>
      <c r="AN279" s="239">
        <v>0</v>
      </c>
      <c r="AO279" s="239">
        <v>0</v>
      </c>
      <c r="AP279" s="239">
        <v>0</v>
      </c>
      <c r="AQ279" s="239">
        <v>1624810</v>
      </c>
      <c r="AR279" s="239">
        <v>-1086581</v>
      </c>
      <c r="AS279" s="214" t="s">
        <v>640</v>
      </c>
      <c r="AT279" s="214" t="s">
        <v>794</v>
      </c>
      <c r="AU279" s="214" t="s">
        <v>792</v>
      </c>
      <c r="AV279" s="214" t="s">
        <v>1088</v>
      </c>
      <c r="AW279" s="214" t="s">
        <v>1088</v>
      </c>
      <c r="AX279" s="214" t="s">
        <v>1294</v>
      </c>
    </row>
    <row r="280" spans="2:50" x14ac:dyDescent="0.2">
      <c r="B280" s="610" t="s">
        <v>643</v>
      </c>
      <c r="C280" s="610" t="s">
        <v>642</v>
      </c>
      <c r="D280" s="239">
        <v>31694815</v>
      </c>
      <c r="E280" s="239">
        <v>0</v>
      </c>
      <c r="F280" s="239">
        <v>31694815</v>
      </c>
      <c r="G280" s="239">
        <v>-16136</v>
      </c>
      <c r="H280" s="239">
        <v>0</v>
      </c>
      <c r="I280" s="239">
        <v>-16136</v>
      </c>
      <c r="J280" s="239">
        <v>-52805</v>
      </c>
      <c r="K280" s="239">
        <v>0</v>
      </c>
      <c r="L280" s="239">
        <v>-52805</v>
      </c>
      <c r="M280" s="239">
        <v>0</v>
      </c>
      <c r="N280" s="239">
        <v>0</v>
      </c>
      <c r="O280" s="239">
        <v>0</v>
      </c>
      <c r="P280" s="239">
        <v>-52805</v>
      </c>
      <c r="Q280" s="239">
        <v>0</v>
      </c>
      <c r="R280" s="239">
        <v>-52805</v>
      </c>
      <c r="S280" s="239">
        <v>0</v>
      </c>
      <c r="T280" s="239">
        <v>0</v>
      </c>
      <c r="U280" s="239">
        <v>0</v>
      </c>
      <c r="V280" s="239">
        <v>-236886</v>
      </c>
      <c r="W280" s="239">
        <v>0</v>
      </c>
      <c r="X280" s="239">
        <v>-236886</v>
      </c>
      <c r="Y280" s="239">
        <v>31388988</v>
      </c>
      <c r="Z280" s="239">
        <v>0</v>
      </c>
      <c r="AA280" s="239">
        <v>31388988</v>
      </c>
      <c r="AB280" s="239">
        <v>0</v>
      </c>
      <c r="AC280" s="239">
        <v>0</v>
      </c>
      <c r="AD280" s="239">
        <v>0</v>
      </c>
      <c r="AE280" s="239">
        <v>158534</v>
      </c>
      <c r="AF280" s="239">
        <v>158534</v>
      </c>
      <c r="AG280" s="239">
        <v>0</v>
      </c>
      <c r="AH280" s="239">
        <v>0</v>
      </c>
      <c r="AI280" s="239">
        <v>0</v>
      </c>
      <c r="AJ280" s="239">
        <v>0</v>
      </c>
      <c r="AK280" s="239">
        <v>0</v>
      </c>
      <c r="AL280" s="239">
        <v>0</v>
      </c>
      <c r="AM280" s="239">
        <v>0</v>
      </c>
      <c r="AN280" s="239">
        <v>0</v>
      </c>
      <c r="AO280" s="239">
        <v>0</v>
      </c>
      <c r="AP280" s="239">
        <v>0</v>
      </c>
      <c r="AQ280" s="239">
        <v>833704</v>
      </c>
      <c r="AR280" s="239">
        <v>-546909</v>
      </c>
      <c r="AS280" s="214" t="s">
        <v>642</v>
      </c>
      <c r="AT280" s="214" t="s">
        <v>800</v>
      </c>
      <c r="AU280" s="214" t="s">
        <v>792</v>
      </c>
      <c r="AV280" s="214" t="s">
        <v>1088</v>
      </c>
      <c r="AW280" s="214" t="s">
        <v>1088</v>
      </c>
      <c r="AX280" s="214" t="s">
        <v>1294</v>
      </c>
    </row>
    <row r="281" spans="2:50" x14ac:dyDescent="0.2">
      <c r="B281" s="610" t="s">
        <v>645</v>
      </c>
      <c r="C281" s="610" t="s">
        <v>644</v>
      </c>
      <c r="D281" s="239">
        <v>73338233</v>
      </c>
      <c r="E281" s="239">
        <v>0</v>
      </c>
      <c r="F281" s="239">
        <v>73338233</v>
      </c>
      <c r="G281" s="239">
        <v>-5565</v>
      </c>
      <c r="H281" s="239">
        <v>0</v>
      </c>
      <c r="I281" s="239">
        <v>-5565</v>
      </c>
      <c r="J281" s="239">
        <v>-750613</v>
      </c>
      <c r="K281" s="239">
        <v>0</v>
      </c>
      <c r="L281" s="239">
        <v>-750613</v>
      </c>
      <c r="M281" s="239">
        <v>0</v>
      </c>
      <c r="N281" s="239">
        <v>0</v>
      </c>
      <c r="O281" s="239">
        <v>0</v>
      </c>
      <c r="P281" s="239">
        <v>-617613</v>
      </c>
      <c r="Q281" s="239">
        <v>0</v>
      </c>
      <c r="R281" s="239">
        <v>-617613</v>
      </c>
      <c r="S281" s="239">
        <v>1630877</v>
      </c>
      <c r="T281" s="239">
        <v>0</v>
      </c>
      <c r="U281" s="239">
        <v>1630877</v>
      </c>
      <c r="V281" s="239">
        <v>-2305877</v>
      </c>
      <c r="W281" s="239">
        <v>0</v>
      </c>
      <c r="X281" s="239">
        <v>-2305877</v>
      </c>
      <c r="Y281" s="239">
        <v>72040055</v>
      </c>
      <c r="Z281" s="239">
        <v>0</v>
      </c>
      <c r="AA281" s="239">
        <v>72040055</v>
      </c>
      <c r="AB281" s="239">
        <v>0</v>
      </c>
      <c r="AC281" s="239">
        <v>0</v>
      </c>
      <c r="AD281" s="239">
        <v>0</v>
      </c>
      <c r="AE281" s="239">
        <v>61706</v>
      </c>
      <c r="AF281" s="239">
        <v>61706</v>
      </c>
      <c r="AG281" s="239">
        <v>0</v>
      </c>
      <c r="AH281" s="239">
        <v>0</v>
      </c>
      <c r="AI281" s="239">
        <v>0</v>
      </c>
      <c r="AJ281" s="239">
        <v>0</v>
      </c>
      <c r="AK281" s="239">
        <v>0</v>
      </c>
      <c r="AL281" s="239">
        <v>0</v>
      </c>
      <c r="AM281" s="239">
        <v>0</v>
      </c>
      <c r="AN281" s="239">
        <v>0</v>
      </c>
      <c r="AO281" s="239">
        <v>0</v>
      </c>
      <c r="AP281" s="239">
        <v>0</v>
      </c>
      <c r="AQ281" s="239">
        <v>2725761</v>
      </c>
      <c r="AR281" s="239">
        <v>-1282897</v>
      </c>
      <c r="AS281" s="214" t="s">
        <v>835</v>
      </c>
      <c r="AT281" s="214" t="s">
        <v>748</v>
      </c>
      <c r="AU281" s="214" t="s">
        <v>833</v>
      </c>
      <c r="AV281" s="214" t="s">
        <v>1088</v>
      </c>
      <c r="AW281" s="214" t="s">
        <v>1088</v>
      </c>
      <c r="AX281" s="214" t="s">
        <v>748</v>
      </c>
    </row>
    <row r="282" spans="2:50" x14ac:dyDescent="0.2">
      <c r="B282" s="610" t="s">
        <v>647</v>
      </c>
      <c r="C282" s="610" t="s">
        <v>646</v>
      </c>
      <c r="D282" s="239">
        <v>26282865</v>
      </c>
      <c r="E282" s="239">
        <v>0</v>
      </c>
      <c r="F282" s="239">
        <v>26282865</v>
      </c>
      <c r="G282" s="239">
        <v>-1728</v>
      </c>
      <c r="H282" s="239">
        <v>0</v>
      </c>
      <c r="I282" s="239">
        <v>-1728</v>
      </c>
      <c r="J282" s="239">
        <v>-150227</v>
      </c>
      <c r="K282" s="239">
        <v>0</v>
      </c>
      <c r="L282" s="239">
        <v>-150227</v>
      </c>
      <c r="M282" s="239">
        <v>0</v>
      </c>
      <c r="N282" s="239">
        <v>0</v>
      </c>
      <c r="O282" s="239">
        <v>0</v>
      </c>
      <c r="P282" s="239">
        <v>-191920</v>
      </c>
      <c r="Q282" s="239">
        <v>0</v>
      </c>
      <c r="R282" s="239">
        <v>-191920</v>
      </c>
      <c r="S282" s="239">
        <v>229000</v>
      </c>
      <c r="T282" s="239">
        <v>0</v>
      </c>
      <c r="U282" s="239">
        <v>229000</v>
      </c>
      <c r="V282" s="239">
        <v>-1001000</v>
      </c>
      <c r="W282" s="239">
        <v>0</v>
      </c>
      <c r="X282" s="239">
        <v>-1001000</v>
      </c>
      <c r="Y282" s="239">
        <v>25317217</v>
      </c>
      <c r="Z282" s="239">
        <v>0</v>
      </c>
      <c r="AA282" s="239">
        <v>25317217</v>
      </c>
      <c r="AB282" s="239">
        <v>0</v>
      </c>
      <c r="AC282" s="239">
        <v>0</v>
      </c>
      <c r="AD282" s="239">
        <v>0</v>
      </c>
      <c r="AE282" s="239">
        <v>220454</v>
      </c>
      <c r="AF282" s="239">
        <v>220454</v>
      </c>
      <c r="AG282" s="239">
        <v>0</v>
      </c>
      <c r="AH282" s="239">
        <v>0</v>
      </c>
      <c r="AI282" s="239">
        <v>0</v>
      </c>
      <c r="AJ282" s="239">
        <v>0</v>
      </c>
      <c r="AK282" s="239">
        <v>0</v>
      </c>
      <c r="AL282" s="239">
        <v>0</v>
      </c>
      <c r="AM282" s="239">
        <v>0</v>
      </c>
      <c r="AN282" s="239">
        <v>0</v>
      </c>
      <c r="AO282" s="239">
        <v>0</v>
      </c>
      <c r="AP282" s="239">
        <v>0</v>
      </c>
      <c r="AQ282" s="239">
        <v>594740</v>
      </c>
      <c r="AR282" s="239">
        <v>-424044</v>
      </c>
      <c r="AS282" s="214" t="s">
        <v>646</v>
      </c>
      <c r="AT282" s="214" t="s">
        <v>822</v>
      </c>
      <c r="AU282" s="214" t="s">
        <v>820</v>
      </c>
      <c r="AV282" s="214" t="s">
        <v>1088</v>
      </c>
      <c r="AW282" s="214" t="s">
        <v>1088</v>
      </c>
      <c r="AX282" s="214" t="s">
        <v>1294</v>
      </c>
    </row>
    <row r="283" spans="2:50" x14ac:dyDescent="0.2">
      <c r="B283" s="610" t="s">
        <v>649</v>
      </c>
      <c r="C283" s="610" t="s">
        <v>648</v>
      </c>
      <c r="D283" s="239">
        <v>49001366</v>
      </c>
      <c r="E283" s="239">
        <v>0</v>
      </c>
      <c r="F283" s="239">
        <v>49001366</v>
      </c>
      <c r="G283" s="239">
        <v>0</v>
      </c>
      <c r="H283" s="239">
        <v>0</v>
      </c>
      <c r="I283" s="239">
        <v>0</v>
      </c>
      <c r="J283" s="239">
        <v>-218926</v>
      </c>
      <c r="K283" s="239">
        <v>0</v>
      </c>
      <c r="L283" s="239">
        <v>-218926</v>
      </c>
      <c r="M283" s="239">
        <v>0</v>
      </c>
      <c r="N283" s="239">
        <v>0</v>
      </c>
      <c r="O283" s="239">
        <v>0</v>
      </c>
      <c r="P283" s="239">
        <v>-436124</v>
      </c>
      <c r="Q283" s="239">
        <v>0</v>
      </c>
      <c r="R283" s="239">
        <v>-436124</v>
      </c>
      <c r="S283" s="239">
        <v>1623583</v>
      </c>
      <c r="T283" s="239">
        <v>0</v>
      </c>
      <c r="U283" s="239">
        <v>1623583</v>
      </c>
      <c r="V283" s="239">
        <v>1868797</v>
      </c>
      <c r="W283" s="239">
        <v>0</v>
      </c>
      <c r="X283" s="239">
        <v>1868797</v>
      </c>
      <c r="Y283" s="239">
        <v>52057622</v>
      </c>
      <c r="Z283" s="239">
        <v>0</v>
      </c>
      <c r="AA283" s="239">
        <v>52057622</v>
      </c>
      <c r="AB283" s="239">
        <v>0</v>
      </c>
      <c r="AC283" s="239">
        <v>0</v>
      </c>
      <c r="AD283" s="239">
        <v>0</v>
      </c>
      <c r="AE283" s="239">
        <v>23171</v>
      </c>
      <c r="AF283" s="239">
        <v>23171</v>
      </c>
      <c r="AG283" s="239">
        <v>0</v>
      </c>
      <c r="AH283" s="239">
        <v>0</v>
      </c>
      <c r="AI283" s="239">
        <v>0</v>
      </c>
      <c r="AJ283" s="239">
        <v>0</v>
      </c>
      <c r="AK283" s="239">
        <v>0</v>
      </c>
      <c r="AL283" s="239">
        <v>0</v>
      </c>
      <c r="AM283" s="239">
        <v>0</v>
      </c>
      <c r="AN283" s="239">
        <v>0</v>
      </c>
      <c r="AO283" s="239">
        <v>0</v>
      </c>
      <c r="AP283" s="239">
        <v>0</v>
      </c>
      <c r="AQ283" s="239">
        <v>3268971</v>
      </c>
      <c r="AR283" s="239">
        <v>-1412204</v>
      </c>
      <c r="AS283" s="214" t="s">
        <v>648</v>
      </c>
      <c r="AT283" s="214" t="s">
        <v>779</v>
      </c>
      <c r="AU283" s="214" t="s">
        <v>777</v>
      </c>
      <c r="AV283" s="214" t="s">
        <v>1088</v>
      </c>
      <c r="AW283" s="214" t="s">
        <v>1088</v>
      </c>
      <c r="AX283" s="214" t="s">
        <v>1294</v>
      </c>
    </row>
    <row r="284" spans="2:50" x14ac:dyDescent="0.2">
      <c r="B284" s="610" t="s">
        <v>651</v>
      </c>
      <c r="C284" s="610" t="s">
        <v>650</v>
      </c>
      <c r="D284" s="239">
        <v>27683150</v>
      </c>
      <c r="E284" s="239">
        <v>0</v>
      </c>
      <c r="F284" s="239">
        <v>27683150</v>
      </c>
      <c r="G284" s="239">
        <v>-12361</v>
      </c>
      <c r="H284" s="239">
        <v>0</v>
      </c>
      <c r="I284" s="239">
        <v>-12361</v>
      </c>
      <c r="J284" s="239">
        <v>-373792</v>
      </c>
      <c r="K284" s="239">
        <v>0</v>
      </c>
      <c r="L284" s="239">
        <v>-373792</v>
      </c>
      <c r="M284" s="239">
        <v>0</v>
      </c>
      <c r="N284" s="239">
        <v>0</v>
      </c>
      <c r="O284" s="239">
        <v>0</v>
      </c>
      <c r="P284" s="239">
        <v>-293792</v>
      </c>
      <c r="Q284" s="239">
        <v>0</v>
      </c>
      <c r="R284" s="239">
        <v>-293792</v>
      </c>
      <c r="S284" s="239">
        <v>9511995</v>
      </c>
      <c r="T284" s="239">
        <v>0</v>
      </c>
      <c r="U284" s="239">
        <v>9511995</v>
      </c>
      <c r="V284" s="239">
        <v>-4620525</v>
      </c>
      <c r="W284" s="239">
        <v>0</v>
      </c>
      <c r="X284" s="239">
        <v>-4620525</v>
      </c>
      <c r="Y284" s="239">
        <v>32268467</v>
      </c>
      <c r="Z284" s="239">
        <v>0</v>
      </c>
      <c r="AA284" s="239">
        <v>32268467</v>
      </c>
      <c r="AB284" s="239">
        <v>0</v>
      </c>
      <c r="AC284" s="239">
        <v>0</v>
      </c>
      <c r="AD284" s="239">
        <v>0</v>
      </c>
      <c r="AE284" s="239">
        <v>0</v>
      </c>
      <c r="AF284" s="239">
        <v>0</v>
      </c>
      <c r="AG284" s="239">
        <v>0</v>
      </c>
      <c r="AH284" s="239">
        <v>0</v>
      </c>
      <c r="AI284" s="239">
        <v>0</v>
      </c>
      <c r="AJ284" s="239">
        <v>0</v>
      </c>
      <c r="AK284" s="239">
        <v>0</v>
      </c>
      <c r="AL284" s="239">
        <v>0</v>
      </c>
      <c r="AM284" s="239">
        <v>0</v>
      </c>
      <c r="AN284" s="239">
        <v>0</v>
      </c>
      <c r="AO284" s="239">
        <v>0</v>
      </c>
      <c r="AP284" s="239">
        <v>0</v>
      </c>
      <c r="AQ284" s="239">
        <v>450019</v>
      </c>
      <c r="AR284" s="239">
        <v>-298822</v>
      </c>
      <c r="AS284" s="214" t="s">
        <v>650</v>
      </c>
      <c r="AT284" s="214" t="s">
        <v>831</v>
      </c>
      <c r="AU284" s="214" t="s">
        <v>763</v>
      </c>
      <c r="AV284" s="214" t="s">
        <v>1088</v>
      </c>
      <c r="AW284" s="214" t="s">
        <v>1088</v>
      </c>
      <c r="AX284" s="214" t="s">
        <v>1294</v>
      </c>
    </row>
    <row r="285" spans="2:50" x14ac:dyDescent="0.2">
      <c r="B285" s="610" t="s">
        <v>653</v>
      </c>
      <c r="C285" s="610" t="s">
        <v>652</v>
      </c>
      <c r="D285" s="239">
        <v>31840376</v>
      </c>
      <c r="E285" s="239">
        <v>0</v>
      </c>
      <c r="F285" s="239">
        <v>31840376</v>
      </c>
      <c r="G285" s="239">
        <v>0</v>
      </c>
      <c r="H285" s="239">
        <v>0</v>
      </c>
      <c r="I285" s="239">
        <v>0</v>
      </c>
      <c r="J285" s="239">
        <v>-289492</v>
      </c>
      <c r="K285" s="239">
        <v>0</v>
      </c>
      <c r="L285" s="239">
        <v>-289492</v>
      </c>
      <c r="M285" s="239">
        <v>0</v>
      </c>
      <c r="N285" s="239">
        <v>0</v>
      </c>
      <c r="O285" s="239">
        <v>0</v>
      </c>
      <c r="P285" s="239">
        <v>-263277</v>
      </c>
      <c r="Q285" s="239">
        <v>0</v>
      </c>
      <c r="R285" s="239">
        <v>-263277</v>
      </c>
      <c r="S285" s="239">
        <v>1064167</v>
      </c>
      <c r="T285" s="239">
        <v>0</v>
      </c>
      <c r="U285" s="239">
        <v>1064167</v>
      </c>
      <c r="V285" s="239">
        <v>-1032080</v>
      </c>
      <c r="W285" s="239">
        <v>0</v>
      </c>
      <c r="X285" s="239">
        <v>-1032080</v>
      </c>
      <c r="Y285" s="239">
        <v>31609186</v>
      </c>
      <c r="Z285" s="239">
        <v>0</v>
      </c>
      <c r="AA285" s="239">
        <v>31609186</v>
      </c>
      <c r="AB285" s="239">
        <v>0</v>
      </c>
      <c r="AC285" s="239">
        <v>0</v>
      </c>
      <c r="AD285" s="239">
        <v>0</v>
      </c>
      <c r="AE285" s="239">
        <v>0</v>
      </c>
      <c r="AF285" s="239">
        <v>0</v>
      </c>
      <c r="AG285" s="239">
        <v>0</v>
      </c>
      <c r="AH285" s="239">
        <v>0</v>
      </c>
      <c r="AI285" s="239">
        <v>0</v>
      </c>
      <c r="AJ285" s="239">
        <v>0</v>
      </c>
      <c r="AK285" s="239">
        <v>0</v>
      </c>
      <c r="AL285" s="239">
        <v>0</v>
      </c>
      <c r="AM285" s="239">
        <v>0</v>
      </c>
      <c r="AN285" s="239">
        <v>0</v>
      </c>
      <c r="AO285" s="239">
        <v>0</v>
      </c>
      <c r="AP285" s="239">
        <v>0</v>
      </c>
      <c r="AQ285" s="239">
        <v>2139783</v>
      </c>
      <c r="AR285" s="239">
        <v>-2744604</v>
      </c>
      <c r="AS285" s="214" t="s">
        <v>652</v>
      </c>
      <c r="AT285" s="214" t="s">
        <v>826</v>
      </c>
      <c r="AU285" s="214" t="s">
        <v>824</v>
      </c>
      <c r="AV285" s="214" t="s">
        <v>1088</v>
      </c>
      <c r="AW285" s="214" t="s">
        <v>1088</v>
      </c>
      <c r="AX285" s="214" t="s">
        <v>1294</v>
      </c>
    </row>
    <row r="286" spans="2:50" x14ac:dyDescent="0.2">
      <c r="B286" s="610" t="s">
        <v>655</v>
      </c>
      <c r="C286" s="610" t="s">
        <v>654</v>
      </c>
      <c r="D286" s="239">
        <v>28408286</v>
      </c>
      <c r="E286" s="239">
        <v>0</v>
      </c>
      <c r="F286" s="239">
        <v>28408286</v>
      </c>
      <c r="G286" s="239">
        <v>-423</v>
      </c>
      <c r="H286" s="239">
        <v>0</v>
      </c>
      <c r="I286" s="239">
        <v>-423</v>
      </c>
      <c r="J286" s="239">
        <v>-174477</v>
      </c>
      <c r="K286" s="239">
        <v>0</v>
      </c>
      <c r="L286" s="239">
        <v>-174477</v>
      </c>
      <c r="M286" s="239">
        <v>0</v>
      </c>
      <c r="N286" s="239">
        <v>0</v>
      </c>
      <c r="O286" s="239">
        <v>0</v>
      </c>
      <c r="P286" s="239">
        <v>-133376</v>
      </c>
      <c r="Q286" s="239">
        <v>0</v>
      </c>
      <c r="R286" s="239">
        <v>-133376</v>
      </c>
      <c r="S286" s="239">
        <v>1042782</v>
      </c>
      <c r="T286" s="239">
        <v>0</v>
      </c>
      <c r="U286" s="239">
        <v>1042782</v>
      </c>
      <c r="V286" s="239">
        <v>41769</v>
      </c>
      <c r="W286" s="239">
        <v>0</v>
      </c>
      <c r="X286" s="239">
        <v>41769</v>
      </c>
      <c r="Y286" s="239">
        <v>29359038</v>
      </c>
      <c r="Z286" s="239">
        <v>0</v>
      </c>
      <c r="AA286" s="239">
        <v>29359038</v>
      </c>
      <c r="AB286" s="239">
        <v>0</v>
      </c>
      <c r="AC286" s="239">
        <v>0</v>
      </c>
      <c r="AD286" s="239">
        <v>0</v>
      </c>
      <c r="AE286" s="239">
        <v>0</v>
      </c>
      <c r="AF286" s="239">
        <v>0</v>
      </c>
      <c r="AG286" s="239">
        <v>0</v>
      </c>
      <c r="AH286" s="239">
        <v>0</v>
      </c>
      <c r="AI286" s="239">
        <v>0</v>
      </c>
      <c r="AJ286" s="239">
        <v>0</v>
      </c>
      <c r="AK286" s="239">
        <v>0</v>
      </c>
      <c r="AL286" s="239">
        <v>0</v>
      </c>
      <c r="AM286" s="239">
        <v>0</v>
      </c>
      <c r="AN286" s="239">
        <v>0</v>
      </c>
      <c r="AO286" s="239">
        <v>0</v>
      </c>
      <c r="AP286" s="239">
        <v>0</v>
      </c>
      <c r="AQ286" s="239">
        <v>1151887</v>
      </c>
      <c r="AR286" s="239">
        <v>-623109</v>
      </c>
      <c r="AS286" s="214" t="s">
        <v>654</v>
      </c>
      <c r="AT286" s="214" t="s">
        <v>803</v>
      </c>
      <c r="AU286" s="214" t="s">
        <v>763</v>
      </c>
      <c r="AV286" s="214" t="s">
        <v>1088</v>
      </c>
      <c r="AW286" s="214" t="s">
        <v>1088</v>
      </c>
      <c r="AX286" s="214" t="s">
        <v>1294</v>
      </c>
    </row>
    <row r="287" spans="2:50" x14ac:dyDescent="0.2">
      <c r="B287" s="610" t="s">
        <v>657</v>
      </c>
      <c r="C287" s="610" t="s">
        <v>656</v>
      </c>
      <c r="D287" s="239">
        <v>106131707</v>
      </c>
      <c r="E287" s="239">
        <v>0</v>
      </c>
      <c r="F287" s="239">
        <v>106131707</v>
      </c>
      <c r="G287" s="239">
        <v>-24317</v>
      </c>
      <c r="H287" s="239">
        <v>0</v>
      </c>
      <c r="I287" s="239">
        <v>-24317</v>
      </c>
      <c r="J287" s="239">
        <v>0</v>
      </c>
      <c r="K287" s="239">
        <v>0</v>
      </c>
      <c r="L287" s="239">
        <v>0</v>
      </c>
      <c r="M287" s="239">
        <v>-296236</v>
      </c>
      <c r="N287" s="239">
        <v>0</v>
      </c>
      <c r="O287" s="239">
        <v>-296236</v>
      </c>
      <c r="P287" s="239">
        <v>35442</v>
      </c>
      <c r="Q287" s="239">
        <v>0</v>
      </c>
      <c r="R287" s="239">
        <v>35442</v>
      </c>
      <c r="S287" s="239">
        <v>0</v>
      </c>
      <c r="T287" s="239">
        <v>0</v>
      </c>
      <c r="U287" s="239">
        <v>0</v>
      </c>
      <c r="V287" s="239">
        <v>3263940</v>
      </c>
      <c r="W287" s="239">
        <v>0</v>
      </c>
      <c r="X287" s="239">
        <v>3263940</v>
      </c>
      <c r="Y287" s="239">
        <v>109110536</v>
      </c>
      <c r="Z287" s="239">
        <v>0</v>
      </c>
      <c r="AA287" s="239">
        <v>109110536</v>
      </c>
      <c r="AB287" s="239">
        <v>0</v>
      </c>
      <c r="AC287" s="239">
        <v>0</v>
      </c>
      <c r="AD287" s="239">
        <v>0</v>
      </c>
      <c r="AE287" s="239">
        <v>0</v>
      </c>
      <c r="AF287" s="239">
        <v>0</v>
      </c>
      <c r="AG287" s="239">
        <v>0</v>
      </c>
      <c r="AH287" s="239">
        <v>0</v>
      </c>
      <c r="AI287" s="239">
        <v>0</v>
      </c>
      <c r="AJ287" s="239">
        <v>0</v>
      </c>
      <c r="AK287" s="239">
        <v>0</v>
      </c>
      <c r="AL287" s="239">
        <v>0</v>
      </c>
      <c r="AM287" s="239">
        <v>0</v>
      </c>
      <c r="AN287" s="239">
        <v>0</v>
      </c>
      <c r="AO287" s="239">
        <v>0</v>
      </c>
      <c r="AP287" s="239">
        <v>0</v>
      </c>
      <c r="AQ287" s="239">
        <v>883844</v>
      </c>
      <c r="AR287" s="239">
        <v>-520093</v>
      </c>
      <c r="AS287" s="214" t="s">
        <v>830</v>
      </c>
      <c r="AT287" s="214" t="s">
        <v>748</v>
      </c>
      <c r="AU287" s="214" t="s">
        <v>820</v>
      </c>
      <c r="AV287" s="214" t="s">
        <v>1088</v>
      </c>
      <c r="AW287" s="214" t="s">
        <v>1088</v>
      </c>
      <c r="AX287" s="214" t="s">
        <v>748</v>
      </c>
    </row>
    <row r="288" spans="2:50" x14ac:dyDescent="0.2">
      <c r="B288" s="610" t="s">
        <v>659</v>
      </c>
      <c r="C288" s="610" t="s">
        <v>658</v>
      </c>
      <c r="D288" s="239">
        <v>55043083</v>
      </c>
      <c r="E288" s="239">
        <v>0</v>
      </c>
      <c r="F288" s="239">
        <v>55043083</v>
      </c>
      <c r="G288" s="239">
        <v>0</v>
      </c>
      <c r="H288" s="239">
        <v>0</v>
      </c>
      <c r="I288" s="239">
        <v>0</v>
      </c>
      <c r="J288" s="239">
        <v>-281148</v>
      </c>
      <c r="K288" s="239">
        <v>0</v>
      </c>
      <c r="L288" s="239">
        <v>-281148</v>
      </c>
      <c r="M288" s="239">
        <v>0</v>
      </c>
      <c r="N288" s="239">
        <v>0</v>
      </c>
      <c r="O288" s="239">
        <v>0</v>
      </c>
      <c r="P288" s="239">
        <v>-131148</v>
      </c>
      <c r="Q288" s="239">
        <v>0</v>
      </c>
      <c r="R288" s="239">
        <v>-131148</v>
      </c>
      <c r="S288" s="239">
        <v>137000</v>
      </c>
      <c r="T288" s="239">
        <v>0</v>
      </c>
      <c r="U288" s="239">
        <v>137000</v>
      </c>
      <c r="V288" s="239">
        <v>-1977000</v>
      </c>
      <c r="W288" s="239">
        <v>0</v>
      </c>
      <c r="X288" s="239">
        <v>-1977000</v>
      </c>
      <c r="Y288" s="239">
        <v>53071935</v>
      </c>
      <c r="Z288" s="239">
        <v>0</v>
      </c>
      <c r="AA288" s="239">
        <v>53071935</v>
      </c>
      <c r="AB288" s="239">
        <v>0</v>
      </c>
      <c r="AC288" s="239">
        <v>0</v>
      </c>
      <c r="AD288" s="239">
        <v>0</v>
      </c>
      <c r="AE288" s="239">
        <v>0</v>
      </c>
      <c r="AF288" s="239">
        <v>0</v>
      </c>
      <c r="AG288" s="239">
        <v>0</v>
      </c>
      <c r="AH288" s="239">
        <v>0</v>
      </c>
      <c r="AI288" s="239">
        <v>0</v>
      </c>
      <c r="AJ288" s="239">
        <v>0</v>
      </c>
      <c r="AK288" s="239">
        <v>0</v>
      </c>
      <c r="AL288" s="239">
        <v>0</v>
      </c>
      <c r="AM288" s="239">
        <v>0</v>
      </c>
      <c r="AN288" s="239">
        <v>0</v>
      </c>
      <c r="AO288" s="239">
        <v>0</v>
      </c>
      <c r="AP288" s="239">
        <v>0</v>
      </c>
      <c r="AQ288" s="239">
        <v>1056098</v>
      </c>
      <c r="AR288" s="239">
        <v>-882491</v>
      </c>
      <c r="AS288" s="214" t="s">
        <v>829</v>
      </c>
      <c r="AT288" s="214" t="s">
        <v>826</v>
      </c>
      <c r="AU288" s="214" t="s">
        <v>824</v>
      </c>
      <c r="AV288" s="214" t="s">
        <v>1088</v>
      </c>
      <c r="AW288" s="214" t="s">
        <v>1088</v>
      </c>
      <c r="AX288" s="214" t="s">
        <v>1294</v>
      </c>
    </row>
    <row r="289" spans="2:50" x14ac:dyDescent="0.2">
      <c r="B289" s="610" t="s">
        <v>661</v>
      </c>
      <c r="C289" s="610" t="s">
        <v>660</v>
      </c>
      <c r="D289" s="239">
        <v>36310249</v>
      </c>
      <c r="E289" s="239">
        <v>0</v>
      </c>
      <c r="F289" s="239">
        <v>36310249</v>
      </c>
      <c r="G289" s="239">
        <v>0</v>
      </c>
      <c r="H289" s="239">
        <v>0</v>
      </c>
      <c r="I289" s="239">
        <v>0</v>
      </c>
      <c r="J289" s="239">
        <v>-469112</v>
      </c>
      <c r="K289" s="239">
        <v>0</v>
      </c>
      <c r="L289" s="239">
        <v>-469112</v>
      </c>
      <c r="M289" s="239">
        <v>0</v>
      </c>
      <c r="N289" s="239">
        <v>0</v>
      </c>
      <c r="O289" s="239">
        <v>0</v>
      </c>
      <c r="P289" s="239">
        <v>-542729</v>
      </c>
      <c r="Q289" s="239">
        <v>0</v>
      </c>
      <c r="R289" s="239">
        <v>-542729</v>
      </c>
      <c r="S289" s="239">
        <v>0</v>
      </c>
      <c r="T289" s="239">
        <v>0</v>
      </c>
      <c r="U289" s="239">
        <v>0</v>
      </c>
      <c r="V289" s="239">
        <v>-1730882</v>
      </c>
      <c r="W289" s="239">
        <v>0</v>
      </c>
      <c r="X289" s="239">
        <v>-1730882</v>
      </c>
      <c r="Y289" s="239">
        <v>34036638</v>
      </c>
      <c r="Z289" s="239">
        <v>0</v>
      </c>
      <c r="AA289" s="239">
        <v>34036638</v>
      </c>
      <c r="AB289" s="239">
        <v>0</v>
      </c>
      <c r="AC289" s="239">
        <v>0</v>
      </c>
      <c r="AD289" s="239">
        <v>0</v>
      </c>
      <c r="AE289" s="239">
        <v>0</v>
      </c>
      <c r="AF289" s="239">
        <v>0</v>
      </c>
      <c r="AG289" s="239">
        <v>0</v>
      </c>
      <c r="AH289" s="239">
        <v>0</v>
      </c>
      <c r="AI289" s="239">
        <v>0</v>
      </c>
      <c r="AJ289" s="239">
        <v>0</v>
      </c>
      <c r="AK289" s="239">
        <v>0</v>
      </c>
      <c r="AL289" s="239">
        <v>0</v>
      </c>
      <c r="AM289" s="239">
        <v>0</v>
      </c>
      <c r="AN289" s="239">
        <v>0</v>
      </c>
      <c r="AO289" s="239">
        <v>0</v>
      </c>
      <c r="AP289" s="239">
        <v>0</v>
      </c>
      <c r="AQ289" s="239">
        <v>1774738</v>
      </c>
      <c r="AR289" s="239">
        <v>-697074</v>
      </c>
      <c r="AS289" s="214" t="s">
        <v>828</v>
      </c>
      <c r="AT289" s="214" t="s">
        <v>748</v>
      </c>
      <c r="AU289" s="214" t="s">
        <v>792</v>
      </c>
      <c r="AV289" s="214" t="s">
        <v>1088</v>
      </c>
      <c r="AW289" s="214" t="s">
        <v>1088</v>
      </c>
      <c r="AX289" s="214" t="s">
        <v>748</v>
      </c>
    </row>
    <row r="290" spans="2:50" x14ac:dyDescent="0.2">
      <c r="B290" s="610" t="s">
        <v>663</v>
      </c>
      <c r="C290" s="610" t="s">
        <v>662</v>
      </c>
      <c r="D290" s="239">
        <v>10281077</v>
      </c>
      <c r="E290" s="239">
        <v>0</v>
      </c>
      <c r="F290" s="239">
        <v>10281077</v>
      </c>
      <c r="G290" s="239">
        <v>-7852</v>
      </c>
      <c r="H290" s="239">
        <v>0</v>
      </c>
      <c r="I290" s="239">
        <v>-7852</v>
      </c>
      <c r="J290" s="239">
        <v>-16914</v>
      </c>
      <c r="K290" s="239">
        <v>0</v>
      </c>
      <c r="L290" s="239">
        <v>-16914</v>
      </c>
      <c r="M290" s="239">
        <v>0</v>
      </c>
      <c r="N290" s="239">
        <v>0</v>
      </c>
      <c r="O290" s="239">
        <v>0</v>
      </c>
      <c r="P290" s="239">
        <v>-52411</v>
      </c>
      <c r="Q290" s="239">
        <v>0</v>
      </c>
      <c r="R290" s="239">
        <v>-52411</v>
      </c>
      <c r="S290" s="239">
        <v>777770</v>
      </c>
      <c r="T290" s="239">
        <v>0</v>
      </c>
      <c r="U290" s="239">
        <v>777770</v>
      </c>
      <c r="V290" s="239">
        <v>-1826301</v>
      </c>
      <c r="W290" s="239">
        <v>0</v>
      </c>
      <c r="X290" s="239">
        <v>-1826301</v>
      </c>
      <c r="Y290" s="239">
        <v>9172283</v>
      </c>
      <c r="Z290" s="239">
        <v>0</v>
      </c>
      <c r="AA290" s="239">
        <v>9172283</v>
      </c>
      <c r="AB290" s="239">
        <v>0</v>
      </c>
      <c r="AC290" s="239">
        <v>0</v>
      </c>
      <c r="AD290" s="239">
        <v>0</v>
      </c>
      <c r="AE290" s="239">
        <v>477523</v>
      </c>
      <c r="AF290" s="239">
        <v>477523</v>
      </c>
      <c r="AG290" s="239">
        <v>0</v>
      </c>
      <c r="AH290" s="239">
        <v>0</v>
      </c>
      <c r="AI290" s="239">
        <v>0</v>
      </c>
      <c r="AJ290" s="239">
        <v>0</v>
      </c>
      <c r="AK290" s="239">
        <v>0</v>
      </c>
      <c r="AL290" s="239">
        <v>0</v>
      </c>
      <c r="AM290" s="239">
        <v>0</v>
      </c>
      <c r="AN290" s="239">
        <v>0</v>
      </c>
      <c r="AO290" s="239">
        <v>0</v>
      </c>
      <c r="AP290" s="239">
        <v>0</v>
      </c>
      <c r="AQ290" s="239">
        <v>281626</v>
      </c>
      <c r="AR290" s="239">
        <v>-104163</v>
      </c>
      <c r="AS290" s="214" t="s">
        <v>662</v>
      </c>
      <c r="AT290" s="214" t="s">
        <v>800</v>
      </c>
      <c r="AU290" s="214" t="s">
        <v>792</v>
      </c>
      <c r="AV290" s="214" t="s">
        <v>1088</v>
      </c>
      <c r="AW290" s="214" t="s">
        <v>1088</v>
      </c>
      <c r="AX290" s="214" t="s">
        <v>1294</v>
      </c>
    </row>
    <row r="291" spans="2:50" x14ac:dyDescent="0.2">
      <c r="B291" s="610" t="s">
        <v>665</v>
      </c>
      <c r="C291" s="610" t="s">
        <v>664</v>
      </c>
      <c r="D291" s="239">
        <v>369909153</v>
      </c>
      <c r="E291" s="239">
        <v>0</v>
      </c>
      <c r="F291" s="239">
        <v>369909153</v>
      </c>
      <c r="G291" s="239">
        <v>-33930</v>
      </c>
      <c r="H291" s="239">
        <v>0</v>
      </c>
      <c r="I291" s="239">
        <v>-33930</v>
      </c>
      <c r="J291" s="239">
        <v>-1873730</v>
      </c>
      <c r="K291" s="239">
        <v>0</v>
      </c>
      <c r="L291" s="239">
        <v>-1873730</v>
      </c>
      <c r="M291" s="239">
        <v>0</v>
      </c>
      <c r="N291" s="239">
        <v>0</v>
      </c>
      <c r="O291" s="239">
        <v>0</v>
      </c>
      <c r="P291" s="239">
        <v>-2063089</v>
      </c>
      <c r="Q291" s="239">
        <v>0</v>
      </c>
      <c r="R291" s="239">
        <v>-2063089</v>
      </c>
      <c r="S291" s="239">
        <v>8089311</v>
      </c>
      <c r="T291" s="239">
        <v>0</v>
      </c>
      <c r="U291" s="239">
        <v>8089311</v>
      </c>
      <c r="V291" s="239">
        <v>0</v>
      </c>
      <c r="W291" s="239">
        <v>0</v>
      </c>
      <c r="X291" s="239">
        <v>0</v>
      </c>
      <c r="Y291" s="239">
        <v>375901445</v>
      </c>
      <c r="Z291" s="239">
        <v>0</v>
      </c>
      <c r="AA291" s="239">
        <v>375901445</v>
      </c>
      <c r="AB291" s="239">
        <v>0</v>
      </c>
      <c r="AC291" s="239">
        <v>0</v>
      </c>
      <c r="AD291" s="239">
        <v>0</v>
      </c>
      <c r="AE291" s="239">
        <v>0</v>
      </c>
      <c r="AF291" s="239">
        <v>0</v>
      </c>
      <c r="AG291" s="239">
        <v>0</v>
      </c>
      <c r="AH291" s="239">
        <v>0</v>
      </c>
      <c r="AI291" s="239">
        <v>0</v>
      </c>
      <c r="AJ291" s="239">
        <v>0</v>
      </c>
      <c r="AK291" s="239">
        <v>0</v>
      </c>
      <c r="AL291" s="239">
        <v>0</v>
      </c>
      <c r="AM291" s="239">
        <v>0</v>
      </c>
      <c r="AN291" s="239">
        <v>0</v>
      </c>
      <c r="AO291" s="239">
        <v>0</v>
      </c>
      <c r="AP291" s="239">
        <v>0</v>
      </c>
      <c r="AQ291" s="239">
        <v>14587290</v>
      </c>
      <c r="AR291" s="239">
        <v>-19643536</v>
      </c>
      <c r="AS291" s="214" t="s">
        <v>664</v>
      </c>
      <c r="AT291" s="214" t="s">
        <v>790</v>
      </c>
      <c r="AU291" s="214" t="s">
        <v>749</v>
      </c>
      <c r="AV291" s="214" t="s">
        <v>1088</v>
      </c>
      <c r="AW291" s="214" t="s">
        <v>1088</v>
      </c>
      <c r="AX291" s="214" t="s">
        <v>1297</v>
      </c>
    </row>
    <row r="292" spans="2:50" x14ac:dyDescent="0.2">
      <c r="B292" s="610" t="s">
        <v>667</v>
      </c>
      <c r="C292" s="610" t="s">
        <v>666</v>
      </c>
      <c r="D292" s="239">
        <v>164755080</v>
      </c>
      <c r="E292" s="239">
        <v>0</v>
      </c>
      <c r="F292" s="239">
        <v>164755080</v>
      </c>
      <c r="G292" s="239">
        <v>-7810</v>
      </c>
      <c r="H292" s="239">
        <v>0</v>
      </c>
      <c r="I292" s="239">
        <v>-7810</v>
      </c>
      <c r="J292" s="239">
        <v>-552735</v>
      </c>
      <c r="K292" s="239">
        <v>0</v>
      </c>
      <c r="L292" s="239">
        <v>-552735</v>
      </c>
      <c r="M292" s="239">
        <v>0</v>
      </c>
      <c r="N292" s="239">
        <v>0</v>
      </c>
      <c r="O292" s="239">
        <v>0</v>
      </c>
      <c r="P292" s="239">
        <v>-763108</v>
      </c>
      <c r="Q292" s="239">
        <v>0</v>
      </c>
      <c r="R292" s="239">
        <v>-763108</v>
      </c>
      <c r="S292" s="239">
        <v>4640869</v>
      </c>
      <c r="T292" s="239">
        <v>0</v>
      </c>
      <c r="U292" s="239">
        <v>4640869</v>
      </c>
      <c r="V292" s="239">
        <v>-4581202</v>
      </c>
      <c r="W292" s="239">
        <v>0</v>
      </c>
      <c r="X292" s="239">
        <v>-4581202</v>
      </c>
      <c r="Y292" s="239">
        <v>164043829</v>
      </c>
      <c r="Z292" s="239">
        <v>0</v>
      </c>
      <c r="AA292" s="239">
        <v>164043829</v>
      </c>
      <c r="AB292" s="239">
        <v>0</v>
      </c>
      <c r="AC292" s="239">
        <v>0</v>
      </c>
      <c r="AD292" s="239">
        <v>0</v>
      </c>
      <c r="AE292" s="239">
        <v>76908</v>
      </c>
      <c r="AF292" s="239">
        <v>76908</v>
      </c>
      <c r="AG292" s="239">
        <v>0</v>
      </c>
      <c r="AH292" s="239">
        <v>0</v>
      </c>
      <c r="AI292" s="239">
        <v>0</v>
      </c>
      <c r="AJ292" s="239">
        <v>0</v>
      </c>
      <c r="AK292" s="239">
        <v>0</v>
      </c>
      <c r="AL292" s="239">
        <v>0</v>
      </c>
      <c r="AM292" s="239">
        <v>0</v>
      </c>
      <c r="AN292" s="239">
        <v>0</v>
      </c>
      <c r="AO292" s="239">
        <v>0</v>
      </c>
      <c r="AP292" s="239">
        <v>0</v>
      </c>
      <c r="AQ292" s="239">
        <v>11411130</v>
      </c>
      <c r="AR292" s="239">
        <v>-5605084</v>
      </c>
      <c r="AS292" s="214" t="s">
        <v>666</v>
      </c>
      <c r="AT292" s="214" t="s">
        <v>768</v>
      </c>
      <c r="AU292" s="214" t="s">
        <v>783</v>
      </c>
      <c r="AV292" s="214" t="s">
        <v>1088</v>
      </c>
      <c r="AW292" s="214" t="s">
        <v>1088</v>
      </c>
      <c r="AX292" s="214" t="s">
        <v>1296</v>
      </c>
    </row>
    <row r="293" spans="2:50" x14ac:dyDescent="0.2">
      <c r="B293" s="610" t="s">
        <v>669</v>
      </c>
      <c r="C293" s="610" t="s">
        <v>668</v>
      </c>
      <c r="D293" s="239">
        <v>53212779</v>
      </c>
      <c r="E293" s="239">
        <v>0</v>
      </c>
      <c r="F293" s="239">
        <v>53212779</v>
      </c>
      <c r="G293" s="239">
        <v>0</v>
      </c>
      <c r="H293" s="239">
        <v>0</v>
      </c>
      <c r="I293" s="239">
        <v>0</v>
      </c>
      <c r="J293" s="239">
        <v>0</v>
      </c>
      <c r="K293" s="239">
        <v>0</v>
      </c>
      <c r="L293" s="239">
        <v>0</v>
      </c>
      <c r="M293" s="239">
        <v>-672542</v>
      </c>
      <c r="N293" s="239">
        <v>0</v>
      </c>
      <c r="O293" s="239">
        <v>-672542</v>
      </c>
      <c r="P293" s="239">
        <v>211640</v>
      </c>
      <c r="Q293" s="239">
        <v>0</v>
      </c>
      <c r="R293" s="239">
        <v>211640</v>
      </c>
      <c r="S293" s="239">
        <v>0</v>
      </c>
      <c r="T293" s="239">
        <v>0</v>
      </c>
      <c r="U293" s="239">
        <v>0</v>
      </c>
      <c r="V293" s="239">
        <v>-2603218</v>
      </c>
      <c r="W293" s="239">
        <v>0</v>
      </c>
      <c r="X293" s="239">
        <v>-2603218</v>
      </c>
      <c r="Y293" s="239">
        <v>50148659</v>
      </c>
      <c r="Z293" s="239">
        <v>0</v>
      </c>
      <c r="AA293" s="239">
        <v>50148659</v>
      </c>
      <c r="AB293" s="239">
        <v>0</v>
      </c>
      <c r="AC293" s="239">
        <v>0</v>
      </c>
      <c r="AD293" s="239">
        <v>0</v>
      </c>
      <c r="AE293" s="239">
        <v>0</v>
      </c>
      <c r="AF293" s="239">
        <v>0</v>
      </c>
      <c r="AG293" s="239">
        <v>0</v>
      </c>
      <c r="AH293" s="239">
        <v>0</v>
      </c>
      <c r="AI293" s="239">
        <v>0</v>
      </c>
      <c r="AJ293" s="239">
        <v>0</v>
      </c>
      <c r="AK293" s="239">
        <v>0</v>
      </c>
      <c r="AL293" s="239">
        <v>0</v>
      </c>
      <c r="AM293" s="239">
        <v>0</v>
      </c>
      <c r="AN293" s="239">
        <v>0</v>
      </c>
      <c r="AO293" s="239">
        <v>0</v>
      </c>
      <c r="AP293" s="239">
        <v>0</v>
      </c>
      <c r="AQ293" s="239">
        <v>1797131</v>
      </c>
      <c r="AR293" s="239">
        <v>-444294</v>
      </c>
      <c r="AS293" s="214" t="s">
        <v>668</v>
      </c>
      <c r="AT293" s="214" t="s">
        <v>826</v>
      </c>
      <c r="AU293" s="214" t="s">
        <v>824</v>
      </c>
      <c r="AV293" s="214" t="s">
        <v>1088</v>
      </c>
      <c r="AW293" s="214" t="s">
        <v>1088</v>
      </c>
      <c r="AX293" s="214" t="s">
        <v>1294</v>
      </c>
    </row>
    <row r="294" spans="2:50" x14ac:dyDescent="0.2">
      <c r="B294" s="610" t="s">
        <v>671</v>
      </c>
      <c r="C294" s="610" t="s">
        <v>670</v>
      </c>
      <c r="D294" s="239">
        <v>43932317</v>
      </c>
      <c r="E294" s="239">
        <v>0</v>
      </c>
      <c r="F294" s="239">
        <v>43932317</v>
      </c>
      <c r="G294" s="239">
        <v>0</v>
      </c>
      <c r="H294" s="239">
        <v>0</v>
      </c>
      <c r="I294" s="239">
        <v>0</v>
      </c>
      <c r="J294" s="239">
        <v>-17465</v>
      </c>
      <c r="K294" s="239">
        <v>0</v>
      </c>
      <c r="L294" s="239">
        <v>-17465</v>
      </c>
      <c r="M294" s="239">
        <v>0</v>
      </c>
      <c r="N294" s="239">
        <v>0</v>
      </c>
      <c r="O294" s="239">
        <v>0</v>
      </c>
      <c r="P294" s="239">
        <v>-147890</v>
      </c>
      <c r="Q294" s="239">
        <v>0</v>
      </c>
      <c r="R294" s="239">
        <v>-147890</v>
      </c>
      <c r="S294" s="239">
        <v>699474</v>
      </c>
      <c r="T294" s="239">
        <v>0</v>
      </c>
      <c r="U294" s="239">
        <v>699474</v>
      </c>
      <c r="V294" s="239">
        <v>-1972540</v>
      </c>
      <c r="W294" s="239">
        <v>0</v>
      </c>
      <c r="X294" s="239">
        <v>-1972540</v>
      </c>
      <c r="Y294" s="239">
        <v>42511361</v>
      </c>
      <c r="Z294" s="239">
        <v>0</v>
      </c>
      <c r="AA294" s="239">
        <v>42511361</v>
      </c>
      <c r="AB294" s="239">
        <v>0</v>
      </c>
      <c r="AC294" s="239">
        <v>0</v>
      </c>
      <c r="AD294" s="239">
        <v>0</v>
      </c>
      <c r="AE294" s="239">
        <v>198369</v>
      </c>
      <c r="AF294" s="239">
        <v>198369</v>
      </c>
      <c r="AG294" s="239">
        <v>0</v>
      </c>
      <c r="AH294" s="239">
        <v>0</v>
      </c>
      <c r="AI294" s="239">
        <v>0</v>
      </c>
      <c r="AJ294" s="239">
        <v>0</v>
      </c>
      <c r="AK294" s="239">
        <v>0</v>
      </c>
      <c r="AL294" s="239">
        <v>0</v>
      </c>
      <c r="AM294" s="239">
        <v>0</v>
      </c>
      <c r="AN294" s="239">
        <v>0</v>
      </c>
      <c r="AO294" s="239">
        <v>0</v>
      </c>
      <c r="AP294" s="239">
        <v>0</v>
      </c>
      <c r="AQ294" s="239">
        <v>2273090</v>
      </c>
      <c r="AR294" s="239">
        <v>-436161</v>
      </c>
      <c r="AS294" s="214" t="s">
        <v>670</v>
      </c>
      <c r="AT294" s="214" t="s">
        <v>822</v>
      </c>
      <c r="AU294" s="214" t="s">
        <v>820</v>
      </c>
      <c r="AV294" s="214" t="s">
        <v>1088</v>
      </c>
      <c r="AW294" s="214" t="s">
        <v>1088</v>
      </c>
      <c r="AX294" s="214" t="s">
        <v>1294</v>
      </c>
    </row>
    <row r="295" spans="2:50" x14ac:dyDescent="0.2">
      <c r="B295" s="610" t="s">
        <v>673</v>
      </c>
      <c r="C295" s="610" t="s">
        <v>672</v>
      </c>
      <c r="D295" s="239">
        <v>51776596</v>
      </c>
      <c r="E295" s="239">
        <v>1514810</v>
      </c>
      <c r="F295" s="239">
        <v>53291406</v>
      </c>
      <c r="G295" s="239">
        <v>-2299</v>
      </c>
      <c r="H295" s="239">
        <v>0</v>
      </c>
      <c r="I295" s="239">
        <v>-2299</v>
      </c>
      <c r="J295" s="239">
        <v>-32913</v>
      </c>
      <c r="K295" s="239">
        <v>0</v>
      </c>
      <c r="L295" s="239">
        <v>-32913</v>
      </c>
      <c r="M295" s="239">
        <v>0</v>
      </c>
      <c r="N295" s="239">
        <v>0</v>
      </c>
      <c r="O295" s="239">
        <v>0</v>
      </c>
      <c r="P295" s="239">
        <v>-242223</v>
      </c>
      <c r="Q295" s="239">
        <v>0</v>
      </c>
      <c r="R295" s="239">
        <v>-242223</v>
      </c>
      <c r="S295" s="239">
        <v>6000707</v>
      </c>
      <c r="T295" s="239">
        <v>0</v>
      </c>
      <c r="U295" s="239">
        <v>6000707</v>
      </c>
      <c r="V295" s="239">
        <v>-6689157</v>
      </c>
      <c r="W295" s="239">
        <v>0</v>
      </c>
      <c r="X295" s="239">
        <v>-6689157</v>
      </c>
      <c r="Y295" s="239">
        <v>50843624</v>
      </c>
      <c r="Z295" s="239">
        <v>1514810</v>
      </c>
      <c r="AA295" s="239">
        <v>52358434</v>
      </c>
      <c r="AB295" s="239">
        <v>1514810</v>
      </c>
      <c r="AC295" s="239">
        <v>1514810</v>
      </c>
      <c r="AD295" s="239">
        <v>0</v>
      </c>
      <c r="AE295" s="239">
        <v>241262</v>
      </c>
      <c r="AF295" s="239">
        <v>241262</v>
      </c>
      <c r="AG295" s="239">
        <v>0</v>
      </c>
      <c r="AH295" s="239">
        <v>0</v>
      </c>
      <c r="AI295" s="239">
        <v>24</v>
      </c>
      <c r="AJ295" s="239">
        <v>24</v>
      </c>
      <c r="AK295" s="239">
        <v>0</v>
      </c>
      <c r="AL295" s="239">
        <v>1208592</v>
      </c>
      <c r="AM295" s="239">
        <v>0</v>
      </c>
      <c r="AN295" s="239">
        <v>306242</v>
      </c>
      <c r="AO295" s="239">
        <v>306242</v>
      </c>
      <c r="AP295" s="239">
        <v>0</v>
      </c>
      <c r="AQ295" s="239">
        <v>1762744</v>
      </c>
      <c r="AR295" s="239">
        <v>-896683</v>
      </c>
      <c r="AS295" s="214" t="s">
        <v>672</v>
      </c>
      <c r="AT295" s="214" t="s">
        <v>796</v>
      </c>
      <c r="AU295" s="214" t="s">
        <v>763</v>
      </c>
      <c r="AV295" s="214" t="s">
        <v>1122</v>
      </c>
      <c r="AW295" s="214" t="s">
        <v>1088</v>
      </c>
      <c r="AX295" s="214" t="s">
        <v>1294</v>
      </c>
    </row>
    <row r="296" spans="2:50" x14ac:dyDescent="0.2">
      <c r="B296" s="610" t="s">
        <v>675</v>
      </c>
      <c r="C296" s="610" t="s">
        <v>674</v>
      </c>
      <c r="D296" s="239">
        <v>116083699</v>
      </c>
      <c r="E296" s="239">
        <v>0</v>
      </c>
      <c r="F296" s="239">
        <v>116083699</v>
      </c>
      <c r="G296" s="239">
        <v>-214526</v>
      </c>
      <c r="H296" s="239">
        <v>0</v>
      </c>
      <c r="I296" s="239">
        <v>-214526</v>
      </c>
      <c r="J296" s="239">
        <v>-872511</v>
      </c>
      <c r="K296" s="239">
        <v>0</v>
      </c>
      <c r="L296" s="239">
        <v>-872511</v>
      </c>
      <c r="M296" s="239">
        <v>0</v>
      </c>
      <c r="N296" s="239">
        <v>0</v>
      </c>
      <c r="O296" s="239">
        <v>0</v>
      </c>
      <c r="P296" s="239">
        <v>-872511</v>
      </c>
      <c r="Q296" s="239">
        <v>0</v>
      </c>
      <c r="R296" s="239">
        <v>-872511</v>
      </c>
      <c r="S296" s="239">
        <v>14528913</v>
      </c>
      <c r="T296" s="239">
        <v>0</v>
      </c>
      <c r="U296" s="239">
        <v>14528913</v>
      </c>
      <c r="V296" s="239">
        <v>-15059350</v>
      </c>
      <c r="W296" s="239">
        <v>0</v>
      </c>
      <c r="X296" s="239">
        <v>-15059350</v>
      </c>
      <c r="Y296" s="239">
        <v>114466225</v>
      </c>
      <c r="Z296" s="239">
        <v>0</v>
      </c>
      <c r="AA296" s="239">
        <v>114466225</v>
      </c>
      <c r="AB296" s="239">
        <v>0</v>
      </c>
      <c r="AC296" s="239">
        <v>0</v>
      </c>
      <c r="AD296" s="239">
        <v>0</v>
      </c>
      <c r="AE296" s="239">
        <v>0</v>
      </c>
      <c r="AF296" s="239">
        <v>0</v>
      </c>
      <c r="AG296" s="239">
        <v>0</v>
      </c>
      <c r="AH296" s="239">
        <v>0</v>
      </c>
      <c r="AI296" s="239">
        <v>0</v>
      </c>
      <c r="AJ296" s="239">
        <v>0</v>
      </c>
      <c r="AK296" s="239">
        <v>0</v>
      </c>
      <c r="AL296" s="239">
        <v>0</v>
      </c>
      <c r="AM296" s="239">
        <v>0</v>
      </c>
      <c r="AN296" s="239">
        <v>0</v>
      </c>
      <c r="AO296" s="239">
        <v>0</v>
      </c>
      <c r="AP296" s="239">
        <v>0</v>
      </c>
      <c r="AQ296" s="239">
        <v>1763596</v>
      </c>
      <c r="AR296" s="239">
        <v>-1029576</v>
      </c>
      <c r="AS296" s="214" t="s">
        <v>674</v>
      </c>
      <c r="AT296" s="214" t="s">
        <v>768</v>
      </c>
      <c r="AU296" s="214" t="s">
        <v>818</v>
      </c>
      <c r="AV296" s="214" t="s">
        <v>1088</v>
      </c>
      <c r="AW296" s="214" t="s">
        <v>1088</v>
      </c>
      <c r="AX296" s="214" t="s">
        <v>1296</v>
      </c>
    </row>
    <row r="297" spans="2:50" x14ac:dyDescent="0.2">
      <c r="B297" s="610" t="s">
        <v>677</v>
      </c>
      <c r="C297" s="610" t="s">
        <v>676</v>
      </c>
      <c r="D297" s="239">
        <v>66561409</v>
      </c>
      <c r="E297" s="239">
        <v>191297</v>
      </c>
      <c r="F297" s="239">
        <v>66752706</v>
      </c>
      <c r="G297" s="239">
        <v>-12237</v>
      </c>
      <c r="H297" s="239">
        <v>0</v>
      </c>
      <c r="I297" s="239">
        <v>-12237</v>
      </c>
      <c r="J297" s="239">
        <v>0</v>
      </c>
      <c r="K297" s="239">
        <v>0</v>
      </c>
      <c r="L297" s="239">
        <v>0</v>
      </c>
      <c r="M297" s="239">
        <v>-748964</v>
      </c>
      <c r="N297" s="239">
        <v>0</v>
      </c>
      <c r="O297" s="239">
        <v>-748964</v>
      </c>
      <c r="P297" s="239">
        <v>-213043</v>
      </c>
      <c r="Q297" s="239">
        <v>0</v>
      </c>
      <c r="R297" s="239">
        <v>-213043</v>
      </c>
      <c r="S297" s="239">
        <v>0</v>
      </c>
      <c r="T297" s="239">
        <v>0</v>
      </c>
      <c r="U297" s="239">
        <v>0</v>
      </c>
      <c r="V297" s="239">
        <v>-1337162</v>
      </c>
      <c r="W297" s="239">
        <v>0</v>
      </c>
      <c r="X297" s="239">
        <v>-1337162</v>
      </c>
      <c r="Y297" s="239">
        <v>64250003</v>
      </c>
      <c r="Z297" s="239">
        <v>191297</v>
      </c>
      <c r="AA297" s="239">
        <v>64441300</v>
      </c>
      <c r="AB297" s="239">
        <v>191297</v>
      </c>
      <c r="AC297" s="239">
        <v>191297</v>
      </c>
      <c r="AD297" s="239">
        <v>0</v>
      </c>
      <c r="AE297" s="239">
        <v>0</v>
      </c>
      <c r="AF297" s="239">
        <v>0</v>
      </c>
      <c r="AG297" s="239">
        <v>0</v>
      </c>
      <c r="AH297" s="239">
        <v>0</v>
      </c>
      <c r="AI297" s="239">
        <v>0</v>
      </c>
      <c r="AJ297" s="239">
        <v>0</v>
      </c>
      <c r="AK297" s="239">
        <v>0</v>
      </c>
      <c r="AL297" s="239">
        <v>175838</v>
      </c>
      <c r="AM297" s="239">
        <v>0</v>
      </c>
      <c r="AN297" s="239">
        <v>15459</v>
      </c>
      <c r="AO297" s="239">
        <v>15459</v>
      </c>
      <c r="AP297" s="239">
        <v>0</v>
      </c>
      <c r="AQ297" s="239">
        <v>6200211</v>
      </c>
      <c r="AR297" s="239">
        <v>-1621662</v>
      </c>
      <c r="AS297" s="214" t="s">
        <v>676</v>
      </c>
      <c r="AT297" s="214" t="s">
        <v>768</v>
      </c>
      <c r="AU297" s="214" t="s">
        <v>766</v>
      </c>
      <c r="AV297" s="214" t="s">
        <v>1120</v>
      </c>
      <c r="AW297" s="214" t="s">
        <v>1088</v>
      </c>
      <c r="AX297" s="214" t="s">
        <v>1296</v>
      </c>
    </row>
    <row r="298" spans="2:50" x14ac:dyDescent="0.2">
      <c r="B298" s="610" t="s">
        <v>679</v>
      </c>
      <c r="C298" s="610" t="s">
        <v>678</v>
      </c>
      <c r="D298" s="239">
        <v>56349150</v>
      </c>
      <c r="E298" s="239">
        <v>0</v>
      </c>
      <c r="F298" s="239">
        <v>56349150</v>
      </c>
      <c r="G298" s="239">
        <v>-30842</v>
      </c>
      <c r="H298" s="239">
        <v>0</v>
      </c>
      <c r="I298" s="239">
        <v>-30842</v>
      </c>
      <c r="J298" s="239">
        <v>-1487591</v>
      </c>
      <c r="K298" s="239">
        <v>0</v>
      </c>
      <c r="L298" s="239">
        <v>-1487591</v>
      </c>
      <c r="M298" s="239">
        <v>-11138</v>
      </c>
      <c r="N298" s="239">
        <v>0</v>
      </c>
      <c r="O298" s="239">
        <v>-11138</v>
      </c>
      <c r="P298" s="239">
        <v>-261366</v>
      </c>
      <c r="Q298" s="239">
        <v>0</v>
      </c>
      <c r="R298" s="239">
        <v>-261366</v>
      </c>
      <c r="S298" s="239">
        <v>1112148</v>
      </c>
      <c r="T298" s="239">
        <v>0</v>
      </c>
      <c r="U298" s="239">
        <v>1112148</v>
      </c>
      <c r="V298" s="239">
        <v>-2106306</v>
      </c>
      <c r="W298" s="239">
        <v>0</v>
      </c>
      <c r="X298" s="239">
        <v>-2106306</v>
      </c>
      <c r="Y298" s="239">
        <v>55051646</v>
      </c>
      <c r="Z298" s="239">
        <v>0</v>
      </c>
      <c r="AA298" s="239">
        <v>55051646</v>
      </c>
      <c r="AB298" s="239">
        <v>0</v>
      </c>
      <c r="AC298" s="239">
        <v>0</v>
      </c>
      <c r="AD298" s="239">
        <v>0</v>
      </c>
      <c r="AE298" s="239">
        <v>0</v>
      </c>
      <c r="AF298" s="239">
        <v>0</v>
      </c>
      <c r="AG298" s="239">
        <v>0</v>
      </c>
      <c r="AH298" s="239">
        <v>0</v>
      </c>
      <c r="AI298" s="239">
        <v>0</v>
      </c>
      <c r="AJ298" s="239">
        <v>0</v>
      </c>
      <c r="AK298" s="239">
        <v>0</v>
      </c>
      <c r="AL298" s="239">
        <v>0</v>
      </c>
      <c r="AM298" s="239">
        <v>0</v>
      </c>
      <c r="AN298" s="239">
        <v>0</v>
      </c>
      <c r="AO298" s="239">
        <v>0</v>
      </c>
      <c r="AP298" s="239">
        <v>0</v>
      </c>
      <c r="AQ298" s="239">
        <v>4653958</v>
      </c>
      <c r="AR298" s="239">
        <v>-2154960</v>
      </c>
      <c r="AS298" s="214" t="s">
        <v>678</v>
      </c>
      <c r="AT298" s="214" t="s">
        <v>790</v>
      </c>
      <c r="AU298" s="214" t="s">
        <v>749</v>
      </c>
      <c r="AV298" s="214" t="s">
        <v>1088</v>
      </c>
      <c r="AW298" s="214" t="s">
        <v>1088</v>
      </c>
      <c r="AX298" s="214" t="s">
        <v>1295</v>
      </c>
    </row>
    <row r="299" spans="2:50" x14ac:dyDescent="0.2">
      <c r="B299" s="610" t="s">
        <v>681</v>
      </c>
      <c r="C299" s="610" t="s">
        <v>680</v>
      </c>
      <c r="D299" s="239">
        <v>98223612</v>
      </c>
      <c r="E299" s="239">
        <v>0</v>
      </c>
      <c r="F299" s="239">
        <v>98223612</v>
      </c>
      <c r="G299" s="239">
        <v>0</v>
      </c>
      <c r="H299" s="239">
        <v>0</v>
      </c>
      <c r="I299" s="239">
        <v>0</v>
      </c>
      <c r="J299" s="239">
        <v>-305740</v>
      </c>
      <c r="K299" s="239">
        <v>0</v>
      </c>
      <c r="L299" s="239">
        <v>-305740</v>
      </c>
      <c r="M299" s="239">
        <v>0</v>
      </c>
      <c r="N299" s="239">
        <v>0</v>
      </c>
      <c r="O299" s="239">
        <v>0</v>
      </c>
      <c r="P299" s="239">
        <v>-383740</v>
      </c>
      <c r="Q299" s="239">
        <v>0</v>
      </c>
      <c r="R299" s="239">
        <v>-383740</v>
      </c>
      <c r="S299" s="239">
        <v>6802890</v>
      </c>
      <c r="T299" s="239">
        <v>0</v>
      </c>
      <c r="U299" s="239">
        <v>6802890</v>
      </c>
      <c r="V299" s="239">
        <v>-7764291</v>
      </c>
      <c r="W299" s="239">
        <v>0</v>
      </c>
      <c r="X299" s="239">
        <v>-7764291</v>
      </c>
      <c r="Y299" s="239">
        <v>96878471</v>
      </c>
      <c r="Z299" s="239">
        <v>0</v>
      </c>
      <c r="AA299" s="239">
        <v>96878471</v>
      </c>
      <c r="AB299" s="239">
        <v>0</v>
      </c>
      <c r="AC299" s="239">
        <v>0</v>
      </c>
      <c r="AD299" s="239">
        <v>0</v>
      </c>
      <c r="AE299" s="239">
        <v>0</v>
      </c>
      <c r="AF299" s="239">
        <v>0</v>
      </c>
      <c r="AG299" s="239">
        <v>0</v>
      </c>
      <c r="AH299" s="239">
        <v>0</v>
      </c>
      <c r="AI299" s="239">
        <v>0</v>
      </c>
      <c r="AJ299" s="239">
        <v>0</v>
      </c>
      <c r="AK299" s="239">
        <v>0</v>
      </c>
      <c r="AL299" s="239">
        <v>0</v>
      </c>
      <c r="AM299" s="239">
        <v>0</v>
      </c>
      <c r="AN299" s="239">
        <v>0</v>
      </c>
      <c r="AO299" s="239">
        <v>0</v>
      </c>
      <c r="AP299" s="239">
        <v>0</v>
      </c>
      <c r="AQ299" s="239">
        <v>4398010</v>
      </c>
      <c r="AR299" s="239">
        <v>-3601246</v>
      </c>
      <c r="AS299" s="214" t="s">
        <v>680</v>
      </c>
      <c r="AT299" s="214" t="s">
        <v>790</v>
      </c>
      <c r="AU299" s="214" t="s">
        <v>749</v>
      </c>
      <c r="AV299" s="214" t="s">
        <v>1088</v>
      </c>
      <c r="AW299" s="214" t="s">
        <v>1088</v>
      </c>
      <c r="AX299" s="214" t="s">
        <v>1297</v>
      </c>
    </row>
    <row r="300" spans="2:50" x14ac:dyDescent="0.2">
      <c r="B300" s="610" t="s">
        <v>683</v>
      </c>
      <c r="C300" s="610" t="s">
        <v>682</v>
      </c>
      <c r="D300" s="239">
        <v>110222654</v>
      </c>
      <c r="E300" s="239">
        <v>0</v>
      </c>
      <c r="F300" s="239">
        <v>110222654</v>
      </c>
      <c r="G300" s="239">
        <v>-486367</v>
      </c>
      <c r="H300" s="239">
        <v>0</v>
      </c>
      <c r="I300" s="239">
        <v>-486367</v>
      </c>
      <c r="J300" s="239">
        <v>0</v>
      </c>
      <c r="K300" s="239">
        <v>0</v>
      </c>
      <c r="L300" s="239">
        <v>0</v>
      </c>
      <c r="M300" s="239">
        <v>-1359219</v>
      </c>
      <c r="N300" s="239">
        <v>0</v>
      </c>
      <c r="O300" s="239">
        <v>-1359219</v>
      </c>
      <c r="P300" s="239">
        <v>1588525</v>
      </c>
      <c r="Q300" s="239">
        <v>0</v>
      </c>
      <c r="R300" s="239">
        <v>1588525</v>
      </c>
      <c r="S300" s="239">
        <v>0</v>
      </c>
      <c r="T300" s="239">
        <v>0</v>
      </c>
      <c r="U300" s="239">
        <v>0</v>
      </c>
      <c r="V300" s="239">
        <v>-1267951</v>
      </c>
      <c r="W300" s="239">
        <v>0</v>
      </c>
      <c r="X300" s="239">
        <v>-1267951</v>
      </c>
      <c r="Y300" s="239">
        <v>108697642</v>
      </c>
      <c r="Z300" s="239">
        <v>0</v>
      </c>
      <c r="AA300" s="239">
        <v>108697642</v>
      </c>
      <c r="AB300" s="239">
        <v>0</v>
      </c>
      <c r="AC300" s="239">
        <v>0</v>
      </c>
      <c r="AD300" s="239">
        <v>0</v>
      </c>
      <c r="AE300" s="239">
        <v>0</v>
      </c>
      <c r="AF300" s="239">
        <v>0</v>
      </c>
      <c r="AG300" s="239">
        <v>0</v>
      </c>
      <c r="AH300" s="239">
        <v>0</v>
      </c>
      <c r="AI300" s="239">
        <v>0</v>
      </c>
      <c r="AJ300" s="239">
        <v>0</v>
      </c>
      <c r="AK300" s="239">
        <v>0</v>
      </c>
      <c r="AL300" s="239">
        <v>0</v>
      </c>
      <c r="AM300" s="239">
        <v>0</v>
      </c>
      <c r="AN300" s="239">
        <v>0</v>
      </c>
      <c r="AO300" s="239">
        <v>0</v>
      </c>
      <c r="AP300" s="239">
        <v>0</v>
      </c>
      <c r="AQ300" s="239">
        <v>12499298</v>
      </c>
      <c r="AR300" s="239">
        <v>-1549069</v>
      </c>
      <c r="AS300" s="214" t="s">
        <v>817</v>
      </c>
      <c r="AT300" s="214" t="s">
        <v>748</v>
      </c>
      <c r="AU300" s="214" t="s">
        <v>815</v>
      </c>
      <c r="AV300" s="214" t="s">
        <v>1088</v>
      </c>
      <c r="AW300" s="214" t="s">
        <v>1088</v>
      </c>
      <c r="AX300" s="214" t="s">
        <v>748</v>
      </c>
    </row>
    <row r="301" spans="2:50" x14ac:dyDescent="0.2">
      <c r="B301" s="610" t="s">
        <v>685</v>
      </c>
      <c r="C301" s="610" t="s">
        <v>684</v>
      </c>
      <c r="D301" s="239">
        <v>68221348</v>
      </c>
      <c r="E301" s="239">
        <v>0</v>
      </c>
      <c r="F301" s="239">
        <v>68221348</v>
      </c>
      <c r="G301" s="239">
        <v>-3474</v>
      </c>
      <c r="H301" s="239">
        <v>0</v>
      </c>
      <c r="I301" s="239">
        <v>-3474</v>
      </c>
      <c r="J301" s="239">
        <v>-345737</v>
      </c>
      <c r="K301" s="239">
        <v>0</v>
      </c>
      <c r="L301" s="239">
        <v>-345737</v>
      </c>
      <c r="M301" s="239">
        <v>0</v>
      </c>
      <c r="N301" s="239">
        <v>0</v>
      </c>
      <c r="O301" s="239">
        <v>0</v>
      </c>
      <c r="P301" s="239">
        <v>-345737</v>
      </c>
      <c r="Q301" s="239">
        <v>0</v>
      </c>
      <c r="R301" s="239">
        <v>-345737</v>
      </c>
      <c r="S301" s="239">
        <v>2823203</v>
      </c>
      <c r="T301" s="239">
        <v>0</v>
      </c>
      <c r="U301" s="239">
        <v>2823203</v>
      </c>
      <c r="V301" s="239">
        <v>-4253793</v>
      </c>
      <c r="W301" s="239">
        <v>0</v>
      </c>
      <c r="X301" s="239">
        <v>-4253793</v>
      </c>
      <c r="Y301" s="239">
        <v>66441547</v>
      </c>
      <c r="Z301" s="239">
        <v>0</v>
      </c>
      <c r="AA301" s="239">
        <v>66441547</v>
      </c>
      <c r="AB301" s="239">
        <v>0</v>
      </c>
      <c r="AC301" s="239">
        <v>0</v>
      </c>
      <c r="AD301" s="239">
        <v>0</v>
      </c>
      <c r="AE301" s="239">
        <v>14913</v>
      </c>
      <c r="AF301" s="239">
        <v>14913</v>
      </c>
      <c r="AG301" s="239">
        <v>0</v>
      </c>
      <c r="AH301" s="239">
        <v>0</v>
      </c>
      <c r="AI301" s="239">
        <v>0</v>
      </c>
      <c r="AJ301" s="239">
        <v>0</v>
      </c>
      <c r="AK301" s="239">
        <v>0</v>
      </c>
      <c r="AL301" s="239">
        <v>0</v>
      </c>
      <c r="AM301" s="239">
        <v>0</v>
      </c>
      <c r="AN301" s="239">
        <v>0</v>
      </c>
      <c r="AO301" s="239">
        <v>0</v>
      </c>
      <c r="AP301" s="239">
        <v>0</v>
      </c>
      <c r="AQ301" s="239">
        <v>1120753</v>
      </c>
      <c r="AR301" s="239">
        <v>-474244</v>
      </c>
      <c r="AS301" s="214" t="s">
        <v>684</v>
      </c>
      <c r="AT301" s="214" t="s">
        <v>813</v>
      </c>
      <c r="AU301" s="214" t="s">
        <v>763</v>
      </c>
      <c r="AV301" s="214" t="s">
        <v>1088</v>
      </c>
      <c r="AW301" s="214" t="s">
        <v>1088</v>
      </c>
      <c r="AX301" s="214" t="s">
        <v>1294</v>
      </c>
    </row>
    <row r="302" spans="2:50" x14ac:dyDescent="0.2">
      <c r="B302" s="610" t="s">
        <v>687</v>
      </c>
      <c r="C302" s="610" t="s">
        <v>686</v>
      </c>
      <c r="D302" s="239">
        <v>66640854</v>
      </c>
      <c r="E302" s="239">
        <v>0</v>
      </c>
      <c r="F302" s="239">
        <v>66640854</v>
      </c>
      <c r="G302" s="239">
        <v>-544</v>
      </c>
      <c r="H302" s="239">
        <v>0</v>
      </c>
      <c r="I302" s="239">
        <v>-544</v>
      </c>
      <c r="J302" s="239">
        <v>-658618</v>
      </c>
      <c r="K302" s="239">
        <v>0</v>
      </c>
      <c r="L302" s="239">
        <v>-658618</v>
      </c>
      <c r="M302" s="239">
        <v>0</v>
      </c>
      <c r="N302" s="239">
        <v>0</v>
      </c>
      <c r="O302" s="239">
        <v>0</v>
      </c>
      <c r="P302" s="239">
        <v>118728</v>
      </c>
      <c r="Q302" s="239">
        <v>0</v>
      </c>
      <c r="R302" s="239">
        <v>118728</v>
      </c>
      <c r="S302" s="239">
        <v>1011032</v>
      </c>
      <c r="T302" s="239">
        <v>0</v>
      </c>
      <c r="U302" s="239">
        <v>1011032</v>
      </c>
      <c r="V302" s="239">
        <v>-7927824</v>
      </c>
      <c r="W302" s="239">
        <v>0</v>
      </c>
      <c r="X302" s="239">
        <v>-7927824</v>
      </c>
      <c r="Y302" s="239">
        <v>59842246</v>
      </c>
      <c r="Z302" s="239">
        <v>0</v>
      </c>
      <c r="AA302" s="239">
        <v>59842246</v>
      </c>
      <c r="AB302" s="239">
        <v>0</v>
      </c>
      <c r="AC302" s="239">
        <v>0</v>
      </c>
      <c r="AD302" s="239">
        <v>0</v>
      </c>
      <c r="AE302" s="239">
        <v>0</v>
      </c>
      <c r="AF302" s="239">
        <v>0</v>
      </c>
      <c r="AG302" s="239">
        <v>0</v>
      </c>
      <c r="AH302" s="239">
        <v>0</v>
      </c>
      <c r="AI302" s="239">
        <v>0</v>
      </c>
      <c r="AJ302" s="239">
        <v>0</v>
      </c>
      <c r="AK302" s="239">
        <v>0</v>
      </c>
      <c r="AL302" s="239">
        <v>0</v>
      </c>
      <c r="AM302" s="239">
        <v>0</v>
      </c>
      <c r="AN302" s="239">
        <v>0</v>
      </c>
      <c r="AO302" s="239">
        <v>0</v>
      </c>
      <c r="AP302" s="239">
        <v>0</v>
      </c>
      <c r="AQ302" s="239">
        <v>2658227</v>
      </c>
      <c r="AR302" s="239">
        <v>-1168883</v>
      </c>
      <c r="AS302" s="214" t="s">
        <v>686</v>
      </c>
      <c r="AT302" s="214" t="s">
        <v>803</v>
      </c>
      <c r="AU302" s="214" t="s">
        <v>763</v>
      </c>
      <c r="AV302" s="214" t="s">
        <v>1088</v>
      </c>
      <c r="AW302" s="214" t="s">
        <v>1088</v>
      </c>
      <c r="AX302" s="214" t="s">
        <v>1294</v>
      </c>
    </row>
    <row r="303" spans="2:50" x14ac:dyDescent="0.2">
      <c r="B303" s="610" t="s">
        <v>689</v>
      </c>
      <c r="C303" s="610" t="s">
        <v>688</v>
      </c>
      <c r="D303" s="239">
        <v>26607437</v>
      </c>
      <c r="E303" s="239">
        <v>224288</v>
      </c>
      <c r="F303" s="239">
        <v>26831725</v>
      </c>
      <c r="G303" s="239">
        <v>0</v>
      </c>
      <c r="H303" s="239">
        <v>0</v>
      </c>
      <c r="I303" s="239">
        <v>0</v>
      </c>
      <c r="J303" s="239">
        <v>-82899</v>
      </c>
      <c r="K303" s="239">
        <v>0</v>
      </c>
      <c r="L303" s="239">
        <v>-82899</v>
      </c>
      <c r="M303" s="239">
        <v>0</v>
      </c>
      <c r="N303" s="239">
        <v>0</v>
      </c>
      <c r="O303" s="239">
        <v>0</v>
      </c>
      <c r="P303" s="239">
        <v>-252174</v>
      </c>
      <c r="Q303" s="239">
        <v>0</v>
      </c>
      <c r="R303" s="239">
        <v>-252174</v>
      </c>
      <c r="S303" s="239">
        <v>600969</v>
      </c>
      <c r="T303" s="239">
        <v>0</v>
      </c>
      <c r="U303" s="239">
        <v>600969</v>
      </c>
      <c r="V303" s="239">
        <v>-2367966</v>
      </c>
      <c r="W303" s="239">
        <v>-11174</v>
      </c>
      <c r="X303" s="239">
        <v>-2379140</v>
      </c>
      <c r="Y303" s="239">
        <v>24588266</v>
      </c>
      <c r="Z303" s="239">
        <v>213114</v>
      </c>
      <c r="AA303" s="239">
        <v>24801380</v>
      </c>
      <c r="AB303" s="239">
        <v>213114</v>
      </c>
      <c r="AC303" s="239">
        <v>213114</v>
      </c>
      <c r="AD303" s="239">
        <v>0</v>
      </c>
      <c r="AE303" s="239">
        <v>125527</v>
      </c>
      <c r="AF303" s="239">
        <v>125527</v>
      </c>
      <c r="AG303" s="239">
        <v>0</v>
      </c>
      <c r="AH303" s="239">
        <v>0</v>
      </c>
      <c r="AI303" s="239">
        <v>0</v>
      </c>
      <c r="AJ303" s="239">
        <v>0</v>
      </c>
      <c r="AK303" s="239">
        <v>0</v>
      </c>
      <c r="AL303" s="239">
        <v>0</v>
      </c>
      <c r="AM303" s="239">
        <v>0</v>
      </c>
      <c r="AN303" s="239">
        <v>213114</v>
      </c>
      <c r="AO303" s="239">
        <v>213114</v>
      </c>
      <c r="AP303" s="239">
        <v>0</v>
      </c>
      <c r="AQ303" s="239">
        <v>1416999</v>
      </c>
      <c r="AR303" s="239">
        <v>-670789</v>
      </c>
      <c r="AS303" s="214" t="s">
        <v>688</v>
      </c>
      <c r="AT303" s="214" t="s">
        <v>811</v>
      </c>
      <c r="AU303" s="214" t="s">
        <v>763</v>
      </c>
      <c r="AV303" s="214" t="s">
        <v>1103</v>
      </c>
      <c r="AW303" s="214" t="s">
        <v>1088</v>
      </c>
      <c r="AX303" s="214" t="s">
        <v>1294</v>
      </c>
    </row>
    <row r="304" spans="2:50" x14ac:dyDescent="0.2">
      <c r="B304" s="610" t="s">
        <v>691</v>
      </c>
      <c r="C304" s="610" t="s">
        <v>690</v>
      </c>
      <c r="D304" s="239">
        <v>35791560</v>
      </c>
      <c r="E304" s="239">
        <v>0</v>
      </c>
      <c r="F304" s="239">
        <v>35791560</v>
      </c>
      <c r="G304" s="239">
        <v>0</v>
      </c>
      <c r="H304" s="239">
        <v>0</v>
      </c>
      <c r="I304" s="239">
        <v>0</v>
      </c>
      <c r="J304" s="239">
        <v>-261980</v>
      </c>
      <c r="K304" s="239">
        <v>0</v>
      </c>
      <c r="L304" s="239">
        <v>-261980</v>
      </c>
      <c r="M304" s="239">
        <v>0</v>
      </c>
      <c r="N304" s="239">
        <v>0</v>
      </c>
      <c r="O304" s="239">
        <v>0</v>
      </c>
      <c r="P304" s="239">
        <v>-286980</v>
      </c>
      <c r="Q304" s="239">
        <v>0</v>
      </c>
      <c r="R304" s="239">
        <v>-286980</v>
      </c>
      <c r="S304" s="239">
        <v>316270</v>
      </c>
      <c r="T304" s="239">
        <v>0</v>
      </c>
      <c r="U304" s="239">
        <v>316270</v>
      </c>
      <c r="V304" s="239">
        <v>-1398270</v>
      </c>
      <c r="W304" s="239">
        <v>0</v>
      </c>
      <c r="X304" s="239">
        <v>-1398270</v>
      </c>
      <c r="Y304" s="239">
        <v>34422580</v>
      </c>
      <c r="Z304" s="239">
        <v>0</v>
      </c>
      <c r="AA304" s="239">
        <v>34422580</v>
      </c>
      <c r="AB304" s="239">
        <v>0</v>
      </c>
      <c r="AC304" s="239">
        <v>0</v>
      </c>
      <c r="AD304" s="239">
        <v>0</v>
      </c>
      <c r="AE304" s="239">
        <v>0</v>
      </c>
      <c r="AF304" s="239">
        <v>0</v>
      </c>
      <c r="AG304" s="239">
        <v>0</v>
      </c>
      <c r="AH304" s="239">
        <v>0</v>
      </c>
      <c r="AI304" s="239">
        <v>0</v>
      </c>
      <c r="AJ304" s="239">
        <v>0</v>
      </c>
      <c r="AK304" s="239">
        <v>0</v>
      </c>
      <c r="AL304" s="239">
        <v>0</v>
      </c>
      <c r="AM304" s="239">
        <v>0</v>
      </c>
      <c r="AN304" s="239">
        <v>0</v>
      </c>
      <c r="AO304" s="239">
        <v>0</v>
      </c>
      <c r="AP304" s="239">
        <v>0</v>
      </c>
      <c r="AQ304" s="239">
        <v>2068743</v>
      </c>
      <c r="AR304" s="239">
        <v>-519065</v>
      </c>
      <c r="AS304" s="214" t="s">
        <v>690</v>
      </c>
      <c r="AT304" s="214" t="s">
        <v>772</v>
      </c>
      <c r="AU304" s="214" t="s">
        <v>763</v>
      </c>
      <c r="AV304" s="214" t="s">
        <v>1088</v>
      </c>
      <c r="AW304" s="214" t="s">
        <v>1088</v>
      </c>
      <c r="AX304" s="214" t="s">
        <v>1294</v>
      </c>
    </row>
    <row r="305" spans="2:50" x14ac:dyDescent="0.2">
      <c r="B305" s="610" t="s">
        <v>693</v>
      </c>
      <c r="C305" s="610" t="s">
        <v>692</v>
      </c>
      <c r="D305" s="239">
        <v>30275866</v>
      </c>
      <c r="E305" s="239">
        <v>0</v>
      </c>
      <c r="F305" s="239">
        <v>30275866</v>
      </c>
      <c r="G305" s="239">
        <v>0</v>
      </c>
      <c r="H305" s="239">
        <v>0</v>
      </c>
      <c r="I305" s="239">
        <v>0</v>
      </c>
      <c r="J305" s="239">
        <v>-181075</v>
      </c>
      <c r="K305" s="239">
        <v>0</v>
      </c>
      <c r="L305" s="239">
        <v>-181075</v>
      </c>
      <c r="M305" s="239">
        <v>0</v>
      </c>
      <c r="N305" s="239">
        <v>0</v>
      </c>
      <c r="O305" s="239">
        <v>0</v>
      </c>
      <c r="P305" s="239">
        <v>-480492</v>
      </c>
      <c r="Q305" s="239">
        <v>0</v>
      </c>
      <c r="R305" s="239">
        <v>-480492</v>
      </c>
      <c r="S305" s="239">
        <v>180711</v>
      </c>
      <c r="T305" s="239">
        <v>0</v>
      </c>
      <c r="U305" s="239">
        <v>180711</v>
      </c>
      <c r="V305" s="239">
        <v>-506211</v>
      </c>
      <c r="W305" s="239">
        <v>0</v>
      </c>
      <c r="X305" s="239">
        <v>-506211</v>
      </c>
      <c r="Y305" s="239">
        <v>29469874</v>
      </c>
      <c r="Z305" s="239">
        <v>0</v>
      </c>
      <c r="AA305" s="239">
        <v>29469874</v>
      </c>
      <c r="AB305" s="239">
        <v>0</v>
      </c>
      <c r="AC305" s="239">
        <v>0</v>
      </c>
      <c r="AD305" s="239">
        <v>0</v>
      </c>
      <c r="AE305" s="239">
        <v>173290</v>
      </c>
      <c r="AF305" s="239">
        <v>173290</v>
      </c>
      <c r="AG305" s="239">
        <v>0</v>
      </c>
      <c r="AH305" s="239">
        <v>0</v>
      </c>
      <c r="AI305" s="239">
        <v>0</v>
      </c>
      <c r="AJ305" s="239">
        <v>0</v>
      </c>
      <c r="AK305" s="239">
        <v>0</v>
      </c>
      <c r="AL305" s="239">
        <v>0</v>
      </c>
      <c r="AM305" s="239">
        <v>0</v>
      </c>
      <c r="AN305" s="239">
        <v>0</v>
      </c>
      <c r="AO305" s="239">
        <v>0</v>
      </c>
      <c r="AP305" s="239">
        <v>0</v>
      </c>
      <c r="AQ305" s="239">
        <v>1730968</v>
      </c>
      <c r="AR305" s="239">
        <v>-350419</v>
      </c>
      <c r="AS305" s="214" t="s">
        <v>692</v>
      </c>
      <c r="AT305" s="214" t="s">
        <v>809</v>
      </c>
      <c r="AU305" s="214" t="s">
        <v>807</v>
      </c>
      <c r="AV305" s="214" t="s">
        <v>1088</v>
      </c>
      <c r="AW305" s="214" t="s">
        <v>1088</v>
      </c>
      <c r="AX305" s="214" t="s">
        <v>1294</v>
      </c>
    </row>
    <row r="306" spans="2:50" x14ac:dyDescent="0.2">
      <c r="B306" s="610" t="s">
        <v>695</v>
      </c>
      <c r="C306" s="610" t="s">
        <v>694</v>
      </c>
      <c r="D306" s="239">
        <v>28960979</v>
      </c>
      <c r="E306" s="239">
        <v>0</v>
      </c>
      <c r="F306" s="239">
        <v>28960979</v>
      </c>
      <c r="G306" s="239">
        <v>0</v>
      </c>
      <c r="H306" s="239">
        <v>0</v>
      </c>
      <c r="I306" s="239">
        <v>0</v>
      </c>
      <c r="J306" s="239">
        <v>-21732</v>
      </c>
      <c r="K306" s="239">
        <v>0</v>
      </c>
      <c r="L306" s="239">
        <v>-21732</v>
      </c>
      <c r="M306" s="239">
        <v>0</v>
      </c>
      <c r="N306" s="239">
        <v>0</v>
      </c>
      <c r="O306" s="239">
        <v>0</v>
      </c>
      <c r="P306" s="239">
        <v>-18532</v>
      </c>
      <c r="Q306" s="239">
        <v>0</v>
      </c>
      <c r="R306" s="239">
        <v>-18532</v>
      </c>
      <c r="S306" s="239">
        <v>337884</v>
      </c>
      <c r="T306" s="239">
        <v>0</v>
      </c>
      <c r="U306" s="239">
        <v>337884</v>
      </c>
      <c r="V306" s="239">
        <v>-925815</v>
      </c>
      <c r="W306" s="239">
        <v>0</v>
      </c>
      <c r="X306" s="239">
        <v>-925815</v>
      </c>
      <c r="Y306" s="239">
        <v>28354516</v>
      </c>
      <c r="Z306" s="239">
        <v>0</v>
      </c>
      <c r="AA306" s="239">
        <v>28354516</v>
      </c>
      <c r="AB306" s="239">
        <v>0</v>
      </c>
      <c r="AC306" s="239">
        <v>0</v>
      </c>
      <c r="AD306" s="239">
        <v>0</v>
      </c>
      <c r="AE306" s="239">
        <v>34314</v>
      </c>
      <c r="AF306" s="239">
        <v>34314</v>
      </c>
      <c r="AG306" s="239">
        <v>0</v>
      </c>
      <c r="AH306" s="239">
        <v>0</v>
      </c>
      <c r="AI306" s="239">
        <v>0</v>
      </c>
      <c r="AJ306" s="239">
        <v>0</v>
      </c>
      <c r="AK306" s="239">
        <v>0</v>
      </c>
      <c r="AL306" s="239">
        <v>0</v>
      </c>
      <c r="AM306" s="239">
        <v>0</v>
      </c>
      <c r="AN306" s="239">
        <v>0</v>
      </c>
      <c r="AO306" s="239">
        <v>0</v>
      </c>
      <c r="AP306" s="239">
        <v>0</v>
      </c>
      <c r="AQ306" s="239">
        <v>434953</v>
      </c>
      <c r="AR306" s="239">
        <v>-367405</v>
      </c>
      <c r="AS306" s="214" t="s">
        <v>694</v>
      </c>
      <c r="AT306" s="214" t="s">
        <v>805</v>
      </c>
      <c r="AU306" s="214" t="s">
        <v>763</v>
      </c>
      <c r="AV306" s="214" t="s">
        <v>1088</v>
      </c>
      <c r="AW306" s="214" t="s">
        <v>1088</v>
      </c>
      <c r="AX306" s="214" t="s">
        <v>1294</v>
      </c>
    </row>
    <row r="307" spans="2:50" x14ac:dyDescent="0.2">
      <c r="B307" s="610" t="s">
        <v>697</v>
      </c>
      <c r="C307" s="610" t="s">
        <v>696</v>
      </c>
      <c r="D307" s="239">
        <v>58752053</v>
      </c>
      <c r="E307" s="239">
        <v>0</v>
      </c>
      <c r="F307" s="239">
        <v>58752053</v>
      </c>
      <c r="G307" s="239">
        <v>0</v>
      </c>
      <c r="H307" s="239">
        <v>0</v>
      </c>
      <c r="I307" s="239">
        <v>0</v>
      </c>
      <c r="J307" s="239">
        <v>-88645</v>
      </c>
      <c r="K307" s="239">
        <v>0</v>
      </c>
      <c r="L307" s="239">
        <v>-88645</v>
      </c>
      <c r="M307" s="239">
        <v>-67587</v>
      </c>
      <c r="N307" s="239">
        <v>0</v>
      </c>
      <c r="O307" s="239">
        <v>-67587</v>
      </c>
      <c r="P307" s="239">
        <v>-91235</v>
      </c>
      <c r="Q307" s="239">
        <v>0</v>
      </c>
      <c r="R307" s="239">
        <v>-91235</v>
      </c>
      <c r="S307" s="239">
        <v>1856944</v>
      </c>
      <c r="T307" s="239">
        <v>0</v>
      </c>
      <c r="U307" s="239">
        <v>1856944</v>
      </c>
      <c r="V307" s="239">
        <v>-2256130</v>
      </c>
      <c r="W307" s="239">
        <v>0</v>
      </c>
      <c r="X307" s="239">
        <v>-2256130</v>
      </c>
      <c r="Y307" s="239">
        <v>58194045</v>
      </c>
      <c r="Z307" s="239">
        <v>0</v>
      </c>
      <c r="AA307" s="239">
        <v>58194045</v>
      </c>
      <c r="AB307" s="239">
        <v>0</v>
      </c>
      <c r="AC307" s="239">
        <v>0</v>
      </c>
      <c r="AD307" s="239">
        <v>0</v>
      </c>
      <c r="AE307" s="239">
        <v>0</v>
      </c>
      <c r="AF307" s="239">
        <v>0</v>
      </c>
      <c r="AG307" s="239">
        <v>0</v>
      </c>
      <c r="AH307" s="239">
        <v>0</v>
      </c>
      <c r="AI307" s="239">
        <v>0</v>
      </c>
      <c r="AJ307" s="239">
        <v>0</v>
      </c>
      <c r="AK307" s="239">
        <v>0</v>
      </c>
      <c r="AL307" s="239">
        <v>0</v>
      </c>
      <c r="AM307" s="239">
        <v>0</v>
      </c>
      <c r="AN307" s="239">
        <v>0</v>
      </c>
      <c r="AO307" s="239">
        <v>0</v>
      </c>
      <c r="AP307" s="239">
        <v>0</v>
      </c>
      <c r="AQ307" s="239">
        <v>498638</v>
      </c>
      <c r="AR307" s="239">
        <v>-207001</v>
      </c>
      <c r="AS307" s="214" t="s">
        <v>696</v>
      </c>
      <c r="AT307" s="214" t="s">
        <v>803</v>
      </c>
      <c r="AU307" s="214" t="s">
        <v>763</v>
      </c>
      <c r="AV307" s="214" t="s">
        <v>1088</v>
      </c>
      <c r="AW307" s="214" t="s">
        <v>1088</v>
      </c>
      <c r="AX307" s="214" t="s">
        <v>1294</v>
      </c>
    </row>
    <row r="308" spans="2:50" x14ac:dyDescent="0.2">
      <c r="B308" s="610" t="s">
        <v>699</v>
      </c>
      <c r="C308" s="610" t="s">
        <v>698</v>
      </c>
      <c r="D308" s="239">
        <v>78818945</v>
      </c>
      <c r="E308" s="239">
        <v>0</v>
      </c>
      <c r="F308" s="239">
        <v>78818945</v>
      </c>
      <c r="G308" s="239">
        <v>0</v>
      </c>
      <c r="H308" s="239">
        <v>0</v>
      </c>
      <c r="I308" s="239">
        <v>0</v>
      </c>
      <c r="J308" s="239">
        <v>-205914</v>
      </c>
      <c r="K308" s="239">
        <v>0</v>
      </c>
      <c r="L308" s="239">
        <v>-205914</v>
      </c>
      <c r="M308" s="239">
        <v>0</v>
      </c>
      <c r="N308" s="239">
        <v>0</v>
      </c>
      <c r="O308" s="239">
        <v>0</v>
      </c>
      <c r="P308" s="239">
        <v>0</v>
      </c>
      <c r="Q308" s="239">
        <v>0</v>
      </c>
      <c r="R308" s="239">
        <v>0</v>
      </c>
      <c r="S308" s="239">
        <v>7679000</v>
      </c>
      <c r="T308" s="239">
        <v>0</v>
      </c>
      <c r="U308" s="239">
        <v>7679000</v>
      </c>
      <c r="V308" s="239">
        <v>-1900000</v>
      </c>
      <c r="W308" s="239">
        <v>0</v>
      </c>
      <c r="X308" s="239">
        <v>-1900000</v>
      </c>
      <c r="Y308" s="239">
        <v>84597945</v>
      </c>
      <c r="Z308" s="239">
        <v>0</v>
      </c>
      <c r="AA308" s="239">
        <v>84597945</v>
      </c>
      <c r="AB308" s="239">
        <v>0</v>
      </c>
      <c r="AC308" s="239">
        <v>0</v>
      </c>
      <c r="AD308" s="239">
        <v>0</v>
      </c>
      <c r="AE308" s="239">
        <v>0</v>
      </c>
      <c r="AF308" s="239">
        <v>0</v>
      </c>
      <c r="AG308" s="239">
        <v>0</v>
      </c>
      <c r="AH308" s="239">
        <v>0</v>
      </c>
      <c r="AI308" s="239">
        <v>0</v>
      </c>
      <c r="AJ308" s="239">
        <v>0</v>
      </c>
      <c r="AK308" s="239">
        <v>0</v>
      </c>
      <c r="AL308" s="239">
        <v>0</v>
      </c>
      <c r="AM308" s="239">
        <v>0</v>
      </c>
      <c r="AN308" s="239">
        <v>0</v>
      </c>
      <c r="AO308" s="239">
        <v>0</v>
      </c>
      <c r="AP308" s="239">
        <v>0</v>
      </c>
      <c r="AQ308" s="239">
        <v>2451597</v>
      </c>
      <c r="AR308" s="239">
        <v>-1646510</v>
      </c>
      <c r="AS308" s="214" t="s">
        <v>802</v>
      </c>
      <c r="AT308" s="214" t="s">
        <v>748</v>
      </c>
      <c r="AU308" s="214" t="s">
        <v>769</v>
      </c>
      <c r="AV308" s="214" t="s">
        <v>1088</v>
      </c>
      <c r="AW308" s="214" t="s">
        <v>1088</v>
      </c>
      <c r="AX308" s="214" t="s">
        <v>748</v>
      </c>
    </row>
    <row r="309" spans="2:50" x14ac:dyDescent="0.2">
      <c r="B309" s="610" t="s">
        <v>701</v>
      </c>
      <c r="C309" s="610" t="s">
        <v>700</v>
      </c>
      <c r="D309" s="239">
        <v>10545094</v>
      </c>
      <c r="E309" s="239">
        <v>0</v>
      </c>
      <c r="F309" s="239">
        <v>10545094</v>
      </c>
      <c r="G309" s="239">
        <v>0</v>
      </c>
      <c r="H309" s="239">
        <v>0</v>
      </c>
      <c r="I309" s="239">
        <v>0</v>
      </c>
      <c r="J309" s="239">
        <v>-48836</v>
      </c>
      <c r="K309" s="239">
        <v>0</v>
      </c>
      <c r="L309" s="239">
        <v>-48836</v>
      </c>
      <c r="M309" s="239">
        <v>0</v>
      </c>
      <c r="N309" s="239">
        <v>0</v>
      </c>
      <c r="O309" s="239">
        <v>0</v>
      </c>
      <c r="P309" s="239">
        <v>-68147</v>
      </c>
      <c r="Q309" s="239">
        <v>0</v>
      </c>
      <c r="R309" s="239">
        <v>-68147</v>
      </c>
      <c r="S309" s="239">
        <v>96294</v>
      </c>
      <c r="T309" s="239">
        <v>0</v>
      </c>
      <c r="U309" s="239">
        <v>96294</v>
      </c>
      <c r="V309" s="239">
        <v>-1281560</v>
      </c>
      <c r="W309" s="239">
        <v>0</v>
      </c>
      <c r="X309" s="239">
        <v>-1281560</v>
      </c>
      <c r="Y309" s="239">
        <v>9291681</v>
      </c>
      <c r="Z309" s="239">
        <v>0</v>
      </c>
      <c r="AA309" s="239">
        <v>9291681</v>
      </c>
      <c r="AB309" s="239">
        <v>0</v>
      </c>
      <c r="AC309" s="239">
        <v>0</v>
      </c>
      <c r="AD309" s="239">
        <v>0</v>
      </c>
      <c r="AE309" s="239">
        <v>0</v>
      </c>
      <c r="AF309" s="239">
        <v>0</v>
      </c>
      <c r="AG309" s="239">
        <v>0</v>
      </c>
      <c r="AH309" s="239">
        <v>0</v>
      </c>
      <c r="AI309" s="239">
        <v>0</v>
      </c>
      <c r="AJ309" s="239">
        <v>0</v>
      </c>
      <c r="AK309" s="239">
        <v>0</v>
      </c>
      <c r="AL309" s="239">
        <v>0</v>
      </c>
      <c r="AM309" s="239">
        <v>0</v>
      </c>
      <c r="AN309" s="239">
        <v>0</v>
      </c>
      <c r="AO309" s="239">
        <v>0</v>
      </c>
      <c r="AP309" s="239">
        <v>0</v>
      </c>
      <c r="AQ309" s="239">
        <v>648883</v>
      </c>
      <c r="AR309" s="239">
        <v>-252805</v>
      </c>
      <c r="AS309" s="214" t="s">
        <v>700</v>
      </c>
      <c r="AT309" s="214" t="s">
        <v>800</v>
      </c>
      <c r="AU309" s="214" t="s">
        <v>792</v>
      </c>
      <c r="AV309" s="214" t="s">
        <v>1088</v>
      </c>
      <c r="AW309" s="214" t="s">
        <v>1088</v>
      </c>
      <c r="AX309" s="214" t="s">
        <v>1294</v>
      </c>
    </row>
    <row r="310" spans="2:50" x14ac:dyDescent="0.2">
      <c r="B310" s="610" t="s">
        <v>703</v>
      </c>
      <c r="C310" s="610" t="s">
        <v>702</v>
      </c>
      <c r="D310" s="239">
        <v>29730229</v>
      </c>
      <c r="E310" s="239">
        <v>0</v>
      </c>
      <c r="F310" s="239">
        <v>29730229</v>
      </c>
      <c r="G310" s="239">
        <v>0</v>
      </c>
      <c r="H310" s="239">
        <v>0</v>
      </c>
      <c r="I310" s="239">
        <v>0</v>
      </c>
      <c r="J310" s="239">
        <v>-632385</v>
      </c>
      <c r="K310" s="239">
        <v>0</v>
      </c>
      <c r="L310" s="239">
        <v>-632385</v>
      </c>
      <c r="M310" s="239">
        <v>0</v>
      </c>
      <c r="N310" s="239">
        <v>0</v>
      </c>
      <c r="O310" s="239">
        <v>0</v>
      </c>
      <c r="P310" s="239">
        <v>5615</v>
      </c>
      <c r="Q310" s="239">
        <v>0</v>
      </c>
      <c r="R310" s="239">
        <v>5615</v>
      </c>
      <c r="S310" s="239">
        <v>493971</v>
      </c>
      <c r="T310" s="239">
        <v>0</v>
      </c>
      <c r="U310" s="239">
        <v>493971</v>
      </c>
      <c r="V310" s="239">
        <v>-3159674</v>
      </c>
      <c r="W310" s="239">
        <v>0</v>
      </c>
      <c r="X310" s="239">
        <v>-3159674</v>
      </c>
      <c r="Y310" s="239">
        <v>27070141</v>
      </c>
      <c r="Z310" s="239">
        <v>0</v>
      </c>
      <c r="AA310" s="239">
        <v>27070141</v>
      </c>
      <c r="AB310" s="239">
        <v>0</v>
      </c>
      <c r="AC310" s="239">
        <v>0</v>
      </c>
      <c r="AD310" s="239">
        <v>0</v>
      </c>
      <c r="AE310" s="239">
        <v>95790</v>
      </c>
      <c r="AF310" s="239">
        <v>95790</v>
      </c>
      <c r="AG310" s="239">
        <v>0</v>
      </c>
      <c r="AH310" s="239">
        <v>0</v>
      </c>
      <c r="AI310" s="239">
        <v>0</v>
      </c>
      <c r="AJ310" s="239">
        <v>0</v>
      </c>
      <c r="AK310" s="239">
        <v>0</v>
      </c>
      <c r="AL310" s="239">
        <v>0</v>
      </c>
      <c r="AM310" s="239">
        <v>0</v>
      </c>
      <c r="AN310" s="239">
        <v>0</v>
      </c>
      <c r="AO310" s="239">
        <v>0</v>
      </c>
      <c r="AP310" s="239">
        <v>0</v>
      </c>
      <c r="AQ310" s="239">
        <v>1596616</v>
      </c>
      <c r="AR310" s="239">
        <v>-634133</v>
      </c>
      <c r="AS310" s="214" t="s">
        <v>702</v>
      </c>
      <c r="AT310" s="214" t="s">
        <v>787</v>
      </c>
      <c r="AU310" s="214" t="s">
        <v>785</v>
      </c>
      <c r="AV310" s="214" t="s">
        <v>1088</v>
      </c>
      <c r="AW310" s="214" t="s">
        <v>1088</v>
      </c>
      <c r="AX310" s="214" t="s">
        <v>1294</v>
      </c>
    </row>
    <row r="311" spans="2:50" x14ac:dyDescent="0.2">
      <c r="B311" s="610" t="s">
        <v>705</v>
      </c>
      <c r="C311" s="610" t="s">
        <v>704</v>
      </c>
      <c r="D311" s="239">
        <v>31671055</v>
      </c>
      <c r="E311" s="239">
        <v>0</v>
      </c>
      <c r="F311" s="239">
        <v>31671055</v>
      </c>
      <c r="G311" s="239">
        <v>0</v>
      </c>
      <c r="H311" s="239">
        <v>0</v>
      </c>
      <c r="I311" s="239">
        <v>0</v>
      </c>
      <c r="J311" s="239">
        <v>-801688</v>
      </c>
      <c r="K311" s="239">
        <v>0</v>
      </c>
      <c r="L311" s="239">
        <v>-801688</v>
      </c>
      <c r="M311" s="239">
        <v>0</v>
      </c>
      <c r="N311" s="239">
        <v>0</v>
      </c>
      <c r="O311" s="239">
        <v>0</v>
      </c>
      <c r="P311" s="239">
        <v>-481081</v>
      </c>
      <c r="Q311" s="239">
        <v>0</v>
      </c>
      <c r="R311" s="239">
        <v>-481081</v>
      </c>
      <c r="S311" s="239">
        <v>0</v>
      </c>
      <c r="T311" s="239">
        <v>0</v>
      </c>
      <c r="U311" s="239">
        <v>0</v>
      </c>
      <c r="V311" s="239">
        <v>-2334274</v>
      </c>
      <c r="W311" s="239">
        <v>0</v>
      </c>
      <c r="X311" s="239">
        <v>-2334274</v>
      </c>
      <c r="Y311" s="239">
        <v>28855700</v>
      </c>
      <c r="Z311" s="239">
        <v>0</v>
      </c>
      <c r="AA311" s="239">
        <v>28855700</v>
      </c>
      <c r="AB311" s="239">
        <v>0</v>
      </c>
      <c r="AC311" s="239">
        <v>0</v>
      </c>
      <c r="AD311" s="239">
        <v>0</v>
      </c>
      <c r="AE311" s="239">
        <v>0</v>
      </c>
      <c r="AF311" s="239">
        <v>0</v>
      </c>
      <c r="AG311" s="239">
        <v>0</v>
      </c>
      <c r="AH311" s="239">
        <v>0</v>
      </c>
      <c r="AI311" s="239">
        <v>0</v>
      </c>
      <c r="AJ311" s="239">
        <v>0</v>
      </c>
      <c r="AK311" s="239">
        <v>0</v>
      </c>
      <c r="AL311" s="239">
        <v>0</v>
      </c>
      <c r="AM311" s="239">
        <v>0</v>
      </c>
      <c r="AN311" s="239">
        <v>0</v>
      </c>
      <c r="AO311" s="239">
        <v>0</v>
      </c>
      <c r="AP311" s="239">
        <v>0</v>
      </c>
      <c r="AQ311" s="239">
        <v>3767074</v>
      </c>
      <c r="AR311" s="239">
        <v>-1066643</v>
      </c>
      <c r="AS311" s="214" t="s">
        <v>704</v>
      </c>
      <c r="AT311" s="214" t="s">
        <v>757</v>
      </c>
      <c r="AU311" s="214" t="s">
        <v>755</v>
      </c>
      <c r="AV311" s="214" t="s">
        <v>1088</v>
      </c>
      <c r="AW311" s="214" t="s">
        <v>1088</v>
      </c>
      <c r="AX311" s="214" t="s">
        <v>1294</v>
      </c>
    </row>
    <row r="312" spans="2:50" x14ac:dyDescent="0.2">
      <c r="B312" s="610" t="s">
        <v>707</v>
      </c>
      <c r="C312" s="610" t="s">
        <v>706</v>
      </c>
      <c r="D312" s="239">
        <v>15148509</v>
      </c>
      <c r="E312" s="239">
        <v>0</v>
      </c>
      <c r="F312" s="239">
        <v>15148509</v>
      </c>
      <c r="G312" s="239">
        <v>-12036</v>
      </c>
      <c r="H312" s="239">
        <v>0</v>
      </c>
      <c r="I312" s="239">
        <v>-12036</v>
      </c>
      <c r="J312" s="239">
        <v>-84592</v>
      </c>
      <c r="K312" s="239">
        <v>0</v>
      </c>
      <c r="L312" s="239">
        <v>-84592</v>
      </c>
      <c r="M312" s="239">
        <v>0</v>
      </c>
      <c r="N312" s="239">
        <v>0</v>
      </c>
      <c r="O312" s="239">
        <v>0</v>
      </c>
      <c r="P312" s="239">
        <v>-104253</v>
      </c>
      <c r="Q312" s="239">
        <v>0</v>
      </c>
      <c r="R312" s="239">
        <v>-104253</v>
      </c>
      <c r="S312" s="239">
        <v>60613</v>
      </c>
      <c r="T312" s="239">
        <v>0</v>
      </c>
      <c r="U312" s="239">
        <v>60613</v>
      </c>
      <c r="V312" s="239">
        <v>-1432923</v>
      </c>
      <c r="W312" s="239">
        <v>0</v>
      </c>
      <c r="X312" s="239">
        <v>-1432923</v>
      </c>
      <c r="Y312" s="239">
        <v>13659910</v>
      </c>
      <c r="Z312" s="239">
        <v>0</v>
      </c>
      <c r="AA312" s="239">
        <v>13659910</v>
      </c>
      <c r="AB312" s="239">
        <v>0</v>
      </c>
      <c r="AC312" s="239">
        <v>0</v>
      </c>
      <c r="AD312" s="239">
        <v>0</v>
      </c>
      <c r="AE312" s="239">
        <v>20244</v>
      </c>
      <c r="AF312" s="239">
        <v>20244</v>
      </c>
      <c r="AG312" s="239">
        <v>0</v>
      </c>
      <c r="AH312" s="239">
        <v>0</v>
      </c>
      <c r="AI312" s="239">
        <v>0</v>
      </c>
      <c r="AJ312" s="239">
        <v>0</v>
      </c>
      <c r="AK312" s="239">
        <v>0</v>
      </c>
      <c r="AL312" s="239">
        <v>0</v>
      </c>
      <c r="AM312" s="239">
        <v>0</v>
      </c>
      <c r="AN312" s="239">
        <v>0</v>
      </c>
      <c r="AO312" s="239">
        <v>0</v>
      </c>
      <c r="AP312" s="239">
        <v>0</v>
      </c>
      <c r="AQ312" s="239">
        <v>143939</v>
      </c>
      <c r="AR312" s="239">
        <v>-367573</v>
      </c>
      <c r="AS312" s="214" t="s">
        <v>706</v>
      </c>
      <c r="AT312" s="214" t="s">
        <v>798</v>
      </c>
      <c r="AU312" s="214" t="s">
        <v>763</v>
      </c>
      <c r="AV312" s="214" t="s">
        <v>1088</v>
      </c>
      <c r="AW312" s="214" t="s">
        <v>1088</v>
      </c>
      <c r="AX312" s="214" t="s">
        <v>1294</v>
      </c>
    </row>
    <row r="313" spans="2:50" x14ac:dyDescent="0.2">
      <c r="B313" s="610" t="s">
        <v>709</v>
      </c>
      <c r="C313" s="610" t="s">
        <v>708</v>
      </c>
      <c r="D313" s="239">
        <v>31785750</v>
      </c>
      <c r="E313" s="239">
        <v>0</v>
      </c>
      <c r="F313" s="239">
        <v>31785750</v>
      </c>
      <c r="G313" s="239">
        <v>-7327</v>
      </c>
      <c r="H313" s="239">
        <v>0</v>
      </c>
      <c r="I313" s="239">
        <v>-7327</v>
      </c>
      <c r="J313" s="239">
        <v>-67299</v>
      </c>
      <c r="K313" s="239">
        <v>0</v>
      </c>
      <c r="L313" s="239">
        <v>-67299</v>
      </c>
      <c r="M313" s="239">
        <v>0</v>
      </c>
      <c r="N313" s="239">
        <v>0</v>
      </c>
      <c r="O313" s="239">
        <v>0</v>
      </c>
      <c r="P313" s="239">
        <v>100972</v>
      </c>
      <c r="Q313" s="239">
        <v>0</v>
      </c>
      <c r="R313" s="239">
        <v>100972</v>
      </c>
      <c r="S313" s="239">
        <v>320591</v>
      </c>
      <c r="T313" s="239">
        <v>0</v>
      </c>
      <c r="U313" s="239">
        <v>320591</v>
      </c>
      <c r="V313" s="239">
        <v>-505006</v>
      </c>
      <c r="W313" s="239">
        <v>0</v>
      </c>
      <c r="X313" s="239">
        <v>-505006</v>
      </c>
      <c r="Y313" s="239">
        <v>31694980</v>
      </c>
      <c r="Z313" s="239">
        <v>0</v>
      </c>
      <c r="AA313" s="239">
        <v>31694980</v>
      </c>
      <c r="AB313" s="239">
        <v>0</v>
      </c>
      <c r="AC313" s="239">
        <v>0</v>
      </c>
      <c r="AD313" s="239">
        <v>0</v>
      </c>
      <c r="AE313" s="239">
        <v>294335</v>
      </c>
      <c r="AF313" s="239">
        <v>294335</v>
      </c>
      <c r="AG313" s="239">
        <v>0</v>
      </c>
      <c r="AH313" s="239">
        <v>0</v>
      </c>
      <c r="AI313" s="239">
        <v>0</v>
      </c>
      <c r="AJ313" s="239">
        <v>0</v>
      </c>
      <c r="AK313" s="239">
        <v>0</v>
      </c>
      <c r="AL313" s="239">
        <v>0</v>
      </c>
      <c r="AM313" s="239">
        <v>0</v>
      </c>
      <c r="AN313" s="239">
        <v>0</v>
      </c>
      <c r="AO313" s="239">
        <v>0</v>
      </c>
      <c r="AP313" s="239">
        <v>0</v>
      </c>
      <c r="AQ313" s="239">
        <v>735611</v>
      </c>
      <c r="AR313" s="239">
        <v>-225268</v>
      </c>
      <c r="AS313" s="214" t="s">
        <v>708</v>
      </c>
      <c r="AT313" s="214" t="s">
        <v>796</v>
      </c>
      <c r="AU313" s="214" t="s">
        <v>763</v>
      </c>
      <c r="AV313" s="214" t="s">
        <v>1088</v>
      </c>
      <c r="AW313" s="214" t="s">
        <v>1088</v>
      </c>
      <c r="AX313" s="214" t="s">
        <v>1294</v>
      </c>
    </row>
    <row r="314" spans="2:50" x14ac:dyDescent="0.2">
      <c r="B314" s="610" t="s">
        <v>711</v>
      </c>
      <c r="C314" s="610" t="s">
        <v>710</v>
      </c>
      <c r="D314" s="239">
        <v>8761613</v>
      </c>
      <c r="E314" s="239">
        <v>0</v>
      </c>
      <c r="F314" s="239">
        <v>8761613</v>
      </c>
      <c r="G314" s="239">
        <v>0</v>
      </c>
      <c r="H314" s="239">
        <v>0</v>
      </c>
      <c r="I314" s="239">
        <v>0</v>
      </c>
      <c r="J314" s="239">
        <v>-26987</v>
      </c>
      <c r="K314" s="239">
        <v>0</v>
      </c>
      <c r="L314" s="239">
        <v>-26987</v>
      </c>
      <c r="M314" s="239">
        <v>0</v>
      </c>
      <c r="N314" s="239">
        <v>0</v>
      </c>
      <c r="O314" s="239">
        <v>0</v>
      </c>
      <c r="P314" s="239">
        <v>-81987</v>
      </c>
      <c r="Q314" s="239">
        <v>0</v>
      </c>
      <c r="R314" s="239">
        <v>-81987</v>
      </c>
      <c r="S314" s="239">
        <v>7228798</v>
      </c>
      <c r="T314" s="239">
        <v>0</v>
      </c>
      <c r="U314" s="239">
        <v>7228798</v>
      </c>
      <c r="V314" s="239">
        <v>-1150274</v>
      </c>
      <c r="W314" s="239">
        <v>0</v>
      </c>
      <c r="X314" s="239">
        <v>-1150274</v>
      </c>
      <c r="Y314" s="239">
        <v>14758150</v>
      </c>
      <c r="Z314" s="239">
        <v>0</v>
      </c>
      <c r="AA314" s="239">
        <v>14758150</v>
      </c>
      <c r="AB314" s="239">
        <v>0</v>
      </c>
      <c r="AC314" s="239">
        <v>0</v>
      </c>
      <c r="AD314" s="239">
        <v>0</v>
      </c>
      <c r="AE314" s="239">
        <v>26745</v>
      </c>
      <c r="AF314" s="239">
        <v>26745</v>
      </c>
      <c r="AG314" s="239">
        <v>0</v>
      </c>
      <c r="AH314" s="239">
        <v>0</v>
      </c>
      <c r="AI314" s="239">
        <v>0</v>
      </c>
      <c r="AJ314" s="239">
        <v>0</v>
      </c>
      <c r="AK314" s="239">
        <v>0</v>
      </c>
      <c r="AL314" s="239">
        <v>0</v>
      </c>
      <c r="AM314" s="239">
        <v>0</v>
      </c>
      <c r="AN314" s="239">
        <v>0</v>
      </c>
      <c r="AO314" s="239">
        <v>0</v>
      </c>
      <c r="AP314" s="239">
        <v>0</v>
      </c>
      <c r="AQ314" s="239">
        <v>585651</v>
      </c>
      <c r="AR314" s="239">
        <v>-255969</v>
      </c>
      <c r="AS314" s="214" t="s">
        <v>710</v>
      </c>
      <c r="AT314" s="214" t="s">
        <v>794</v>
      </c>
      <c r="AU314" s="214" t="s">
        <v>792</v>
      </c>
      <c r="AV314" s="214" t="s">
        <v>1088</v>
      </c>
      <c r="AW314" s="214" t="s">
        <v>1088</v>
      </c>
      <c r="AX314" s="214" t="s">
        <v>1294</v>
      </c>
    </row>
    <row r="315" spans="2:50" x14ac:dyDescent="0.2">
      <c r="B315" s="610" t="s">
        <v>713</v>
      </c>
      <c r="C315" s="610" t="s">
        <v>712</v>
      </c>
      <c r="D315" s="239">
        <v>1747729199</v>
      </c>
      <c r="E315" s="239">
        <v>0</v>
      </c>
      <c r="F315" s="239">
        <v>1747729199</v>
      </c>
      <c r="G315" s="239">
        <v>-190384</v>
      </c>
      <c r="H315" s="239">
        <v>0</v>
      </c>
      <c r="I315" s="239">
        <v>-190384</v>
      </c>
      <c r="J315" s="239">
        <v>0</v>
      </c>
      <c r="K315" s="239">
        <v>0</v>
      </c>
      <c r="L315" s="239">
        <v>0</v>
      </c>
      <c r="M315" s="239">
        <v>-12170610</v>
      </c>
      <c r="N315" s="239">
        <v>0</v>
      </c>
      <c r="O315" s="239">
        <v>-12170610</v>
      </c>
      <c r="P315" s="239">
        <v>200000</v>
      </c>
      <c r="Q315" s="239">
        <v>0</v>
      </c>
      <c r="R315" s="239">
        <v>200000</v>
      </c>
      <c r="S315" s="239">
        <v>0</v>
      </c>
      <c r="T315" s="239">
        <v>0</v>
      </c>
      <c r="U315" s="239">
        <v>0</v>
      </c>
      <c r="V315" s="239">
        <v>-96000000</v>
      </c>
      <c r="W315" s="239">
        <v>0</v>
      </c>
      <c r="X315" s="239">
        <v>-96000000</v>
      </c>
      <c r="Y315" s="239">
        <v>1639568205</v>
      </c>
      <c r="Z315" s="239">
        <v>0</v>
      </c>
      <c r="AA315" s="239">
        <v>1639568205</v>
      </c>
      <c r="AB315" s="239">
        <v>0</v>
      </c>
      <c r="AC315" s="239">
        <v>0</v>
      </c>
      <c r="AD315" s="239">
        <v>0</v>
      </c>
      <c r="AE315" s="239">
        <v>0</v>
      </c>
      <c r="AF315" s="239">
        <v>0</v>
      </c>
      <c r="AG315" s="239">
        <v>0</v>
      </c>
      <c r="AH315" s="239">
        <v>0</v>
      </c>
      <c r="AI315" s="239">
        <v>0</v>
      </c>
      <c r="AJ315" s="239">
        <v>0</v>
      </c>
      <c r="AK315" s="239">
        <v>0</v>
      </c>
      <c r="AL315" s="239">
        <v>0</v>
      </c>
      <c r="AM315" s="239">
        <v>0</v>
      </c>
      <c r="AN315" s="239">
        <v>0</v>
      </c>
      <c r="AO315" s="239">
        <v>0</v>
      </c>
      <c r="AP315" s="239">
        <v>0</v>
      </c>
      <c r="AQ315" s="239">
        <v>47390310</v>
      </c>
      <c r="AR315" s="239">
        <v>-116186196</v>
      </c>
      <c r="AS315" s="214" t="s">
        <v>712</v>
      </c>
      <c r="AT315" s="214" t="s">
        <v>790</v>
      </c>
      <c r="AU315" s="214" t="s">
        <v>749</v>
      </c>
      <c r="AV315" s="214" t="s">
        <v>1088</v>
      </c>
      <c r="AW315" s="214" t="s">
        <v>1088</v>
      </c>
      <c r="AX315" s="214" t="s">
        <v>1297</v>
      </c>
    </row>
    <row r="316" spans="2:50" x14ac:dyDescent="0.2">
      <c r="B316" s="610" t="s">
        <v>715</v>
      </c>
      <c r="C316" s="610" t="s">
        <v>714</v>
      </c>
      <c r="D316" s="239">
        <v>17181720</v>
      </c>
      <c r="E316" s="239">
        <v>0</v>
      </c>
      <c r="F316" s="239">
        <v>17181720</v>
      </c>
      <c r="G316" s="239">
        <v>-3256</v>
      </c>
      <c r="H316" s="239">
        <v>0</v>
      </c>
      <c r="I316" s="239">
        <v>-3256</v>
      </c>
      <c r="J316" s="239">
        <v>-293603</v>
      </c>
      <c r="K316" s="239">
        <v>0</v>
      </c>
      <c r="L316" s="239">
        <v>-293603</v>
      </c>
      <c r="M316" s="239">
        <v>0</v>
      </c>
      <c r="N316" s="239">
        <v>0</v>
      </c>
      <c r="O316" s="239">
        <v>0</v>
      </c>
      <c r="P316" s="239">
        <v>-242603</v>
      </c>
      <c r="Q316" s="239">
        <v>0</v>
      </c>
      <c r="R316" s="239">
        <v>-242603</v>
      </c>
      <c r="S316" s="239">
        <v>585786</v>
      </c>
      <c r="T316" s="239">
        <v>0</v>
      </c>
      <c r="U316" s="239">
        <v>585786</v>
      </c>
      <c r="V316" s="239">
        <v>-2156417</v>
      </c>
      <c r="W316" s="239">
        <v>0</v>
      </c>
      <c r="X316" s="239">
        <v>-2156417</v>
      </c>
      <c r="Y316" s="239">
        <v>15365230</v>
      </c>
      <c r="Z316" s="239">
        <v>0</v>
      </c>
      <c r="AA316" s="239">
        <v>15365230</v>
      </c>
      <c r="AB316" s="239">
        <v>0</v>
      </c>
      <c r="AC316" s="239">
        <v>0</v>
      </c>
      <c r="AD316" s="239">
        <v>0</v>
      </c>
      <c r="AE316" s="239">
        <v>0</v>
      </c>
      <c r="AF316" s="239">
        <v>0</v>
      </c>
      <c r="AG316" s="239">
        <v>0</v>
      </c>
      <c r="AH316" s="239">
        <v>0</v>
      </c>
      <c r="AI316" s="239">
        <v>0</v>
      </c>
      <c r="AJ316" s="239">
        <v>0</v>
      </c>
      <c r="AK316" s="239">
        <v>0</v>
      </c>
      <c r="AL316" s="239">
        <v>0</v>
      </c>
      <c r="AM316" s="239">
        <v>0</v>
      </c>
      <c r="AN316" s="239">
        <v>0</v>
      </c>
      <c r="AO316" s="239">
        <v>0</v>
      </c>
      <c r="AP316" s="239">
        <v>0</v>
      </c>
      <c r="AQ316" s="239">
        <v>1819416</v>
      </c>
      <c r="AR316" s="239">
        <v>-131752</v>
      </c>
      <c r="AS316" s="214" t="s">
        <v>789</v>
      </c>
      <c r="AT316" s="214" t="s">
        <v>787</v>
      </c>
      <c r="AU316" s="214" t="s">
        <v>785</v>
      </c>
      <c r="AV316" s="214" t="s">
        <v>1088</v>
      </c>
      <c r="AW316" s="214" t="s">
        <v>1088</v>
      </c>
      <c r="AX316" s="214" t="s">
        <v>1294</v>
      </c>
    </row>
    <row r="317" spans="2:50" x14ac:dyDescent="0.2">
      <c r="B317" s="610" t="s">
        <v>717</v>
      </c>
      <c r="C317" s="610" t="s">
        <v>716</v>
      </c>
      <c r="D317" s="239">
        <v>78870617</v>
      </c>
      <c r="E317" s="239">
        <v>0</v>
      </c>
      <c r="F317" s="239">
        <v>78870617</v>
      </c>
      <c r="G317" s="239">
        <v>0</v>
      </c>
      <c r="H317" s="239">
        <v>0</v>
      </c>
      <c r="I317" s="239">
        <v>0</v>
      </c>
      <c r="J317" s="239">
        <v>-1346746</v>
      </c>
      <c r="K317" s="239">
        <v>0</v>
      </c>
      <c r="L317" s="239">
        <v>-1346746</v>
      </c>
      <c r="M317" s="239">
        <v>0</v>
      </c>
      <c r="N317" s="239">
        <v>0</v>
      </c>
      <c r="O317" s="239">
        <v>0</v>
      </c>
      <c r="P317" s="239">
        <v>-1922467</v>
      </c>
      <c r="Q317" s="239">
        <v>0</v>
      </c>
      <c r="R317" s="239">
        <v>-1922467</v>
      </c>
      <c r="S317" s="239">
        <v>2896464</v>
      </c>
      <c r="T317" s="239">
        <v>0</v>
      </c>
      <c r="U317" s="239">
        <v>2896464</v>
      </c>
      <c r="V317" s="239">
        <v>-2905154</v>
      </c>
      <c r="W317" s="239">
        <v>0</v>
      </c>
      <c r="X317" s="239">
        <v>-2905154</v>
      </c>
      <c r="Y317" s="239">
        <v>76939460</v>
      </c>
      <c r="Z317" s="239">
        <v>0</v>
      </c>
      <c r="AA317" s="239">
        <v>76939460</v>
      </c>
      <c r="AB317" s="239">
        <v>0</v>
      </c>
      <c r="AC317" s="239">
        <v>0</v>
      </c>
      <c r="AD317" s="239">
        <v>0</v>
      </c>
      <c r="AE317" s="239">
        <v>0</v>
      </c>
      <c r="AF317" s="239">
        <v>0</v>
      </c>
      <c r="AG317" s="239">
        <v>0</v>
      </c>
      <c r="AH317" s="239">
        <v>0</v>
      </c>
      <c r="AI317" s="239">
        <v>0</v>
      </c>
      <c r="AJ317" s="239">
        <v>0</v>
      </c>
      <c r="AK317" s="239">
        <v>0</v>
      </c>
      <c r="AL317" s="239">
        <v>0</v>
      </c>
      <c r="AM317" s="239">
        <v>0</v>
      </c>
      <c r="AN317" s="239">
        <v>0</v>
      </c>
      <c r="AO317" s="239">
        <v>0</v>
      </c>
      <c r="AP317" s="239">
        <v>0</v>
      </c>
      <c r="AQ317" s="239">
        <v>5987769</v>
      </c>
      <c r="AR317" s="239">
        <v>-354817</v>
      </c>
      <c r="AS317" s="214" t="s">
        <v>716</v>
      </c>
      <c r="AT317" s="214" t="s">
        <v>768</v>
      </c>
      <c r="AU317" s="214" t="s">
        <v>783</v>
      </c>
      <c r="AV317" s="214" t="s">
        <v>1088</v>
      </c>
      <c r="AW317" s="214" t="s">
        <v>1088</v>
      </c>
      <c r="AX317" s="214" t="s">
        <v>1296</v>
      </c>
    </row>
    <row r="318" spans="2:50" x14ac:dyDescent="0.2">
      <c r="B318" s="610" t="s">
        <v>719</v>
      </c>
      <c r="C318" s="610" t="s">
        <v>718</v>
      </c>
      <c r="D318" s="239">
        <v>142729230</v>
      </c>
      <c r="E318" s="239">
        <v>0</v>
      </c>
      <c r="F318" s="239">
        <v>142729230</v>
      </c>
      <c r="G318" s="239">
        <v>-37594</v>
      </c>
      <c r="H318" s="239">
        <v>0</v>
      </c>
      <c r="I318" s="239">
        <v>-37594</v>
      </c>
      <c r="J318" s="239">
        <v>-1124395</v>
      </c>
      <c r="K318" s="239">
        <v>0</v>
      </c>
      <c r="L318" s="239">
        <v>-1124395</v>
      </c>
      <c r="M318" s="239">
        <v>0</v>
      </c>
      <c r="N318" s="239">
        <v>0</v>
      </c>
      <c r="O318" s="239">
        <v>0</v>
      </c>
      <c r="P318" s="239">
        <v>-1019095</v>
      </c>
      <c r="Q318" s="239">
        <v>0</v>
      </c>
      <c r="R318" s="239">
        <v>-1019095</v>
      </c>
      <c r="S318" s="239">
        <v>3455589</v>
      </c>
      <c r="T318" s="239">
        <v>0</v>
      </c>
      <c r="U318" s="239">
        <v>3455589</v>
      </c>
      <c r="V318" s="239">
        <v>-3567937</v>
      </c>
      <c r="W318" s="239">
        <v>0</v>
      </c>
      <c r="X318" s="239">
        <v>-3567937</v>
      </c>
      <c r="Y318" s="239">
        <v>141560193</v>
      </c>
      <c r="Z318" s="239">
        <v>0</v>
      </c>
      <c r="AA318" s="239">
        <v>141560193</v>
      </c>
      <c r="AB318" s="239">
        <v>0</v>
      </c>
      <c r="AC318" s="239">
        <v>0</v>
      </c>
      <c r="AD318" s="239">
        <v>0</v>
      </c>
      <c r="AE318" s="239">
        <v>922623</v>
      </c>
      <c r="AF318" s="239">
        <v>922623</v>
      </c>
      <c r="AG318" s="239">
        <v>0</v>
      </c>
      <c r="AH318" s="239">
        <v>0</v>
      </c>
      <c r="AI318" s="239">
        <v>0</v>
      </c>
      <c r="AJ318" s="239">
        <v>0</v>
      </c>
      <c r="AK318" s="239">
        <v>0</v>
      </c>
      <c r="AL318" s="239">
        <v>0</v>
      </c>
      <c r="AM318" s="239">
        <v>0</v>
      </c>
      <c r="AN318" s="239">
        <v>0</v>
      </c>
      <c r="AO318" s="239">
        <v>0</v>
      </c>
      <c r="AP318" s="239">
        <v>0</v>
      </c>
      <c r="AQ318" s="239">
        <v>4929315</v>
      </c>
      <c r="AR318" s="239">
        <v>-2099145</v>
      </c>
      <c r="AS318" s="214" t="s">
        <v>718</v>
      </c>
      <c r="AT318" s="214" t="s">
        <v>748</v>
      </c>
      <c r="AU318" s="214" t="s">
        <v>781</v>
      </c>
      <c r="AV318" s="214" t="s">
        <v>1088</v>
      </c>
      <c r="AW318" s="214" t="s">
        <v>1088</v>
      </c>
      <c r="AX318" s="214" t="s">
        <v>748</v>
      </c>
    </row>
    <row r="319" spans="2:50" x14ac:dyDescent="0.2">
      <c r="B319" s="610" t="s">
        <v>721</v>
      </c>
      <c r="C319" s="610" t="s">
        <v>720</v>
      </c>
      <c r="D319" s="239">
        <v>56551606</v>
      </c>
      <c r="E319" s="239">
        <v>0</v>
      </c>
      <c r="F319" s="239">
        <v>56551606</v>
      </c>
      <c r="G319" s="239">
        <v>-394</v>
      </c>
      <c r="H319" s="239">
        <v>0</v>
      </c>
      <c r="I319" s="239">
        <v>-394</v>
      </c>
      <c r="J319" s="239">
        <v>-97133</v>
      </c>
      <c r="K319" s="239">
        <v>0</v>
      </c>
      <c r="L319" s="239">
        <v>-97133</v>
      </c>
      <c r="M319" s="239">
        <v>0</v>
      </c>
      <c r="N319" s="239">
        <v>0</v>
      </c>
      <c r="O319" s="239">
        <v>0</v>
      </c>
      <c r="P319" s="239">
        <v>-235362</v>
      </c>
      <c r="Q319" s="239">
        <v>0</v>
      </c>
      <c r="R319" s="239">
        <v>-235362</v>
      </c>
      <c r="S319" s="239">
        <v>1302169</v>
      </c>
      <c r="T319" s="239">
        <v>0</v>
      </c>
      <c r="U319" s="239">
        <v>1302169</v>
      </c>
      <c r="V319" s="239">
        <v>-2817840</v>
      </c>
      <c r="W319" s="239">
        <v>0</v>
      </c>
      <c r="X319" s="239">
        <v>-2817840</v>
      </c>
      <c r="Y319" s="239">
        <v>54800179</v>
      </c>
      <c r="Z319" s="239">
        <v>0</v>
      </c>
      <c r="AA319" s="239">
        <v>54800179</v>
      </c>
      <c r="AB319" s="239">
        <v>0</v>
      </c>
      <c r="AC319" s="239">
        <v>0</v>
      </c>
      <c r="AD319" s="239">
        <v>0</v>
      </c>
      <c r="AE319" s="239">
        <v>285775</v>
      </c>
      <c r="AF319" s="239">
        <v>285775</v>
      </c>
      <c r="AG319" s="239">
        <v>0</v>
      </c>
      <c r="AH319" s="239">
        <v>0</v>
      </c>
      <c r="AI319" s="239">
        <v>0</v>
      </c>
      <c r="AJ319" s="239">
        <v>0</v>
      </c>
      <c r="AK319" s="239">
        <v>0</v>
      </c>
      <c r="AL319" s="239">
        <v>0</v>
      </c>
      <c r="AM319" s="239">
        <v>0</v>
      </c>
      <c r="AN319" s="239">
        <v>0</v>
      </c>
      <c r="AO319" s="239">
        <v>0</v>
      </c>
      <c r="AP319" s="239">
        <v>0</v>
      </c>
      <c r="AQ319" s="239">
        <v>2445536</v>
      </c>
      <c r="AR319" s="239">
        <v>-1114402</v>
      </c>
      <c r="AS319" s="214" t="s">
        <v>720</v>
      </c>
      <c r="AT319" s="214" t="s">
        <v>779</v>
      </c>
      <c r="AU319" s="214" t="s">
        <v>777</v>
      </c>
      <c r="AV319" s="214" t="s">
        <v>1088</v>
      </c>
      <c r="AW319" s="214" t="s">
        <v>1088</v>
      </c>
      <c r="AX319" s="214" t="s">
        <v>1294</v>
      </c>
    </row>
    <row r="320" spans="2:50" x14ac:dyDescent="0.2">
      <c r="B320" s="610" t="s">
        <v>723</v>
      </c>
      <c r="C320" s="610" t="s">
        <v>722</v>
      </c>
      <c r="D320" s="239">
        <v>78708125</v>
      </c>
      <c r="E320" s="239">
        <v>0</v>
      </c>
      <c r="F320" s="239">
        <v>78708125</v>
      </c>
      <c r="G320" s="239">
        <v>0</v>
      </c>
      <c r="H320" s="239">
        <v>0</v>
      </c>
      <c r="I320" s="239">
        <v>0</v>
      </c>
      <c r="J320" s="239">
        <v>-1021613</v>
      </c>
      <c r="K320" s="239">
        <v>0</v>
      </c>
      <c r="L320" s="239">
        <v>-1021613</v>
      </c>
      <c r="M320" s="239">
        <v>0</v>
      </c>
      <c r="N320" s="239">
        <v>0</v>
      </c>
      <c r="O320" s="239">
        <v>0</v>
      </c>
      <c r="P320" s="239">
        <v>-221613</v>
      </c>
      <c r="Q320" s="239">
        <v>0</v>
      </c>
      <c r="R320" s="239">
        <v>-221613</v>
      </c>
      <c r="S320" s="239">
        <v>0</v>
      </c>
      <c r="T320" s="239">
        <v>0</v>
      </c>
      <c r="U320" s="239">
        <v>0</v>
      </c>
      <c r="V320" s="239">
        <v>1000000</v>
      </c>
      <c r="W320" s="239">
        <v>0</v>
      </c>
      <c r="X320" s="239">
        <v>1000000</v>
      </c>
      <c r="Y320" s="239">
        <v>79486512</v>
      </c>
      <c r="Z320" s="239">
        <v>0</v>
      </c>
      <c r="AA320" s="239">
        <v>79486512</v>
      </c>
      <c r="AB320" s="239">
        <v>0</v>
      </c>
      <c r="AC320" s="239">
        <v>0</v>
      </c>
      <c r="AD320" s="239">
        <v>0</v>
      </c>
      <c r="AE320" s="239">
        <v>7296</v>
      </c>
      <c r="AF320" s="239">
        <v>7296</v>
      </c>
      <c r="AG320" s="239">
        <v>0</v>
      </c>
      <c r="AH320" s="239">
        <v>0</v>
      </c>
      <c r="AI320" s="239">
        <v>0</v>
      </c>
      <c r="AJ320" s="239">
        <v>0</v>
      </c>
      <c r="AK320" s="239">
        <v>0</v>
      </c>
      <c r="AL320" s="239">
        <v>0</v>
      </c>
      <c r="AM320" s="239">
        <v>0</v>
      </c>
      <c r="AN320" s="239">
        <v>0</v>
      </c>
      <c r="AO320" s="239">
        <v>0</v>
      </c>
      <c r="AP320" s="239">
        <v>0</v>
      </c>
      <c r="AQ320" s="239">
        <v>3170430</v>
      </c>
      <c r="AR320" s="239">
        <v>-1324254</v>
      </c>
      <c r="AS320" s="214" t="s">
        <v>776</v>
      </c>
      <c r="AT320" s="214" t="s">
        <v>748</v>
      </c>
      <c r="AU320" s="214" t="s">
        <v>769</v>
      </c>
      <c r="AV320" s="214" t="s">
        <v>1088</v>
      </c>
      <c r="AW320" s="214" t="s">
        <v>1088</v>
      </c>
      <c r="AX320" s="214" t="s">
        <v>748</v>
      </c>
    </row>
    <row r="321" spans="2:50" x14ac:dyDescent="0.2">
      <c r="B321" s="610" t="s">
        <v>725</v>
      </c>
      <c r="C321" s="610" t="s">
        <v>724</v>
      </c>
      <c r="D321" s="239">
        <v>70400290</v>
      </c>
      <c r="E321" s="239">
        <v>12268</v>
      </c>
      <c r="F321" s="239">
        <v>70412558</v>
      </c>
      <c r="G321" s="239">
        <v>0</v>
      </c>
      <c r="H321" s="239">
        <v>0</v>
      </c>
      <c r="I321" s="239">
        <v>0</v>
      </c>
      <c r="J321" s="239">
        <v>-1459390</v>
      </c>
      <c r="K321" s="239">
        <v>0</v>
      </c>
      <c r="L321" s="239">
        <v>-1459390</v>
      </c>
      <c r="M321" s="239">
        <v>0</v>
      </c>
      <c r="N321" s="239">
        <v>0</v>
      </c>
      <c r="O321" s="239">
        <v>0</v>
      </c>
      <c r="P321" s="239">
        <v>-1274232</v>
      </c>
      <c r="Q321" s="239">
        <v>0</v>
      </c>
      <c r="R321" s="239">
        <v>-1274232</v>
      </c>
      <c r="S321" s="239">
        <v>251316</v>
      </c>
      <c r="T321" s="239">
        <v>0</v>
      </c>
      <c r="U321" s="239">
        <v>251316</v>
      </c>
      <c r="V321" s="239">
        <v>-811114</v>
      </c>
      <c r="W321" s="239">
        <v>0</v>
      </c>
      <c r="X321" s="239">
        <v>-811114</v>
      </c>
      <c r="Y321" s="239">
        <v>68566260</v>
      </c>
      <c r="Z321" s="239">
        <v>12268</v>
      </c>
      <c r="AA321" s="239">
        <v>68578528</v>
      </c>
      <c r="AB321" s="239">
        <v>12268</v>
      </c>
      <c r="AC321" s="239">
        <v>12268</v>
      </c>
      <c r="AD321" s="239">
        <v>0</v>
      </c>
      <c r="AE321" s="239">
        <v>0</v>
      </c>
      <c r="AF321" s="239">
        <v>0</v>
      </c>
      <c r="AG321" s="239">
        <v>0</v>
      </c>
      <c r="AH321" s="239">
        <v>0</v>
      </c>
      <c r="AI321" s="239">
        <v>0</v>
      </c>
      <c r="AJ321" s="239">
        <v>0</v>
      </c>
      <c r="AK321" s="239">
        <v>0</v>
      </c>
      <c r="AL321" s="239">
        <v>2915</v>
      </c>
      <c r="AM321" s="239">
        <v>0</v>
      </c>
      <c r="AN321" s="239">
        <v>9353</v>
      </c>
      <c r="AO321" s="239">
        <v>9353</v>
      </c>
      <c r="AP321" s="239">
        <v>0</v>
      </c>
      <c r="AQ321" s="239">
        <v>5342958</v>
      </c>
      <c r="AR321" s="239">
        <v>-873842</v>
      </c>
      <c r="AS321" s="214" t="s">
        <v>724</v>
      </c>
      <c r="AT321" s="214" t="s">
        <v>768</v>
      </c>
      <c r="AU321" s="214" t="s">
        <v>774</v>
      </c>
      <c r="AV321" s="214" t="s">
        <v>1110</v>
      </c>
      <c r="AW321" s="214" t="s">
        <v>1088</v>
      </c>
      <c r="AX321" s="214" t="s">
        <v>1296</v>
      </c>
    </row>
    <row r="322" spans="2:50" x14ac:dyDescent="0.2">
      <c r="B322" s="610" t="s">
        <v>727</v>
      </c>
      <c r="C322" s="610" t="s">
        <v>726</v>
      </c>
      <c r="D322" s="239">
        <v>48672608</v>
      </c>
      <c r="E322" s="239">
        <v>0</v>
      </c>
      <c r="F322" s="239">
        <v>48672608</v>
      </c>
      <c r="G322" s="239">
        <v>0</v>
      </c>
      <c r="H322" s="239">
        <v>0</v>
      </c>
      <c r="I322" s="239">
        <v>0</v>
      </c>
      <c r="J322" s="239">
        <v>0</v>
      </c>
      <c r="K322" s="239">
        <v>0</v>
      </c>
      <c r="L322" s="239">
        <v>0</v>
      </c>
      <c r="M322" s="239">
        <v>109538</v>
      </c>
      <c r="N322" s="239">
        <v>0</v>
      </c>
      <c r="O322" s="239">
        <v>109538</v>
      </c>
      <c r="P322" s="239">
        <v>-130000</v>
      </c>
      <c r="Q322" s="239">
        <v>0</v>
      </c>
      <c r="R322" s="239">
        <v>-130000</v>
      </c>
      <c r="S322" s="239">
        <v>1157046</v>
      </c>
      <c r="T322" s="239">
        <v>0</v>
      </c>
      <c r="U322" s="239">
        <v>1157046</v>
      </c>
      <c r="V322" s="239">
        <v>-331935</v>
      </c>
      <c r="W322" s="239">
        <v>0</v>
      </c>
      <c r="X322" s="239">
        <v>-331935</v>
      </c>
      <c r="Y322" s="239">
        <v>49477257</v>
      </c>
      <c r="Z322" s="239">
        <v>0</v>
      </c>
      <c r="AA322" s="239">
        <v>49477257</v>
      </c>
      <c r="AB322" s="239">
        <v>0</v>
      </c>
      <c r="AC322" s="239">
        <v>0</v>
      </c>
      <c r="AD322" s="239">
        <v>0</v>
      </c>
      <c r="AE322" s="239">
        <v>0</v>
      </c>
      <c r="AF322" s="239">
        <v>0</v>
      </c>
      <c r="AG322" s="239">
        <v>0</v>
      </c>
      <c r="AH322" s="239">
        <v>0</v>
      </c>
      <c r="AI322" s="239">
        <v>0</v>
      </c>
      <c r="AJ322" s="239">
        <v>0</v>
      </c>
      <c r="AK322" s="239">
        <v>0</v>
      </c>
      <c r="AL322" s="239">
        <v>0</v>
      </c>
      <c r="AM322" s="239">
        <v>0</v>
      </c>
      <c r="AN322" s="239">
        <v>0</v>
      </c>
      <c r="AO322" s="239">
        <v>0</v>
      </c>
      <c r="AP322" s="239">
        <v>0</v>
      </c>
      <c r="AQ322" s="239">
        <v>2690707</v>
      </c>
      <c r="AR322" s="239">
        <v>-999555</v>
      </c>
      <c r="AS322" s="214" t="s">
        <v>726</v>
      </c>
      <c r="AT322" s="214" t="s">
        <v>772</v>
      </c>
      <c r="AU322" s="214" t="s">
        <v>763</v>
      </c>
      <c r="AV322" s="214" t="s">
        <v>1088</v>
      </c>
      <c r="AW322" s="214" t="s">
        <v>1088</v>
      </c>
      <c r="AX322" s="214" t="s">
        <v>1294</v>
      </c>
    </row>
    <row r="323" spans="2:50" x14ac:dyDescent="0.2">
      <c r="B323" s="610" t="s">
        <v>729</v>
      </c>
      <c r="C323" s="610" t="s">
        <v>728</v>
      </c>
      <c r="D323" s="239">
        <v>57414282</v>
      </c>
      <c r="E323" s="239">
        <v>0</v>
      </c>
      <c r="F323" s="239">
        <v>57414282</v>
      </c>
      <c r="G323" s="239">
        <v>-13631</v>
      </c>
      <c r="H323" s="239">
        <v>0</v>
      </c>
      <c r="I323" s="239">
        <v>-13631</v>
      </c>
      <c r="J323" s="239">
        <v>-195424</v>
      </c>
      <c r="K323" s="239">
        <v>0</v>
      </c>
      <c r="L323" s="239">
        <v>-195424</v>
      </c>
      <c r="M323" s="239">
        <v>0</v>
      </c>
      <c r="N323" s="239">
        <v>0</v>
      </c>
      <c r="O323" s="239">
        <v>0</v>
      </c>
      <c r="P323" s="239">
        <v>-500000</v>
      </c>
      <c r="Q323" s="239">
        <v>0</v>
      </c>
      <c r="R323" s="239">
        <v>-500000</v>
      </c>
      <c r="S323" s="239">
        <v>1162665</v>
      </c>
      <c r="T323" s="239">
        <v>0</v>
      </c>
      <c r="U323" s="239">
        <v>1162665</v>
      </c>
      <c r="V323" s="239">
        <v>-793665</v>
      </c>
      <c r="W323" s="239">
        <v>0</v>
      </c>
      <c r="X323" s="239">
        <v>-793665</v>
      </c>
      <c r="Y323" s="239">
        <v>57269651</v>
      </c>
      <c r="Z323" s="239">
        <v>0</v>
      </c>
      <c r="AA323" s="239">
        <v>57269651</v>
      </c>
      <c r="AB323" s="239">
        <v>0</v>
      </c>
      <c r="AC323" s="239">
        <v>0</v>
      </c>
      <c r="AD323" s="239">
        <v>0</v>
      </c>
      <c r="AE323" s="239">
        <v>6412</v>
      </c>
      <c r="AF323" s="239">
        <v>6412</v>
      </c>
      <c r="AG323" s="239">
        <v>0</v>
      </c>
      <c r="AH323" s="239">
        <v>0</v>
      </c>
      <c r="AI323" s="239">
        <v>0</v>
      </c>
      <c r="AJ323" s="239">
        <v>0</v>
      </c>
      <c r="AK323" s="239">
        <v>0</v>
      </c>
      <c r="AL323" s="239">
        <v>0</v>
      </c>
      <c r="AM323" s="239">
        <v>0</v>
      </c>
      <c r="AN323" s="239">
        <v>0</v>
      </c>
      <c r="AO323" s="239">
        <v>0</v>
      </c>
      <c r="AP323" s="239">
        <v>0</v>
      </c>
      <c r="AQ323" s="239">
        <v>2843083</v>
      </c>
      <c r="AR323" s="239">
        <v>-2284738</v>
      </c>
      <c r="AS323" s="214" t="s">
        <v>771</v>
      </c>
      <c r="AT323" s="214" t="s">
        <v>748</v>
      </c>
      <c r="AU323" s="214" t="s">
        <v>769</v>
      </c>
      <c r="AV323" s="214" t="s">
        <v>1088</v>
      </c>
      <c r="AW323" s="214" t="s">
        <v>1088</v>
      </c>
      <c r="AX323" s="214" t="s">
        <v>748</v>
      </c>
    </row>
    <row r="324" spans="2:50" x14ac:dyDescent="0.2">
      <c r="B324" s="610" t="s">
        <v>731</v>
      </c>
      <c r="C324" s="610" t="s">
        <v>730</v>
      </c>
      <c r="D324" s="239">
        <v>75556533</v>
      </c>
      <c r="E324" s="239">
        <v>89356</v>
      </c>
      <c r="F324" s="239">
        <v>75645889</v>
      </c>
      <c r="G324" s="239">
        <v>-9840</v>
      </c>
      <c r="H324" s="239">
        <v>0</v>
      </c>
      <c r="I324" s="239">
        <v>-9840</v>
      </c>
      <c r="J324" s="239">
        <v>-415262</v>
      </c>
      <c r="K324" s="239">
        <v>0</v>
      </c>
      <c r="L324" s="239">
        <v>-415262</v>
      </c>
      <c r="M324" s="239">
        <v>0</v>
      </c>
      <c r="N324" s="239">
        <v>0</v>
      </c>
      <c r="O324" s="239">
        <v>0</v>
      </c>
      <c r="P324" s="239">
        <v>-1364303</v>
      </c>
      <c r="Q324" s="239">
        <v>0</v>
      </c>
      <c r="R324" s="239">
        <v>-1364303</v>
      </c>
      <c r="S324" s="239">
        <v>2736999</v>
      </c>
      <c r="T324" s="239">
        <v>0</v>
      </c>
      <c r="U324" s="239">
        <v>2736999</v>
      </c>
      <c r="V324" s="239">
        <v>-6846788</v>
      </c>
      <c r="W324" s="239">
        <v>0</v>
      </c>
      <c r="X324" s="239">
        <v>-6846788</v>
      </c>
      <c r="Y324" s="239">
        <v>70072601</v>
      </c>
      <c r="Z324" s="239">
        <v>89356</v>
      </c>
      <c r="AA324" s="239">
        <v>70161957</v>
      </c>
      <c r="AB324" s="239">
        <v>89356</v>
      </c>
      <c r="AC324" s="239">
        <v>89356</v>
      </c>
      <c r="AD324" s="239">
        <v>0</v>
      </c>
      <c r="AE324" s="239">
        <v>0</v>
      </c>
      <c r="AF324" s="239">
        <v>0</v>
      </c>
      <c r="AG324" s="239">
        <v>0</v>
      </c>
      <c r="AH324" s="239">
        <v>0</v>
      </c>
      <c r="AI324" s="239">
        <v>0</v>
      </c>
      <c r="AJ324" s="239">
        <v>0</v>
      </c>
      <c r="AK324" s="239">
        <v>0</v>
      </c>
      <c r="AL324" s="239">
        <v>88549</v>
      </c>
      <c r="AM324" s="239">
        <v>0</v>
      </c>
      <c r="AN324" s="239">
        <v>807</v>
      </c>
      <c r="AO324" s="239">
        <v>807</v>
      </c>
      <c r="AP324" s="239">
        <v>0</v>
      </c>
      <c r="AQ324" s="239">
        <v>7642847.7599999998</v>
      </c>
      <c r="AR324" s="239">
        <v>-1583901.54</v>
      </c>
      <c r="AS324" s="214" t="s">
        <v>730</v>
      </c>
      <c r="AT324" s="214" t="s">
        <v>768</v>
      </c>
      <c r="AU324" s="214" t="s">
        <v>766</v>
      </c>
      <c r="AV324" s="214" t="s">
        <v>1120</v>
      </c>
      <c r="AW324" s="214" t="s">
        <v>1088</v>
      </c>
      <c r="AX324" s="214" t="s">
        <v>1296</v>
      </c>
    </row>
    <row r="325" spans="2:50" x14ac:dyDescent="0.2">
      <c r="B325" s="610" t="s">
        <v>733</v>
      </c>
      <c r="C325" s="610" t="s">
        <v>732</v>
      </c>
      <c r="D325" s="239">
        <v>37829324</v>
      </c>
      <c r="E325" s="239">
        <v>0</v>
      </c>
      <c r="F325" s="239">
        <v>37829324</v>
      </c>
      <c r="G325" s="239">
        <v>-57379</v>
      </c>
      <c r="H325" s="239">
        <v>0</v>
      </c>
      <c r="I325" s="239">
        <v>-57379</v>
      </c>
      <c r="J325" s="239">
        <v>-294768</v>
      </c>
      <c r="K325" s="239">
        <v>0</v>
      </c>
      <c r="L325" s="239">
        <v>-294768</v>
      </c>
      <c r="M325" s="239">
        <v>-157042</v>
      </c>
      <c r="N325" s="239">
        <v>0</v>
      </c>
      <c r="O325" s="239">
        <v>-157042</v>
      </c>
      <c r="P325" s="239">
        <v>-294768</v>
      </c>
      <c r="Q325" s="239">
        <v>0</v>
      </c>
      <c r="R325" s="239">
        <v>-294768</v>
      </c>
      <c r="S325" s="239">
        <v>2900262</v>
      </c>
      <c r="T325" s="239">
        <v>0</v>
      </c>
      <c r="U325" s="239">
        <v>2900262</v>
      </c>
      <c r="V325" s="239">
        <v>-145798</v>
      </c>
      <c r="W325" s="239">
        <v>0</v>
      </c>
      <c r="X325" s="239">
        <v>-145798</v>
      </c>
      <c r="Y325" s="239">
        <v>40074599</v>
      </c>
      <c r="Z325" s="239">
        <v>0</v>
      </c>
      <c r="AA325" s="239">
        <v>40074599</v>
      </c>
      <c r="AB325" s="239">
        <v>0</v>
      </c>
      <c r="AC325" s="239">
        <v>0</v>
      </c>
      <c r="AD325" s="239">
        <v>0</v>
      </c>
      <c r="AE325" s="239">
        <v>0</v>
      </c>
      <c r="AF325" s="239">
        <v>0</v>
      </c>
      <c r="AG325" s="239">
        <v>0</v>
      </c>
      <c r="AH325" s="239">
        <v>0</v>
      </c>
      <c r="AI325" s="239">
        <v>0</v>
      </c>
      <c r="AJ325" s="239">
        <v>0</v>
      </c>
      <c r="AK325" s="239">
        <v>0</v>
      </c>
      <c r="AL325" s="239">
        <v>0</v>
      </c>
      <c r="AM325" s="239">
        <v>0</v>
      </c>
      <c r="AN325" s="239">
        <v>0</v>
      </c>
      <c r="AO325" s="239">
        <v>0</v>
      </c>
      <c r="AP325" s="239">
        <v>0</v>
      </c>
      <c r="AQ325" s="239">
        <v>759896</v>
      </c>
      <c r="AR325" s="239">
        <v>-285172</v>
      </c>
      <c r="AS325" s="214" t="s">
        <v>732</v>
      </c>
      <c r="AT325" s="214" t="s">
        <v>753</v>
      </c>
      <c r="AU325" s="214" t="s">
        <v>751</v>
      </c>
      <c r="AV325" s="214" t="s">
        <v>1088</v>
      </c>
      <c r="AW325" s="214" t="s">
        <v>1088</v>
      </c>
      <c r="AX325" s="214" t="s">
        <v>1294</v>
      </c>
    </row>
    <row r="326" spans="2:50" x14ac:dyDescent="0.2">
      <c r="B326" s="610" t="s">
        <v>735</v>
      </c>
      <c r="C326" s="610" t="s">
        <v>734</v>
      </c>
      <c r="D326" s="239">
        <v>31564907</v>
      </c>
      <c r="E326" s="239">
        <v>0</v>
      </c>
      <c r="F326" s="239">
        <v>31564907</v>
      </c>
      <c r="G326" s="239">
        <v>0</v>
      </c>
      <c r="H326" s="239">
        <v>0</v>
      </c>
      <c r="I326" s="239">
        <v>0</v>
      </c>
      <c r="J326" s="239">
        <v>-24647</v>
      </c>
      <c r="K326" s="239">
        <v>0</v>
      </c>
      <c r="L326" s="239">
        <v>-24647</v>
      </c>
      <c r="M326" s="239">
        <v>0</v>
      </c>
      <c r="N326" s="239">
        <v>0</v>
      </c>
      <c r="O326" s="239">
        <v>0</v>
      </c>
      <c r="P326" s="239">
        <v>-290382</v>
      </c>
      <c r="Q326" s="239">
        <v>0</v>
      </c>
      <c r="R326" s="239">
        <v>-290382</v>
      </c>
      <c r="S326" s="239">
        <v>189460</v>
      </c>
      <c r="T326" s="239">
        <v>0</v>
      </c>
      <c r="U326" s="239">
        <v>189460</v>
      </c>
      <c r="V326" s="239">
        <v>-86931</v>
      </c>
      <c r="W326" s="239">
        <v>0</v>
      </c>
      <c r="X326" s="239">
        <v>-86931</v>
      </c>
      <c r="Y326" s="239">
        <v>31377054</v>
      </c>
      <c r="Z326" s="239">
        <v>0</v>
      </c>
      <c r="AA326" s="239">
        <v>31377054</v>
      </c>
      <c r="AB326" s="239">
        <v>0</v>
      </c>
      <c r="AC326" s="239">
        <v>0</v>
      </c>
      <c r="AD326" s="239">
        <v>0</v>
      </c>
      <c r="AE326" s="239">
        <v>0</v>
      </c>
      <c r="AF326" s="239">
        <v>0</v>
      </c>
      <c r="AG326" s="239">
        <v>0</v>
      </c>
      <c r="AH326" s="239">
        <v>0</v>
      </c>
      <c r="AI326" s="239">
        <v>0</v>
      </c>
      <c r="AJ326" s="239">
        <v>0</v>
      </c>
      <c r="AK326" s="239">
        <v>0</v>
      </c>
      <c r="AL326" s="239">
        <v>0</v>
      </c>
      <c r="AM326" s="239">
        <v>0</v>
      </c>
      <c r="AN326" s="239">
        <v>0</v>
      </c>
      <c r="AO326" s="239">
        <v>0</v>
      </c>
      <c r="AP326" s="239">
        <v>0</v>
      </c>
      <c r="AQ326" s="239">
        <v>822187</v>
      </c>
      <c r="AR326" s="239">
        <v>-472008</v>
      </c>
      <c r="AS326" s="214" t="s">
        <v>734</v>
      </c>
      <c r="AT326" s="214" t="s">
        <v>764</v>
      </c>
      <c r="AU326" s="214" t="s">
        <v>763</v>
      </c>
      <c r="AV326" s="214" t="s">
        <v>1088</v>
      </c>
      <c r="AW326" s="214" t="s">
        <v>1088</v>
      </c>
      <c r="AX326" s="214" t="s">
        <v>1294</v>
      </c>
    </row>
    <row r="327" spans="2:50" x14ac:dyDescent="0.2">
      <c r="B327" s="610" t="s">
        <v>737</v>
      </c>
      <c r="C327" s="610" t="s">
        <v>736</v>
      </c>
      <c r="D327" s="239">
        <v>36003209</v>
      </c>
      <c r="E327" s="239">
        <v>0</v>
      </c>
      <c r="F327" s="239">
        <v>36003209</v>
      </c>
      <c r="G327" s="239">
        <v>-40851</v>
      </c>
      <c r="H327" s="239">
        <v>0</v>
      </c>
      <c r="I327" s="239">
        <v>-40851</v>
      </c>
      <c r="J327" s="239">
        <v>-195000</v>
      </c>
      <c r="K327" s="239">
        <v>0</v>
      </c>
      <c r="L327" s="239">
        <v>-195000</v>
      </c>
      <c r="M327" s="239">
        <v>-112461</v>
      </c>
      <c r="N327" s="239">
        <v>0</v>
      </c>
      <c r="O327" s="239">
        <v>-112461</v>
      </c>
      <c r="P327" s="239">
        <v>-195000</v>
      </c>
      <c r="Q327" s="239">
        <v>0</v>
      </c>
      <c r="R327" s="239">
        <v>-195000</v>
      </c>
      <c r="S327" s="239">
        <v>3698450</v>
      </c>
      <c r="T327" s="239">
        <v>0</v>
      </c>
      <c r="U327" s="239">
        <v>3698450</v>
      </c>
      <c r="V327" s="239">
        <v>-581572</v>
      </c>
      <c r="W327" s="239">
        <v>0</v>
      </c>
      <c r="X327" s="239">
        <v>-581572</v>
      </c>
      <c r="Y327" s="239">
        <v>38771775</v>
      </c>
      <c r="Z327" s="239">
        <v>0</v>
      </c>
      <c r="AA327" s="239">
        <v>38771775</v>
      </c>
      <c r="AB327" s="239">
        <v>0</v>
      </c>
      <c r="AC327" s="239">
        <v>0</v>
      </c>
      <c r="AD327" s="239">
        <v>0</v>
      </c>
      <c r="AE327" s="239">
        <v>29428</v>
      </c>
      <c r="AF327" s="239">
        <v>29428</v>
      </c>
      <c r="AG327" s="239">
        <v>0</v>
      </c>
      <c r="AH327" s="239">
        <v>0</v>
      </c>
      <c r="AI327" s="239">
        <v>0</v>
      </c>
      <c r="AJ327" s="239">
        <v>0</v>
      </c>
      <c r="AK327" s="239">
        <v>0</v>
      </c>
      <c r="AL327" s="239">
        <v>0</v>
      </c>
      <c r="AM327" s="239">
        <v>0</v>
      </c>
      <c r="AN327" s="239">
        <v>0</v>
      </c>
      <c r="AO327" s="239">
        <v>0</v>
      </c>
      <c r="AP327" s="239">
        <v>0</v>
      </c>
      <c r="AQ327" s="239">
        <v>796607</v>
      </c>
      <c r="AR327" s="239">
        <v>-460384</v>
      </c>
      <c r="AS327" s="214" t="s">
        <v>736</v>
      </c>
      <c r="AT327" s="214" t="s">
        <v>753</v>
      </c>
      <c r="AU327" s="214" t="s">
        <v>751</v>
      </c>
      <c r="AV327" s="214" t="s">
        <v>1088</v>
      </c>
      <c r="AW327" s="214" t="s">
        <v>1088</v>
      </c>
      <c r="AX327" s="214" t="s">
        <v>1294</v>
      </c>
    </row>
    <row r="328" spans="2:50" x14ac:dyDescent="0.2">
      <c r="B328" s="610" t="s">
        <v>739</v>
      </c>
      <c r="C328" s="610" t="s">
        <v>738</v>
      </c>
      <c r="D328" s="239">
        <v>72084276</v>
      </c>
      <c r="E328" s="239">
        <v>0</v>
      </c>
      <c r="F328" s="239">
        <v>72084276</v>
      </c>
      <c r="G328" s="239">
        <v>0</v>
      </c>
      <c r="H328" s="239">
        <v>0</v>
      </c>
      <c r="I328" s="239">
        <v>0</v>
      </c>
      <c r="J328" s="239">
        <v>-496299</v>
      </c>
      <c r="K328" s="239">
        <v>0</v>
      </c>
      <c r="L328" s="239">
        <v>-496299</v>
      </c>
      <c r="M328" s="239">
        <v>-1756735</v>
      </c>
      <c r="N328" s="239">
        <v>0</v>
      </c>
      <c r="O328" s="239">
        <v>-1756735</v>
      </c>
      <c r="P328" s="239">
        <v>-502999</v>
      </c>
      <c r="Q328" s="239">
        <v>0</v>
      </c>
      <c r="R328" s="239">
        <v>-502999</v>
      </c>
      <c r="S328" s="239">
        <v>302857</v>
      </c>
      <c r="T328" s="239">
        <v>0</v>
      </c>
      <c r="U328" s="239">
        <v>302857</v>
      </c>
      <c r="V328" s="239">
        <v>-523534</v>
      </c>
      <c r="W328" s="239">
        <v>0</v>
      </c>
      <c r="X328" s="239">
        <v>-523534</v>
      </c>
      <c r="Y328" s="239">
        <v>69603865</v>
      </c>
      <c r="Z328" s="239">
        <v>0</v>
      </c>
      <c r="AA328" s="239">
        <v>69603865</v>
      </c>
      <c r="AB328" s="239">
        <v>0</v>
      </c>
      <c r="AC328" s="239">
        <v>0</v>
      </c>
      <c r="AD328" s="239">
        <v>0</v>
      </c>
      <c r="AE328" s="239">
        <v>0</v>
      </c>
      <c r="AF328" s="239">
        <v>0</v>
      </c>
      <c r="AG328" s="239">
        <v>0</v>
      </c>
      <c r="AH328" s="239">
        <v>0</v>
      </c>
      <c r="AI328" s="239">
        <v>0</v>
      </c>
      <c r="AJ328" s="239">
        <v>0</v>
      </c>
      <c r="AK328" s="239">
        <v>0</v>
      </c>
      <c r="AL328" s="239">
        <v>0</v>
      </c>
      <c r="AM328" s="239">
        <v>0</v>
      </c>
      <c r="AN328" s="239">
        <v>0</v>
      </c>
      <c r="AO328" s="239">
        <v>0</v>
      </c>
      <c r="AP328" s="239">
        <v>0</v>
      </c>
      <c r="AQ328" s="239">
        <v>3880932</v>
      </c>
      <c r="AR328" s="239">
        <v>-2829659</v>
      </c>
      <c r="AS328" s="214" t="s">
        <v>738</v>
      </c>
      <c r="AT328" s="214" t="s">
        <v>761</v>
      </c>
      <c r="AU328" s="214" t="s">
        <v>759</v>
      </c>
      <c r="AV328" s="214" t="s">
        <v>1088</v>
      </c>
      <c r="AW328" s="214" t="s">
        <v>1088</v>
      </c>
      <c r="AX328" s="214" t="s">
        <v>1294</v>
      </c>
    </row>
    <row r="329" spans="2:50" x14ac:dyDescent="0.2">
      <c r="B329" s="610" t="s">
        <v>741</v>
      </c>
      <c r="C329" s="610" t="s">
        <v>740</v>
      </c>
      <c r="D329" s="239">
        <v>25397353</v>
      </c>
      <c r="E329" s="239">
        <v>0</v>
      </c>
      <c r="F329" s="239">
        <v>25397353</v>
      </c>
      <c r="G329" s="239">
        <v>-1299</v>
      </c>
      <c r="H329" s="239">
        <v>0</v>
      </c>
      <c r="I329" s="239">
        <v>-1299</v>
      </c>
      <c r="J329" s="239">
        <v>-108040</v>
      </c>
      <c r="K329" s="239">
        <v>0</v>
      </c>
      <c r="L329" s="239">
        <v>-108040</v>
      </c>
      <c r="M329" s="239">
        <v>0</v>
      </c>
      <c r="N329" s="239">
        <v>0</v>
      </c>
      <c r="O329" s="239">
        <v>0</v>
      </c>
      <c r="P329" s="239">
        <v>-405489</v>
      </c>
      <c r="Q329" s="239">
        <v>0</v>
      </c>
      <c r="R329" s="239">
        <v>-405489</v>
      </c>
      <c r="S329" s="239">
        <v>0</v>
      </c>
      <c r="T329" s="239">
        <v>0</v>
      </c>
      <c r="U329" s="239">
        <v>0</v>
      </c>
      <c r="V329" s="239">
        <v>-1191820</v>
      </c>
      <c r="W329" s="239">
        <v>0</v>
      </c>
      <c r="X329" s="239">
        <v>-1191820</v>
      </c>
      <c r="Y329" s="239">
        <v>23798745</v>
      </c>
      <c r="Z329" s="239">
        <v>0</v>
      </c>
      <c r="AA329" s="239">
        <v>23798745</v>
      </c>
      <c r="AB329" s="239">
        <v>0</v>
      </c>
      <c r="AC329" s="239">
        <v>0</v>
      </c>
      <c r="AD329" s="239">
        <v>0</v>
      </c>
      <c r="AE329" s="239">
        <v>0</v>
      </c>
      <c r="AF329" s="239">
        <v>0</v>
      </c>
      <c r="AG329" s="239">
        <v>0</v>
      </c>
      <c r="AH329" s="239">
        <v>0</v>
      </c>
      <c r="AI329" s="239">
        <v>0</v>
      </c>
      <c r="AJ329" s="239">
        <v>0</v>
      </c>
      <c r="AK329" s="239">
        <v>0</v>
      </c>
      <c r="AL329" s="239">
        <v>0</v>
      </c>
      <c r="AM329" s="239">
        <v>0</v>
      </c>
      <c r="AN329" s="239">
        <v>0</v>
      </c>
      <c r="AO329" s="239">
        <v>0</v>
      </c>
      <c r="AP329" s="239">
        <v>0</v>
      </c>
      <c r="AQ329" s="239">
        <v>1171381</v>
      </c>
      <c r="AR329" s="239">
        <v>-2016599</v>
      </c>
      <c r="AS329" s="214" t="s">
        <v>740</v>
      </c>
      <c r="AT329" s="214" t="s">
        <v>757</v>
      </c>
      <c r="AU329" s="214" t="s">
        <v>755</v>
      </c>
      <c r="AV329" s="214" t="s">
        <v>1088</v>
      </c>
      <c r="AW329" s="214" t="s">
        <v>1088</v>
      </c>
      <c r="AX329" s="214" t="s">
        <v>1294</v>
      </c>
    </row>
    <row r="330" spans="2:50" x14ac:dyDescent="0.2">
      <c r="B330" s="610" t="s">
        <v>743</v>
      </c>
      <c r="C330" s="610" t="s">
        <v>742</v>
      </c>
      <c r="D330" s="239">
        <v>28357004</v>
      </c>
      <c r="E330" s="239">
        <v>0</v>
      </c>
      <c r="F330" s="239">
        <v>28357004</v>
      </c>
      <c r="G330" s="239">
        <v>0</v>
      </c>
      <c r="H330" s="239">
        <v>0</v>
      </c>
      <c r="I330" s="239">
        <v>0</v>
      </c>
      <c r="J330" s="239">
        <v>-313601</v>
      </c>
      <c r="K330" s="239">
        <v>0</v>
      </c>
      <c r="L330" s="239">
        <v>-313601</v>
      </c>
      <c r="M330" s="239">
        <v>-22641</v>
      </c>
      <c r="N330" s="239">
        <v>0</v>
      </c>
      <c r="O330" s="239">
        <v>-22641</v>
      </c>
      <c r="P330" s="239">
        <v>-313601</v>
      </c>
      <c r="Q330" s="239">
        <v>0</v>
      </c>
      <c r="R330" s="239">
        <v>-313601</v>
      </c>
      <c r="S330" s="239">
        <v>906867</v>
      </c>
      <c r="T330" s="239">
        <v>0</v>
      </c>
      <c r="U330" s="239">
        <v>906867</v>
      </c>
      <c r="V330" s="239">
        <v>-756991</v>
      </c>
      <c r="W330" s="239">
        <v>0</v>
      </c>
      <c r="X330" s="239">
        <v>-756991</v>
      </c>
      <c r="Y330" s="239">
        <v>28170638</v>
      </c>
      <c r="Z330" s="239">
        <v>0</v>
      </c>
      <c r="AA330" s="239">
        <v>28170638</v>
      </c>
      <c r="AB330" s="239">
        <v>0</v>
      </c>
      <c r="AC330" s="239">
        <v>0</v>
      </c>
      <c r="AD330" s="239">
        <v>0</v>
      </c>
      <c r="AE330" s="239">
        <v>0</v>
      </c>
      <c r="AF330" s="239">
        <v>0</v>
      </c>
      <c r="AG330" s="239">
        <v>0</v>
      </c>
      <c r="AH330" s="239">
        <v>0</v>
      </c>
      <c r="AI330" s="239">
        <v>0</v>
      </c>
      <c r="AJ330" s="239">
        <v>0</v>
      </c>
      <c r="AK330" s="239">
        <v>0</v>
      </c>
      <c r="AL330" s="239">
        <v>0</v>
      </c>
      <c r="AM330" s="239">
        <v>0</v>
      </c>
      <c r="AN330" s="239">
        <v>0</v>
      </c>
      <c r="AO330" s="239">
        <v>0</v>
      </c>
      <c r="AP330" s="239">
        <v>0</v>
      </c>
      <c r="AQ330" s="239">
        <v>2493423</v>
      </c>
      <c r="AR330" s="239">
        <v>-167659</v>
      </c>
      <c r="AS330" s="214" t="s">
        <v>742</v>
      </c>
      <c r="AT330" s="214" t="s">
        <v>753</v>
      </c>
      <c r="AU330" s="214" t="s">
        <v>751</v>
      </c>
      <c r="AV330" s="214" t="s">
        <v>1088</v>
      </c>
      <c r="AW330" s="214" t="s">
        <v>1088</v>
      </c>
      <c r="AX330" s="214" t="s">
        <v>1294</v>
      </c>
    </row>
    <row r="331" spans="2:50" x14ac:dyDescent="0.2">
      <c r="B331" s="610" t="s">
        <v>745</v>
      </c>
      <c r="C331" s="610" t="s">
        <v>744</v>
      </c>
      <c r="D331" s="239">
        <v>101440251</v>
      </c>
      <c r="E331" s="239">
        <v>0</v>
      </c>
      <c r="F331" s="239">
        <v>101440251</v>
      </c>
      <c r="G331" s="239">
        <v>-1612</v>
      </c>
      <c r="H331" s="239">
        <v>0</v>
      </c>
      <c r="I331" s="239">
        <v>-1612</v>
      </c>
      <c r="J331" s="239">
        <v>-791994</v>
      </c>
      <c r="K331" s="239">
        <v>0</v>
      </c>
      <c r="L331" s="239">
        <v>-791994</v>
      </c>
      <c r="M331" s="239">
        <v>0</v>
      </c>
      <c r="N331" s="239">
        <v>0</v>
      </c>
      <c r="O331" s="239">
        <v>0</v>
      </c>
      <c r="P331" s="239">
        <v>-369341</v>
      </c>
      <c r="Q331" s="239">
        <v>0</v>
      </c>
      <c r="R331" s="239">
        <v>-369341</v>
      </c>
      <c r="S331" s="239">
        <v>3961313</v>
      </c>
      <c r="T331" s="239">
        <v>0</v>
      </c>
      <c r="U331" s="239">
        <v>3961313</v>
      </c>
      <c r="V331" s="239">
        <v>-2195425</v>
      </c>
      <c r="W331" s="239">
        <v>0</v>
      </c>
      <c r="X331" s="239">
        <v>-2195425</v>
      </c>
      <c r="Y331" s="239">
        <v>102835186</v>
      </c>
      <c r="Z331" s="239">
        <v>0</v>
      </c>
      <c r="AA331" s="239">
        <v>102835186</v>
      </c>
      <c r="AB331" s="239">
        <v>0</v>
      </c>
      <c r="AC331" s="239">
        <v>0</v>
      </c>
      <c r="AD331" s="239">
        <v>0</v>
      </c>
      <c r="AE331" s="239">
        <v>0</v>
      </c>
      <c r="AF331" s="239">
        <v>0</v>
      </c>
      <c r="AG331" s="239">
        <v>0</v>
      </c>
      <c r="AH331" s="239">
        <v>0</v>
      </c>
      <c r="AI331" s="239">
        <v>0</v>
      </c>
      <c r="AJ331" s="239">
        <v>0</v>
      </c>
      <c r="AK331" s="239">
        <v>0</v>
      </c>
      <c r="AL331" s="239">
        <v>0</v>
      </c>
      <c r="AM331" s="239">
        <v>0</v>
      </c>
      <c r="AN331" s="239">
        <v>0</v>
      </c>
      <c r="AO331" s="239">
        <v>0</v>
      </c>
      <c r="AP331" s="239">
        <v>0</v>
      </c>
      <c r="AQ331" s="239">
        <v>3682735</v>
      </c>
      <c r="AR331" s="239">
        <v>-1332057</v>
      </c>
      <c r="AS331" s="214" t="s">
        <v>750</v>
      </c>
      <c r="AT331" s="214" t="s">
        <v>748</v>
      </c>
      <c r="AU331" s="214" t="s">
        <v>746</v>
      </c>
      <c r="AV331" s="214" t="s">
        <v>1088</v>
      </c>
      <c r="AW331" s="214" t="s">
        <v>1088</v>
      </c>
      <c r="AX331" s="214" t="s">
        <v>748</v>
      </c>
    </row>
    <row r="332" spans="2:50" x14ac:dyDescent="0.2">
      <c r="B332" s="610" t="s">
        <v>1286</v>
      </c>
      <c r="C332" s="610" t="s">
        <v>1278</v>
      </c>
      <c r="D332" s="239">
        <v>23136744103</v>
      </c>
      <c r="E332" s="239">
        <v>111039778</v>
      </c>
      <c r="F332" s="239">
        <v>23247783881</v>
      </c>
      <c r="G332" s="239">
        <v>-3720380</v>
      </c>
      <c r="H332" s="239">
        <v>0</v>
      </c>
      <c r="I332" s="239">
        <v>-3720380</v>
      </c>
      <c r="J332" s="239">
        <v>-184629411.49000001</v>
      </c>
      <c r="K332" s="239">
        <v>-245432</v>
      </c>
      <c r="L332" s="239">
        <v>-184874843.49000001</v>
      </c>
      <c r="M332" s="239">
        <v>-29882780.550000001</v>
      </c>
      <c r="N332" s="239">
        <v>-67543</v>
      </c>
      <c r="O332" s="239">
        <v>-29950323.550000001</v>
      </c>
      <c r="P332" s="239">
        <v>-198158364.13</v>
      </c>
      <c r="Q332" s="239">
        <v>-250807</v>
      </c>
      <c r="R332" s="239">
        <v>-198409171.13</v>
      </c>
      <c r="S332" s="239">
        <v>760576667.71000004</v>
      </c>
      <c r="T332" s="239">
        <v>2863812</v>
      </c>
      <c r="U332" s="239">
        <v>763440479.71000004</v>
      </c>
      <c r="V332" s="239">
        <v>-1044818372.25</v>
      </c>
      <c r="W332" s="239">
        <v>-5821392</v>
      </c>
      <c r="X332" s="239">
        <v>-1050639764.25</v>
      </c>
      <c r="Y332" s="239">
        <v>22620740873.779999</v>
      </c>
      <c r="Z332" s="239">
        <v>107763848</v>
      </c>
      <c r="AA332" s="239">
        <v>22728504721.779999</v>
      </c>
      <c r="AB332" s="239">
        <v>107763848</v>
      </c>
      <c r="AC332" s="239">
        <v>67544542</v>
      </c>
      <c r="AD332" s="239">
        <v>40220711</v>
      </c>
      <c r="AE332" s="239">
        <v>37049322</v>
      </c>
      <c r="AF332" s="239">
        <v>37651322</v>
      </c>
      <c r="AG332" s="239">
        <v>602000</v>
      </c>
      <c r="AH332" s="239">
        <v>0</v>
      </c>
      <c r="AI332" s="239">
        <v>281321</v>
      </c>
      <c r="AJ332" s="239">
        <v>414609</v>
      </c>
      <c r="AK332" s="239">
        <v>-133288</v>
      </c>
      <c r="AL332" s="239">
        <v>64874693</v>
      </c>
      <c r="AM332" s="239">
        <v>51585709</v>
      </c>
      <c r="AN332" s="239">
        <v>13817176</v>
      </c>
      <c r="AO332" s="239">
        <v>13590610</v>
      </c>
      <c r="AP332" s="239">
        <v>226566</v>
      </c>
      <c r="AQ332" s="239">
        <v>1290225774.6200001</v>
      </c>
      <c r="AR332" s="239">
        <v>-743070789.53999996</v>
      </c>
      <c r="AS332" s="215" t="s">
        <v>1320</v>
      </c>
      <c r="AT332" s="215" t="s">
        <v>1320</v>
      </c>
      <c r="AU332" s="215" t="s">
        <v>1320</v>
      </c>
      <c r="AV332" s="215" t="s">
        <v>1320</v>
      </c>
      <c r="AW332" s="215" t="s">
        <v>1320</v>
      </c>
      <c r="AX332" s="215" t="s">
        <v>1320</v>
      </c>
    </row>
    <row r="333" spans="2:50" x14ac:dyDescent="0.2">
      <c r="D333" s="239">
        <v>23136744103</v>
      </c>
      <c r="E333" s="239">
        <v>111039778</v>
      </c>
      <c r="F333" s="239">
        <v>23247783881</v>
      </c>
      <c r="G333" s="239">
        <v>-3720380</v>
      </c>
      <c r="H333" s="239">
        <v>0</v>
      </c>
      <c r="I333" s="239">
        <v>-3720380</v>
      </c>
      <c r="J333" s="239">
        <v>-184629411.49000001</v>
      </c>
      <c r="K333" s="239">
        <v>-245432</v>
      </c>
      <c r="L333" s="239">
        <v>-184874843.49000001</v>
      </c>
      <c r="M333" s="239">
        <v>-29882780.550000001</v>
      </c>
      <c r="N333" s="239">
        <v>-67543</v>
      </c>
      <c r="O333" s="239">
        <v>-29950323.550000001</v>
      </c>
      <c r="P333" s="239">
        <v>-198158364.13</v>
      </c>
      <c r="Q333" s="239">
        <v>-250807</v>
      </c>
      <c r="R333" s="239">
        <v>-198409171.13</v>
      </c>
      <c r="S333" s="239">
        <v>760576667.71000004</v>
      </c>
      <c r="T333" s="239">
        <v>2863812</v>
      </c>
      <c r="U333" s="239">
        <v>763440479.71000004</v>
      </c>
      <c r="V333" s="239">
        <v>-1044818372.25</v>
      </c>
      <c r="W333" s="239">
        <v>-5821392</v>
      </c>
      <c r="X333" s="239">
        <v>-1050639764.25</v>
      </c>
      <c r="Y333" s="239">
        <v>22620740873.779999</v>
      </c>
      <c r="Z333" s="239">
        <v>107763848</v>
      </c>
      <c r="AA333" s="239">
        <v>22728504721.779999</v>
      </c>
      <c r="AB333" s="239">
        <v>107763848</v>
      </c>
      <c r="AC333" s="239">
        <v>67544542</v>
      </c>
      <c r="AD333" s="239">
        <v>40220711</v>
      </c>
      <c r="AE333" s="239">
        <v>37049322</v>
      </c>
      <c r="AF333" s="239">
        <v>37651322</v>
      </c>
      <c r="AG333" s="239">
        <v>602000</v>
      </c>
      <c r="AH333" s="239">
        <v>0</v>
      </c>
      <c r="AI333" s="239">
        <v>281321</v>
      </c>
      <c r="AJ333" s="239">
        <v>414609</v>
      </c>
      <c r="AK333" s="239">
        <v>-133288</v>
      </c>
      <c r="AL333" s="239">
        <v>64874693</v>
      </c>
      <c r="AM333" s="239">
        <v>51585709</v>
      </c>
      <c r="AN333" s="239">
        <v>13817176</v>
      </c>
      <c r="AO333" s="239">
        <v>13590610</v>
      </c>
      <c r="AP333" s="239">
        <v>226566</v>
      </c>
      <c r="AQ333" s="239">
        <v>1290225774.6200001</v>
      </c>
      <c r="AR333" s="239">
        <v>-743070789.53999996</v>
      </c>
    </row>
  </sheetData>
  <mergeCells count="13">
    <mergeCell ref="S2:U2"/>
    <mergeCell ref="D2:F2"/>
    <mergeCell ref="G2:I2"/>
    <mergeCell ref="J2:L2"/>
    <mergeCell ref="M2:O2"/>
    <mergeCell ref="P2:R2"/>
    <mergeCell ref="AN2:AP2"/>
    <mergeCell ref="V2:X2"/>
    <mergeCell ref="Y2:AA2"/>
    <mergeCell ref="AB2:AD2"/>
    <mergeCell ref="AE2:AH2"/>
    <mergeCell ref="AI2:AK2"/>
    <mergeCell ref="AL2:AM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333"/>
  <sheetViews>
    <sheetView workbookViewId="0"/>
  </sheetViews>
  <sheetFormatPr defaultRowHeight="12.75" x14ac:dyDescent="0.2"/>
  <cols>
    <col min="1" max="1" width="3.85546875" customWidth="1"/>
    <col min="3" max="3" width="34" customWidth="1"/>
    <col min="4" max="6" width="9.42578125" style="608" bestFit="1" customWidth="1"/>
    <col min="7" max="7" width="11.140625" style="608" bestFit="1" customWidth="1"/>
    <col min="8" max="8" width="9.42578125" style="608" bestFit="1" customWidth="1"/>
    <col min="9" max="9" width="11.140625" style="608" bestFit="1" customWidth="1"/>
    <col min="10" max="12" width="9.42578125" style="608" bestFit="1" customWidth="1"/>
    <col min="13" max="13" width="10.140625" style="608" bestFit="1" customWidth="1"/>
    <col min="14" max="14" width="9.42578125" style="608" bestFit="1" customWidth="1"/>
    <col min="15" max="15" width="10.140625" style="608" bestFit="1" customWidth="1"/>
    <col min="16" max="16" width="11.140625" style="608" bestFit="1" customWidth="1"/>
    <col min="17" max="17" width="9.42578125" style="608" bestFit="1" customWidth="1"/>
    <col min="18" max="18" width="11.140625" style="608" bestFit="1" customWidth="1"/>
    <col min="19" max="19" width="13.42578125" style="608" bestFit="1" customWidth="1"/>
    <col min="20" max="20" width="9.7109375" style="608" bestFit="1" customWidth="1"/>
    <col min="21" max="21" width="13.42578125" style="608" bestFit="1" customWidth="1"/>
    <col min="22" max="22" width="9.7109375" style="608" bestFit="1" customWidth="1"/>
    <col min="23" max="23" width="9.42578125" style="608" bestFit="1" customWidth="1"/>
    <col min="24" max="24" width="9.7109375" style="608" bestFit="1" customWidth="1"/>
    <col min="25" max="25" width="10.7109375" style="608" bestFit="1" customWidth="1"/>
    <col min="26" max="26" width="9.42578125" style="608" bestFit="1" customWidth="1"/>
    <col min="27" max="28" width="10.7109375" style="608" bestFit="1" customWidth="1"/>
    <col min="29" max="29" width="9.42578125" style="608" bestFit="1" customWidth="1"/>
    <col min="30" max="30" width="10.7109375" style="608" bestFit="1" customWidth="1"/>
    <col min="31" max="33" width="9.42578125" style="608" bestFit="1" customWidth="1"/>
    <col min="34" max="34" width="11.140625" style="608" bestFit="1" customWidth="1"/>
    <col min="35" max="35" width="9.42578125" style="608" bestFit="1" customWidth="1"/>
    <col min="36" max="36" width="11.140625" style="608" bestFit="1" customWidth="1"/>
    <col min="37" max="37" width="9.7109375" style="608" bestFit="1" customWidth="1"/>
    <col min="38" max="38" width="9.42578125" style="608" bestFit="1" customWidth="1"/>
    <col min="39" max="39" width="9.7109375" style="608" bestFit="1" customWidth="1"/>
    <col min="40" max="40" width="13.42578125" style="608" bestFit="1" customWidth="1"/>
    <col min="41" max="41" width="9.7109375" style="608" bestFit="1" customWidth="1"/>
    <col min="42" max="42" width="13.42578125" style="608" bestFit="1" customWidth="1"/>
    <col min="43" max="43" width="9.7109375" style="608" bestFit="1" customWidth="1"/>
    <col min="44" max="44" width="9.42578125" style="608" bestFit="1" customWidth="1"/>
    <col min="45" max="45" width="9.7109375" style="608" bestFit="1" customWidth="1"/>
    <col min="46" max="46" width="10.7109375" style="608" bestFit="1" customWidth="1"/>
    <col min="47" max="47" width="9.42578125" style="608" bestFit="1" customWidth="1"/>
    <col min="48" max="48" width="10.7109375" style="608" bestFit="1" customWidth="1"/>
    <col min="49" max="51" width="9.42578125" style="608" bestFit="1" customWidth="1"/>
    <col min="52" max="52" width="9.7109375" style="608" bestFit="1" customWidth="1"/>
    <col min="53" max="53" width="9.42578125" style="608" bestFit="1" customWidth="1"/>
    <col min="54" max="54" width="9.7109375" style="608" bestFit="1" customWidth="1"/>
    <col min="55" max="57" width="9.42578125" style="608" bestFit="1" customWidth="1"/>
    <col min="58" max="58" width="13.42578125" style="608" bestFit="1" customWidth="1"/>
    <col min="59" max="59" width="9.7109375" style="608" bestFit="1" customWidth="1"/>
    <col min="60" max="60" width="13.42578125" style="608" bestFit="1" customWidth="1"/>
    <col min="61" max="61" width="10.7109375" style="608" bestFit="1" customWidth="1"/>
    <col min="62" max="62" width="9.42578125" style="608" bestFit="1" customWidth="1"/>
    <col min="63" max="64" width="10.7109375" style="608" bestFit="1" customWidth="1"/>
    <col min="65" max="65" width="9.42578125" style="608" bestFit="1" customWidth="1"/>
    <col min="66" max="66" width="10.7109375" style="608" bestFit="1" customWidth="1"/>
    <col min="67" max="67" width="11.7109375" style="608" bestFit="1" customWidth="1"/>
    <col min="68" max="68" width="10.7109375" style="608" bestFit="1" customWidth="1"/>
    <col min="69" max="69" width="11.7109375" style="608" bestFit="1" customWidth="1"/>
    <col min="70" max="70" width="10.7109375" style="608" bestFit="1" customWidth="1"/>
    <col min="71" max="71" width="9.42578125" style="608" bestFit="1" customWidth="1"/>
    <col min="72" max="72" width="10.7109375" style="608" bestFit="1" customWidth="1"/>
    <col min="73" max="73" width="11.7109375" style="608" bestFit="1" customWidth="1"/>
    <col min="74" max="74" width="10.7109375" style="608" bestFit="1" customWidth="1"/>
    <col min="75" max="75" width="11.7109375" style="608" bestFit="1" customWidth="1"/>
    <col min="76" max="76" width="10.7109375" style="608" bestFit="1" customWidth="1"/>
    <col min="77" max="77" width="9.42578125" style="608" bestFit="1" customWidth="1"/>
    <col min="78" max="78" width="10.7109375" style="608" bestFit="1" customWidth="1"/>
    <col min="79" max="81" width="9.42578125" style="608" bestFit="1" customWidth="1"/>
    <col min="82" max="82" width="10.7109375" style="608" bestFit="1" customWidth="1"/>
    <col min="83" max="83" width="9.42578125" style="608" bestFit="1" customWidth="1"/>
    <col min="84" max="84" width="10.7109375" style="608" bestFit="1" customWidth="1"/>
    <col min="85" max="85" width="9.7109375" style="608" bestFit="1" customWidth="1"/>
    <col min="86" max="86" width="9.42578125" style="608" bestFit="1" customWidth="1"/>
    <col min="87" max="88" width="9.7109375" style="608" bestFit="1" customWidth="1"/>
    <col min="89" max="89" width="9.42578125" style="608" bestFit="1" customWidth="1"/>
    <col min="90" max="90" width="9.7109375" style="608" bestFit="1" customWidth="1"/>
    <col min="91" max="93" width="9.42578125" style="608" bestFit="1" customWidth="1"/>
    <col min="94" max="94" width="9.7109375" style="608" bestFit="1" customWidth="1"/>
    <col min="95" max="95" width="9.42578125" style="608" bestFit="1" customWidth="1"/>
    <col min="96" max="96" width="9.7109375" style="608" bestFit="1" customWidth="1"/>
    <col min="97" max="99" width="9.42578125" style="608" bestFit="1" customWidth="1"/>
    <col min="100" max="100" width="9.7109375" style="608" bestFit="1" customWidth="1"/>
    <col min="101" max="101" width="9.42578125" style="608" bestFit="1" customWidth="1"/>
    <col min="102" max="102" width="9.7109375" style="608" bestFit="1" customWidth="1"/>
    <col min="103" max="105" width="9.42578125" style="608" bestFit="1" customWidth="1"/>
    <col min="106" max="107" width="9.7109375" style="608" bestFit="1" customWidth="1"/>
    <col min="108" max="108" width="10" style="608" customWidth="1"/>
    <col min="109" max="111" width="9.42578125" style="608" bestFit="1" customWidth="1"/>
    <col min="112" max="112" width="14.42578125" style="608" customWidth="1"/>
    <col min="113" max="113" width="13.42578125" style="608" customWidth="1"/>
    <col min="114" max="114" width="10.7109375" style="608" bestFit="1" customWidth="1"/>
    <col min="115" max="115" width="9.7109375" style="608" bestFit="1" customWidth="1"/>
    <col min="116" max="116" width="11.7109375" style="608" bestFit="1" customWidth="1"/>
    <col min="117" max="117" width="9.7109375" style="608" bestFit="1" customWidth="1"/>
    <col min="118" max="118" width="9.42578125" style="608" bestFit="1" customWidth="1"/>
    <col min="119" max="119" width="9.5703125" style="608" customWidth="1"/>
    <col min="120" max="122" width="9.42578125" style="608" bestFit="1" customWidth="1"/>
    <col min="123" max="123" width="10.7109375" style="608" bestFit="1" customWidth="1"/>
    <col min="124" max="124" width="9.42578125" style="608" bestFit="1" customWidth="1"/>
    <col min="125" max="125" width="10.7109375" style="608" bestFit="1" customWidth="1"/>
    <col min="126" max="126" width="9.7109375" style="608" bestFit="1" customWidth="1"/>
    <col min="127" max="127" width="9.42578125" style="608" bestFit="1" customWidth="1"/>
    <col min="128" max="128" width="9.7109375" style="608" bestFit="1" customWidth="1"/>
    <col min="129" max="129" width="11.7109375" style="608" bestFit="1" customWidth="1"/>
    <col min="130" max="130" width="9.42578125" style="608" bestFit="1" customWidth="1"/>
    <col min="131" max="131" width="11.7109375" style="608" bestFit="1" customWidth="1"/>
    <col min="132" max="132" width="9.7109375" style="608" bestFit="1" customWidth="1"/>
    <col min="133" max="133" width="9.42578125" style="608" bestFit="1" customWidth="1"/>
    <col min="134" max="135" width="9.7109375" style="608" bestFit="1" customWidth="1"/>
    <col min="136" max="136" width="9.42578125" style="608" bestFit="1" customWidth="1"/>
    <col min="137" max="137" width="9.7109375" style="608" bestFit="1" customWidth="1"/>
    <col min="138" max="140" width="9.42578125" style="608" bestFit="1" customWidth="1"/>
    <col min="141" max="141" width="9.7109375" style="608" bestFit="1" customWidth="1"/>
    <col min="142" max="142" width="9.42578125" style="608" bestFit="1" customWidth="1"/>
    <col min="143" max="143" width="9.7109375" style="608" bestFit="1" customWidth="1"/>
    <col min="144" max="144" width="11.7109375" style="608" bestFit="1" customWidth="1"/>
    <col min="145" max="145" width="9.42578125" style="608" bestFit="1" customWidth="1"/>
    <col min="146" max="146" width="11.7109375" style="608" bestFit="1" customWidth="1"/>
    <col min="147" max="147" width="9.7109375" style="608" bestFit="1" customWidth="1"/>
    <col min="148" max="148" width="9.42578125" style="608" bestFit="1" customWidth="1"/>
    <col min="149" max="149" width="9.7109375" style="608" bestFit="1" customWidth="1"/>
    <col min="150" max="152" width="9.42578125" style="608" bestFit="1" customWidth="1"/>
    <col min="153" max="153" width="9.7109375" style="608" bestFit="1" customWidth="1"/>
    <col min="154" max="154" width="9.42578125" style="608" bestFit="1" customWidth="1"/>
    <col min="155" max="155" width="9.7109375" style="608" bestFit="1" customWidth="1"/>
    <col min="156" max="156" width="11.85546875" style="608" customWidth="1"/>
    <col min="157" max="157" width="10.42578125" style="608" customWidth="1"/>
    <col min="158" max="158" width="10.5703125" style="608" customWidth="1"/>
    <col min="159" max="159" width="10" style="608" customWidth="1"/>
    <col min="160" max="160" width="9.42578125" style="608" bestFit="1" customWidth="1"/>
    <col min="161" max="161" width="11.140625" style="608" bestFit="1" customWidth="1"/>
    <col min="162" max="162" width="13.42578125" style="608" bestFit="1" customWidth="1"/>
    <col min="163" max="163" width="9.7109375" style="608" bestFit="1" customWidth="1"/>
    <col min="164" max="164" width="13.42578125" style="608" bestFit="1" customWidth="1"/>
    <col min="165" max="165" width="11.7109375" style="608" bestFit="1" customWidth="1"/>
    <col min="166" max="166" width="10.7109375" style="608" bestFit="1" customWidth="1"/>
    <col min="167" max="167" width="11.7109375" style="608" bestFit="1" customWidth="1"/>
    <col min="168" max="168" width="10.7109375" style="608" bestFit="1" customWidth="1"/>
    <col min="169" max="169" width="9.7109375" style="608" bestFit="1" customWidth="1"/>
    <col min="170" max="171" width="11.7109375" style="608" bestFit="1" customWidth="1"/>
    <col min="172" max="172" width="9.42578125" style="608" bestFit="1" customWidth="1"/>
    <col min="173" max="173" width="11.7109375" style="608" bestFit="1" customWidth="1"/>
    <col min="174" max="174" width="9.7109375" style="608" bestFit="1" customWidth="1"/>
    <col min="175" max="175" width="9.42578125" style="608" bestFit="1" customWidth="1"/>
    <col min="176" max="176" width="9.7109375" style="608" bestFit="1" customWidth="1"/>
    <col min="177" max="177" width="12.140625" style="608" customWidth="1"/>
    <col min="178" max="178" width="11.28515625" style="608" customWidth="1"/>
    <col min="179" max="179" width="10.42578125" style="608" customWidth="1"/>
    <col min="180" max="180" width="13.42578125" style="608" customWidth="1"/>
    <col min="181" max="181" width="10.42578125" style="608" customWidth="1"/>
    <col min="182" max="182" width="12.7109375" style="608" customWidth="1"/>
  </cols>
  <sheetData>
    <row r="1" spans="2:183" s="214" customFormat="1" x14ac:dyDescent="0.2">
      <c r="B1" s="215"/>
      <c r="D1" s="633">
        <v>3</v>
      </c>
      <c r="E1" s="633">
        <v>4</v>
      </c>
      <c r="F1" s="633">
        <v>5</v>
      </c>
      <c r="G1" s="633">
        <v>6</v>
      </c>
      <c r="H1" s="633">
        <v>7</v>
      </c>
      <c r="I1" s="633">
        <v>8</v>
      </c>
      <c r="J1" s="633">
        <v>9</v>
      </c>
      <c r="K1" s="633">
        <v>10</v>
      </c>
      <c r="L1" s="633">
        <v>11</v>
      </c>
      <c r="M1" s="633">
        <v>12</v>
      </c>
      <c r="N1" s="633">
        <v>13</v>
      </c>
      <c r="O1" s="633">
        <v>14</v>
      </c>
      <c r="P1" s="633">
        <v>15</v>
      </c>
      <c r="Q1" s="633">
        <v>16</v>
      </c>
      <c r="R1" s="633">
        <v>17</v>
      </c>
      <c r="S1" s="633">
        <v>18</v>
      </c>
      <c r="T1" s="633">
        <v>19</v>
      </c>
      <c r="U1" s="633">
        <v>20</v>
      </c>
      <c r="V1" s="633">
        <v>21</v>
      </c>
      <c r="W1" s="633">
        <v>22</v>
      </c>
      <c r="X1" s="633">
        <v>23</v>
      </c>
      <c r="Y1" s="633">
        <v>24</v>
      </c>
      <c r="Z1" s="633">
        <v>25</v>
      </c>
      <c r="AA1" s="633">
        <v>26</v>
      </c>
      <c r="AB1" s="633">
        <v>27</v>
      </c>
      <c r="AC1" s="633">
        <v>28</v>
      </c>
      <c r="AD1" s="633">
        <v>29</v>
      </c>
      <c r="AE1" s="633">
        <v>30</v>
      </c>
      <c r="AF1" s="633">
        <v>31</v>
      </c>
      <c r="AG1" s="633">
        <v>32</v>
      </c>
      <c r="AH1" s="633">
        <v>33</v>
      </c>
      <c r="AI1" s="633">
        <v>34</v>
      </c>
      <c r="AJ1" s="633">
        <v>35</v>
      </c>
      <c r="AK1" s="633">
        <v>36</v>
      </c>
      <c r="AL1" s="633">
        <v>37</v>
      </c>
      <c r="AM1" s="633">
        <v>38</v>
      </c>
      <c r="AN1" s="633">
        <v>39</v>
      </c>
      <c r="AO1" s="633">
        <v>40</v>
      </c>
      <c r="AP1" s="633">
        <v>41</v>
      </c>
      <c r="AQ1" s="633">
        <v>42</v>
      </c>
      <c r="AR1" s="633">
        <v>43</v>
      </c>
      <c r="AS1" s="633">
        <v>44</v>
      </c>
      <c r="AT1" s="633">
        <v>45</v>
      </c>
      <c r="AU1" s="633">
        <v>46</v>
      </c>
      <c r="AV1" s="633">
        <v>47</v>
      </c>
      <c r="AW1" s="633">
        <v>48</v>
      </c>
      <c r="AX1" s="633">
        <v>49</v>
      </c>
      <c r="AY1" s="633">
        <v>50</v>
      </c>
      <c r="AZ1" s="633">
        <v>51</v>
      </c>
      <c r="BA1" s="633">
        <v>52</v>
      </c>
      <c r="BB1" s="633">
        <v>53</v>
      </c>
      <c r="BC1" s="633">
        <v>54</v>
      </c>
      <c r="BD1" s="633">
        <v>55</v>
      </c>
      <c r="BE1" s="633">
        <v>56</v>
      </c>
      <c r="BF1" s="633">
        <v>57</v>
      </c>
      <c r="BG1" s="633">
        <v>58</v>
      </c>
      <c r="BH1" s="633">
        <v>59</v>
      </c>
      <c r="BI1" s="633">
        <v>60</v>
      </c>
      <c r="BJ1" s="633">
        <v>61</v>
      </c>
      <c r="BK1" s="633">
        <v>62</v>
      </c>
      <c r="BL1" s="633">
        <v>63</v>
      </c>
      <c r="BM1" s="633">
        <v>64</v>
      </c>
      <c r="BN1" s="633">
        <v>65</v>
      </c>
      <c r="BO1" s="633">
        <v>66</v>
      </c>
      <c r="BP1" s="633">
        <v>67</v>
      </c>
      <c r="BQ1" s="633">
        <v>68</v>
      </c>
      <c r="BR1" s="633">
        <v>69</v>
      </c>
      <c r="BS1" s="633">
        <v>70</v>
      </c>
      <c r="BT1" s="633">
        <v>71</v>
      </c>
      <c r="BU1" s="633">
        <v>72</v>
      </c>
      <c r="BV1" s="633">
        <v>73</v>
      </c>
      <c r="BW1" s="633">
        <v>74</v>
      </c>
      <c r="BX1" s="633">
        <v>75</v>
      </c>
      <c r="BY1" s="633">
        <v>76</v>
      </c>
      <c r="BZ1" s="633">
        <v>77</v>
      </c>
      <c r="CA1" s="633">
        <v>78</v>
      </c>
      <c r="CB1" s="633">
        <v>79</v>
      </c>
      <c r="CC1" s="633">
        <v>80</v>
      </c>
      <c r="CD1" s="633">
        <v>81</v>
      </c>
      <c r="CE1" s="633">
        <v>82</v>
      </c>
      <c r="CF1" s="633">
        <v>83</v>
      </c>
      <c r="CG1" s="633">
        <v>84</v>
      </c>
      <c r="CH1" s="633">
        <v>85</v>
      </c>
      <c r="CI1" s="633">
        <v>86</v>
      </c>
      <c r="CJ1" s="633">
        <v>87</v>
      </c>
      <c r="CK1" s="633">
        <v>88</v>
      </c>
      <c r="CL1" s="633">
        <v>89</v>
      </c>
      <c r="CM1" s="633">
        <v>90</v>
      </c>
      <c r="CN1" s="633">
        <v>91</v>
      </c>
      <c r="CO1" s="633">
        <v>92</v>
      </c>
      <c r="CP1" s="633">
        <v>93</v>
      </c>
      <c r="CQ1" s="633">
        <v>94</v>
      </c>
      <c r="CR1" s="633">
        <v>95</v>
      </c>
      <c r="CS1" s="633">
        <v>96</v>
      </c>
      <c r="CT1" s="633">
        <v>97</v>
      </c>
      <c r="CU1" s="633">
        <v>98</v>
      </c>
      <c r="CV1" s="633">
        <v>99</v>
      </c>
      <c r="CW1" s="633">
        <v>100</v>
      </c>
      <c r="CX1" s="633">
        <v>101</v>
      </c>
      <c r="CY1" s="633">
        <v>102</v>
      </c>
      <c r="CZ1" s="633">
        <v>103</v>
      </c>
      <c r="DA1" s="633">
        <v>104</v>
      </c>
      <c r="DB1" s="633">
        <v>105</v>
      </c>
      <c r="DC1" s="633">
        <v>106</v>
      </c>
      <c r="DD1" s="633">
        <v>107</v>
      </c>
      <c r="DE1" s="633">
        <v>108</v>
      </c>
      <c r="DF1" s="633">
        <v>109</v>
      </c>
      <c r="DG1" s="633">
        <v>110</v>
      </c>
      <c r="DH1" s="633">
        <v>111</v>
      </c>
      <c r="DI1" s="633">
        <v>112</v>
      </c>
      <c r="DJ1" s="633">
        <v>113</v>
      </c>
      <c r="DK1" s="633">
        <v>114</v>
      </c>
      <c r="DL1" s="633">
        <v>115</v>
      </c>
      <c r="DM1" s="633">
        <v>116</v>
      </c>
      <c r="DN1" s="633">
        <v>117</v>
      </c>
      <c r="DO1" s="633">
        <v>118</v>
      </c>
      <c r="DP1" s="633">
        <v>119</v>
      </c>
      <c r="DQ1" s="633">
        <v>120</v>
      </c>
      <c r="DR1" s="633">
        <v>121</v>
      </c>
      <c r="DS1" s="633">
        <v>122</v>
      </c>
      <c r="DT1" s="633">
        <v>123</v>
      </c>
      <c r="DU1" s="633">
        <v>124</v>
      </c>
      <c r="DV1" s="633">
        <v>125</v>
      </c>
      <c r="DW1" s="633">
        <v>126</v>
      </c>
      <c r="DX1" s="633">
        <v>127</v>
      </c>
      <c r="DY1" s="633">
        <v>128</v>
      </c>
      <c r="DZ1" s="633">
        <v>129</v>
      </c>
      <c r="EA1" s="633">
        <v>130</v>
      </c>
      <c r="EB1" s="633">
        <v>131</v>
      </c>
      <c r="EC1" s="633">
        <v>132</v>
      </c>
      <c r="ED1" s="633">
        <v>133</v>
      </c>
      <c r="EE1" s="633">
        <v>134</v>
      </c>
      <c r="EF1" s="633">
        <v>135</v>
      </c>
      <c r="EG1" s="633">
        <v>136</v>
      </c>
      <c r="EH1" s="633">
        <v>137</v>
      </c>
      <c r="EI1" s="633">
        <v>138</v>
      </c>
      <c r="EJ1" s="633">
        <v>139</v>
      </c>
      <c r="EK1" s="633">
        <v>140</v>
      </c>
      <c r="EL1" s="633">
        <v>141</v>
      </c>
      <c r="EM1" s="633">
        <v>142</v>
      </c>
      <c r="EN1" s="633">
        <v>143</v>
      </c>
      <c r="EO1" s="633">
        <v>144</v>
      </c>
      <c r="EP1" s="633">
        <v>145</v>
      </c>
      <c r="EQ1" s="633">
        <v>146</v>
      </c>
      <c r="ER1" s="633">
        <v>147</v>
      </c>
      <c r="ES1" s="633">
        <v>148</v>
      </c>
      <c r="ET1" s="633">
        <v>149</v>
      </c>
      <c r="EU1" s="633">
        <v>150</v>
      </c>
      <c r="EV1" s="633">
        <v>151</v>
      </c>
      <c r="EW1" s="633">
        <v>152</v>
      </c>
      <c r="EX1" s="633">
        <v>153</v>
      </c>
      <c r="EY1" s="633">
        <v>154</v>
      </c>
      <c r="EZ1" s="633">
        <v>155</v>
      </c>
      <c r="FA1" s="633">
        <v>156</v>
      </c>
      <c r="FB1" s="633">
        <v>157</v>
      </c>
      <c r="FC1" s="633">
        <v>158</v>
      </c>
      <c r="FD1" s="633">
        <v>159</v>
      </c>
      <c r="FE1" s="633">
        <v>160</v>
      </c>
      <c r="FF1" s="633">
        <v>161</v>
      </c>
      <c r="FG1" s="633">
        <v>162</v>
      </c>
      <c r="FH1" s="633">
        <v>163</v>
      </c>
      <c r="FI1" s="633">
        <v>164</v>
      </c>
      <c r="FJ1" s="633">
        <v>165</v>
      </c>
      <c r="FK1" s="633">
        <v>166</v>
      </c>
      <c r="FL1" s="633">
        <v>167</v>
      </c>
      <c r="FM1" s="633">
        <v>168</v>
      </c>
      <c r="FN1" s="633">
        <v>169</v>
      </c>
      <c r="FO1" s="633">
        <v>170</v>
      </c>
      <c r="FP1" s="633">
        <v>171</v>
      </c>
      <c r="FQ1" s="633">
        <v>172</v>
      </c>
      <c r="FR1" s="633">
        <v>173</v>
      </c>
      <c r="FS1" s="633">
        <v>174</v>
      </c>
      <c r="FT1" s="633">
        <v>175</v>
      </c>
      <c r="FU1" s="633">
        <v>176</v>
      </c>
      <c r="FV1" s="633">
        <v>177</v>
      </c>
      <c r="FW1" s="633">
        <v>178</v>
      </c>
      <c r="FX1" s="633">
        <v>179</v>
      </c>
      <c r="FY1" s="633">
        <v>180</v>
      </c>
      <c r="FZ1" s="633">
        <v>181</v>
      </c>
    </row>
    <row r="2" spans="2:183" s="609" customFormat="1" ht="60" customHeight="1" x14ac:dyDescent="0.2">
      <c r="B2" s="215"/>
      <c r="C2" s="611"/>
      <c r="D2" s="808" t="s">
        <v>1159</v>
      </c>
      <c r="E2" s="808"/>
      <c r="F2" s="808"/>
      <c r="G2" s="808" t="s">
        <v>1160</v>
      </c>
      <c r="H2" s="808"/>
      <c r="I2" s="808"/>
      <c r="J2" s="808" t="s">
        <v>1161</v>
      </c>
      <c r="K2" s="808"/>
      <c r="L2" s="808"/>
      <c r="M2" s="808" t="s">
        <v>1162</v>
      </c>
      <c r="N2" s="808"/>
      <c r="O2" s="808"/>
      <c r="P2" s="808" t="s">
        <v>1163</v>
      </c>
      <c r="Q2" s="808"/>
      <c r="R2" s="808"/>
      <c r="S2" s="808" t="s">
        <v>1164</v>
      </c>
      <c r="T2" s="808"/>
      <c r="U2" s="808"/>
      <c r="V2" s="808" t="s">
        <v>1165</v>
      </c>
      <c r="W2" s="808"/>
      <c r="X2" s="808"/>
      <c r="Y2" s="808" t="s">
        <v>1166</v>
      </c>
      <c r="Z2" s="808"/>
      <c r="AA2" s="808"/>
      <c r="AB2" s="808" t="s">
        <v>1167</v>
      </c>
      <c r="AC2" s="808"/>
      <c r="AD2" s="808"/>
      <c r="AE2" s="808" t="s">
        <v>1168</v>
      </c>
      <c r="AF2" s="808"/>
      <c r="AG2" s="808"/>
      <c r="AH2" s="808" t="s">
        <v>1169</v>
      </c>
      <c r="AI2" s="808"/>
      <c r="AJ2" s="808"/>
      <c r="AK2" s="808" t="s">
        <v>1170</v>
      </c>
      <c r="AL2" s="808"/>
      <c r="AM2" s="808"/>
      <c r="AN2" s="808" t="s">
        <v>1171</v>
      </c>
      <c r="AO2" s="808"/>
      <c r="AP2" s="808"/>
      <c r="AQ2" s="808" t="s">
        <v>1172</v>
      </c>
      <c r="AR2" s="808"/>
      <c r="AS2" s="808"/>
      <c r="AT2" s="808" t="s">
        <v>1173</v>
      </c>
      <c r="AU2" s="808"/>
      <c r="AV2" s="808"/>
      <c r="AW2" s="808" t="s">
        <v>1174</v>
      </c>
      <c r="AX2" s="808"/>
      <c r="AY2" s="808"/>
      <c r="AZ2" s="808" t="s">
        <v>1175</v>
      </c>
      <c r="BA2" s="808"/>
      <c r="BB2" s="808"/>
      <c r="BC2" s="808" t="s">
        <v>1176</v>
      </c>
      <c r="BD2" s="808"/>
      <c r="BE2" s="808"/>
      <c r="BF2" s="808" t="s">
        <v>1177</v>
      </c>
      <c r="BG2" s="808"/>
      <c r="BH2" s="808"/>
      <c r="BI2" s="808" t="s">
        <v>1178</v>
      </c>
      <c r="BJ2" s="808"/>
      <c r="BK2" s="808"/>
      <c r="BL2" s="808" t="s">
        <v>1179</v>
      </c>
      <c r="BM2" s="808"/>
      <c r="BN2" s="808"/>
      <c r="BO2" s="808" t="s">
        <v>1180</v>
      </c>
      <c r="BP2" s="808"/>
      <c r="BQ2" s="808"/>
      <c r="BR2" s="808" t="s">
        <v>1181</v>
      </c>
      <c r="BS2" s="808"/>
      <c r="BT2" s="808"/>
      <c r="BU2" s="808" t="s">
        <v>1182</v>
      </c>
      <c r="BV2" s="808"/>
      <c r="BW2" s="808"/>
      <c r="BX2" s="808" t="s">
        <v>1183</v>
      </c>
      <c r="BY2" s="808"/>
      <c r="BZ2" s="808"/>
      <c r="CA2" s="808" t="s">
        <v>1184</v>
      </c>
      <c r="CB2" s="808"/>
      <c r="CC2" s="808"/>
      <c r="CD2" s="808" t="s">
        <v>1185</v>
      </c>
      <c r="CE2" s="808"/>
      <c r="CF2" s="808"/>
      <c r="CG2" s="808" t="s">
        <v>1186</v>
      </c>
      <c r="CH2" s="808"/>
      <c r="CI2" s="808"/>
      <c r="CJ2" s="808" t="s">
        <v>1173</v>
      </c>
      <c r="CK2" s="808"/>
      <c r="CL2" s="808"/>
      <c r="CM2" s="808" t="s">
        <v>1174</v>
      </c>
      <c r="CN2" s="808"/>
      <c r="CO2" s="808"/>
      <c r="CP2" s="808" t="s">
        <v>1187</v>
      </c>
      <c r="CQ2" s="808"/>
      <c r="CR2" s="808"/>
      <c r="CS2" s="808" t="s">
        <v>1188</v>
      </c>
      <c r="CT2" s="808"/>
      <c r="CU2" s="808"/>
      <c r="CV2" s="808" t="s">
        <v>1189</v>
      </c>
      <c r="CW2" s="808"/>
      <c r="CX2" s="808"/>
      <c r="CY2" s="808" t="s">
        <v>1190</v>
      </c>
      <c r="CZ2" s="808"/>
      <c r="DA2" s="808"/>
      <c r="DB2" s="808" t="s">
        <v>1191</v>
      </c>
      <c r="DC2" s="808"/>
      <c r="DD2" s="808"/>
      <c r="DE2" s="808" t="s">
        <v>1192</v>
      </c>
      <c r="DF2" s="808"/>
      <c r="DG2" s="808"/>
      <c r="DH2" s="613" t="s">
        <v>92</v>
      </c>
      <c r="DI2" s="613" t="s">
        <v>93</v>
      </c>
      <c r="DJ2" s="808" t="s">
        <v>1193</v>
      </c>
      <c r="DK2" s="808"/>
      <c r="DL2" s="808"/>
      <c r="DM2" s="808" t="s">
        <v>1194</v>
      </c>
      <c r="DN2" s="808"/>
      <c r="DO2" s="808"/>
      <c r="DP2" s="808" t="s">
        <v>1195</v>
      </c>
      <c r="DQ2" s="808"/>
      <c r="DR2" s="808"/>
      <c r="DS2" s="808" t="s">
        <v>1196</v>
      </c>
      <c r="DT2" s="808"/>
      <c r="DU2" s="808"/>
      <c r="DV2" s="808" t="s">
        <v>1197</v>
      </c>
      <c r="DW2" s="808"/>
      <c r="DX2" s="808"/>
      <c r="DY2" s="808" t="s">
        <v>1198</v>
      </c>
      <c r="DZ2" s="808"/>
      <c r="EA2" s="808"/>
      <c r="EB2" s="808" t="s">
        <v>1199</v>
      </c>
      <c r="EC2" s="808"/>
      <c r="ED2" s="808"/>
      <c r="EE2" s="808" t="s">
        <v>1200</v>
      </c>
      <c r="EF2" s="808"/>
      <c r="EG2" s="808"/>
      <c r="EH2" s="808" t="s">
        <v>1201</v>
      </c>
      <c r="EI2" s="808"/>
      <c r="EJ2" s="808"/>
      <c r="EK2" s="808" t="s">
        <v>1202</v>
      </c>
      <c r="EL2" s="808"/>
      <c r="EM2" s="808"/>
      <c r="EN2" s="808" t="s">
        <v>1203</v>
      </c>
      <c r="EO2" s="808"/>
      <c r="EP2" s="808"/>
      <c r="EQ2" s="808" t="s">
        <v>1204</v>
      </c>
      <c r="ER2" s="808"/>
      <c r="ES2" s="808"/>
      <c r="ET2" s="808" t="s">
        <v>1205</v>
      </c>
      <c r="EU2" s="808"/>
      <c r="EV2" s="808"/>
      <c r="EW2" s="808" t="s">
        <v>1206</v>
      </c>
      <c r="EX2" s="808"/>
      <c r="EY2" s="808"/>
      <c r="EZ2" s="808" t="s">
        <v>1207</v>
      </c>
      <c r="FA2" s="808"/>
      <c r="FB2" s="808"/>
      <c r="FC2" s="808" t="s">
        <v>1208</v>
      </c>
      <c r="FD2" s="808"/>
      <c r="FE2" s="808"/>
      <c r="FF2" s="808" t="s">
        <v>1209</v>
      </c>
      <c r="FG2" s="808"/>
      <c r="FH2" s="808"/>
      <c r="FI2" s="808" t="s">
        <v>1210</v>
      </c>
      <c r="FJ2" s="808"/>
      <c r="FK2" s="808"/>
      <c r="FL2" s="808" t="s">
        <v>1211</v>
      </c>
      <c r="FM2" s="808"/>
      <c r="FN2" s="808"/>
      <c r="FO2" s="808" t="s">
        <v>1212</v>
      </c>
      <c r="FP2" s="808"/>
      <c r="FQ2" s="808"/>
      <c r="FR2" s="808" t="s">
        <v>1213</v>
      </c>
      <c r="FS2" s="808"/>
      <c r="FT2" s="808"/>
      <c r="FU2" s="808" t="s">
        <v>1214</v>
      </c>
      <c r="FV2" s="808"/>
      <c r="FW2" s="808"/>
      <c r="FX2" s="809" t="s">
        <v>1215</v>
      </c>
      <c r="FY2" s="809"/>
      <c r="FZ2" s="809"/>
    </row>
    <row r="3" spans="2:183" s="214" customFormat="1" x14ac:dyDescent="0.2">
      <c r="B3" s="215"/>
      <c r="C3" s="214" t="s">
        <v>1128</v>
      </c>
      <c r="D3" s="633">
        <v>1</v>
      </c>
      <c r="E3" s="633"/>
      <c r="F3" s="633"/>
      <c r="G3" s="633">
        <v>2</v>
      </c>
      <c r="H3" s="633"/>
      <c r="I3" s="633"/>
      <c r="J3" s="633">
        <v>3</v>
      </c>
      <c r="K3" s="633"/>
      <c r="L3" s="633"/>
      <c r="M3" s="633">
        <v>4</v>
      </c>
      <c r="N3" s="633"/>
      <c r="O3" s="633"/>
      <c r="P3" s="633">
        <v>5</v>
      </c>
      <c r="Q3" s="633"/>
      <c r="R3" s="633"/>
      <c r="S3" s="633">
        <v>6</v>
      </c>
      <c r="T3" s="633"/>
      <c r="U3" s="633"/>
      <c r="V3" s="633">
        <v>7</v>
      </c>
      <c r="W3" s="633"/>
      <c r="X3" s="633"/>
      <c r="Y3" s="633">
        <v>8</v>
      </c>
      <c r="Z3" s="633"/>
      <c r="AA3" s="633"/>
      <c r="AB3" s="633">
        <v>9</v>
      </c>
      <c r="AC3" s="633"/>
      <c r="AD3" s="633"/>
      <c r="AE3" s="633">
        <v>10</v>
      </c>
      <c r="AF3" s="633"/>
      <c r="AG3" s="633"/>
      <c r="AH3" s="633">
        <v>11</v>
      </c>
      <c r="AI3" s="633"/>
      <c r="AJ3" s="633"/>
      <c r="AK3" s="633">
        <v>12</v>
      </c>
      <c r="AL3" s="633"/>
      <c r="AM3" s="633"/>
      <c r="AN3" s="633">
        <v>13</v>
      </c>
      <c r="AO3" s="633"/>
      <c r="AP3" s="633"/>
      <c r="AQ3" s="633">
        <v>14</v>
      </c>
      <c r="AR3" s="633"/>
      <c r="AS3" s="633"/>
      <c r="AT3" s="633">
        <v>15</v>
      </c>
      <c r="AU3" s="633"/>
      <c r="AV3" s="633"/>
      <c r="AW3" s="633">
        <v>16</v>
      </c>
      <c r="AX3" s="633"/>
      <c r="AY3" s="633"/>
      <c r="AZ3" s="633">
        <v>17</v>
      </c>
      <c r="BA3" s="633"/>
      <c r="BB3" s="633"/>
      <c r="BC3" s="633">
        <v>18</v>
      </c>
      <c r="BD3" s="633"/>
      <c r="BE3" s="633"/>
      <c r="BF3" s="633">
        <v>19</v>
      </c>
      <c r="BG3" s="633"/>
      <c r="BH3" s="633"/>
      <c r="BI3" s="633">
        <v>20</v>
      </c>
      <c r="BJ3" s="633"/>
      <c r="BK3" s="633"/>
      <c r="BL3" s="633">
        <v>21</v>
      </c>
      <c r="BM3" s="633"/>
      <c r="BN3" s="633"/>
      <c r="BO3" s="633">
        <v>22</v>
      </c>
      <c r="BP3" s="633"/>
      <c r="BQ3" s="633"/>
      <c r="BR3" s="633">
        <v>23</v>
      </c>
      <c r="BS3" s="633"/>
      <c r="BT3" s="633"/>
      <c r="BU3" s="633">
        <v>24</v>
      </c>
      <c r="BV3" s="633"/>
      <c r="BW3" s="633"/>
      <c r="BX3" s="633">
        <v>25</v>
      </c>
      <c r="BY3" s="633"/>
      <c r="BZ3" s="633"/>
      <c r="CA3" s="633">
        <v>26</v>
      </c>
      <c r="CB3" s="633"/>
      <c r="CC3" s="633"/>
      <c r="CD3" s="633">
        <v>27</v>
      </c>
      <c r="CE3" s="633"/>
      <c r="CF3" s="633"/>
      <c r="CG3" s="633">
        <v>28</v>
      </c>
      <c r="CH3" s="633"/>
      <c r="CI3" s="633"/>
      <c r="CJ3" s="633">
        <v>29</v>
      </c>
      <c r="CK3" s="633"/>
      <c r="CL3" s="633"/>
      <c r="CM3" s="633">
        <v>30</v>
      </c>
      <c r="CN3" s="633"/>
      <c r="CO3" s="633"/>
      <c r="CP3" s="633">
        <v>31</v>
      </c>
      <c r="CQ3" s="633"/>
      <c r="CR3" s="633"/>
      <c r="CS3" s="633">
        <v>32</v>
      </c>
      <c r="CT3" s="633"/>
      <c r="CU3" s="633"/>
      <c r="CV3" s="633">
        <v>33</v>
      </c>
      <c r="CW3" s="633"/>
      <c r="CX3" s="633"/>
      <c r="CY3" s="633">
        <v>34</v>
      </c>
      <c r="CZ3" s="633"/>
      <c r="DA3" s="633"/>
      <c r="DB3" s="633">
        <v>35</v>
      </c>
      <c r="DC3" s="633"/>
      <c r="DD3" s="633"/>
      <c r="DE3" s="633">
        <v>36</v>
      </c>
      <c r="DF3" s="633"/>
      <c r="DG3" s="633"/>
      <c r="DH3" s="633">
        <v>37</v>
      </c>
      <c r="DI3" s="633">
        <v>38</v>
      </c>
      <c r="DJ3" s="633">
        <v>39</v>
      </c>
      <c r="DK3" s="633"/>
      <c r="DL3" s="633"/>
      <c r="DM3" s="633">
        <v>40</v>
      </c>
      <c r="DN3" s="633"/>
      <c r="DO3" s="633"/>
      <c r="DP3" s="633">
        <v>41</v>
      </c>
      <c r="DQ3" s="633"/>
      <c r="DR3" s="633"/>
      <c r="DS3" s="633">
        <v>42</v>
      </c>
      <c r="DT3" s="633"/>
      <c r="DU3" s="633"/>
      <c r="DV3" s="633">
        <v>43</v>
      </c>
      <c r="DW3" s="633"/>
      <c r="DX3" s="633"/>
      <c r="DY3" s="633">
        <v>44</v>
      </c>
      <c r="DZ3" s="633"/>
      <c r="EA3" s="633"/>
      <c r="EB3" s="633">
        <v>45</v>
      </c>
      <c r="EC3" s="633"/>
      <c r="ED3" s="633"/>
      <c r="EE3" s="633">
        <v>46</v>
      </c>
      <c r="EF3" s="633"/>
      <c r="EG3" s="633"/>
      <c r="EH3" s="633">
        <v>47</v>
      </c>
      <c r="EI3" s="633"/>
      <c r="EJ3" s="633"/>
      <c r="EK3" s="633">
        <v>48</v>
      </c>
      <c r="EL3" s="633"/>
      <c r="EM3" s="633"/>
      <c r="EN3" s="633">
        <v>49</v>
      </c>
      <c r="EO3" s="633"/>
      <c r="EP3" s="633"/>
      <c r="EQ3" s="633">
        <v>50</v>
      </c>
      <c r="ER3" s="633"/>
      <c r="ES3" s="633"/>
      <c r="ET3" s="633">
        <v>51</v>
      </c>
      <c r="EU3" s="633"/>
      <c r="EV3" s="633"/>
      <c r="EW3" s="633">
        <v>52</v>
      </c>
      <c r="EX3" s="633"/>
      <c r="EY3" s="633"/>
      <c r="EZ3" s="633">
        <v>53</v>
      </c>
      <c r="FA3" s="633"/>
      <c r="FB3" s="633"/>
      <c r="FC3" s="633">
        <v>54</v>
      </c>
      <c r="FD3" s="633"/>
      <c r="FE3" s="633"/>
      <c r="FF3" s="633">
        <v>55</v>
      </c>
      <c r="FG3" s="633"/>
      <c r="FH3" s="633"/>
      <c r="FI3" s="633">
        <v>56</v>
      </c>
      <c r="FJ3" s="633"/>
      <c r="FK3" s="633"/>
      <c r="FL3" s="633">
        <v>57</v>
      </c>
      <c r="FM3" s="633"/>
      <c r="FN3" s="633"/>
      <c r="FO3" s="633">
        <v>58</v>
      </c>
      <c r="FP3" s="633"/>
      <c r="FQ3" s="633"/>
      <c r="FR3" s="633">
        <v>59</v>
      </c>
      <c r="FS3" s="633"/>
      <c r="FT3" s="633"/>
      <c r="FU3" s="633">
        <v>60</v>
      </c>
      <c r="FV3" s="633"/>
      <c r="FW3" s="633"/>
      <c r="FX3" s="633">
        <v>61</v>
      </c>
      <c r="FY3" s="633"/>
      <c r="FZ3" s="633"/>
    </row>
    <row r="4" spans="2:183" s="214" customFormat="1" x14ac:dyDescent="0.2">
      <c r="B4" s="215"/>
      <c r="C4" s="214" t="s">
        <v>1141</v>
      </c>
      <c r="D4" s="633">
        <v>1</v>
      </c>
      <c r="E4" s="633">
        <v>2</v>
      </c>
      <c r="F4" s="633">
        <v>3</v>
      </c>
      <c r="G4" s="633">
        <v>1</v>
      </c>
      <c r="H4" s="633">
        <v>2</v>
      </c>
      <c r="I4" s="633">
        <v>3</v>
      </c>
      <c r="J4" s="633">
        <v>1</v>
      </c>
      <c r="K4" s="633">
        <v>2</v>
      </c>
      <c r="L4" s="633">
        <v>3</v>
      </c>
      <c r="M4" s="633">
        <v>1</v>
      </c>
      <c r="N4" s="633">
        <v>2</v>
      </c>
      <c r="O4" s="633">
        <v>3</v>
      </c>
      <c r="P4" s="633">
        <v>1</v>
      </c>
      <c r="Q4" s="633">
        <v>2</v>
      </c>
      <c r="R4" s="633">
        <v>3</v>
      </c>
      <c r="S4" s="633">
        <v>1</v>
      </c>
      <c r="T4" s="633">
        <v>2</v>
      </c>
      <c r="U4" s="633">
        <v>3</v>
      </c>
      <c r="V4" s="633">
        <v>1</v>
      </c>
      <c r="W4" s="633">
        <v>2</v>
      </c>
      <c r="X4" s="633">
        <v>3</v>
      </c>
      <c r="Y4" s="633">
        <v>1</v>
      </c>
      <c r="Z4" s="633">
        <v>2</v>
      </c>
      <c r="AA4" s="633">
        <v>3</v>
      </c>
      <c r="AB4" s="633">
        <v>1</v>
      </c>
      <c r="AC4" s="633">
        <v>2</v>
      </c>
      <c r="AD4" s="633">
        <v>3</v>
      </c>
      <c r="AE4" s="633">
        <v>1</v>
      </c>
      <c r="AF4" s="633">
        <v>2</v>
      </c>
      <c r="AG4" s="633">
        <v>3</v>
      </c>
      <c r="AH4" s="633">
        <v>1</v>
      </c>
      <c r="AI4" s="633">
        <v>2</v>
      </c>
      <c r="AJ4" s="633">
        <v>3</v>
      </c>
      <c r="AK4" s="633">
        <v>1</v>
      </c>
      <c r="AL4" s="633">
        <v>2</v>
      </c>
      <c r="AM4" s="633">
        <v>3</v>
      </c>
      <c r="AN4" s="633">
        <v>1</v>
      </c>
      <c r="AO4" s="633">
        <v>2</v>
      </c>
      <c r="AP4" s="633">
        <v>3</v>
      </c>
      <c r="AQ4" s="633">
        <v>1</v>
      </c>
      <c r="AR4" s="633">
        <v>2</v>
      </c>
      <c r="AS4" s="633">
        <v>3</v>
      </c>
      <c r="AT4" s="633">
        <v>1</v>
      </c>
      <c r="AU4" s="633">
        <v>2</v>
      </c>
      <c r="AV4" s="633">
        <v>3</v>
      </c>
      <c r="AW4" s="633">
        <v>1</v>
      </c>
      <c r="AX4" s="633">
        <v>2</v>
      </c>
      <c r="AY4" s="633">
        <v>3</v>
      </c>
      <c r="AZ4" s="633">
        <v>1</v>
      </c>
      <c r="BA4" s="633">
        <v>2</v>
      </c>
      <c r="BB4" s="633">
        <v>3</v>
      </c>
      <c r="BC4" s="633">
        <v>1</v>
      </c>
      <c r="BD4" s="633">
        <v>2</v>
      </c>
      <c r="BE4" s="633">
        <v>3</v>
      </c>
      <c r="BF4" s="633">
        <v>1</v>
      </c>
      <c r="BG4" s="633">
        <v>2</v>
      </c>
      <c r="BH4" s="633">
        <v>3</v>
      </c>
      <c r="BI4" s="633">
        <v>1</v>
      </c>
      <c r="BJ4" s="633">
        <v>2</v>
      </c>
      <c r="BK4" s="633">
        <v>3</v>
      </c>
      <c r="BL4" s="633">
        <v>1</v>
      </c>
      <c r="BM4" s="633">
        <v>2</v>
      </c>
      <c r="BN4" s="633">
        <v>3</v>
      </c>
      <c r="BO4" s="633">
        <v>1</v>
      </c>
      <c r="BP4" s="633">
        <v>2</v>
      </c>
      <c r="BQ4" s="633">
        <v>3</v>
      </c>
      <c r="BR4" s="633">
        <v>1</v>
      </c>
      <c r="BS4" s="633">
        <v>2</v>
      </c>
      <c r="BT4" s="633">
        <v>3</v>
      </c>
      <c r="BU4" s="633">
        <v>1</v>
      </c>
      <c r="BV4" s="633">
        <v>2</v>
      </c>
      <c r="BW4" s="633">
        <v>3</v>
      </c>
      <c r="BX4" s="633">
        <v>1</v>
      </c>
      <c r="BY4" s="633">
        <v>2</v>
      </c>
      <c r="BZ4" s="633">
        <v>3</v>
      </c>
      <c r="CA4" s="633">
        <v>1</v>
      </c>
      <c r="CB4" s="633">
        <v>2</v>
      </c>
      <c r="CC4" s="633">
        <v>3</v>
      </c>
      <c r="CD4" s="633">
        <v>1</v>
      </c>
      <c r="CE4" s="633">
        <v>2</v>
      </c>
      <c r="CF4" s="633">
        <v>3</v>
      </c>
      <c r="CG4" s="633">
        <v>1</v>
      </c>
      <c r="CH4" s="633">
        <v>2</v>
      </c>
      <c r="CI4" s="633">
        <v>3</v>
      </c>
      <c r="CJ4" s="633">
        <v>1</v>
      </c>
      <c r="CK4" s="633">
        <v>2</v>
      </c>
      <c r="CL4" s="633">
        <v>3</v>
      </c>
      <c r="CM4" s="633">
        <v>1</v>
      </c>
      <c r="CN4" s="633">
        <v>2</v>
      </c>
      <c r="CO4" s="633">
        <v>3</v>
      </c>
      <c r="CP4" s="633">
        <v>1</v>
      </c>
      <c r="CQ4" s="633">
        <v>2</v>
      </c>
      <c r="CR4" s="633">
        <v>3</v>
      </c>
      <c r="CS4" s="633">
        <v>1</v>
      </c>
      <c r="CT4" s="633">
        <v>2</v>
      </c>
      <c r="CU4" s="633">
        <v>3</v>
      </c>
      <c r="CV4" s="633">
        <v>1</v>
      </c>
      <c r="CW4" s="633">
        <v>2</v>
      </c>
      <c r="CX4" s="633">
        <v>3</v>
      </c>
      <c r="CY4" s="633">
        <v>1</v>
      </c>
      <c r="CZ4" s="633">
        <v>2</v>
      </c>
      <c r="DA4" s="633">
        <v>3</v>
      </c>
      <c r="DB4" s="633">
        <v>1</v>
      </c>
      <c r="DC4" s="633">
        <v>2</v>
      </c>
      <c r="DD4" s="633">
        <v>3</v>
      </c>
      <c r="DE4" s="633">
        <v>1</v>
      </c>
      <c r="DF4" s="633">
        <v>2</v>
      </c>
      <c r="DG4" s="633">
        <v>3</v>
      </c>
      <c r="DH4" s="633">
        <v>2</v>
      </c>
      <c r="DI4" s="633">
        <v>1</v>
      </c>
      <c r="DJ4" s="633">
        <v>1</v>
      </c>
      <c r="DK4" s="633">
        <v>2</v>
      </c>
      <c r="DL4" s="633">
        <v>3</v>
      </c>
      <c r="DM4" s="633">
        <v>1</v>
      </c>
      <c r="DN4" s="633">
        <v>2</v>
      </c>
      <c r="DO4" s="633">
        <v>3</v>
      </c>
      <c r="DP4" s="633">
        <v>1</v>
      </c>
      <c r="DQ4" s="633">
        <v>2</v>
      </c>
      <c r="DR4" s="633">
        <v>3</v>
      </c>
      <c r="DS4" s="633">
        <v>1</v>
      </c>
      <c r="DT4" s="633">
        <v>2</v>
      </c>
      <c r="DU4" s="633">
        <v>3</v>
      </c>
      <c r="DV4" s="633">
        <v>1</v>
      </c>
      <c r="DW4" s="633">
        <v>2</v>
      </c>
      <c r="DX4" s="633">
        <v>3</v>
      </c>
      <c r="DY4" s="633">
        <v>1</v>
      </c>
      <c r="DZ4" s="633">
        <v>2</v>
      </c>
      <c r="EA4" s="633">
        <v>3</v>
      </c>
      <c r="EB4" s="633">
        <v>1</v>
      </c>
      <c r="EC4" s="633">
        <v>2</v>
      </c>
      <c r="ED4" s="633">
        <v>3</v>
      </c>
      <c r="EE4" s="633">
        <v>1</v>
      </c>
      <c r="EF4" s="633">
        <v>2</v>
      </c>
      <c r="EG4" s="633">
        <v>3</v>
      </c>
      <c r="EH4" s="633">
        <v>1</v>
      </c>
      <c r="EI4" s="633">
        <v>2</v>
      </c>
      <c r="EJ4" s="633">
        <v>3</v>
      </c>
      <c r="EK4" s="633">
        <v>1</v>
      </c>
      <c r="EL4" s="633">
        <v>2</v>
      </c>
      <c r="EM4" s="633">
        <v>3</v>
      </c>
      <c r="EN4" s="633">
        <v>1</v>
      </c>
      <c r="EO4" s="633">
        <v>2</v>
      </c>
      <c r="EP4" s="633">
        <v>3</v>
      </c>
      <c r="EQ4" s="633">
        <v>1</v>
      </c>
      <c r="ER4" s="633">
        <v>2</v>
      </c>
      <c r="ES4" s="633">
        <v>3</v>
      </c>
      <c r="ET4" s="633">
        <v>1</v>
      </c>
      <c r="EU4" s="633">
        <v>2</v>
      </c>
      <c r="EV4" s="633">
        <v>3</v>
      </c>
      <c r="EW4" s="633">
        <v>1</v>
      </c>
      <c r="EX4" s="633">
        <v>2</v>
      </c>
      <c r="EY4" s="633">
        <v>3</v>
      </c>
      <c r="EZ4" s="633">
        <v>1</v>
      </c>
      <c r="FA4" s="633">
        <v>2</v>
      </c>
      <c r="FB4" s="633">
        <v>3</v>
      </c>
      <c r="FC4" s="633">
        <v>1</v>
      </c>
      <c r="FD4" s="633">
        <v>2</v>
      </c>
      <c r="FE4" s="633">
        <v>3</v>
      </c>
      <c r="FF4" s="633">
        <v>1</v>
      </c>
      <c r="FG4" s="633">
        <v>2</v>
      </c>
      <c r="FH4" s="633">
        <v>3</v>
      </c>
      <c r="FI4" s="633">
        <v>1</v>
      </c>
      <c r="FJ4" s="633">
        <v>2</v>
      </c>
      <c r="FK4" s="633">
        <v>3</v>
      </c>
      <c r="FL4" s="633">
        <v>1</v>
      </c>
      <c r="FM4" s="633">
        <v>2</v>
      </c>
      <c r="FN4" s="633">
        <v>3</v>
      </c>
      <c r="FO4" s="633">
        <v>1</v>
      </c>
      <c r="FP4" s="633">
        <v>2</v>
      </c>
      <c r="FQ4" s="633">
        <v>3</v>
      </c>
      <c r="FR4" s="633">
        <v>1</v>
      </c>
      <c r="FS4" s="633">
        <v>2</v>
      </c>
      <c r="FT4" s="633">
        <v>3</v>
      </c>
      <c r="FU4" s="633">
        <v>1</v>
      </c>
      <c r="FV4" s="633">
        <v>2</v>
      </c>
      <c r="FW4" s="633">
        <v>3</v>
      </c>
      <c r="FX4" s="633">
        <v>1</v>
      </c>
      <c r="FY4" s="633">
        <v>2</v>
      </c>
      <c r="FZ4" s="633">
        <v>3</v>
      </c>
    </row>
    <row r="5" spans="2:183" s="214" customFormat="1" x14ac:dyDescent="0.2">
      <c r="B5" s="635" t="s">
        <v>1142</v>
      </c>
      <c r="C5" s="635" t="s">
        <v>1143</v>
      </c>
      <c r="D5" s="633"/>
      <c r="E5" s="633"/>
      <c r="F5" s="633"/>
      <c r="G5" s="633"/>
      <c r="H5" s="633"/>
      <c r="I5" s="633"/>
      <c r="J5" s="633"/>
      <c r="K5" s="633"/>
      <c r="L5" s="633"/>
      <c r="M5" s="633"/>
      <c r="N5" s="633"/>
      <c r="O5" s="633"/>
      <c r="P5" s="633"/>
      <c r="Q5" s="633"/>
      <c r="R5" s="633"/>
      <c r="S5" s="633"/>
      <c r="T5" s="633"/>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c r="BI5" s="633"/>
      <c r="BJ5" s="633"/>
      <c r="BK5" s="633"/>
      <c r="BL5" s="633"/>
      <c r="BM5" s="633"/>
      <c r="BN5" s="633"/>
      <c r="BO5" s="633"/>
      <c r="BP5" s="633"/>
      <c r="BQ5" s="633"/>
      <c r="BR5" s="633"/>
      <c r="BS5" s="633"/>
      <c r="BT5" s="633"/>
      <c r="BU5" s="633"/>
      <c r="BV5" s="633"/>
      <c r="BW5" s="633"/>
      <c r="BX5" s="633"/>
      <c r="BY5" s="633"/>
      <c r="BZ5" s="633"/>
      <c r="CA5" s="633"/>
      <c r="CB5" s="633"/>
      <c r="CC5" s="633"/>
      <c r="CD5" s="633"/>
      <c r="CE5" s="633"/>
      <c r="CF5" s="633"/>
      <c r="CG5" s="633"/>
      <c r="CH5" s="633"/>
      <c r="CI5" s="633"/>
      <c r="CJ5" s="633"/>
      <c r="CK5" s="633"/>
      <c r="CL5" s="633"/>
      <c r="CM5" s="633"/>
      <c r="CN5" s="633"/>
      <c r="CO5" s="633"/>
      <c r="CP5" s="633"/>
      <c r="CQ5" s="633"/>
      <c r="CR5" s="633"/>
      <c r="CS5" s="633"/>
      <c r="CT5" s="633"/>
      <c r="CU5" s="633"/>
      <c r="CV5" s="633"/>
      <c r="CW5" s="633"/>
      <c r="CX5" s="633"/>
      <c r="CY5" s="633"/>
      <c r="CZ5" s="633"/>
      <c r="DA5" s="633"/>
      <c r="DB5" s="633"/>
      <c r="DC5" s="633"/>
      <c r="DD5" s="633"/>
      <c r="DE5" s="633"/>
      <c r="DF5" s="633"/>
      <c r="DG5" s="633"/>
      <c r="DH5" s="633"/>
      <c r="DI5" s="633"/>
      <c r="DJ5" s="633"/>
      <c r="DK5" s="633"/>
      <c r="DL5" s="633"/>
      <c r="DM5" s="633"/>
      <c r="DN5" s="633"/>
      <c r="DO5" s="633"/>
      <c r="DP5" s="633"/>
      <c r="DQ5" s="633"/>
      <c r="DR5" s="633"/>
      <c r="DS5" s="633"/>
      <c r="DT5" s="633"/>
      <c r="DU5" s="633"/>
      <c r="DV5" s="633"/>
      <c r="DW5" s="633"/>
      <c r="DX5" s="633"/>
      <c r="DY5" s="633"/>
      <c r="DZ5" s="633"/>
      <c r="EA5" s="633"/>
      <c r="EB5" s="633"/>
      <c r="EC5" s="633"/>
      <c r="ED5" s="633"/>
      <c r="EE5" s="633"/>
      <c r="EF5" s="633"/>
      <c r="EG5" s="633"/>
      <c r="EH5" s="633"/>
      <c r="EI5" s="633"/>
      <c r="EJ5" s="633"/>
      <c r="EK5" s="633"/>
      <c r="EL5" s="633"/>
      <c r="EM5" s="633"/>
      <c r="EN5" s="633"/>
      <c r="EO5" s="633"/>
      <c r="EP5" s="633"/>
      <c r="EQ5" s="633"/>
      <c r="ER5" s="633"/>
      <c r="ES5" s="633"/>
      <c r="ET5" s="633"/>
      <c r="EU5" s="633"/>
      <c r="EV5" s="633"/>
      <c r="EW5" s="633"/>
      <c r="EX5" s="633"/>
      <c r="EY5" s="633"/>
      <c r="EZ5" s="633"/>
      <c r="FA5" s="633"/>
      <c r="FB5" s="633"/>
      <c r="FC5" s="633"/>
      <c r="FD5" s="633"/>
      <c r="FE5" s="633"/>
      <c r="FF5" s="633"/>
      <c r="FG5" s="633"/>
      <c r="FH5" s="633"/>
      <c r="FI5" s="633"/>
      <c r="FJ5" s="633"/>
      <c r="FK5" s="633"/>
      <c r="FL5" s="633"/>
      <c r="FM5" s="633"/>
      <c r="FN5" s="633"/>
      <c r="FO5" s="633"/>
      <c r="FP5" s="633"/>
      <c r="FQ5" s="633"/>
      <c r="FR5" s="633"/>
      <c r="FS5" s="633"/>
      <c r="FT5" s="633"/>
      <c r="FU5" s="633"/>
      <c r="FV5" s="633"/>
      <c r="FW5" s="633"/>
      <c r="FX5" s="633"/>
      <c r="FY5" s="633"/>
      <c r="FZ5" s="633"/>
      <c r="GA5" s="635" t="s">
        <v>1293</v>
      </c>
    </row>
    <row r="6" spans="2:183" s="214" customFormat="1" x14ac:dyDescent="0.2">
      <c r="B6" s="610" t="s">
        <v>95</v>
      </c>
      <c r="C6" s="610" t="s">
        <v>94</v>
      </c>
      <c r="D6" s="239">
        <v>0</v>
      </c>
      <c r="E6" s="239">
        <v>0</v>
      </c>
      <c r="F6" s="239">
        <v>0</v>
      </c>
      <c r="G6" s="239">
        <v>-40580</v>
      </c>
      <c r="H6" s="239">
        <v>0</v>
      </c>
      <c r="I6" s="239">
        <v>-40580</v>
      </c>
      <c r="J6" s="239">
        <v>0</v>
      </c>
      <c r="K6" s="239">
        <v>0</v>
      </c>
      <c r="L6" s="239">
        <v>0</v>
      </c>
      <c r="M6" s="239">
        <v>-6592</v>
      </c>
      <c r="N6" s="239">
        <v>0</v>
      </c>
      <c r="O6" s="239">
        <v>-6592</v>
      </c>
      <c r="P6" s="239">
        <v>-47172</v>
      </c>
      <c r="Q6" s="239">
        <v>0</v>
      </c>
      <c r="R6" s="239">
        <v>-47172</v>
      </c>
      <c r="S6" s="239">
        <v>-1313709</v>
      </c>
      <c r="T6" s="239">
        <v>0</v>
      </c>
      <c r="U6" s="239">
        <v>-1313709</v>
      </c>
      <c r="V6" s="239">
        <v>0</v>
      </c>
      <c r="W6" s="239">
        <v>0</v>
      </c>
      <c r="X6" s="239">
        <v>0</v>
      </c>
      <c r="Y6" s="239">
        <v>-84468</v>
      </c>
      <c r="Z6" s="239">
        <v>0</v>
      </c>
      <c r="AA6" s="239">
        <v>-84468</v>
      </c>
      <c r="AB6" s="239">
        <v>-48717</v>
      </c>
      <c r="AC6" s="239">
        <v>0</v>
      </c>
      <c r="AD6" s="239">
        <v>-48717</v>
      </c>
      <c r="AE6" s="239">
        <v>0</v>
      </c>
      <c r="AF6" s="239">
        <v>0</v>
      </c>
      <c r="AG6" s="239">
        <v>0</v>
      </c>
      <c r="AH6" s="239">
        <v>489361</v>
      </c>
      <c r="AI6" s="239">
        <v>0</v>
      </c>
      <c r="AJ6" s="239">
        <v>489361</v>
      </c>
      <c r="AK6" s="239">
        <v>4427</v>
      </c>
      <c r="AL6" s="239">
        <v>0</v>
      </c>
      <c r="AM6" s="239">
        <v>4427</v>
      </c>
      <c r="AN6" s="239">
        <v>-1201476</v>
      </c>
      <c r="AO6" s="239">
        <v>0</v>
      </c>
      <c r="AP6" s="239">
        <v>-1201476</v>
      </c>
      <c r="AQ6" s="239">
        <v>154694</v>
      </c>
      <c r="AR6" s="239">
        <v>0</v>
      </c>
      <c r="AS6" s="239">
        <v>154694</v>
      </c>
      <c r="AT6" s="239">
        <v>-79748</v>
      </c>
      <c r="AU6" s="239">
        <v>0</v>
      </c>
      <c r="AV6" s="239">
        <v>-79748</v>
      </c>
      <c r="AW6" s="239">
        <v>-2555</v>
      </c>
      <c r="AX6" s="239">
        <v>0</v>
      </c>
      <c r="AY6" s="239">
        <v>-2555</v>
      </c>
      <c r="AZ6" s="239">
        <v>0</v>
      </c>
      <c r="BA6" s="239">
        <v>0</v>
      </c>
      <c r="BB6" s="239">
        <v>0</v>
      </c>
      <c r="BC6" s="239">
        <v>0</v>
      </c>
      <c r="BD6" s="239">
        <v>0</v>
      </c>
      <c r="BE6" s="239">
        <v>0</v>
      </c>
      <c r="BF6" s="239">
        <v>-2033474</v>
      </c>
      <c r="BG6" s="239">
        <v>0</v>
      </c>
      <c r="BH6" s="239">
        <v>-2033474</v>
      </c>
      <c r="BI6" s="239">
        <v>-1789</v>
      </c>
      <c r="BJ6" s="239">
        <v>0</v>
      </c>
      <c r="BK6" s="239">
        <v>-1789</v>
      </c>
      <c r="BL6" s="239">
        <v>-3824</v>
      </c>
      <c r="BM6" s="239">
        <v>0</v>
      </c>
      <c r="BN6" s="239">
        <v>-3824</v>
      </c>
      <c r="BO6" s="239">
        <v>-225745</v>
      </c>
      <c r="BP6" s="239">
        <v>0</v>
      </c>
      <c r="BQ6" s="239">
        <v>-225745</v>
      </c>
      <c r="BR6" s="239">
        <v>-75973</v>
      </c>
      <c r="BS6" s="239">
        <v>0</v>
      </c>
      <c r="BT6" s="239">
        <v>-75973</v>
      </c>
      <c r="BU6" s="239">
        <v>-307331</v>
      </c>
      <c r="BV6" s="239">
        <v>0</v>
      </c>
      <c r="BW6" s="239">
        <v>-307331</v>
      </c>
      <c r="BX6" s="239">
        <v>-27608</v>
      </c>
      <c r="BY6" s="239">
        <v>0</v>
      </c>
      <c r="BZ6" s="239">
        <v>-27608</v>
      </c>
      <c r="CA6" s="239">
        <v>-600</v>
      </c>
      <c r="CB6" s="239">
        <v>0</v>
      </c>
      <c r="CC6" s="239">
        <v>-600</v>
      </c>
      <c r="CD6" s="239">
        <v>0</v>
      </c>
      <c r="CE6" s="239">
        <v>0</v>
      </c>
      <c r="CF6" s="239">
        <v>0</v>
      </c>
      <c r="CG6" s="239">
        <v>0</v>
      </c>
      <c r="CH6" s="239">
        <v>0</v>
      </c>
      <c r="CI6" s="239">
        <v>0</v>
      </c>
      <c r="CJ6" s="239">
        <v>-2427</v>
      </c>
      <c r="CK6" s="239">
        <v>0</v>
      </c>
      <c r="CL6" s="239">
        <v>-2427</v>
      </c>
      <c r="CM6" s="239">
        <v>0</v>
      </c>
      <c r="CN6" s="239">
        <v>0</v>
      </c>
      <c r="CO6" s="239">
        <v>0</v>
      </c>
      <c r="CP6" s="239">
        <v>0</v>
      </c>
      <c r="CQ6" s="239">
        <v>0</v>
      </c>
      <c r="CR6" s="239">
        <v>0</v>
      </c>
      <c r="CS6" s="239">
        <v>0</v>
      </c>
      <c r="CT6" s="239">
        <v>0</v>
      </c>
      <c r="CU6" s="239">
        <v>0</v>
      </c>
      <c r="CV6" s="239">
        <v>0</v>
      </c>
      <c r="CW6" s="239">
        <v>0</v>
      </c>
      <c r="CX6" s="239">
        <v>0</v>
      </c>
      <c r="CY6" s="239">
        <v>0</v>
      </c>
      <c r="CZ6" s="239">
        <v>0</v>
      </c>
      <c r="DA6" s="239">
        <v>0</v>
      </c>
      <c r="DB6" s="239">
        <v>0</v>
      </c>
      <c r="DC6" s="239">
        <v>0</v>
      </c>
      <c r="DD6" s="239">
        <v>0</v>
      </c>
      <c r="DE6" s="239">
        <v>0</v>
      </c>
      <c r="DF6" s="239">
        <v>0</v>
      </c>
      <c r="DG6" s="239">
        <v>0</v>
      </c>
      <c r="DH6" s="239">
        <v>0</v>
      </c>
      <c r="DI6" s="239">
        <v>0</v>
      </c>
      <c r="DJ6" s="239">
        <v>-30635</v>
      </c>
      <c r="DK6" s="239">
        <v>0</v>
      </c>
      <c r="DL6" s="239">
        <v>-30635</v>
      </c>
      <c r="DM6" s="239">
        <v>-11132</v>
      </c>
      <c r="DN6" s="239">
        <v>0</v>
      </c>
      <c r="DO6" s="239">
        <v>-11132</v>
      </c>
      <c r="DP6" s="239">
        <v>0</v>
      </c>
      <c r="DQ6" s="239">
        <v>0</v>
      </c>
      <c r="DR6" s="239">
        <v>0</v>
      </c>
      <c r="DS6" s="239">
        <v>-2088</v>
      </c>
      <c r="DT6" s="239">
        <v>0</v>
      </c>
      <c r="DU6" s="239">
        <v>-2088</v>
      </c>
      <c r="DV6" s="239">
        <v>0</v>
      </c>
      <c r="DW6" s="239">
        <v>0</v>
      </c>
      <c r="DX6" s="239">
        <v>0</v>
      </c>
      <c r="DY6" s="239">
        <v>-256355</v>
      </c>
      <c r="DZ6" s="239">
        <v>0</v>
      </c>
      <c r="EA6" s="239">
        <v>-256355</v>
      </c>
      <c r="EB6" s="239">
        <v>2335</v>
      </c>
      <c r="EC6" s="239">
        <v>0</v>
      </c>
      <c r="ED6" s="239">
        <v>2335</v>
      </c>
      <c r="EE6" s="239">
        <v>0</v>
      </c>
      <c r="EF6" s="239">
        <v>0</v>
      </c>
      <c r="EG6" s="239">
        <v>0</v>
      </c>
      <c r="EH6" s="239">
        <v>0</v>
      </c>
      <c r="EI6" s="239">
        <v>0</v>
      </c>
      <c r="EJ6" s="239">
        <v>0</v>
      </c>
      <c r="EK6" s="239">
        <v>-3784</v>
      </c>
      <c r="EL6" s="239">
        <v>0</v>
      </c>
      <c r="EM6" s="239">
        <v>-3784</v>
      </c>
      <c r="EN6" s="239">
        <v>-271024</v>
      </c>
      <c r="EO6" s="239">
        <v>0</v>
      </c>
      <c r="EP6" s="239">
        <v>-271024</v>
      </c>
      <c r="EQ6" s="239">
        <v>0</v>
      </c>
      <c r="ER6" s="239">
        <v>0</v>
      </c>
      <c r="ES6" s="239">
        <v>0</v>
      </c>
      <c r="ET6" s="239">
        <v>0</v>
      </c>
      <c r="EU6" s="239">
        <v>0</v>
      </c>
      <c r="EV6" s="239">
        <v>0</v>
      </c>
      <c r="EW6" s="239">
        <v>0</v>
      </c>
      <c r="EX6" s="239">
        <v>0</v>
      </c>
      <c r="EY6" s="239">
        <v>0</v>
      </c>
      <c r="EZ6" s="239">
        <v>21890678</v>
      </c>
      <c r="FA6" s="239">
        <v>0</v>
      </c>
      <c r="FB6" s="239">
        <v>21890678</v>
      </c>
      <c r="FC6" s="239">
        <v>-47172</v>
      </c>
      <c r="FD6" s="239">
        <v>0</v>
      </c>
      <c r="FE6" s="239">
        <v>-47172</v>
      </c>
      <c r="FF6" s="239">
        <v>-2033474</v>
      </c>
      <c r="FG6" s="239">
        <v>0</v>
      </c>
      <c r="FH6" s="239">
        <v>-2033474</v>
      </c>
      <c r="FI6" s="239">
        <v>-307331</v>
      </c>
      <c r="FJ6" s="239">
        <v>0</v>
      </c>
      <c r="FK6" s="239">
        <v>-307331</v>
      </c>
      <c r="FL6" s="239">
        <v>-30635</v>
      </c>
      <c r="FM6" s="239">
        <v>0</v>
      </c>
      <c r="FN6" s="239">
        <v>-30635</v>
      </c>
      <c r="FO6" s="239">
        <v>-271024</v>
      </c>
      <c r="FP6" s="239">
        <v>0</v>
      </c>
      <c r="FQ6" s="239">
        <v>-271024</v>
      </c>
      <c r="FR6" s="239">
        <v>0</v>
      </c>
      <c r="FS6" s="239">
        <v>0</v>
      </c>
      <c r="FT6" s="239">
        <v>0</v>
      </c>
      <c r="FU6" s="239">
        <v>-2689636</v>
      </c>
      <c r="FV6" s="239">
        <v>0</v>
      </c>
      <c r="FW6" s="239">
        <v>-2689636</v>
      </c>
      <c r="FX6" s="239">
        <v>19201042</v>
      </c>
      <c r="FY6" s="239">
        <v>0</v>
      </c>
      <c r="FZ6" s="239">
        <v>19201042</v>
      </c>
      <c r="GA6" s="214" t="s">
        <v>1294</v>
      </c>
    </row>
    <row r="7" spans="2:183" s="214" customFormat="1" x14ac:dyDescent="0.2">
      <c r="B7" s="610" t="s">
        <v>97</v>
      </c>
      <c r="C7" s="610" t="s">
        <v>96</v>
      </c>
      <c r="D7" s="239">
        <v>0</v>
      </c>
      <c r="E7" s="239">
        <v>0</v>
      </c>
      <c r="F7" s="239">
        <v>0</v>
      </c>
      <c r="G7" s="239">
        <v>316153</v>
      </c>
      <c r="H7" s="239">
        <v>0</v>
      </c>
      <c r="I7" s="239">
        <v>316153</v>
      </c>
      <c r="J7" s="239">
        <v>0</v>
      </c>
      <c r="K7" s="239">
        <v>0</v>
      </c>
      <c r="L7" s="239">
        <v>0</v>
      </c>
      <c r="M7" s="239">
        <v>17725</v>
      </c>
      <c r="N7" s="239">
        <v>0</v>
      </c>
      <c r="O7" s="239">
        <v>17725</v>
      </c>
      <c r="P7" s="239">
        <v>333878</v>
      </c>
      <c r="Q7" s="239">
        <v>0</v>
      </c>
      <c r="R7" s="239">
        <v>333878</v>
      </c>
      <c r="S7" s="239">
        <v>-3424212</v>
      </c>
      <c r="T7" s="239">
        <v>0</v>
      </c>
      <c r="U7" s="239">
        <v>-3424212</v>
      </c>
      <c r="V7" s="239">
        <v>-5961</v>
      </c>
      <c r="W7" s="239">
        <v>0</v>
      </c>
      <c r="X7" s="239">
        <v>-5961</v>
      </c>
      <c r="Y7" s="239">
        <v>-201153</v>
      </c>
      <c r="Z7" s="239">
        <v>0</v>
      </c>
      <c r="AA7" s="239">
        <v>-201153</v>
      </c>
      <c r="AB7" s="239">
        <v>-101846</v>
      </c>
      <c r="AC7" s="239">
        <v>0</v>
      </c>
      <c r="AD7" s="239">
        <v>-101846</v>
      </c>
      <c r="AE7" s="239">
        <v>-3948</v>
      </c>
      <c r="AF7" s="239">
        <v>0</v>
      </c>
      <c r="AG7" s="239">
        <v>-3948</v>
      </c>
      <c r="AH7" s="239">
        <v>697444</v>
      </c>
      <c r="AI7" s="239">
        <v>0</v>
      </c>
      <c r="AJ7" s="239">
        <v>697444</v>
      </c>
      <c r="AK7" s="239">
        <v>-15292</v>
      </c>
      <c r="AL7" s="239">
        <v>0</v>
      </c>
      <c r="AM7" s="239">
        <v>-15292</v>
      </c>
      <c r="AN7" s="239">
        <v>-1848305</v>
      </c>
      <c r="AO7" s="239">
        <v>0</v>
      </c>
      <c r="AP7" s="239">
        <v>-1848305</v>
      </c>
      <c r="AQ7" s="239">
        <v>-98213</v>
      </c>
      <c r="AR7" s="239">
        <v>0</v>
      </c>
      <c r="AS7" s="239">
        <v>-98213</v>
      </c>
      <c r="AT7" s="239">
        <v>-63124</v>
      </c>
      <c r="AU7" s="239">
        <v>0</v>
      </c>
      <c r="AV7" s="239">
        <v>-63124</v>
      </c>
      <c r="AW7" s="239">
        <v>0</v>
      </c>
      <c r="AX7" s="239">
        <v>0</v>
      </c>
      <c r="AY7" s="239">
        <v>0</v>
      </c>
      <c r="AZ7" s="239">
        <v>-37517</v>
      </c>
      <c r="BA7" s="239">
        <v>0</v>
      </c>
      <c r="BB7" s="239">
        <v>-37517</v>
      </c>
      <c r="BC7" s="239">
        <v>-59</v>
      </c>
      <c r="BD7" s="239">
        <v>0</v>
      </c>
      <c r="BE7" s="239">
        <v>-59</v>
      </c>
      <c r="BF7" s="239">
        <v>-4990431</v>
      </c>
      <c r="BG7" s="239">
        <v>0</v>
      </c>
      <c r="BH7" s="239">
        <v>-4990431</v>
      </c>
      <c r="BI7" s="239">
        <v>-63254</v>
      </c>
      <c r="BJ7" s="239">
        <v>0</v>
      </c>
      <c r="BK7" s="239">
        <v>-63254</v>
      </c>
      <c r="BL7" s="239">
        <v>-15563</v>
      </c>
      <c r="BM7" s="239">
        <v>0</v>
      </c>
      <c r="BN7" s="239">
        <v>-15563</v>
      </c>
      <c r="BO7" s="239">
        <v>-739110</v>
      </c>
      <c r="BP7" s="239">
        <v>0</v>
      </c>
      <c r="BQ7" s="239">
        <v>-739110</v>
      </c>
      <c r="BR7" s="239">
        <v>97723</v>
      </c>
      <c r="BS7" s="239">
        <v>0</v>
      </c>
      <c r="BT7" s="239">
        <v>97723</v>
      </c>
      <c r="BU7" s="239">
        <v>-720204</v>
      </c>
      <c r="BV7" s="239">
        <v>0</v>
      </c>
      <c r="BW7" s="239">
        <v>-720204</v>
      </c>
      <c r="BX7" s="239">
        <v>-139915</v>
      </c>
      <c r="BY7" s="239">
        <v>0</v>
      </c>
      <c r="BZ7" s="239">
        <v>-139915</v>
      </c>
      <c r="CA7" s="239">
        <v>-4037</v>
      </c>
      <c r="CB7" s="239">
        <v>0</v>
      </c>
      <c r="CC7" s="239">
        <v>-4037</v>
      </c>
      <c r="CD7" s="239">
        <v>-99536</v>
      </c>
      <c r="CE7" s="239">
        <v>0</v>
      </c>
      <c r="CF7" s="239">
        <v>-99536</v>
      </c>
      <c r="CG7" s="239">
        <v>0</v>
      </c>
      <c r="CH7" s="239">
        <v>0</v>
      </c>
      <c r="CI7" s="239">
        <v>0</v>
      </c>
      <c r="CJ7" s="239">
        <v>-1232</v>
      </c>
      <c r="CK7" s="239">
        <v>0</v>
      </c>
      <c r="CL7" s="239">
        <v>-1232</v>
      </c>
      <c r="CM7" s="239">
        <v>0</v>
      </c>
      <c r="CN7" s="239">
        <v>0</v>
      </c>
      <c r="CO7" s="239">
        <v>0</v>
      </c>
      <c r="CP7" s="239">
        <v>-1712</v>
      </c>
      <c r="CQ7" s="239">
        <v>0</v>
      </c>
      <c r="CR7" s="239">
        <v>-1712</v>
      </c>
      <c r="CS7" s="239">
        <v>0</v>
      </c>
      <c r="CT7" s="239">
        <v>0</v>
      </c>
      <c r="CU7" s="239">
        <v>0</v>
      </c>
      <c r="CV7" s="239">
        <v>0</v>
      </c>
      <c r="CW7" s="239">
        <v>0</v>
      </c>
      <c r="CX7" s="239">
        <v>0</v>
      </c>
      <c r="CY7" s="239">
        <v>0</v>
      </c>
      <c r="CZ7" s="239">
        <v>0</v>
      </c>
      <c r="DA7" s="239">
        <v>0</v>
      </c>
      <c r="DB7" s="239">
        <v>0</v>
      </c>
      <c r="DC7" s="239">
        <v>0</v>
      </c>
      <c r="DD7" s="239">
        <v>0</v>
      </c>
      <c r="DE7" s="239">
        <v>0</v>
      </c>
      <c r="DF7" s="239">
        <v>0</v>
      </c>
      <c r="DG7" s="239">
        <v>0</v>
      </c>
      <c r="DH7" s="239">
        <v>0</v>
      </c>
      <c r="DI7" s="239">
        <v>0</v>
      </c>
      <c r="DJ7" s="239">
        <v>-246432</v>
      </c>
      <c r="DK7" s="239">
        <v>0</v>
      </c>
      <c r="DL7" s="239">
        <v>-246432</v>
      </c>
      <c r="DM7" s="239">
        <v>0</v>
      </c>
      <c r="DN7" s="239">
        <v>0</v>
      </c>
      <c r="DO7" s="239">
        <v>0</v>
      </c>
      <c r="DP7" s="239">
        <v>0</v>
      </c>
      <c r="DQ7" s="239">
        <v>0</v>
      </c>
      <c r="DR7" s="239">
        <v>0</v>
      </c>
      <c r="DS7" s="239">
        <v>-33761</v>
      </c>
      <c r="DT7" s="239">
        <v>0</v>
      </c>
      <c r="DU7" s="239">
        <v>-33761</v>
      </c>
      <c r="DV7" s="239">
        <v>0</v>
      </c>
      <c r="DW7" s="239">
        <v>0</v>
      </c>
      <c r="DX7" s="239">
        <v>0</v>
      </c>
      <c r="DY7" s="239">
        <v>-669359</v>
      </c>
      <c r="DZ7" s="239">
        <v>0</v>
      </c>
      <c r="EA7" s="239">
        <v>-669359</v>
      </c>
      <c r="EB7" s="239">
        <v>-2511</v>
      </c>
      <c r="EC7" s="239">
        <v>0</v>
      </c>
      <c r="ED7" s="239">
        <v>-2511</v>
      </c>
      <c r="EE7" s="239">
        <v>-422719</v>
      </c>
      <c r="EF7" s="239">
        <v>0</v>
      </c>
      <c r="EG7" s="239">
        <v>-422719</v>
      </c>
      <c r="EH7" s="239">
        <v>0</v>
      </c>
      <c r="EI7" s="239">
        <v>0</v>
      </c>
      <c r="EJ7" s="239">
        <v>0</v>
      </c>
      <c r="EK7" s="239">
        <v>-15224</v>
      </c>
      <c r="EL7" s="239">
        <v>0</v>
      </c>
      <c r="EM7" s="239">
        <v>-15224</v>
      </c>
      <c r="EN7" s="239">
        <v>-1143574</v>
      </c>
      <c r="EO7" s="239">
        <v>0</v>
      </c>
      <c r="EP7" s="239">
        <v>-1143574</v>
      </c>
      <c r="EQ7" s="239">
        <v>0</v>
      </c>
      <c r="ER7" s="239">
        <v>0</v>
      </c>
      <c r="ES7" s="239">
        <v>0</v>
      </c>
      <c r="ET7" s="239">
        <v>0</v>
      </c>
      <c r="EU7" s="239">
        <v>0</v>
      </c>
      <c r="EV7" s="239">
        <v>0</v>
      </c>
      <c r="EW7" s="239">
        <v>0</v>
      </c>
      <c r="EX7" s="239">
        <v>0</v>
      </c>
      <c r="EY7" s="239">
        <v>0</v>
      </c>
      <c r="EZ7" s="239">
        <v>33147360</v>
      </c>
      <c r="FA7" s="239">
        <v>0</v>
      </c>
      <c r="FB7" s="239">
        <v>33147360</v>
      </c>
      <c r="FC7" s="239">
        <v>333878</v>
      </c>
      <c r="FD7" s="239">
        <v>0</v>
      </c>
      <c r="FE7" s="239">
        <v>333878</v>
      </c>
      <c r="FF7" s="239">
        <v>-4990431</v>
      </c>
      <c r="FG7" s="239">
        <v>0</v>
      </c>
      <c r="FH7" s="239">
        <v>-4990431</v>
      </c>
      <c r="FI7" s="239">
        <v>-720204</v>
      </c>
      <c r="FJ7" s="239">
        <v>0</v>
      </c>
      <c r="FK7" s="239">
        <v>-720204</v>
      </c>
      <c r="FL7" s="239">
        <v>-246432</v>
      </c>
      <c r="FM7" s="239">
        <v>0</v>
      </c>
      <c r="FN7" s="239">
        <v>-246432</v>
      </c>
      <c r="FO7" s="239">
        <v>-1143574</v>
      </c>
      <c r="FP7" s="239">
        <v>0</v>
      </c>
      <c r="FQ7" s="239">
        <v>-1143574</v>
      </c>
      <c r="FR7" s="239">
        <v>0</v>
      </c>
      <c r="FS7" s="239">
        <v>0</v>
      </c>
      <c r="FT7" s="239">
        <v>0</v>
      </c>
      <c r="FU7" s="239">
        <v>-6766763</v>
      </c>
      <c r="FV7" s="239">
        <v>0</v>
      </c>
      <c r="FW7" s="239">
        <v>-6766763</v>
      </c>
      <c r="FX7" s="239">
        <v>26380597</v>
      </c>
      <c r="FY7" s="239">
        <v>0</v>
      </c>
      <c r="FZ7" s="239">
        <v>26380597</v>
      </c>
      <c r="GA7" s="214" t="s">
        <v>1294</v>
      </c>
    </row>
    <row r="8" spans="2:183" s="214" customFormat="1" x14ac:dyDescent="0.2">
      <c r="B8" s="610" t="s">
        <v>99</v>
      </c>
      <c r="C8" s="610" t="s">
        <v>98</v>
      </c>
      <c r="D8" s="239">
        <v>0</v>
      </c>
      <c r="E8" s="239">
        <v>0</v>
      </c>
      <c r="F8" s="239">
        <v>0</v>
      </c>
      <c r="G8" s="239">
        <v>-7354</v>
      </c>
      <c r="H8" s="239">
        <v>0</v>
      </c>
      <c r="I8" s="239">
        <v>-7354</v>
      </c>
      <c r="J8" s="239">
        <v>0</v>
      </c>
      <c r="K8" s="239">
        <v>0</v>
      </c>
      <c r="L8" s="239">
        <v>0</v>
      </c>
      <c r="M8" s="239">
        <v>-46165</v>
      </c>
      <c r="N8" s="239">
        <v>0</v>
      </c>
      <c r="O8" s="239">
        <v>-46165</v>
      </c>
      <c r="P8" s="239">
        <v>-53519</v>
      </c>
      <c r="Q8" s="239">
        <v>0</v>
      </c>
      <c r="R8" s="239">
        <v>-53519</v>
      </c>
      <c r="S8" s="239">
        <v>-2804879</v>
      </c>
      <c r="T8" s="239">
        <v>0</v>
      </c>
      <c r="U8" s="239">
        <v>-2804879</v>
      </c>
      <c r="V8" s="239">
        <v>-937</v>
      </c>
      <c r="W8" s="239">
        <v>0</v>
      </c>
      <c r="X8" s="239">
        <v>-937</v>
      </c>
      <c r="Y8" s="239">
        <v>-54647</v>
      </c>
      <c r="Z8" s="239">
        <v>0</v>
      </c>
      <c r="AA8" s="239">
        <v>-54647</v>
      </c>
      <c r="AB8" s="239">
        <v>-45722</v>
      </c>
      <c r="AC8" s="239">
        <v>0</v>
      </c>
      <c r="AD8" s="239">
        <v>-45722</v>
      </c>
      <c r="AE8" s="239">
        <v>0</v>
      </c>
      <c r="AF8" s="239">
        <v>0</v>
      </c>
      <c r="AG8" s="239">
        <v>0</v>
      </c>
      <c r="AH8" s="239">
        <v>824102</v>
      </c>
      <c r="AI8" s="239">
        <v>0</v>
      </c>
      <c r="AJ8" s="239">
        <v>824102</v>
      </c>
      <c r="AK8" s="239">
        <v>-1714</v>
      </c>
      <c r="AL8" s="239">
        <v>0</v>
      </c>
      <c r="AM8" s="239">
        <v>-1714</v>
      </c>
      <c r="AN8" s="239">
        <v>-1415099</v>
      </c>
      <c r="AO8" s="239">
        <v>0</v>
      </c>
      <c r="AP8" s="239">
        <v>-1415099</v>
      </c>
      <c r="AQ8" s="239">
        <v>19383</v>
      </c>
      <c r="AR8" s="239">
        <v>0</v>
      </c>
      <c r="AS8" s="239">
        <v>19383</v>
      </c>
      <c r="AT8" s="239">
        <v>-41609</v>
      </c>
      <c r="AU8" s="239">
        <v>0</v>
      </c>
      <c r="AV8" s="239">
        <v>-41609</v>
      </c>
      <c r="AW8" s="239">
        <v>0</v>
      </c>
      <c r="AX8" s="239">
        <v>0</v>
      </c>
      <c r="AY8" s="239">
        <v>0</v>
      </c>
      <c r="AZ8" s="239">
        <v>-21992</v>
      </c>
      <c r="BA8" s="239">
        <v>0</v>
      </c>
      <c r="BB8" s="239">
        <v>-21992</v>
      </c>
      <c r="BC8" s="239">
        <v>643</v>
      </c>
      <c r="BD8" s="239">
        <v>0</v>
      </c>
      <c r="BE8" s="239">
        <v>643</v>
      </c>
      <c r="BF8" s="239">
        <v>-3495812</v>
      </c>
      <c r="BG8" s="239">
        <v>0</v>
      </c>
      <c r="BH8" s="239">
        <v>-3495812</v>
      </c>
      <c r="BI8" s="239">
        <v>-48547</v>
      </c>
      <c r="BJ8" s="239">
        <v>0</v>
      </c>
      <c r="BK8" s="239">
        <v>-48547</v>
      </c>
      <c r="BL8" s="239">
        <v>-3052</v>
      </c>
      <c r="BM8" s="239">
        <v>0</v>
      </c>
      <c r="BN8" s="239">
        <v>-3052</v>
      </c>
      <c r="BO8" s="239">
        <v>-1077472</v>
      </c>
      <c r="BP8" s="239">
        <v>0</v>
      </c>
      <c r="BQ8" s="239">
        <v>-1077472</v>
      </c>
      <c r="BR8" s="239">
        <v>34668</v>
      </c>
      <c r="BS8" s="239">
        <v>0</v>
      </c>
      <c r="BT8" s="239">
        <v>34668</v>
      </c>
      <c r="BU8" s="239">
        <v>-1094403</v>
      </c>
      <c r="BV8" s="239">
        <v>0</v>
      </c>
      <c r="BW8" s="239">
        <v>-1094403</v>
      </c>
      <c r="BX8" s="239">
        <v>-46499</v>
      </c>
      <c r="BY8" s="239">
        <v>0</v>
      </c>
      <c r="BZ8" s="239">
        <v>-46499</v>
      </c>
      <c r="CA8" s="239">
        <v>153</v>
      </c>
      <c r="CB8" s="239">
        <v>0</v>
      </c>
      <c r="CC8" s="239">
        <v>153</v>
      </c>
      <c r="CD8" s="239">
        <v>-360654</v>
      </c>
      <c r="CE8" s="239">
        <v>0</v>
      </c>
      <c r="CF8" s="239">
        <v>-360654</v>
      </c>
      <c r="CG8" s="239">
        <v>-18</v>
      </c>
      <c r="CH8" s="239">
        <v>0</v>
      </c>
      <c r="CI8" s="239">
        <v>-18</v>
      </c>
      <c r="CJ8" s="239">
        <v>0</v>
      </c>
      <c r="CK8" s="239">
        <v>0</v>
      </c>
      <c r="CL8" s="239">
        <v>0</v>
      </c>
      <c r="CM8" s="239">
        <v>0</v>
      </c>
      <c r="CN8" s="239">
        <v>0</v>
      </c>
      <c r="CO8" s="239">
        <v>0</v>
      </c>
      <c r="CP8" s="239">
        <v>-21991</v>
      </c>
      <c r="CQ8" s="239">
        <v>0</v>
      </c>
      <c r="CR8" s="239">
        <v>-21991</v>
      </c>
      <c r="CS8" s="239">
        <v>643</v>
      </c>
      <c r="CT8" s="239">
        <v>0</v>
      </c>
      <c r="CU8" s="239">
        <v>643</v>
      </c>
      <c r="CV8" s="239">
        <v>-2122</v>
      </c>
      <c r="CW8" s="239">
        <v>0</v>
      </c>
      <c r="CX8" s="239">
        <v>-2122</v>
      </c>
      <c r="CY8" s="239">
        <v>0</v>
      </c>
      <c r="CZ8" s="239">
        <v>0</v>
      </c>
      <c r="DA8" s="239">
        <v>0</v>
      </c>
      <c r="DB8" s="239">
        <v>0</v>
      </c>
      <c r="DC8" s="239">
        <v>0</v>
      </c>
      <c r="DD8" s="239">
        <v>0</v>
      </c>
      <c r="DE8" s="239">
        <v>0</v>
      </c>
      <c r="DF8" s="239">
        <v>0</v>
      </c>
      <c r="DG8" s="239">
        <v>0</v>
      </c>
      <c r="DH8" s="239">
        <v>0</v>
      </c>
      <c r="DI8" s="239">
        <v>0</v>
      </c>
      <c r="DJ8" s="239">
        <v>-430488</v>
      </c>
      <c r="DK8" s="239">
        <v>0</v>
      </c>
      <c r="DL8" s="239">
        <v>-430488</v>
      </c>
      <c r="DM8" s="239">
        <v>0</v>
      </c>
      <c r="DN8" s="239">
        <v>0</v>
      </c>
      <c r="DO8" s="239">
        <v>0</v>
      </c>
      <c r="DP8" s="239">
        <v>0</v>
      </c>
      <c r="DQ8" s="239">
        <v>0</v>
      </c>
      <c r="DR8" s="239">
        <v>0</v>
      </c>
      <c r="DS8" s="239">
        <v>-25678</v>
      </c>
      <c r="DT8" s="239">
        <v>0</v>
      </c>
      <c r="DU8" s="239">
        <v>-25678</v>
      </c>
      <c r="DV8" s="239">
        <v>134</v>
      </c>
      <c r="DW8" s="239">
        <v>0</v>
      </c>
      <c r="DX8" s="239">
        <v>134</v>
      </c>
      <c r="DY8" s="239">
        <v>-658929</v>
      </c>
      <c r="DZ8" s="239">
        <v>0</v>
      </c>
      <c r="EA8" s="239">
        <v>-658929</v>
      </c>
      <c r="EB8" s="239">
        <v>-980</v>
      </c>
      <c r="EC8" s="239">
        <v>0</v>
      </c>
      <c r="ED8" s="239">
        <v>-980</v>
      </c>
      <c r="EE8" s="239">
        <v>0</v>
      </c>
      <c r="EF8" s="239">
        <v>0</v>
      </c>
      <c r="EG8" s="239">
        <v>0</v>
      </c>
      <c r="EH8" s="239">
        <v>0</v>
      </c>
      <c r="EI8" s="239">
        <v>0</v>
      </c>
      <c r="EJ8" s="239">
        <v>0</v>
      </c>
      <c r="EK8" s="239">
        <v>-22576</v>
      </c>
      <c r="EL8" s="239">
        <v>0</v>
      </c>
      <c r="EM8" s="239">
        <v>-22576</v>
      </c>
      <c r="EN8" s="239">
        <v>-708029</v>
      </c>
      <c r="EO8" s="239">
        <v>0</v>
      </c>
      <c r="EP8" s="239">
        <v>-708029</v>
      </c>
      <c r="EQ8" s="239">
        <v>0</v>
      </c>
      <c r="ER8" s="239">
        <v>0</v>
      </c>
      <c r="ES8" s="239">
        <v>0</v>
      </c>
      <c r="ET8" s="239">
        <v>0</v>
      </c>
      <c r="EU8" s="239">
        <v>0</v>
      </c>
      <c r="EV8" s="239">
        <v>0</v>
      </c>
      <c r="EW8" s="239">
        <v>0</v>
      </c>
      <c r="EX8" s="239">
        <v>0</v>
      </c>
      <c r="EY8" s="239">
        <v>0</v>
      </c>
      <c r="EZ8" s="239">
        <v>37267624</v>
      </c>
      <c r="FA8" s="239">
        <v>0</v>
      </c>
      <c r="FB8" s="239">
        <v>37267624</v>
      </c>
      <c r="FC8" s="239">
        <v>-53519</v>
      </c>
      <c r="FD8" s="239">
        <v>0</v>
      </c>
      <c r="FE8" s="239">
        <v>-53519</v>
      </c>
      <c r="FF8" s="239">
        <v>-3495812</v>
      </c>
      <c r="FG8" s="239">
        <v>0</v>
      </c>
      <c r="FH8" s="239">
        <v>-3495812</v>
      </c>
      <c r="FI8" s="239">
        <v>-1094403</v>
      </c>
      <c r="FJ8" s="239">
        <v>0</v>
      </c>
      <c r="FK8" s="239">
        <v>-1094403</v>
      </c>
      <c r="FL8" s="239">
        <v>-430488</v>
      </c>
      <c r="FM8" s="239">
        <v>0</v>
      </c>
      <c r="FN8" s="239">
        <v>-430488</v>
      </c>
      <c r="FO8" s="239">
        <v>-708029</v>
      </c>
      <c r="FP8" s="239">
        <v>0</v>
      </c>
      <c r="FQ8" s="239">
        <v>-708029</v>
      </c>
      <c r="FR8" s="239">
        <v>0</v>
      </c>
      <c r="FS8" s="239">
        <v>0</v>
      </c>
      <c r="FT8" s="239">
        <v>0</v>
      </c>
      <c r="FU8" s="239">
        <v>-5782251</v>
      </c>
      <c r="FV8" s="239">
        <v>0</v>
      </c>
      <c r="FW8" s="239">
        <v>-5782251</v>
      </c>
      <c r="FX8" s="239">
        <v>31485373</v>
      </c>
      <c r="FY8" s="239">
        <v>0</v>
      </c>
      <c r="FZ8" s="239">
        <v>31485373</v>
      </c>
      <c r="GA8" s="214" t="s">
        <v>1294</v>
      </c>
    </row>
    <row r="9" spans="2:183" s="214" customFormat="1" x14ac:dyDescent="0.2">
      <c r="B9" s="610" t="s">
        <v>101</v>
      </c>
      <c r="C9" s="610" t="s">
        <v>100</v>
      </c>
      <c r="D9" s="239">
        <v>0</v>
      </c>
      <c r="E9" s="239">
        <v>0</v>
      </c>
      <c r="F9" s="239">
        <v>0</v>
      </c>
      <c r="G9" s="239">
        <v>-56837</v>
      </c>
      <c r="H9" s="239">
        <v>0</v>
      </c>
      <c r="I9" s="239">
        <v>-56837</v>
      </c>
      <c r="J9" s="239">
        <v>0</v>
      </c>
      <c r="K9" s="239">
        <v>0</v>
      </c>
      <c r="L9" s="239">
        <v>0</v>
      </c>
      <c r="M9" s="239">
        <v>6546</v>
      </c>
      <c r="N9" s="239">
        <v>0</v>
      </c>
      <c r="O9" s="239">
        <v>6546</v>
      </c>
      <c r="P9" s="239">
        <v>-50291</v>
      </c>
      <c r="Q9" s="239">
        <v>0</v>
      </c>
      <c r="R9" s="239">
        <v>-50291</v>
      </c>
      <c r="S9" s="239">
        <v>-3426578</v>
      </c>
      <c r="T9" s="239">
        <v>0</v>
      </c>
      <c r="U9" s="239">
        <v>-3426578</v>
      </c>
      <c r="V9" s="239">
        <v>-19463</v>
      </c>
      <c r="W9" s="239">
        <v>0</v>
      </c>
      <c r="X9" s="239">
        <v>-19463</v>
      </c>
      <c r="Y9" s="239">
        <v>-205639</v>
      </c>
      <c r="Z9" s="239">
        <v>0</v>
      </c>
      <c r="AA9" s="239">
        <v>-205639</v>
      </c>
      <c r="AB9" s="239">
        <v>-133799</v>
      </c>
      <c r="AC9" s="239">
        <v>0</v>
      </c>
      <c r="AD9" s="239">
        <v>-133799</v>
      </c>
      <c r="AE9" s="239">
        <v>1328</v>
      </c>
      <c r="AF9" s="239">
        <v>0</v>
      </c>
      <c r="AG9" s="239">
        <v>1328</v>
      </c>
      <c r="AH9" s="239">
        <v>898607</v>
      </c>
      <c r="AI9" s="239">
        <v>0</v>
      </c>
      <c r="AJ9" s="239">
        <v>898607</v>
      </c>
      <c r="AK9" s="239">
        <v>19659</v>
      </c>
      <c r="AL9" s="239">
        <v>0</v>
      </c>
      <c r="AM9" s="239">
        <v>19659</v>
      </c>
      <c r="AN9" s="239">
        <v>-2738192</v>
      </c>
      <c r="AO9" s="239">
        <v>0</v>
      </c>
      <c r="AP9" s="239">
        <v>-2738192</v>
      </c>
      <c r="AQ9" s="239">
        <v>-20249</v>
      </c>
      <c r="AR9" s="239">
        <v>0</v>
      </c>
      <c r="AS9" s="239">
        <v>-20249</v>
      </c>
      <c r="AT9" s="239">
        <v>-84708</v>
      </c>
      <c r="AU9" s="239">
        <v>0</v>
      </c>
      <c r="AV9" s="239">
        <v>-84708</v>
      </c>
      <c r="AW9" s="239">
        <v>-149</v>
      </c>
      <c r="AX9" s="239">
        <v>0</v>
      </c>
      <c r="AY9" s="239">
        <v>-149</v>
      </c>
      <c r="AZ9" s="239">
        <v>-6051</v>
      </c>
      <c r="BA9" s="239">
        <v>0</v>
      </c>
      <c r="BB9" s="239">
        <v>-6051</v>
      </c>
      <c r="BC9" s="239">
        <v>0</v>
      </c>
      <c r="BD9" s="239">
        <v>0</v>
      </c>
      <c r="BE9" s="239">
        <v>0</v>
      </c>
      <c r="BF9" s="239">
        <v>-5563300</v>
      </c>
      <c r="BG9" s="239">
        <v>0</v>
      </c>
      <c r="BH9" s="239">
        <v>-5563300</v>
      </c>
      <c r="BI9" s="239">
        <v>-209417</v>
      </c>
      <c r="BJ9" s="239">
        <v>0</v>
      </c>
      <c r="BK9" s="239">
        <v>-209417</v>
      </c>
      <c r="BL9" s="239">
        <v>0</v>
      </c>
      <c r="BM9" s="239">
        <v>0</v>
      </c>
      <c r="BN9" s="239">
        <v>0</v>
      </c>
      <c r="BO9" s="239">
        <v>-596687</v>
      </c>
      <c r="BP9" s="239">
        <v>0</v>
      </c>
      <c r="BQ9" s="239">
        <v>-596687</v>
      </c>
      <c r="BR9" s="239">
        <v>-35865</v>
      </c>
      <c r="BS9" s="239">
        <v>0</v>
      </c>
      <c r="BT9" s="239">
        <v>-35865</v>
      </c>
      <c r="BU9" s="239">
        <v>-841969</v>
      </c>
      <c r="BV9" s="239">
        <v>0</v>
      </c>
      <c r="BW9" s="239">
        <v>-841969</v>
      </c>
      <c r="BX9" s="239">
        <v>-112056</v>
      </c>
      <c r="BY9" s="239">
        <v>0</v>
      </c>
      <c r="BZ9" s="239">
        <v>-112056</v>
      </c>
      <c r="CA9" s="239">
        <v>233</v>
      </c>
      <c r="CB9" s="239">
        <v>0</v>
      </c>
      <c r="CC9" s="239">
        <v>233</v>
      </c>
      <c r="CD9" s="239">
        <v>-13192</v>
      </c>
      <c r="CE9" s="239">
        <v>0</v>
      </c>
      <c r="CF9" s="239">
        <v>-13192</v>
      </c>
      <c r="CG9" s="239">
        <v>-5148</v>
      </c>
      <c r="CH9" s="239">
        <v>0</v>
      </c>
      <c r="CI9" s="239">
        <v>-5148</v>
      </c>
      <c r="CJ9" s="239">
        <v>-1007</v>
      </c>
      <c r="CK9" s="239">
        <v>0</v>
      </c>
      <c r="CL9" s="239">
        <v>-1007</v>
      </c>
      <c r="CM9" s="239">
        <v>0</v>
      </c>
      <c r="CN9" s="239">
        <v>0</v>
      </c>
      <c r="CO9" s="239">
        <v>0</v>
      </c>
      <c r="CP9" s="239">
        <v>-8152</v>
      </c>
      <c r="CQ9" s="239">
        <v>0</v>
      </c>
      <c r="CR9" s="239">
        <v>-8152</v>
      </c>
      <c r="CS9" s="239">
        <v>-286</v>
      </c>
      <c r="CT9" s="239">
        <v>0</v>
      </c>
      <c r="CU9" s="239">
        <v>-286</v>
      </c>
      <c r="CV9" s="239">
        <v>0</v>
      </c>
      <c r="CW9" s="239">
        <v>0</v>
      </c>
      <c r="CX9" s="239">
        <v>0</v>
      </c>
      <c r="CY9" s="239">
        <v>0</v>
      </c>
      <c r="CZ9" s="239">
        <v>0</v>
      </c>
      <c r="DA9" s="239">
        <v>0</v>
      </c>
      <c r="DB9" s="239">
        <v>0</v>
      </c>
      <c r="DC9" s="239">
        <v>0</v>
      </c>
      <c r="DD9" s="239">
        <v>0</v>
      </c>
      <c r="DE9" s="239">
        <v>0</v>
      </c>
      <c r="DF9" s="239">
        <v>0</v>
      </c>
      <c r="DG9" s="239">
        <v>0</v>
      </c>
      <c r="DH9" s="239">
        <v>0</v>
      </c>
      <c r="DI9" s="239">
        <v>0</v>
      </c>
      <c r="DJ9" s="239">
        <v>-139608</v>
      </c>
      <c r="DK9" s="239">
        <v>0</v>
      </c>
      <c r="DL9" s="239">
        <v>-139608</v>
      </c>
      <c r="DM9" s="239">
        <v>0</v>
      </c>
      <c r="DN9" s="239">
        <v>0</v>
      </c>
      <c r="DO9" s="239">
        <v>0</v>
      </c>
      <c r="DP9" s="239">
        <v>0</v>
      </c>
      <c r="DQ9" s="239">
        <v>0</v>
      </c>
      <c r="DR9" s="239">
        <v>0</v>
      </c>
      <c r="DS9" s="239">
        <v>-19075</v>
      </c>
      <c r="DT9" s="239">
        <v>0</v>
      </c>
      <c r="DU9" s="239">
        <v>-19075</v>
      </c>
      <c r="DV9" s="239">
        <v>-384</v>
      </c>
      <c r="DW9" s="239">
        <v>0</v>
      </c>
      <c r="DX9" s="239">
        <v>-384</v>
      </c>
      <c r="DY9" s="239">
        <v>-888862</v>
      </c>
      <c r="DZ9" s="239">
        <v>0</v>
      </c>
      <c r="EA9" s="239">
        <v>-888862</v>
      </c>
      <c r="EB9" s="239">
        <v>-9443</v>
      </c>
      <c r="EC9" s="239">
        <v>0</v>
      </c>
      <c r="ED9" s="239">
        <v>-9443</v>
      </c>
      <c r="EE9" s="239">
        <v>0</v>
      </c>
      <c r="EF9" s="239">
        <v>0</v>
      </c>
      <c r="EG9" s="239">
        <v>0</v>
      </c>
      <c r="EH9" s="239">
        <v>0</v>
      </c>
      <c r="EI9" s="239">
        <v>0</v>
      </c>
      <c r="EJ9" s="239">
        <v>0</v>
      </c>
      <c r="EK9" s="239">
        <v>-5285</v>
      </c>
      <c r="EL9" s="239">
        <v>0</v>
      </c>
      <c r="EM9" s="239">
        <v>-5285</v>
      </c>
      <c r="EN9" s="239">
        <v>-923049</v>
      </c>
      <c r="EO9" s="239">
        <v>0</v>
      </c>
      <c r="EP9" s="239">
        <v>-923049</v>
      </c>
      <c r="EQ9" s="239">
        <v>0</v>
      </c>
      <c r="ER9" s="239">
        <v>0</v>
      </c>
      <c r="ES9" s="239">
        <v>0</v>
      </c>
      <c r="ET9" s="239">
        <v>0</v>
      </c>
      <c r="EU9" s="239">
        <v>0</v>
      </c>
      <c r="EV9" s="239">
        <v>0</v>
      </c>
      <c r="EW9" s="239">
        <v>0</v>
      </c>
      <c r="EX9" s="239">
        <v>0</v>
      </c>
      <c r="EY9" s="239">
        <v>0</v>
      </c>
      <c r="EZ9" s="239">
        <v>41388043</v>
      </c>
      <c r="FA9" s="239">
        <v>0</v>
      </c>
      <c r="FB9" s="239">
        <v>41388043</v>
      </c>
      <c r="FC9" s="239">
        <v>-50291</v>
      </c>
      <c r="FD9" s="239">
        <v>0</v>
      </c>
      <c r="FE9" s="239">
        <v>-50291</v>
      </c>
      <c r="FF9" s="239">
        <v>-5563300</v>
      </c>
      <c r="FG9" s="239">
        <v>0</v>
      </c>
      <c r="FH9" s="239">
        <v>-5563300</v>
      </c>
      <c r="FI9" s="239">
        <v>-841969</v>
      </c>
      <c r="FJ9" s="239">
        <v>0</v>
      </c>
      <c r="FK9" s="239">
        <v>-841969</v>
      </c>
      <c r="FL9" s="239">
        <v>-139608</v>
      </c>
      <c r="FM9" s="239">
        <v>0</v>
      </c>
      <c r="FN9" s="239">
        <v>-139608</v>
      </c>
      <c r="FO9" s="239">
        <v>-923049</v>
      </c>
      <c r="FP9" s="239">
        <v>0</v>
      </c>
      <c r="FQ9" s="239">
        <v>-923049</v>
      </c>
      <c r="FR9" s="239">
        <v>0</v>
      </c>
      <c r="FS9" s="239">
        <v>0</v>
      </c>
      <c r="FT9" s="239">
        <v>0</v>
      </c>
      <c r="FU9" s="239">
        <v>-7518217</v>
      </c>
      <c r="FV9" s="239">
        <v>0</v>
      </c>
      <c r="FW9" s="239">
        <v>-7518217</v>
      </c>
      <c r="FX9" s="239">
        <v>33869826</v>
      </c>
      <c r="FY9" s="239">
        <v>0</v>
      </c>
      <c r="FZ9" s="239">
        <v>33869826</v>
      </c>
      <c r="GA9" s="214" t="s">
        <v>1294</v>
      </c>
    </row>
    <row r="10" spans="2:183" s="214" customFormat="1" x14ac:dyDescent="0.2">
      <c r="B10" s="610" t="s">
        <v>103</v>
      </c>
      <c r="C10" s="610" t="s">
        <v>102</v>
      </c>
      <c r="D10" s="239">
        <v>0</v>
      </c>
      <c r="E10" s="239">
        <v>0</v>
      </c>
      <c r="F10" s="239">
        <v>0</v>
      </c>
      <c r="G10" s="239">
        <v>-483</v>
      </c>
      <c r="H10" s="239">
        <v>0</v>
      </c>
      <c r="I10" s="239">
        <v>-483</v>
      </c>
      <c r="J10" s="239">
        <v>0</v>
      </c>
      <c r="K10" s="239">
        <v>0</v>
      </c>
      <c r="L10" s="239">
        <v>0</v>
      </c>
      <c r="M10" s="239">
        <v>13340</v>
      </c>
      <c r="N10" s="239">
        <v>0</v>
      </c>
      <c r="O10" s="239">
        <v>13340</v>
      </c>
      <c r="P10" s="239">
        <v>12857</v>
      </c>
      <c r="Q10" s="239">
        <v>0</v>
      </c>
      <c r="R10" s="239">
        <v>12857</v>
      </c>
      <c r="S10" s="239">
        <v>-1990485</v>
      </c>
      <c r="T10" s="239">
        <v>0</v>
      </c>
      <c r="U10" s="239">
        <v>-1990485</v>
      </c>
      <c r="V10" s="239">
        <v>-1428</v>
      </c>
      <c r="W10" s="239">
        <v>0</v>
      </c>
      <c r="X10" s="239">
        <v>-1428</v>
      </c>
      <c r="Y10" s="239">
        <v>-194837</v>
      </c>
      <c r="Z10" s="239">
        <v>0</v>
      </c>
      <c r="AA10" s="239">
        <v>-194837</v>
      </c>
      <c r="AB10" s="239">
        <v>0</v>
      </c>
      <c r="AC10" s="239">
        <v>0</v>
      </c>
      <c r="AD10" s="239">
        <v>0</v>
      </c>
      <c r="AE10" s="239">
        <v>-113790</v>
      </c>
      <c r="AF10" s="239">
        <v>0</v>
      </c>
      <c r="AG10" s="239">
        <v>-113790</v>
      </c>
      <c r="AH10" s="239">
        <v>910131</v>
      </c>
      <c r="AI10" s="239">
        <v>0</v>
      </c>
      <c r="AJ10" s="239">
        <v>910131</v>
      </c>
      <c r="AK10" s="239">
        <v>-4535</v>
      </c>
      <c r="AL10" s="239">
        <v>0</v>
      </c>
      <c r="AM10" s="239">
        <v>-4535</v>
      </c>
      <c r="AN10" s="239">
        <v>-1753519</v>
      </c>
      <c r="AO10" s="239">
        <v>0</v>
      </c>
      <c r="AP10" s="239">
        <v>-1753519</v>
      </c>
      <c r="AQ10" s="239">
        <v>3973</v>
      </c>
      <c r="AR10" s="239">
        <v>0</v>
      </c>
      <c r="AS10" s="239">
        <v>3973</v>
      </c>
      <c r="AT10" s="239">
        <v>-9537</v>
      </c>
      <c r="AU10" s="239">
        <v>0</v>
      </c>
      <c r="AV10" s="239">
        <v>-9537</v>
      </c>
      <c r="AW10" s="239">
        <v>0</v>
      </c>
      <c r="AX10" s="239">
        <v>0</v>
      </c>
      <c r="AY10" s="239">
        <v>0</v>
      </c>
      <c r="AZ10" s="239">
        <v>-13197</v>
      </c>
      <c r="BA10" s="239">
        <v>0</v>
      </c>
      <c r="BB10" s="239">
        <v>-13197</v>
      </c>
      <c r="BC10" s="239">
        <v>-533</v>
      </c>
      <c r="BD10" s="239">
        <v>0</v>
      </c>
      <c r="BE10" s="239">
        <v>-533</v>
      </c>
      <c r="BF10" s="239">
        <v>-3052539</v>
      </c>
      <c r="BG10" s="239">
        <v>0</v>
      </c>
      <c r="BH10" s="239">
        <v>-3052539</v>
      </c>
      <c r="BI10" s="239">
        <v>-4831</v>
      </c>
      <c r="BJ10" s="239">
        <v>0</v>
      </c>
      <c r="BK10" s="239">
        <v>-4831</v>
      </c>
      <c r="BL10" s="239">
        <v>-2313</v>
      </c>
      <c r="BM10" s="239">
        <v>0</v>
      </c>
      <c r="BN10" s="239">
        <v>-2313</v>
      </c>
      <c r="BO10" s="239">
        <v>-858141</v>
      </c>
      <c r="BP10" s="239">
        <v>0</v>
      </c>
      <c r="BQ10" s="239">
        <v>-858141</v>
      </c>
      <c r="BR10" s="239">
        <v>-275040</v>
      </c>
      <c r="BS10" s="239">
        <v>0</v>
      </c>
      <c r="BT10" s="239">
        <v>-275040</v>
      </c>
      <c r="BU10" s="239">
        <v>-1140325</v>
      </c>
      <c r="BV10" s="239">
        <v>0</v>
      </c>
      <c r="BW10" s="239">
        <v>-1140325</v>
      </c>
      <c r="BX10" s="239">
        <v>-114750</v>
      </c>
      <c r="BY10" s="239">
        <v>0</v>
      </c>
      <c r="BZ10" s="239">
        <v>-114750</v>
      </c>
      <c r="CA10" s="239">
        <v>-3089</v>
      </c>
      <c r="CB10" s="239">
        <v>0</v>
      </c>
      <c r="CC10" s="239">
        <v>-3089</v>
      </c>
      <c r="CD10" s="239">
        <v>-46955</v>
      </c>
      <c r="CE10" s="239">
        <v>0</v>
      </c>
      <c r="CF10" s="239">
        <v>-46955</v>
      </c>
      <c r="CG10" s="239">
        <v>0</v>
      </c>
      <c r="CH10" s="239">
        <v>0</v>
      </c>
      <c r="CI10" s="239">
        <v>0</v>
      </c>
      <c r="CJ10" s="239">
        <v>0</v>
      </c>
      <c r="CK10" s="239">
        <v>0</v>
      </c>
      <c r="CL10" s="239">
        <v>0</v>
      </c>
      <c r="CM10" s="239">
        <v>0</v>
      </c>
      <c r="CN10" s="239">
        <v>0</v>
      </c>
      <c r="CO10" s="239">
        <v>0</v>
      </c>
      <c r="CP10" s="239">
        <v>-7811</v>
      </c>
      <c r="CQ10" s="239">
        <v>0</v>
      </c>
      <c r="CR10" s="239">
        <v>-7811</v>
      </c>
      <c r="CS10" s="239">
        <v>0</v>
      </c>
      <c r="CT10" s="239">
        <v>0</v>
      </c>
      <c r="CU10" s="239">
        <v>0</v>
      </c>
      <c r="CV10" s="239">
        <v>0</v>
      </c>
      <c r="CW10" s="239">
        <v>0</v>
      </c>
      <c r="CX10" s="239">
        <v>0</v>
      </c>
      <c r="CY10" s="239">
        <v>925</v>
      </c>
      <c r="CZ10" s="239">
        <v>0</v>
      </c>
      <c r="DA10" s="239">
        <v>925</v>
      </c>
      <c r="DB10" s="239">
        <v>0</v>
      </c>
      <c r="DC10" s="239">
        <v>0</v>
      </c>
      <c r="DD10" s="239">
        <v>0</v>
      </c>
      <c r="DE10" s="239">
        <v>0</v>
      </c>
      <c r="DF10" s="239">
        <v>0</v>
      </c>
      <c r="DG10" s="239">
        <v>0</v>
      </c>
      <c r="DH10" s="239">
        <v>0</v>
      </c>
      <c r="DI10" s="239">
        <v>0</v>
      </c>
      <c r="DJ10" s="239">
        <v>-171680</v>
      </c>
      <c r="DK10" s="239">
        <v>0</v>
      </c>
      <c r="DL10" s="239">
        <v>-171680</v>
      </c>
      <c r="DM10" s="239">
        <v>0</v>
      </c>
      <c r="DN10" s="239">
        <v>0</v>
      </c>
      <c r="DO10" s="239">
        <v>0</v>
      </c>
      <c r="DP10" s="239">
        <v>0</v>
      </c>
      <c r="DQ10" s="239">
        <v>0</v>
      </c>
      <c r="DR10" s="239">
        <v>0</v>
      </c>
      <c r="DS10" s="239">
        <v>0</v>
      </c>
      <c r="DT10" s="239">
        <v>0</v>
      </c>
      <c r="DU10" s="239">
        <v>0</v>
      </c>
      <c r="DV10" s="239">
        <v>0</v>
      </c>
      <c r="DW10" s="239">
        <v>0</v>
      </c>
      <c r="DX10" s="239">
        <v>0</v>
      </c>
      <c r="DY10" s="239">
        <v>-325081</v>
      </c>
      <c r="DZ10" s="239">
        <v>0</v>
      </c>
      <c r="EA10" s="239">
        <v>-325081</v>
      </c>
      <c r="EB10" s="239">
        <v>-60741</v>
      </c>
      <c r="EC10" s="239">
        <v>0</v>
      </c>
      <c r="ED10" s="239">
        <v>-60741</v>
      </c>
      <c r="EE10" s="239">
        <v>0</v>
      </c>
      <c r="EF10" s="239">
        <v>0</v>
      </c>
      <c r="EG10" s="239">
        <v>0</v>
      </c>
      <c r="EH10" s="239">
        <v>0</v>
      </c>
      <c r="EI10" s="239">
        <v>0</v>
      </c>
      <c r="EJ10" s="239">
        <v>0</v>
      </c>
      <c r="EK10" s="239">
        <v>-3918</v>
      </c>
      <c r="EL10" s="239">
        <v>0</v>
      </c>
      <c r="EM10" s="239">
        <v>-3918</v>
      </c>
      <c r="EN10" s="239">
        <v>-389740</v>
      </c>
      <c r="EO10" s="239">
        <v>0</v>
      </c>
      <c r="EP10" s="239">
        <v>-389740</v>
      </c>
      <c r="EQ10" s="239">
        <v>0</v>
      </c>
      <c r="ER10" s="239">
        <v>0</v>
      </c>
      <c r="ES10" s="239">
        <v>0</v>
      </c>
      <c r="ET10" s="239">
        <v>0</v>
      </c>
      <c r="EU10" s="239">
        <v>0</v>
      </c>
      <c r="EV10" s="239">
        <v>0</v>
      </c>
      <c r="EW10" s="239">
        <v>0</v>
      </c>
      <c r="EX10" s="239">
        <v>0</v>
      </c>
      <c r="EY10" s="239">
        <v>0</v>
      </c>
      <c r="EZ10" s="239">
        <v>38408398</v>
      </c>
      <c r="FA10" s="239">
        <v>0</v>
      </c>
      <c r="FB10" s="239">
        <v>38408398</v>
      </c>
      <c r="FC10" s="239">
        <v>12857</v>
      </c>
      <c r="FD10" s="239">
        <v>0</v>
      </c>
      <c r="FE10" s="239">
        <v>12857</v>
      </c>
      <c r="FF10" s="239">
        <v>-3052539</v>
      </c>
      <c r="FG10" s="239">
        <v>0</v>
      </c>
      <c r="FH10" s="239">
        <v>-3052539</v>
      </c>
      <c r="FI10" s="239">
        <v>-1140325</v>
      </c>
      <c r="FJ10" s="239">
        <v>0</v>
      </c>
      <c r="FK10" s="239">
        <v>-1140325</v>
      </c>
      <c r="FL10" s="239">
        <v>-171680</v>
      </c>
      <c r="FM10" s="239">
        <v>0</v>
      </c>
      <c r="FN10" s="239">
        <v>-171680</v>
      </c>
      <c r="FO10" s="239">
        <v>-389740</v>
      </c>
      <c r="FP10" s="239">
        <v>0</v>
      </c>
      <c r="FQ10" s="239">
        <v>-389740</v>
      </c>
      <c r="FR10" s="239">
        <v>0</v>
      </c>
      <c r="FS10" s="239">
        <v>0</v>
      </c>
      <c r="FT10" s="239">
        <v>0</v>
      </c>
      <c r="FU10" s="239">
        <v>-4741427</v>
      </c>
      <c r="FV10" s="239">
        <v>0</v>
      </c>
      <c r="FW10" s="239">
        <v>-4741427</v>
      </c>
      <c r="FX10" s="239">
        <v>33666971</v>
      </c>
      <c r="FY10" s="239">
        <v>0</v>
      </c>
      <c r="FZ10" s="239">
        <v>33666971</v>
      </c>
      <c r="GA10" s="214" t="s">
        <v>1294</v>
      </c>
    </row>
    <row r="11" spans="2:183" s="214" customFormat="1" x14ac:dyDescent="0.2">
      <c r="B11" s="610" t="s">
        <v>105</v>
      </c>
      <c r="C11" s="610" t="s">
        <v>104</v>
      </c>
      <c r="D11" s="239">
        <v>0</v>
      </c>
      <c r="E11" s="239">
        <v>0</v>
      </c>
      <c r="F11" s="239">
        <v>0</v>
      </c>
      <c r="G11" s="239">
        <v>354040</v>
      </c>
      <c r="H11" s="239">
        <v>0</v>
      </c>
      <c r="I11" s="239">
        <v>354040</v>
      </c>
      <c r="J11" s="239">
        <v>0</v>
      </c>
      <c r="K11" s="239">
        <v>0</v>
      </c>
      <c r="L11" s="239">
        <v>0</v>
      </c>
      <c r="M11" s="239">
        <v>106405</v>
      </c>
      <c r="N11" s="239">
        <v>0</v>
      </c>
      <c r="O11" s="239">
        <v>106405</v>
      </c>
      <c r="P11" s="239">
        <v>460445</v>
      </c>
      <c r="Q11" s="239">
        <v>0</v>
      </c>
      <c r="R11" s="239">
        <v>460445</v>
      </c>
      <c r="S11" s="239">
        <v>-2686959</v>
      </c>
      <c r="T11" s="239">
        <v>0</v>
      </c>
      <c r="U11" s="239">
        <v>-2686959</v>
      </c>
      <c r="V11" s="239">
        <v>-10147</v>
      </c>
      <c r="W11" s="239">
        <v>0</v>
      </c>
      <c r="X11" s="239">
        <v>-10147</v>
      </c>
      <c r="Y11" s="239">
        <v>-103747</v>
      </c>
      <c r="Z11" s="239">
        <v>0</v>
      </c>
      <c r="AA11" s="239">
        <v>-103747</v>
      </c>
      <c r="AB11" s="239">
        <v>-64888</v>
      </c>
      <c r="AC11" s="239">
        <v>0</v>
      </c>
      <c r="AD11" s="239">
        <v>-64888</v>
      </c>
      <c r="AE11" s="239">
        <v>-1548</v>
      </c>
      <c r="AF11" s="239">
        <v>0</v>
      </c>
      <c r="AG11" s="239">
        <v>-1548</v>
      </c>
      <c r="AH11" s="239">
        <v>1295531</v>
      </c>
      <c r="AI11" s="239">
        <v>0</v>
      </c>
      <c r="AJ11" s="239">
        <v>1295531</v>
      </c>
      <c r="AK11" s="239">
        <v>-23396</v>
      </c>
      <c r="AL11" s="239">
        <v>0</v>
      </c>
      <c r="AM11" s="239">
        <v>-23396</v>
      </c>
      <c r="AN11" s="239">
        <v>-3363542</v>
      </c>
      <c r="AO11" s="239">
        <v>0</v>
      </c>
      <c r="AP11" s="239">
        <v>-3363542</v>
      </c>
      <c r="AQ11" s="239">
        <v>-42839</v>
      </c>
      <c r="AR11" s="239">
        <v>0</v>
      </c>
      <c r="AS11" s="239">
        <v>-42839</v>
      </c>
      <c r="AT11" s="239">
        <v>-89698</v>
      </c>
      <c r="AU11" s="239">
        <v>0</v>
      </c>
      <c r="AV11" s="239">
        <v>-89698</v>
      </c>
      <c r="AW11" s="239">
        <v>0</v>
      </c>
      <c r="AX11" s="239">
        <v>0</v>
      </c>
      <c r="AY11" s="239">
        <v>0</v>
      </c>
      <c r="AZ11" s="239">
        <v>-36993</v>
      </c>
      <c r="BA11" s="239">
        <v>0</v>
      </c>
      <c r="BB11" s="239">
        <v>-36993</v>
      </c>
      <c r="BC11" s="239">
        <v>0</v>
      </c>
      <c r="BD11" s="239">
        <v>0</v>
      </c>
      <c r="BE11" s="239">
        <v>0</v>
      </c>
      <c r="BF11" s="239">
        <v>-5051643</v>
      </c>
      <c r="BG11" s="239">
        <v>0</v>
      </c>
      <c r="BH11" s="239">
        <v>-5051643</v>
      </c>
      <c r="BI11" s="239">
        <v>-15061</v>
      </c>
      <c r="BJ11" s="239">
        <v>0</v>
      </c>
      <c r="BK11" s="239">
        <v>-15061</v>
      </c>
      <c r="BL11" s="239">
        <v>-44695</v>
      </c>
      <c r="BM11" s="239">
        <v>0</v>
      </c>
      <c r="BN11" s="239">
        <v>-44695</v>
      </c>
      <c r="BO11" s="239">
        <v>-1460474</v>
      </c>
      <c r="BP11" s="239">
        <v>0</v>
      </c>
      <c r="BQ11" s="239">
        <v>-1460474</v>
      </c>
      <c r="BR11" s="239">
        <v>45983</v>
      </c>
      <c r="BS11" s="239">
        <v>0</v>
      </c>
      <c r="BT11" s="239">
        <v>45983</v>
      </c>
      <c r="BU11" s="239">
        <v>-1474247</v>
      </c>
      <c r="BV11" s="239">
        <v>0</v>
      </c>
      <c r="BW11" s="239">
        <v>-1474247</v>
      </c>
      <c r="BX11" s="239">
        <v>-173900</v>
      </c>
      <c r="BY11" s="239">
        <v>0</v>
      </c>
      <c r="BZ11" s="239">
        <v>-173900</v>
      </c>
      <c r="CA11" s="239">
        <v>682</v>
      </c>
      <c r="CB11" s="239">
        <v>0</v>
      </c>
      <c r="CC11" s="239">
        <v>682</v>
      </c>
      <c r="CD11" s="239">
        <v>-68531</v>
      </c>
      <c r="CE11" s="239">
        <v>0</v>
      </c>
      <c r="CF11" s="239">
        <v>-68531</v>
      </c>
      <c r="CG11" s="239">
        <v>3258</v>
      </c>
      <c r="CH11" s="239">
        <v>0</v>
      </c>
      <c r="CI11" s="239">
        <v>3258</v>
      </c>
      <c r="CJ11" s="239">
        <v>-13787</v>
      </c>
      <c r="CK11" s="239">
        <v>0</v>
      </c>
      <c r="CL11" s="239">
        <v>-13787</v>
      </c>
      <c r="CM11" s="239">
        <v>-2237</v>
      </c>
      <c r="CN11" s="239">
        <v>0</v>
      </c>
      <c r="CO11" s="239">
        <v>-2237</v>
      </c>
      <c r="CP11" s="239">
        <v>-15443</v>
      </c>
      <c r="CQ11" s="239">
        <v>0</v>
      </c>
      <c r="CR11" s="239">
        <v>-15443</v>
      </c>
      <c r="CS11" s="239">
        <v>0</v>
      </c>
      <c r="CT11" s="239">
        <v>0</v>
      </c>
      <c r="CU11" s="239">
        <v>0</v>
      </c>
      <c r="CV11" s="239">
        <v>-54235</v>
      </c>
      <c r="CW11" s="239">
        <v>0</v>
      </c>
      <c r="CX11" s="239">
        <v>-54235</v>
      </c>
      <c r="CY11" s="239">
        <v>0</v>
      </c>
      <c r="CZ11" s="239">
        <v>0</v>
      </c>
      <c r="DA11" s="239">
        <v>0</v>
      </c>
      <c r="DB11" s="239">
        <v>0</v>
      </c>
      <c r="DC11" s="239">
        <v>0</v>
      </c>
      <c r="DD11" s="239">
        <v>0</v>
      </c>
      <c r="DE11" s="239">
        <v>0</v>
      </c>
      <c r="DF11" s="239">
        <v>0</v>
      </c>
      <c r="DG11" s="239">
        <v>0</v>
      </c>
      <c r="DH11" s="239">
        <v>0</v>
      </c>
      <c r="DI11" s="239">
        <v>0</v>
      </c>
      <c r="DJ11" s="239">
        <v>-324193</v>
      </c>
      <c r="DK11" s="239">
        <v>0</v>
      </c>
      <c r="DL11" s="239">
        <v>-324193</v>
      </c>
      <c r="DM11" s="239">
        <v>-12230</v>
      </c>
      <c r="DN11" s="239">
        <v>0</v>
      </c>
      <c r="DO11" s="239">
        <v>-12230</v>
      </c>
      <c r="DP11" s="239">
        <v>-45419</v>
      </c>
      <c r="DQ11" s="239">
        <v>0</v>
      </c>
      <c r="DR11" s="239">
        <v>-45419</v>
      </c>
      <c r="DS11" s="239">
        <v>-36506</v>
      </c>
      <c r="DT11" s="239">
        <v>0</v>
      </c>
      <c r="DU11" s="239">
        <v>-36506</v>
      </c>
      <c r="DV11" s="239">
        <v>-5232</v>
      </c>
      <c r="DW11" s="239">
        <v>0</v>
      </c>
      <c r="DX11" s="239">
        <v>-5232</v>
      </c>
      <c r="DY11" s="239">
        <v>-713452</v>
      </c>
      <c r="DZ11" s="239">
        <v>0</v>
      </c>
      <c r="EA11" s="239">
        <v>-713452</v>
      </c>
      <c r="EB11" s="239">
        <v>5255</v>
      </c>
      <c r="EC11" s="239">
        <v>0</v>
      </c>
      <c r="ED11" s="239">
        <v>5255</v>
      </c>
      <c r="EE11" s="239">
        <v>0</v>
      </c>
      <c r="EF11" s="239">
        <v>0</v>
      </c>
      <c r="EG11" s="239">
        <v>0</v>
      </c>
      <c r="EH11" s="239">
        <v>0</v>
      </c>
      <c r="EI11" s="239">
        <v>0</v>
      </c>
      <c r="EJ11" s="239">
        <v>0</v>
      </c>
      <c r="EK11" s="239">
        <v>-4844</v>
      </c>
      <c r="EL11" s="239">
        <v>0</v>
      </c>
      <c r="EM11" s="239">
        <v>-4844</v>
      </c>
      <c r="EN11" s="239">
        <v>-812428</v>
      </c>
      <c r="EO11" s="239">
        <v>0</v>
      </c>
      <c r="EP11" s="239">
        <v>-812428</v>
      </c>
      <c r="EQ11" s="239">
        <v>0</v>
      </c>
      <c r="ER11" s="239">
        <v>0</v>
      </c>
      <c r="ES11" s="239">
        <v>0</v>
      </c>
      <c r="ET11" s="239">
        <v>0</v>
      </c>
      <c r="EU11" s="239">
        <v>0</v>
      </c>
      <c r="EV11" s="239">
        <v>0</v>
      </c>
      <c r="EW11" s="239">
        <v>0</v>
      </c>
      <c r="EX11" s="239">
        <v>0</v>
      </c>
      <c r="EY11" s="239">
        <v>0</v>
      </c>
      <c r="EZ11" s="239">
        <v>52889281</v>
      </c>
      <c r="FA11" s="239">
        <v>0</v>
      </c>
      <c r="FB11" s="239">
        <v>52889281</v>
      </c>
      <c r="FC11" s="239">
        <v>460445</v>
      </c>
      <c r="FD11" s="239">
        <v>0</v>
      </c>
      <c r="FE11" s="239">
        <v>460445</v>
      </c>
      <c r="FF11" s="239">
        <v>-5051643</v>
      </c>
      <c r="FG11" s="239">
        <v>0</v>
      </c>
      <c r="FH11" s="239">
        <v>-5051643</v>
      </c>
      <c r="FI11" s="239">
        <v>-1474247</v>
      </c>
      <c r="FJ11" s="239">
        <v>0</v>
      </c>
      <c r="FK11" s="239">
        <v>-1474247</v>
      </c>
      <c r="FL11" s="239">
        <v>-324193</v>
      </c>
      <c r="FM11" s="239">
        <v>0</v>
      </c>
      <c r="FN11" s="239">
        <v>-324193</v>
      </c>
      <c r="FO11" s="239">
        <v>-812428</v>
      </c>
      <c r="FP11" s="239">
        <v>0</v>
      </c>
      <c r="FQ11" s="239">
        <v>-812428</v>
      </c>
      <c r="FR11" s="239">
        <v>0</v>
      </c>
      <c r="FS11" s="239">
        <v>0</v>
      </c>
      <c r="FT11" s="239">
        <v>0</v>
      </c>
      <c r="FU11" s="239">
        <v>-7202066</v>
      </c>
      <c r="FV11" s="239">
        <v>0</v>
      </c>
      <c r="FW11" s="239">
        <v>-7202066</v>
      </c>
      <c r="FX11" s="239">
        <v>45687215</v>
      </c>
      <c r="FY11" s="239">
        <v>0</v>
      </c>
      <c r="FZ11" s="239">
        <v>45687215</v>
      </c>
      <c r="GA11" s="214" t="s">
        <v>1294</v>
      </c>
    </row>
    <row r="12" spans="2:183" s="214" customFormat="1" x14ac:dyDescent="0.2">
      <c r="B12" s="610" t="s">
        <v>107</v>
      </c>
      <c r="C12" s="610" t="s">
        <v>106</v>
      </c>
      <c r="D12" s="239">
        <v>0</v>
      </c>
      <c r="E12" s="239">
        <v>0</v>
      </c>
      <c r="F12" s="239">
        <v>0</v>
      </c>
      <c r="G12" s="239">
        <v>555384</v>
      </c>
      <c r="H12" s="239">
        <v>0</v>
      </c>
      <c r="I12" s="239">
        <v>555384</v>
      </c>
      <c r="J12" s="239">
        <v>0</v>
      </c>
      <c r="K12" s="239">
        <v>0</v>
      </c>
      <c r="L12" s="239">
        <v>0</v>
      </c>
      <c r="M12" s="239">
        <v>12611</v>
      </c>
      <c r="N12" s="239">
        <v>0</v>
      </c>
      <c r="O12" s="239">
        <v>12611</v>
      </c>
      <c r="P12" s="239">
        <v>567995</v>
      </c>
      <c r="Q12" s="239">
        <v>0</v>
      </c>
      <c r="R12" s="239">
        <v>567995</v>
      </c>
      <c r="S12" s="239">
        <v>-3292335</v>
      </c>
      <c r="T12" s="239">
        <v>0</v>
      </c>
      <c r="U12" s="239">
        <v>-3292335</v>
      </c>
      <c r="V12" s="239">
        <v>-20138</v>
      </c>
      <c r="W12" s="239">
        <v>0</v>
      </c>
      <c r="X12" s="239">
        <v>-20138</v>
      </c>
      <c r="Y12" s="239">
        <v>-131769</v>
      </c>
      <c r="Z12" s="239">
        <v>0</v>
      </c>
      <c r="AA12" s="239">
        <v>-131769</v>
      </c>
      <c r="AB12" s="239">
        <v>-70589</v>
      </c>
      <c r="AC12" s="239">
        <v>0</v>
      </c>
      <c r="AD12" s="239">
        <v>-70589</v>
      </c>
      <c r="AE12" s="239">
        <v>-1862</v>
      </c>
      <c r="AF12" s="239">
        <v>0</v>
      </c>
      <c r="AG12" s="239">
        <v>-1862</v>
      </c>
      <c r="AH12" s="239">
        <v>1385256</v>
      </c>
      <c r="AI12" s="239">
        <v>0</v>
      </c>
      <c r="AJ12" s="239">
        <v>1385256</v>
      </c>
      <c r="AK12" s="239">
        <v>5640</v>
      </c>
      <c r="AL12" s="239">
        <v>0</v>
      </c>
      <c r="AM12" s="239">
        <v>5640</v>
      </c>
      <c r="AN12" s="239">
        <v>-4633866</v>
      </c>
      <c r="AO12" s="239">
        <v>0</v>
      </c>
      <c r="AP12" s="239">
        <v>-4633866</v>
      </c>
      <c r="AQ12" s="239">
        <v>-384131</v>
      </c>
      <c r="AR12" s="239">
        <v>0</v>
      </c>
      <c r="AS12" s="239">
        <v>-384131</v>
      </c>
      <c r="AT12" s="239">
        <v>-28770</v>
      </c>
      <c r="AU12" s="239">
        <v>0</v>
      </c>
      <c r="AV12" s="239">
        <v>-28770</v>
      </c>
      <c r="AW12" s="239">
        <v>0</v>
      </c>
      <c r="AX12" s="239">
        <v>0</v>
      </c>
      <c r="AY12" s="239">
        <v>0</v>
      </c>
      <c r="AZ12" s="239">
        <v>-55386</v>
      </c>
      <c r="BA12" s="239">
        <v>0</v>
      </c>
      <c r="BB12" s="239">
        <v>-55386</v>
      </c>
      <c r="BC12" s="239">
        <v>-234</v>
      </c>
      <c r="BD12" s="239">
        <v>0</v>
      </c>
      <c r="BE12" s="239">
        <v>-234</v>
      </c>
      <c r="BF12" s="239">
        <v>-7135595</v>
      </c>
      <c r="BG12" s="239">
        <v>0</v>
      </c>
      <c r="BH12" s="239">
        <v>-7135595</v>
      </c>
      <c r="BI12" s="239">
        <v>-28280</v>
      </c>
      <c r="BJ12" s="239">
        <v>0</v>
      </c>
      <c r="BK12" s="239">
        <v>-28280</v>
      </c>
      <c r="BL12" s="239">
        <v>5014</v>
      </c>
      <c r="BM12" s="239">
        <v>0</v>
      </c>
      <c r="BN12" s="239">
        <v>5014</v>
      </c>
      <c r="BO12" s="239">
        <v>-2415219</v>
      </c>
      <c r="BP12" s="239">
        <v>0</v>
      </c>
      <c r="BQ12" s="239">
        <v>-2415219</v>
      </c>
      <c r="BR12" s="239">
        <v>122680</v>
      </c>
      <c r="BS12" s="239">
        <v>0</v>
      </c>
      <c r="BT12" s="239">
        <v>122680</v>
      </c>
      <c r="BU12" s="239">
        <v>-2315805</v>
      </c>
      <c r="BV12" s="239">
        <v>0</v>
      </c>
      <c r="BW12" s="239">
        <v>-2315805</v>
      </c>
      <c r="BX12" s="239">
        <v>-223891</v>
      </c>
      <c r="BY12" s="239">
        <v>0</v>
      </c>
      <c r="BZ12" s="239">
        <v>-223891</v>
      </c>
      <c r="CA12" s="239">
        <v>247</v>
      </c>
      <c r="CB12" s="239">
        <v>0</v>
      </c>
      <c r="CC12" s="239">
        <v>247</v>
      </c>
      <c r="CD12" s="239">
        <v>-127491</v>
      </c>
      <c r="CE12" s="239">
        <v>0</v>
      </c>
      <c r="CF12" s="239">
        <v>-127491</v>
      </c>
      <c r="CG12" s="239">
        <v>12326</v>
      </c>
      <c r="CH12" s="239">
        <v>0</v>
      </c>
      <c r="CI12" s="239">
        <v>12326</v>
      </c>
      <c r="CJ12" s="239">
        <v>-2238</v>
      </c>
      <c r="CK12" s="239">
        <v>0</v>
      </c>
      <c r="CL12" s="239">
        <v>-2238</v>
      </c>
      <c r="CM12" s="239">
        <v>0</v>
      </c>
      <c r="CN12" s="239">
        <v>0</v>
      </c>
      <c r="CO12" s="239">
        <v>0</v>
      </c>
      <c r="CP12" s="239">
        <v>0</v>
      </c>
      <c r="CQ12" s="239">
        <v>0</v>
      </c>
      <c r="CR12" s="239">
        <v>0</v>
      </c>
      <c r="CS12" s="239">
        <v>0</v>
      </c>
      <c r="CT12" s="239">
        <v>0</v>
      </c>
      <c r="CU12" s="239">
        <v>0</v>
      </c>
      <c r="CV12" s="239">
        <v>0</v>
      </c>
      <c r="CW12" s="239">
        <v>0</v>
      </c>
      <c r="CX12" s="239">
        <v>0</v>
      </c>
      <c r="CY12" s="239">
        <v>0</v>
      </c>
      <c r="CZ12" s="239">
        <v>0</v>
      </c>
      <c r="DA12" s="239">
        <v>0</v>
      </c>
      <c r="DB12" s="239">
        <v>0</v>
      </c>
      <c r="DC12" s="239">
        <v>0</v>
      </c>
      <c r="DD12" s="239">
        <v>0</v>
      </c>
      <c r="DE12" s="239">
        <v>0</v>
      </c>
      <c r="DF12" s="239">
        <v>0</v>
      </c>
      <c r="DG12" s="239">
        <v>0</v>
      </c>
      <c r="DH12" s="239">
        <v>0</v>
      </c>
      <c r="DI12" s="239">
        <v>0</v>
      </c>
      <c r="DJ12" s="239">
        <v>-341047</v>
      </c>
      <c r="DK12" s="239">
        <v>0</v>
      </c>
      <c r="DL12" s="239">
        <v>-341047</v>
      </c>
      <c r="DM12" s="239">
        <v>-73815</v>
      </c>
      <c r="DN12" s="239">
        <v>0</v>
      </c>
      <c r="DO12" s="239">
        <v>-73815</v>
      </c>
      <c r="DP12" s="239">
        <v>13394</v>
      </c>
      <c r="DQ12" s="239">
        <v>0</v>
      </c>
      <c r="DR12" s="239">
        <v>13394</v>
      </c>
      <c r="DS12" s="239">
        <v>-13620</v>
      </c>
      <c r="DT12" s="239">
        <v>0</v>
      </c>
      <c r="DU12" s="239">
        <v>-13620</v>
      </c>
      <c r="DV12" s="239">
        <v>0</v>
      </c>
      <c r="DW12" s="239">
        <v>0</v>
      </c>
      <c r="DX12" s="239">
        <v>0</v>
      </c>
      <c r="DY12" s="239">
        <v>-760424</v>
      </c>
      <c r="DZ12" s="239">
        <v>0</v>
      </c>
      <c r="EA12" s="239">
        <v>-760424</v>
      </c>
      <c r="EB12" s="239">
        <v>-8334</v>
      </c>
      <c r="EC12" s="239">
        <v>0</v>
      </c>
      <c r="ED12" s="239">
        <v>-8334</v>
      </c>
      <c r="EE12" s="239">
        <v>0</v>
      </c>
      <c r="EF12" s="239">
        <v>0</v>
      </c>
      <c r="EG12" s="239">
        <v>0</v>
      </c>
      <c r="EH12" s="239">
        <v>0</v>
      </c>
      <c r="EI12" s="239">
        <v>0</v>
      </c>
      <c r="EJ12" s="239">
        <v>0</v>
      </c>
      <c r="EK12" s="239">
        <v>-8257</v>
      </c>
      <c r="EL12" s="239">
        <v>0</v>
      </c>
      <c r="EM12" s="239">
        <v>-8257</v>
      </c>
      <c r="EN12" s="239">
        <v>-851056</v>
      </c>
      <c r="EO12" s="239">
        <v>0</v>
      </c>
      <c r="EP12" s="239">
        <v>-851056</v>
      </c>
      <c r="EQ12" s="239">
        <v>-757</v>
      </c>
      <c r="ER12" s="239">
        <v>0</v>
      </c>
      <c r="ES12" s="239">
        <v>-757</v>
      </c>
      <c r="ET12" s="239">
        <v>0</v>
      </c>
      <c r="EU12" s="239">
        <v>0</v>
      </c>
      <c r="EV12" s="239">
        <v>0</v>
      </c>
      <c r="EW12" s="239">
        <v>-757</v>
      </c>
      <c r="EX12" s="239">
        <v>0</v>
      </c>
      <c r="EY12" s="239">
        <v>-757</v>
      </c>
      <c r="EZ12" s="239">
        <v>60595827</v>
      </c>
      <c r="FA12" s="239">
        <v>0</v>
      </c>
      <c r="FB12" s="239">
        <v>60595827</v>
      </c>
      <c r="FC12" s="239">
        <v>567995</v>
      </c>
      <c r="FD12" s="239">
        <v>0</v>
      </c>
      <c r="FE12" s="239">
        <v>567995</v>
      </c>
      <c r="FF12" s="239">
        <v>-7135595</v>
      </c>
      <c r="FG12" s="239">
        <v>0</v>
      </c>
      <c r="FH12" s="239">
        <v>-7135595</v>
      </c>
      <c r="FI12" s="239">
        <v>-2315805</v>
      </c>
      <c r="FJ12" s="239">
        <v>0</v>
      </c>
      <c r="FK12" s="239">
        <v>-2315805</v>
      </c>
      <c r="FL12" s="239">
        <v>-341047</v>
      </c>
      <c r="FM12" s="239">
        <v>0</v>
      </c>
      <c r="FN12" s="239">
        <v>-341047</v>
      </c>
      <c r="FO12" s="239">
        <v>-851056</v>
      </c>
      <c r="FP12" s="239">
        <v>0</v>
      </c>
      <c r="FQ12" s="239">
        <v>-851056</v>
      </c>
      <c r="FR12" s="239">
        <v>-757</v>
      </c>
      <c r="FS12" s="239">
        <v>0</v>
      </c>
      <c r="FT12" s="239">
        <v>-757</v>
      </c>
      <c r="FU12" s="239">
        <v>-10076265</v>
      </c>
      <c r="FV12" s="239">
        <v>0</v>
      </c>
      <c r="FW12" s="239">
        <v>-10076265</v>
      </c>
      <c r="FX12" s="239">
        <v>50519562</v>
      </c>
      <c r="FY12" s="239">
        <v>0</v>
      </c>
      <c r="FZ12" s="239">
        <v>50519562</v>
      </c>
      <c r="GA12" s="214" t="s">
        <v>1294</v>
      </c>
    </row>
    <row r="13" spans="2:183" s="214" customFormat="1" x14ac:dyDescent="0.2">
      <c r="B13" s="610" t="s">
        <v>109</v>
      </c>
      <c r="C13" s="610" t="s">
        <v>108</v>
      </c>
      <c r="D13" s="239">
        <v>0</v>
      </c>
      <c r="E13" s="239">
        <v>0</v>
      </c>
      <c r="F13" s="239">
        <v>0</v>
      </c>
      <c r="G13" s="239">
        <v>13799</v>
      </c>
      <c r="H13" s="239">
        <v>0</v>
      </c>
      <c r="I13" s="239">
        <v>13799</v>
      </c>
      <c r="J13" s="239">
        <v>0</v>
      </c>
      <c r="K13" s="239">
        <v>0</v>
      </c>
      <c r="L13" s="239">
        <v>0</v>
      </c>
      <c r="M13" s="239">
        <v>4579</v>
      </c>
      <c r="N13" s="239">
        <v>0</v>
      </c>
      <c r="O13" s="239">
        <v>4579</v>
      </c>
      <c r="P13" s="239">
        <v>18378</v>
      </c>
      <c r="Q13" s="239">
        <v>0</v>
      </c>
      <c r="R13" s="239">
        <v>18378</v>
      </c>
      <c r="S13" s="239">
        <v>-2297060</v>
      </c>
      <c r="T13" s="239">
        <v>0</v>
      </c>
      <c r="U13" s="239">
        <v>-2297060</v>
      </c>
      <c r="V13" s="239">
        <v>-5585</v>
      </c>
      <c r="W13" s="239">
        <v>0</v>
      </c>
      <c r="X13" s="239">
        <v>-5585</v>
      </c>
      <c r="Y13" s="239">
        <v>-158895</v>
      </c>
      <c r="Z13" s="239">
        <v>0</v>
      </c>
      <c r="AA13" s="239">
        <v>-158895</v>
      </c>
      <c r="AB13" s="239">
        <v>-97674</v>
      </c>
      <c r="AC13" s="239">
        <v>0</v>
      </c>
      <c r="AD13" s="239">
        <v>-97674</v>
      </c>
      <c r="AE13" s="239">
        <v>1003</v>
      </c>
      <c r="AF13" s="239">
        <v>0</v>
      </c>
      <c r="AG13" s="239">
        <v>1003</v>
      </c>
      <c r="AH13" s="239">
        <v>615263</v>
      </c>
      <c r="AI13" s="239">
        <v>0</v>
      </c>
      <c r="AJ13" s="239">
        <v>615263</v>
      </c>
      <c r="AK13" s="239">
        <v>4513</v>
      </c>
      <c r="AL13" s="239">
        <v>0</v>
      </c>
      <c r="AM13" s="239">
        <v>4513</v>
      </c>
      <c r="AN13" s="239">
        <v>-2039086</v>
      </c>
      <c r="AO13" s="239">
        <v>0</v>
      </c>
      <c r="AP13" s="239">
        <v>-2039086</v>
      </c>
      <c r="AQ13" s="239">
        <v>-3894</v>
      </c>
      <c r="AR13" s="239">
        <v>0</v>
      </c>
      <c r="AS13" s="239">
        <v>-3894</v>
      </c>
      <c r="AT13" s="239">
        <v>-55177</v>
      </c>
      <c r="AU13" s="239">
        <v>0</v>
      </c>
      <c r="AV13" s="239">
        <v>-55177</v>
      </c>
      <c r="AW13" s="239">
        <v>-10476</v>
      </c>
      <c r="AX13" s="239">
        <v>0</v>
      </c>
      <c r="AY13" s="239">
        <v>-10476</v>
      </c>
      <c r="AZ13" s="239">
        <v>-90138</v>
      </c>
      <c r="BA13" s="239">
        <v>0</v>
      </c>
      <c r="BB13" s="239">
        <v>-90138</v>
      </c>
      <c r="BC13" s="239">
        <v>-53</v>
      </c>
      <c r="BD13" s="239">
        <v>0</v>
      </c>
      <c r="BE13" s="239">
        <v>-53</v>
      </c>
      <c r="BF13" s="239">
        <v>-4035003</v>
      </c>
      <c r="BG13" s="239">
        <v>0</v>
      </c>
      <c r="BH13" s="239">
        <v>-4035003</v>
      </c>
      <c r="BI13" s="239">
        <v>0</v>
      </c>
      <c r="BJ13" s="239">
        <v>0</v>
      </c>
      <c r="BK13" s="239">
        <v>0</v>
      </c>
      <c r="BL13" s="239">
        <v>-4183</v>
      </c>
      <c r="BM13" s="239">
        <v>0</v>
      </c>
      <c r="BN13" s="239">
        <v>-4183</v>
      </c>
      <c r="BO13" s="239">
        <v>-555031</v>
      </c>
      <c r="BP13" s="239">
        <v>0</v>
      </c>
      <c r="BQ13" s="239">
        <v>-555031</v>
      </c>
      <c r="BR13" s="239">
        <v>-23675</v>
      </c>
      <c r="BS13" s="239">
        <v>0</v>
      </c>
      <c r="BT13" s="239">
        <v>-23675</v>
      </c>
      <c r="BU13" s="239">
        <v>-582889</v>
      </c>
      <c r="BV13" s="239">
        <v>0</v>
      </c>
      <c r="BW13" s="239">
        <v>-582889</v>
      </c>
      <c r="BX13" s="239">
        <v>-45490</v>
      </c>
      <c r="BY13" s="239">
        <v>0</v>
      </c>
      <c r="BZ13" s="239">
        <v>-45490</v>
      </c>
      <c r="CA13" s="239">
        <v>-1196</v>
      </c>
      <c r="CB13" s="239">
        <v>0</v>
      </c>
      <c r="CC13" s="239">
        <v>-1196</v>
      </c>
      <c r="CD13" s="239">
        <v>-9334</v>
      </c>
      <c r="CE13" s="239">
        <v>0</v>
      </c>
      <c r="CF13" s="239">
        <v>-9334</v>
      </c>
      <c r="CG13" s="239">
        <v>0</v>
      </c>
      <c r="CH13" s="239">
        <v>0</v>
      </c>
      <c r="CI13" s="239">
        <v>0</v>
      </c>
      <c r="CJ13" s="239">
        <v>-6897</v>
      </c>
      <c r="CK13" s="239">
        <v>0</v>
      </c>
      <c r="CL13" s="239">
        <v>-6897</v>
      </c>
      <c r="CM13" s="239">
        <v>0</v>
      </c>
      <c r="CN13" s="239">
        <v>0</v>
      </c>
      <c r="CO13" s="239">
        <v>0</v>
      </c>
      <c r="CP13" s="239">
        <v>-74387</v>
      </c>
      <c r="CQ13" s="239">
        <v>0</v>
      </c>
      <c r="CR13" s="239">
        <v>-74387</v>
      </c>
      <c r="CS13" s="239">
        <v>-56</v>
      </c>
      <c r="CT13" s="239">
        <v>0</v>
      </c>
      <c r="CU13" s="239">
        <v>-56</v>
      </c>
      <c r="CV13" s="239">
        <v>-15009</v>
      </c>
      <c r="CW13" s="239">
        <v>0</v>
      </c>
      <c r="CX13" s="239">
        <v>-15009</v>
      </c>
      <c r="CY13" s="239">
        <v>0</v>
      </c>
      <c r="CZ13" s="239">
        <v>0</v>
      </c>
      <c r="DA13" s="239">
        <v>0</v>
      </c>
      <c r="DB13" s="239">
        <v>0</v>
      </c>
      <c r="DC13" s="239">
        <v>0</v>
      </c>
      <c r="DD13" s="239">
        <v>0</v>
      </c>
      <c r="DE13" s="239">
        <v>0</v>
      </c>
      <c r="DF13" s="239">
        <v>0</v>
      </c>
      <c r="DG13" s="239">
        <v>0</v>
      </c>
      <c r="DH13" s="239">
        <v>0</v>
      </c>
      <c r="DI13" s="239">
        <v>0</v>
      </c>
      <c r="DJ13" s="239">
        <v>-152369</v>
      </c>
      <c r="DK13" s="239">
        <v>0</v>
      </c>
      <c r="DL13" s="239">
        <v>-152369</v>
      </c>
      <c r="DM13" s="239">
        <v>-3463</v>
      </c>
      <c r="DN13" s="239">
        <v>0</v>
      </c>
      <c r="DO13" s="239">
        <v>-3463</v>
      </c>
      <c r="DP13" s="239">
        <v>-570</v>
      </c>
      <c r="DQ13" s="239">
        <v>0</v>
      </c>
      <c r="DR13" s="239">
        <v>-570</v>
      </c>
      <c r="DS13" s="239">
        <v>-10666</v>
      </c>
      <c r="DT13" s="239">
        <v>0</v>
      </c>
      <c r="DU13" s="239">
        <v>-10666</v>
      </c>
      <c r="DV13" s="239">
        <v>0</v>
      </c>
      <c r="DW13" s="239">
        <v>0</v>
      </c>
      <c r="DX13" s="239">
        <v>0</v>
      </c>
      <c r="DY13" s="239">
        <v>-494506</v>
      </c>
      <c r="DZ13" s="239">
        <v>0</v>
      </c>
      <c r="EA13" s="239">
        <v>-494506</v>
      </c>
      <c r="EB13" s="239">
        <v>-20189</v>
      </c>
      <c r="EC13" s="239">
        <v>0</v>
      </c>
      <c r="ED13" s="239">
        <v>-20189</v>
      </c>
      <c r="EE13" s="239">
        <v>0</v>
      </c>
      <c r="EF13" s="239">
        <v>0</v>
      </c>
      <c r="EG13" s="239">
        <v>0</v>
      </c>
      <c r="EH13" s="239">
        <v>0</v>
      </c>
      <c r="EI13" s="239">
        <v>0</v>
      </c>
      <c r="EJ13" s="239">
        <v>0</v>
      </c>
      <c r="EK13" s="239">
        <v>-11882</v>
      </c>
      <c r="EL13" s="239">
        <v>0</v>
      </c>
      <c r="EM13" s="239">
        <v>-11882</v>
      </c>
      <c r="EN13" s="239">
        <v>-541276</v>
      </c>
      <c r="EO13" s="239">
        <v>0</v>
      </c>
      <c r="EP13" s="239">
        <v>-541276</v>
      </c>
      <c r="EQ13" s="239">
        <v>0</v>
      </c>
      <c r="ER13" s="239">
        <v>0</v>
      </c>
      <c r="ES13" s="239">
        <v>0</v>
      </c>
      <c r="ET13" s="239">
        <v>0</v>
      </c>
      <c r="EU13" s="239">
        <v>0</v>
      </c>
      <c r="EV13" s="239">
        <v>0</v>
      </c>
      <c r="EW13" s="239">
        <v>0</v>
      </c>
      <c r="EX13" s="239">
        <v>0</v>
      </c>
      <c r="EY13" s="239">
        <v>0</v>
      </c>
      <c r="EZ13" s="239">
        <v>28448560</v>
      </c>
      <c r="FA13" s="239">
        <v>0</v>
      </c>
      <c r="FB13" s="239">
        <v>28448560</v>
      </c>
      <c r="FC13" s="239">
        <v>18378</v>
      </c>
      <c r="FD13" s="239">
        <v>0</v>
      </c>
      <c r="FE13" s="239">
        <v>18378</v>
      </c>
      <c r="FF13" s="239">
        <v>-4035003</v>
      </c>
      <c r="FG13" s="239">
        <v>0</v>
      </c>
      <c r="FH13" s="239">
        <v>-4035003</v>
      </c>
      <c r="FI13" s="239">
        <v>-582889</v>
      </c>
      <c r="FJ13" s="239">
        <v>0</v>
      </c>
      <c r="FK13" s="239">
        <v>-582889</v>
      </c>
      <c r="FL13" s="239">
        <v>-152369</v>
      </c>
      <c r="FM13" s="239">
        <v>0</v>
      </c>
      <c r="FN13" s="239">
        <v>-152369</v>
      </c>
      <c r="FO13" s="239">
        <v>-541276</v>
      </c>
      <c r="FP13" s="239">
        <v>0</v>
      </c>
      <c r="FQ13" s="239">
        <v>-541276</v>
      </c>
      <c r="FR13" s="239">
        <v>0</v>
      </c>
      <c r="FS13" s="239">
        <v>0</v>
      </c>
      <c r="FT13" s="239">
        <v>0</v>
      </c>
      <c r="FU13" s="239">
        <v>-5293159</v>
      </c>
      <c r="FV13" s="239">
        <v>0</v>
      </c>
      <c r="FW13" s="239">
        <v>-5293159</v>
      </c>
      <c r="FX13" s="239">
        <v>23155401</v>
      </c>
      <c r="FY13" s="239">
        <v>0</v>
      </c>
      <c r="FZ13" s="239">
        <v>23155401</v>
      </c>
      <c r="GA13" s="214" t="s">
        <v>1294</v>
      </c>
    </row>
    <row r="14" spans="2:183" s="214" customFormat="1" x14ac:dyDescent="0.2">
      <c r="B14" s="610" t="s">
        <v>111</v>
      </c>
      <c r="C14" s="610" t="s">
        <v>110</v>
      </c>
      <c r="D14" s="239">
        <v>0</v>
      </c>
      <c r="E14" s="239">
        <v>0</v>
      </c>
      <c r="F14" s="239">
        <v>0</v>
      </c>
      <c r="G14" s="239">
        <v>166712</v>
      </c>
      <c r="H14" s="239">
        <v>0</v>
      </c>
      <c r="I14" s="239">
        <v>166712</v>
      </c>
      <c r="J14" s="239">
        <v>0</v>
      </c>
      <c r="K14" s="239">
        <v>0</v>
      </c>
      <c r="L14" s="239">
        <v>0</v>
      </c>
      <c r="M14" s="239">
        <v>45798</v>
      </c>
      <c r="N14" s="239">
        <v>0</v>
      </c>
      <c r="O14" s="239">
        <v>45798</v>
      </c>
      <c r="P14" s="239">
        <v>212510</v>
      </c>
      <c r="Q14" s="239">
        <v>0</v>
      </c>
      <c r="R14" s="239">
        <v>212510</v>
      </c>
      <c r="S14" s="239">
        <v>-2674313</v>
      </c>
      <c r="T14" s="239">
        <v>0</v>
      </c>
      <c r="U14" s="239">
        <v>-2674313</v>
      </c>
      <c r="V14" s="239">
        <v>-2763</v>
      </c>
      <c r="W14" s="239">
        <v>0</v>
      </c>
      <c r="X14" s="239">
        <v>-2763</v>
      </c>
      <c r="Y14" s="239">
        <v>-77925</v>
      </c>
      <c r="Z14" s="239">
        <v>0</v>
      </c>
      <c r="AA14" s="239">
        <v>-77925</v>
      </c>
      <c r="AB14" s="239">
        <v>-51876</v>
      </c>
      <c r="AC14" s="239">
        <v>0</v>
      </c>
      <c r="AD14" s="239">
        <v>-51876</v>
      </c>
      <c r="AE14" s="239">
        <v>0</v>
      </c>
      <c r="AF14" s="239">
        <v>0</v>
      </c>
      <c r="AG14" s="239">
        <v>0</v>
      </c>
      <c r="AH14" s="239">
        <v>1505056</v>
      </c>
      <c r="AI14" s="239">
        <v>0</v>
      </c>
      <c r="AJ14" s="239">
        <v>1505056</v>
      </c>
      <c r="AK14" s="239">
        <v>-38625</v>
      </c>
      <c r="AL14" s="239">
        <v>0</v>
      </c>
      <c r="AM14" s="239">
        <v>-38625</v>
      </c>
      <c r="AN14" s="239">
        <v>-3575903</v>
      </c>
      <c r="AO14" s="239">
        <v>0</v>
      </c>
      <c r="AP14" s="239">
        <v>-3575903</v>
      </c>
      <c r="AQ14" s="239">
        <v>-4704</v>
      </c>
      <c r="AR14" s="239">
        <v>0</v>
      </c>
      <c r="AS14" s="239">
        <v>-4704</v>
      </c>
      <c r="AT14" s="239">
        <v>-6310</v>
      </c>
      <c r="AU14" s="239">
        <v>0</v>
      </c>
      <c r="AV14" s="239">
        <v>-6310</v>
      </c>
      <c r="AW14" s="239">
        <v>0</v>
      </c>
      <c r="AX14" s="239">
        <v>0</v>
      </c>
      <c r="AY14" s="239">
        <v>0</v>
      </c>
      <c r="AZ14" s="239">
        <v>0</v>
      </c>
      <c r="BA14" s="239">
        <v>0</v>
      </c>
      <c r="BB14" s="239">
        <v>0</v>
      </c>
      <c r="BC14" s="239">
        <v>0</v>
      </c>
      <c r="BD14" s="239">
        <v>0</v>
      </c>
      <c r="BE14" s="239">
        <v>0</v>
      </c>
      <c r="BF14" s="239">
        <v>-4872724</v>
      </c>
      <c r="BG14" s="239">
        <v>0</v>
      </c>
      <c r="BH14" s="239">
        <v>-4872724</v>
      </c>
      <c r="BI14" s="239">
        <v>0</v>
      </c>
      <c r="BJ14" s="239">
        <v>0</v>
      </c>
      <c r="BK14" s="239">
        <v>0</v>
      </c>
      <c r="BL14" s="239">
        <v>15477</v>
      </c>
      <c r="BM14" s="239">
        <v>0</v>
      </c>
      <c r="BN14" s="239">
        <v>15477</v>
      </c>
      <c r="BO14" s="239">
        <v>-3422335</v>
      </c>
      <c r="BP14" s="239">
        <v>0</v>
      </c>
      <c r="BQ14" s="239">
        <v>-3422335</v>
      </c>
      <c r="BR14" s="239">
        <v>-148851</v>
      </c>
      <c r="BS14" s="239">
        <v>0</v>
      </c>
      <c r="BT14" s="239">
        <v>-148851</v>
      </c>
      <c r="BU14" s="239">
        <v>-3555709</v>
      </c>
      <c r="BV14" s="239">
        <v>0</v>
      </c>
      <c r="BW14" s="239">
        <v>-3555709</v>
      </c>
      <c r="BX14" s="239">
        <v>-315586</v>
      </c>
      <c r="BY14" s="239">
        <v>0</v>
      </c>
      <c r="BZ14" s="239">
        <v>-315586</v>
      </c>
      <c r="CA14" s="239">
        <v>1710</v>
      </c>
      <c r="CB14" s="239">
        <v>0</v>
      </c>
      <c r="CC14" s="239">
        <v>1710</v>
      </c>
      <c r="CD14" s="239">
        <v>-30253</v>
      </c>
      <c r="CE14" s="239">
        <v>0</v>
      </c>
      <c r="CF14" s="239">
        <v>-30253</v>
      </c>
      <c r="CG14" s="239">
        <v>353</v>
      </c>
      <c r="CH14" s="239">
        <v>0</v>
      </c>
      <c r="CI14" s="239">
        <v>353</v>
      </c>
      <c r="CJ14" s="239">
        <v>-1578</v>
      </c>
      <c r="CK14" s="239">
        <v>0</v>
      </c>
      <c r="CL14" s="239">
        <v>-1578</v>
      </c>
      <c r="CM14" s="239">
        <v>0</v>
      </c>
      <c r="CN14" s="239">
        <v>0</v>
      </c>
      <c r="CO14" s="239">
        <v>0</v>
      </c>
      <c r="CP14" s="239">
        <v>0</v>
      </c>
      <c r="CQ14" s="239">
        <v>0</v>
      </c>
      <c r="CR14" s="239">
        <v>0</v>
      </c>
      <c r="CS14" s="239">
        <v>0</v>
      </c>
      <c r="CT14" s="239">
        <v>0</v>
      </c>
      <c r="CU14" s="239">
        <v>0</v>
      </c>
      <c r="CV14" s="239">
        <v>0</v>
      </c>
      <c r="CW14" s="239">
        <v>0</v>
      </c>
      <c r="CX14" s="239">
        <v>0</v>
      </c>
      <c r="CY14" s="239">
        <v>0</v>
      </c>
      <c r="CZ14" s="239">
        <v>0</v>
      </c>
      <c r="DA14" s="239">
        <v>0</v>
      </c>
      <c r="DB14" s="239">
        <v>-433840</v>
      </c>
      <c r="DC14" s="239">
        <v>0</v>
      </c>
      <c r="DD14" s="239">
        <v>-433840</v>
      </c>
      <c r="DE14" s="239">
        <v>-175474</v>
      </c>
      <c r="DF14" s="239">
        <v>0</v>
      </c>
      <c r="DG14" s="239">
        <v>-175474</v>
      </c>
      <c r="DH14" s="239">
        <v>0</v>
      </c>
      <c r="DI14" s="239">
        <v>0</v>
      </c>
      <c r="DJ14" s="239">
        <v>-954668</v>
      </c>
      <c r="DK14" s="239">
        <v>0</v>
      </c>
      <c r="DL14" s="239">
        <v>-954668</v>
      </c>
      <c r="DM14" s="239">
        <v>0</v>
      </c>
      <c r="DN14" s="239">
        <v>0</v>
      </c>
      <c r="DO14" s="239">
        <v>0</v>
      </c>
      <c r="DP14" s="239">
        <v>46747</v>
      </c>
      <c r="DQ14" s="239">
        <v>0</v>
      </c>
      <c r="DR14" s="239">
        <v>46747</v>
      </c>
      <c r="DS14" s="239">
        <v>-1161</v>
      </c>
      <c r="DT14" s="239">
        <v>0</v>
      </c>
      <c r="DU14" s="239">
        <v>-1161</v>
      </c>
      <c r="DV14" s="239">
        <v>0</v>
      </c>
      <c r="DW14" s="239">
        <v>0</v>
      </c>
      <c r="DX14" s="239">
        <v>0</v>
      </c>
      <c r="DY14" s="239">
        <v>-939396</v>
      </c>
      <c r="DZ14" s="239">
        <v>0</v>
      </c>
      <c r="EA14" s="239">
        <v>-939396</v>
      </c>
      <c r="EB14" s="239">
        <v>-9544</v>
      </c>
      <c r="EC14" s="239">
        <v>0</v>
      </c>
      <c r="ED14" s="239">
        <v>-9544</v>
      </c>
      <c r="EE14" s="239">
        <v>0</v>
      </c>
      <c r="EF14" s="239">
        <v>0</v>
      </c>
      <c r="EG14" s="239">
        <v>0</v>
      </c>
      <c r="EH14" s="239">
        <v>0</v>
      </c>
      <c r="EI14" s="239">
        <v>0</v>
      </c>
      <c r="EJ14" s="239">
        <v>0</v>
      </c>
      <c r="EK14" s="239">
        <v>-226</v>
      </c>
      <c r="EL14" s="239">
        <v>0</v>
      </c>
      <c r="EM14" s="239">
        <v>-226</v>
      </c>
      <c r="EN14" s="239">
        <v>-903580</v>
      </c>
      <c r="EO14" s="239">
        <v>0</v>
      </c>
      <c r="EP14" s="239">
        <v>-903580</v>
      </c>
      <c r="EQ14" s="239">
        <v>0</v>
      </c>
      <c r="ER14" s="239">
        <v>0</v>
      </c>
      <c r="ES14" s="239">
        <v>0</v>
      </c>
      <c r="ET14" s="239">
        <v>0</v>
      </c>
      <c r="EU14" s="239">
        <v>0</v>
      </c>
      <c r="EV14" s="239">
        <v>0</v>
      </c>
      <c r="EW14" s="239">
        <v>0</v>
      </c>
      <c r="EX14" s="239">
        <v>0</v>
      </c>
      <c r="EY14" s="239">
        <v>0</v>
      </c>
      <c r="EZ14" s="239">
        <v>65000147</v>
      </c>
      <c r="FA14" s="239">
        <v>0</v>
      </c>
      <c r="FB14" s="239">
        <v>65000147</v>
      </c>
      <c r="FC14" s="239">
        <v>212510</v>
      </c>
      <c r="FD14" s="239">
        <v>0</v>
      </c>
      <c r="FE14" s="239">
        <v>212510</v>
      </c>
      <c r="FF14" s="239">
        <v>-4872724</v>
      </c>
      <c r="FG14" s="239">
        <v>0</v>
      </c>
      <c r="FH14" s="239">
        <v>-4872724</v>
      </c>
      <c r="FI14" s="239">
        <v>-3555709</v>
      </c>
      <c r="FJ14" s="239">
        <v>0</v>
      </c>
      <c r="FK14" s="239">
        <v>-3555709</v>
      </c>
      <c r="FL14" s="239">
        <v>-954668</v>
      </c>
      <c r="FM14" s="239">
        <v>0</v>
      </c>
      <c r="FN14" s="239">
        <v>-954668</v>
      </c>
      <c r="FO14" s="239">
        <v>-903580</v>
      </c>
      <c r="FP14" s="239">
        <v>0</v>
      </c>
      <c r="FQ14" s="239">
        <v>-903580</v>
      </c>
      <c r="FR14" s="239">
        <v>0</v>
      </c>
      <c r="FS14" s="239">
        <v>0</v>
      </c>
      <c r="FT14" s="239">
        <v>0</v>
      </c>
      <c r="FU14" s="239">
        <v>-10074171</v>
      </c>
      <c r="FV14" s="239">
        <v>0</v>
      </c>
      <c r="FW14" s="239">
        <v>-10074171</v>
      </c>
      <c r="FX14" s="239">
        <v>54925976</v>
      </c>
      <c r="FY14" s="239">
        <v>0</v>
      </c>
      <c r="FZ14" s="239">
        <v>54925976</v>
      </c>
      <c r="GA14" s="214" t="s">
        <v>1295</v>
      </c>
    </row>
    <row r="15" spans="2:183" s="214" customFormat="1" x14ac:dyDescent="0.2">
      <c r="B15" s="610" t="s">
        <v>113</v>
      </c>
      <c r="C15" s="610" t="s">
        <v>112</v>
      </c>
      <c r="D15" s="239">
        <v>0</v>
      </c>
      <c r="E15" s="239">
        <v>0</v>
      </c>
      <c r="F15" s="239">
        <v>0</v>
      </c>
      <c r="G15" s="239">
        <v>159731</v>
      </c>
      <c r="H15" s="239">
        <v>0</v>
      </c>
      <c r="I15" s="239">
        <v>159731</v>
      </c>
      <c r="J15" s="239">
        <v>0</v>
      </c>
      <c r="K15" s="239">
        <v>0</v>
      </c>
      <c r="L15" s="239">
        <v>0</v>
      </c>
      <c r="M15" s="239">
        <v>162294</v>
      </c>
      <c r="N15" s="239">
        <v>0</v>
      </c>
      <c r="O15" s="239">
        <v>162294</v>
      </c>
      <c r="P15" s="239">
        <v>322025</v>
      </c>
      <c r="Q15" s="239">
        <v>0</v>
      </c>
      <c r="R15" s="239">
        <v>322025</v>
      </c>
      <c r="S15" s="239">
        <v>-3887675</v>
      </c>
      <c r="T15" s="239">
        <v>0</v>
      </c>
      <c r="U15" s="239">
        <v>-3887675</v>
      </c>
      <c r="V15" s="239">
        <v>0</v>
      </c>
      <c r="W15" s="239">
        <v>0</v>
      </c>
      <c r="X15" s="239">
        <v>0</v>
      </c>
      <c r="Y15" s="239">
        <v>-367566</v>
      </c>
      <c r="Z15" s="239">
        <v>0</v>
      </c>
      <c r="AA15" s="239">
        <v>-367566</v>
      </c>
      <c r="AB15" s="239">
        <v>-246865</v>
      </c>
      <c r="AC15" s="239">
        <v>0</v>
      </c>
      <c r="AD15" s="239">
        <v>-246865</v>
      </c>
      <c r="AE15" s="239">
        <v>0</v>
      </c>
      <c r="AF15" s="239">
        <v>0</v>
      </c>
      <c r="AG15" s="239">
        <v>0</v>
      </c>
      <c r="AH15" s="239">
        <v>2839200</v>
      </c>
      <c r="AI15" s="239">
        <v>0</v>
      </c>
      <c r="AJ15" s="239">
        <v>2839200</v>
      </c>
      <c r="AK15" s="239">
        <v>-64498</v>
      </c>
      <c r="AL15" s="239">
        <v>0</v>
      </c>
      <c r="AM15" s="239">
        <v>-64498</v>
      </c>
      <c r="AN15" s="239">
        <v>-11019328</v>
      </c>
      <c r="AO15" s="239">
        <v>0</v>
      </c>
      <c r="AP15" s="239">
        <v>-11019328</v>
      </c>
      <c r="AQ15" s="239">
        <v>386851</v>
      </c>
      <c r="AR15" s="239">
        <v>0</v>
      </c>
      <c r="AS15" s="239">
        <v>386851</v>
      </c>
      <c r="AT15" s="239">
        <v>-208736</v>
      </c>
      <c r="AU15" s="239">
        <v>0</v>
      </c>
      <c r="AV15" s="239">
        <v>-208736</v>
      </c>
      <c r="AW15" s="239">
        <v>0</v>
      </c>
      <c r="AX15" s="239">
        <v>0</v>
      </c>
      <c r="AY15" s="239">
        <v>0</v>
      </c>
      <c r="AZ15" s="239">
        <v>0</v>
      </c>
      <c r="BA15" s="239">
        <v>0</v>
      </c>
      <c r="BB15" s="239">
        <v>0</v>
      </c>
      <c r="BC15" s="239">
        <v>0</v>
      </c>
      <c r="BD15" s="239">
        <v>0</v>
      </c>
      <c r="BE15" s="239">
        <v>0</v>
      </c>
      <c r="BF15" s="239">
        <v>-12321752</v>
      </c>
      <c r="BG15" s="239">
        <v>0</v>
      </c>
      <c r="BH15" s="239">
        <v>-12321752</v>
      </c>
      <c r="BI15" s="239">
        <v>0</v>
      </c>
      <c r="BJ15" s="239">
        <v>0</v>
      </c>
      <c r="BK15" s="239">
        <v>0</v>
      </c>
      <c r="BL15" s="239">
        <v>17562</v>
      </c>
      <c r="BM15" s="239">
        <v>0</v>
      </c>
      <c r="BN15" s="239">
        <v>17562</v>
      </c>
      <c r="BO15" s="239">
        <v>-3077770</v>
      </c>
      <c r="BP15" s="239">
        <v>0</v>
      </c>
      <c r="BQ15" s="239">
        <v>-3077770</v>
      </c>
      <c r="BR15" s="239">
        <v>34206</v>
      </c>
      <c r="BS15" s="239">
        <v>0</v>
      </c>
      <c r="BT15" s="239">
        <v>34206</v>
      </c>
      <c r="BU15" s="239">
        <v>-3026002</v>
      </c>
      <c r="BV15" s="239">
        <v>0</v>
      </c>
      <c r="BW15" s="239">
        <v>-3026002</v>
      </c>
      <c r="BX15" s="239">
        <v>-877501</v>
      </c>
      <c r="BY15" s="239">
        <v>0</v>
      </c>
      <c r="BZ15" s="239">
        <v>-877501</v>
      </c>
      <c r="CA15" s="239">
        <v>77583</v>
      </c>
      <c r="CB15" s="239">
        <v>0</v>
      </c>
      <c r="CC15" s="239">
        <v>77583</v>
      </c>
      <c r="CD15" s="239">
        <v>-103548</v>
      </c>
      <c r="CE15" s="239">
        <v>0</v>
      </c>
      <c r="CF15" s="239">
        <v>-103548</v>
      </c>
      <c r="CG15" s="239">
        <v>0</v>
      </c>
      <c r="CH15" s="239">
        <v>0</v>
      </c>
      <c r="CI15" s="239">
        <v>0</v>
      </c>
      <c r="CJ15" s="239">
        <v>0</v>
      </c>
      <c r="CK15" s="239">
        <v>0</v>
      </c>
      <c r="CL15" s="239">
        <v>0</v>
      </c>
      <c r="CM15" s="239">
        <v>0</v>
      </c>
      <c r="CN15" s="239">
        <v>0</v>
      </c>
      <c r="CO15" s="239">
        <v>0</v>
      </c>
      <c r="CP15" s="239">
        <v>0</v>
      </c>
      <c r="CQ15" s="239">
        <v>0</v>
      </c>
      <c r="CR15" s="239">
        <v>0</v>
      </c>
      <c r="CS15" s="239">
        <v>0</v>
      </c>
      <c r="CT15" s="239">
        <v>0</v>
      </c>
      <c r="CU15" s="239">
        <v>0</v>
      </c>
      <c r="CV15" s="239">
        <v>0</v>
      </c>
      <c r="CW15" s="239">
        <v>0</v>
      </c>
      <c r="CX15" s="239">
        <v>0</v>
      </c>
      <c r="CY15" s="239">
        <v>0</v>
      </c>
      <c r="CZ15" s="239">
        <v>0</v>
      </c>
      <c r="DA15" s="239">
        <v>0</v>
      </c>
      <c r="DB15" s="239">
        <v>0</v>
      </c>
      <c r="DC15" s="239">
        <v>0</v>
      </c>
      <c r="DD15" s="239">
        <v>0</v>
      </c>
      <c r="DE15" s="239">
        <v>0</v>
      </c>
      <c r="DF15" s="239">
        <v>0</v>
      </c>
      <c r="DG15" s="239">
        <v>0</v>
      </c>
      <c r="DH15" s="239">
        <v>0</v>
      </c>
      <c r="DI15" s="239">
        <v>0</v>
      </c>
      <c r="DJ15" s="239">
        <v>-903466</v>
      </c>
      <c r="DK15" s="239">
        <v>0</v>
      </c>
      <c r="DL15" s="239">
        <v>-903466</v>
      </c>
      <c r="DM15" s="239">
        <v>0</v>
      </c>
      <c r="DN15" s="239">
        <v>0</v>
      </c>
      <c r="DO15" s="239">
        <v>0</v>
      </c>
      <c r="DP15" s="239">
        <v>0</v>
      </c>
      <c r="DQ15" s="239">
        <v>0</v>
      </c>
      <c r="DR15" s="239">
        <v>0</v>
      </c>
      <c r="DS15" s="239">
        <v>-66704</v>
      </c>
      <c r="DT15" s="239">
        <v>0</v>
      </c>
      <c r="DU15" s="239">
        <v>-66704</v>
      </c>
      <c r="DV15" s="239">
        <v>-21149</v>
      </c>
      <c r="DW15" s="239">
        <v>0</v>
      </c>
      <c r="DX15" s="239">
        <v>-21149</v>
      </c>
      <c r="DY15" s="239">
        <v>-2781310</v>
      </c>
      <c r="DZ15" s="239">
        <v>0</v>
      </c>
      <c r="EA15" s="239">
        <v>-2781310</v>
      </c>
      <c r="EB15" s="239">
        <v>-182544</v>
      </c>
      <c r="EC15" s="239">
        <v>0</v>
      </c>
      <c r="ED15" s="239">
        <v>-182544</v>
      </c>
      <c r="EE15" s="239">
        <v>0</v>
      </c>
      <c r="EF15" s="239">
        <v>0</v>
      </c>
      <c r="EG15" s="239">
        <v>0</v>
      </c>
      <c r="EH15" s="239">
        <v>0</v>
      </c>
      <c r="EI15" s="239">
        <v>0</v>
      </c>
      <c r="EJ15" s="239">
        <v>0</v>
      </c>
      <c r="EK15" s="239">
        <v>-32921</v>
      </c>
      <c r="EL15" s="239">
        <v>0</v>
      </c>
      <c r="EM15" s="239">
        <v>-32921</v>
      </c>
      <c r="EN15" s="239">
        <v>-3084628</v>
      </c>
      <c r="EO15" s="239">
        <v>0</v>
      </c>
      <c r="EP15" s="239">
        <v>-3084628</v>
      </c>
      <c r="EQ15" s="239">
        <v>0</v>
      </c>
      <c r="ER15" s="239">
        <v>0</v>
      </c>
      <c r="ES15" s="239">
        <v>0</v>
      </c>
      <c r="ET15" s="239">
        <v>0</v>
      </c>
      <c r="EU15" s="239">
        <v>0</v>
      </c>
      <c r="EV15" s="239">
        <v>0</v>
      </c>
      <c r="EW15" s="239">
        <v>0</v>
      </c>
      <c r="EX15" s="239">
        <v>0</v>
      </c>
      <c r="EY15" s="239">
        <v>0</v>
      </c>
      <c r="EZ15" s="239">
        <v>127631472</v>
      </c>
      <c r="FA15" s="239">
        <v>0</v>
      </c>
      <c r="FB15" s="239">
        <v>127631472</v>
      </c>
      <c r="FC15" s="239">
        <v>322025</v>
      </c>
      <c r="FD15" s="239">
        <v>0</v>
      </c>
      <c r="FE15" s="239">
        <v>322025</v>
      </c>
      <c r="FF15" s="239">
        <v>-12321752</v>
      </c>
      <c r="FG15" s="239">
        <v>0</v>
      </c>
      <c r="FH15" s="239">
        <v>-12321752</v>
      </c>
      <c r="FI15" s="239">
        <v>-3026002</v>
      </c>
      <c r="FJ15" s="239">
        <v>0</v>
      </c>
      <c r="FK15" s="239">
        <v>-3026002</v>
      </c>
      <c r="FL15" s="239">
        <v>-903466</v>
      </c>
      <c r="FM15" s="239">
        <v>0</v>
      </c>
      <c r="FN15" s="239">
        <v>-903466</v>
      </c>
      <c r="FO15" s="239">
        <v>-3084628</v>
      </c>
      <c r="FP15" s="239">
        <v>0</v>
      </c>
      <c r="FQ15" s="239">
        <v>-3084628</v>
      </c>
      <c r="FR15" s="239">
        <v>0</v>
      </c>
      <c r="FS15" s="239">
        <v>0</v>
      </c>
      <c r="FT15" s="239">
        <v>0</v>
      </c>
      <c r="FU15" s="239">
        <v>-19013823</v>
      </c>
      <c r="FV15" s="239">
        <v>0</v>
      </c>
      <c r="FW15" s="239">
        <v>-19013823</v>
      </c>
      <c r="FX15" s="239">
        <v>108617649</v>
      </c>
      <c r="FY15" s="239">
        <v>0</v>
      </c>
      <c r="FZ15" s="239">
        <v>108617649</v>
      </c>
      <c r="GA15" s="214" t="s">
        <v>1295</v>
      </c>
    </row>
    <row r="16" spans="2:183" s="214" customFormat="1" x14ac:dyDescent="0.2">
      <c r="B16" s="610" t="s">
        <v>115</v>
      </c>
      <c r="C16" s="610" t="s">
        <v>114</v>
      </c>
      <c r="D16" s="239">
        <v>0</v>
      </c>
      <c r="E16" s="239">
        <v>0</v>
      </c>
      <c r="F16" s="239">
        <v>0</v>
      </c>
      <c r="G16" s="239">
        <v>89680</v>
      </c>
      <c r="H16" s="239">
        <v>0</v>
      </c>
      <c r="I16" s="239">
        <v>89680</v>
      </c>
      <c r="J16" s="239">
        <v>0</v>
      </c>
      <c r="K16" s="239">
        <v>0</v>
      </c>
      <c r="L16" s="239">
        <v>0</v>
      </c>
      <c r="M16" s="239">
        <v>467</v>
      </c>
      <c r="N16" s="239">
        <v>0</v>
      </c>
      <c r="O16" s="239">
        <v>467</v>
      </c>
      <c r="P16" s="239">
        <v>90147</v>
      </c>
      <c r="Q16" s="239">
        <v>0</v>
      </c>
      <c r="R16" s="239">
        <v>90147</v>
      </c>
      <c r="S16" s="239">
        <v>-5012255</v>
      </c>
      <c r="T16" s="239">
        <v>0</v>
      </c>
      <c r="U16" s="239">
        <v>-5012255</v>
      </c>
      <c r="V16" s="239">
        <v>0</v>
      </c>
      <c r="W16" s="239">
        <v>0</v>
      </c>
      <c r="X16" s="239">
        <v>0</v>
      </c>
      <c r="Y16" s="239">
        <v>-146253</v>
      </c>
      <c r="Z16" s="239">
        <v>0</v>
      </c>
      <c r="AA16" s="239">
        <v>-146253</v>
      </c>
      <c r="AB16" s="239">
        <v>-73896</v>
      </c>
      <c r="AC16" s="239">
        <v>0</v>
      </c>
      <c r="AD16" s="239">
        <v>-73896</v>
      </c>
      <c r="AE16" s="239">
        <v>0</v>
      </c>
      <c r="AF16" s="239">
        <v>0</v>
      </c>
      <c r="AG16" s="239">
        <v>0</v>
      </c>
      <c r="AH16" s="239">
        <v>1462014</v>
      </c>
      <c r="AI16" s="239">
        <v>15610</v>
      </c>
      <c r="AJ16" s="239">
        <v>1477624</v>
      </c>
      <c r="AK16" s="239">
        <v>-29719</v>
      </c>
      <c r="AL16" s="239">
        <v>0</v>
      </c>
      <c r="AM16" s="239">
        <v>-29719</v>
      </c>
      <c r="AN16" s="239">
        <v>-3920883</v>
      </c>
      <c r="AO16" s="239">
        <v>0</v>
      </c>
      <c r="AP16" s="239">
        <v>-3920883</v>
      </c>
      <c r="AQ16" s="239">
        <v>-57677</v>
      </c>
      <c r="AR16" s="239">
        <v>0</v>
      </c>
      <c r="AS16" s="239">
        <v>-57677</v>
      </c>
      <c r="AT16" s="239">
        <v>0</v>
      </c>
      <c r="AU16" s="239">
        <v>0</v>
      </c>
      <c r="AV16" s="239">
        <v>0</v>
      </c>
      <c r="AW16" s="239">
        <v>0</v>
      </c>
      <c r="AX16" s="239">
        <v>0</v>
      </c>
      <c r="AY16" s="239">
        <v>0</v>
      </c>
      <c r="AZ16" s="239">
        <v>-7469</v>
      </c>
      <c r="BA16" s="239">
        <v>0</v>
      </c>
      <c r="BB16" s="239">
        <v>-7469</v>
      </c>
      <c r="BC16" s="239">
        <v>0</v>
      </c>
      <c r="BD16" s="239">
        <v>0</v>
      </c>
      <c r="BE16" s="239">
        <v>0</v>
      </c>
      <c r="BF16" s="239">
        <v>-7712242</v>
      </c>
      <c r="BG16" s="239">
        <v>15610</v>
      </c>
      <c r="BH16" s="239">
        <v>-7696632</v>
      </c>
      <c r="BI16" s="239">
        <v>-38424</v>
      </c>
      <c r="BJ16" s="239">
        <v>0</v>
      </c>
      <c r="BK16" s="239">
        <v>-38424</v>
      </c>
      <c r="BL16" s="239">
        <v>-111202</v>
      </c>
      <c r="BM16" s="239">
        <v>0</v>
      </c>
      <c r="BN16" s="239">
        <v>-111202</v>
      </c>
      <c r="BO16" s="239">
        <v>-2306518</v>
      </c>
      <c r="BP16" s="239">
        <v>-1208</v>
      </c>
      <c r="BQ16" s="239">
        <v>-2307726</v>
      </c>
      <c r="BR16" s="239">
        <v>30067</v>
      </c>
      <c r="BS16" s="239">
        <v>0</v>
      </c>
      <c r="BT16" s="239">
        <v>30067</v>
      </c>
      <c r="BU16" s="239">
        <v>-2426077</v>
      </c>
      <c r="BV16" s="239">
        <v>-1208</v>
      </c>
      <c r="BW16" s="239">
        <v>-2427285</v>
      </c>
      <c r="BX16" s="239">
        <v>-180067</v>
      </c>
      <c r="BY16" s="239">
        <v>0</v>
      </c>
      <c r="BZ16" s="239">
        <v>-180067</v>
      </c>
      <c r="CA16" s="239">
        <v>-12105</v>
      </c>
      <c r="CB16" s="239">
        <v>0</v>
      </c>
      <c r="CC16" s="239">
        <v>-12105</v>
      </c>
      <c r="CD16" s="239">
        <v>-81004</v>
      </c>
      <c r="CE16" s="239">
        <v>0</v>
      </c>
      <c r="CF16" s="239">
        <v>-81004</v>
      </c>
      <c r="CG16" s="239">
        <v>-43841</v>
      </c>
      <c r="CH16" s="239">
        <v>0</v>
      </c>
      <c r="CI16" s="239">
        <v>-43841</v>
      </c>
      <c r="CJ16" s="239">
        <v>0</v>
      </c>
      <c r="CK16" s="239">
        <v>0</v>
      </c>
      <c r="CL16" s="239">
        <v>0</v>
      </c>
      <c r="CM16" s="239">
        <v>0</v>
      </c>
      <c r="CN16" s="239">
        <v>0</v>
      </c>
      <c r="CO16" s="239">
        <v>0</v>
      </c>
      <c r="CP16" s="239">
        <v>-2231</v>
      </c>
      <c r="CQ16" s="239">
        <v>0</v>
      </c>
      <c r="CR16" s="239">
        <v>-2231</v>
      </c>
      <c r="CS16" s="239">
        <v>0</v>
      </c>
      <c r="CT16" s="239">
        <v>0</v>
      </c>
      <c r="CU16" s="239">
        <v>0</v>
      </c>
      <c r="CV16" s="239">
        <v>0</v>
      </c>
      <c r="CW16" s="239">
        <v>0</v>
      </c>
      <c r="CX16" s="239">
        <v>0</v>
      </c>
      <c r="CY16" s="239">
        <v>0</v>
      </c>
      <c r="CZ16" s="239">
        <v>0</v>
      </c>
      <c r="DA16" s="239">
        <v>0</v>
      </c>
      <c r="DB16" s="239">
        <v>0</v>
      </c>
      <c r="DC16" s="239">
        <v>-248897</v>
      </c>
      <c r="DD16" s="239">
        <v>-248897</v>
      </c>
      <c r="DE16" s="239">
        <v>0</v>
      </c>
      <c r="DF16" s="239">
        <v>-30082</v>
      </c>
      <c r="DG16" s="239">
        <v>-30082</v>
      </c>
      <c r="DH16" s="239">
        <v>-278979</v>
      </c>
      <c r="DI16" s="239">
        <v>0</v>
      </c>
      <c r="DJ16" s="239">
        <v>-319248</v>
      </c>
      <c r="DK16" s="239">
        <v>-278979</v>
      </c>
      <c r="DL16" s="239">
        <v>-598227</v>
      </c>
      <c r="DM16" s="239">
        <v>0</v>
      </c>
      <c r="DN16" s="239">
        <v>0</v>
      </c>
      <c r="DO16" s="239">
        <v>0</v>
      </c>
      <c r="DP16" s="239">
        <v>0</v>
      </c>
      <c r="DQ16" s="239">
        <v>0</v>
      </c>
      <c r="DR16" s="239">
        <v>0</v>
      </c>
      <c r="DS16" s="239">
        <v>-13610</v>
      </c>
      <c r="DT16" s="239">
        <v>0</v>
      </c>
      <c r="DU16" s="239">
        <v>-13610</v>
      </c>
      <c r="DV16" s="239">
        <v>-767</v>
      </c>
      <c r="DW16" s="239">
        <v>0</v>
      </c>
      <c r="DX16" s="239">
        <v>-767</v>
      </c>
      <c r="DY16" s="239">
        <v>-1010153</v>
      </c>
      <c r="DZ16" s="239">
        <v>0</v>
      </c>
      <c r="EA16" s="239">
        <v>-1010153</v>
      </c>
      <c r="EB16" s="239">
        <v>-2172</v>
      </c>
      <c r="EC16" s="239">
        <v>0</v>
      </c>
      <c r="ED16" s="239">
        <v>-2172</v>
      </c>
      <c r="EE16" s="239">
        <v>0</v>
      </c>
      <c r="EF16" s="239">
        <v>0</v>
      </c>
      <c r="EG16" s="239">
        <v>0</v>
      </c>
      <c r="EH16" s="239">
        <v>0</v>
      </c>
      <c r="EI16" s="239">
        <v>0</v>
      </c>
      <c r="EJ16" s="239">
        <v>0</v>
      </c>
      <c r="EK16" s="239">
        <v>-20322</v>
      </c>
      <c r="EL16" s="239">
        <v>0</v>
      </c>
      <c r="EM16" s="239">
        <v>-20322</v>
      </c>
      <c r="EN16" s="239">
        <v>-1047024</v>
      </c>
      <c r="EO16" s="239">
        <v>0</v>
      </c>
      <c r="EP16" s="239">
        <v>-1047024</v>
      </c>
      <c r="EQ16" s="239">
        <v>0</v>
      </c>
      <c r="ER16" s="239">
        <v>0</v>
      </c>
      <c r="ES16" s="239">
        <v>0</v>
      </c>
      <c r="ET16" s="239">
        <v>0</v>
      </c>
      <c r="EU16" s="239">
        <v>0</v>
      </c>
      <c r="EV16" s="239">
        <v>0</v>
      </c>
      <c r="EW16" s="239">
        <v>0</v>
      </c>
      <c r="EX16" s="239">
        <v>0</v>
      </c>
      <c r="EY16" s="239">
        <v>0</v>
      </c>
      <c r="EZ16" s="239">
        <v>64254215</v>
      </c>
      <c r="FA16" s="239">
        <v>576360</v>
      </c>
      <c r="FB16" s="239">
        <v>64830575</v>
      </c>
      <c r="FC16" s="239">
        <v>90147</v>
      </c>
      <c r="FD16" s="239">
        <v>0</v>
      </c>
      <c r="FE16" s="239">
        <v>90147</v>
      </c>
      <c r="FF16" s="239">
        <v>-7712242</v>
      </c>
      <c r="FG16" s="239">
        <v>15610</v>
      </c>
      <c r="FH16" s="239">
        <v>-7696632</v>
      </c>
      <c r="FI16" s="239">
        <v>-2426077</v>
      </c>
      <c r="FJ16" s="239">
        <v>-1208</v>
      </c>
      <c r="FK16" s="239">
        <v>-2427285</v>
      </c>
      <c r="FL16" s="239">
        <v>-319248</v>
      </c>
      <c r="FM16" s="239">
        <v>-278979</v>
      </c>
      <c r="FN16" s="239">
        <v>-598227</v>
      </c>
      <c r="FO16" s="239">
        <v>-1047024</v>
      </c>
      <c r="FP16" s="239">
        <v>0</v>
      </c>
      <c r="FQ16" s="239">
        <v>-1047024</v>
      </c>
      <c r="FR16" s="239">
        <v>0</v>
      </c>
      <c r="FS16" s="239">
        <v>0</v>
      </c>
      <c r="FT16" s="239">
        <v>0</v>
      </c>
      <c r="FU16" s="239">
        <v>-11414444</v>
      </c>
      <c r="FV16" s="239">
        <v>-264577</v>
      </c>
      <c r="FW16" s="239">
        <v>-11679021</v>
      </c>
      <c r="FX16" s="239">
        <v>52839771</v>
      </c>
      <c r="FY16" s="239">
        <v>311783</v>
      </c>
      <c r="FZ16" s="239">
        <v>53151554</v>
      </c>
      <c r="GA16" s="214" t="s">
        <v>1296</v>
      </c>
    </row>
    <row r="17" spans="2:183" s="214" customFormat="1" x14ac:dyDescent="0.2">
      <c r="B17" s="610" t="s">
        <v>117</v>
      </c>
      <c r="C17" s="610" t="s">
        <v>116</v>
      </c>
      <c r="D17" s="239">
        <v>0</v>
      </c>
      <c r="E17" s="239">
        <v>0</v>
      </c>
      <c r="F17" s="239">
        <v>0</v>
      </c>
      <c r="G17" s="239">
        <v>10001</v>
      </c>
      <c r="H17" s="239">
        <v>0</v>
      </c>
      <c r="I17" s="239">
        <v>10001</v>
      </c>
      <c r="J17" s="239">
        <v>0</v>
      </c>
      <c r="K17" s="239">
        <v>0</v>
      </c>
      <c r="L17" s="239">
        <v>0</v>
      </c>
      <c r="M17" s="239">
        <v>19141</v>
      </c>
      <c r="N17" s="239">
        <v>0</v>
      </c>
      <c r="O17" s="239">
        <v>19141</v>
      </c>
      <c r="P17" s="239">
        <v>29142</v>
      </c>
      <c r="Q17" s="239">
        <v>0</v>
      </c>
      <c r="R17" s="239">
        <v>29142</v>
      </c>
      <c r="S17" s="239">
        <v>-1392002</v>
      </c>
      <c r="T17" s="239">
        <v>0</v>
      </c>
      <c r="U17" s="239">
        <v>-1392002</v>
      </c>
      <c r="V17" s="239">
        <v>-545</v>
      </c>
      <c r="W17" s="239">
        <v>0</v>
      </c>
      <c r="X17" s="239">
        <v>-545</v>
      </c>
      <c r="Y17" s="239">
        <v>-70728</v>
      </c>
      <c r="Z17" s="239">
        <v>0</v>
      </c>
      <c r="AA17" s="239">
        <v>-70728</v>
      </c>
      <c r="AB17" s="239">
        <v>-46043</v>
      </c>
      <c r="AC17" s="239">
        <v>0</v>
      </c>
      <c r="AD17" s="239">
        <v>-46043</v>
      </c>
      <c r="AE17" s="239">
        <v>0</v>
      </c>
      <c r="AF17" s="239">
        <v>0</v>
      </c>
      <c r="AG17" s="239">
        <v>0</v>
      </c>
      <c r="AH17" s="239">
        <v>635455</v>
      </c>
      <c r="AI17" s="239">
        <v>0</v>
      </c>
      <c r="AJ17" s="239">
        <v>635455</v>
      </c>
      <c r="AK17" s="239">
        <v>-4255</v>
      </c>
      <c r="AL17" s="239">
        <v>0</v>
      </c>
      <c r="AM17" s="239">
        <v>-4255</v>
      </c>
      <c r="AN17" s="239">
        <v>-1697729</v>
      </c>
      <c r="AO17" s="239">
        <v>0</v>
      </c>
      <c r="AP17" s="239">
        <v>-1697729</v>
      </c>
      <c r="AQ17" s="239">
        <v>-9568</v>
      </c>
      <c r="AR17" s="239">
        <v>0</v>
      </c>
      <c r="AS17" s="239">
        <v>-9568</v>
      </c>
      <c r="AT17" s="239">
        <v>-95980</v>
      </c>
      <c r="AU17" s="239">
        <v>0</v>
      </c>
      <c r="AV17" s="239">
        <v>-95980</v>
      </c>
      <c r="AW17" s="239">
        <v>0</v>
      </c>
      <c r="AX17" s="239">
        <v>0</v>
      </c>
      <c r="AY17" s="239">
        <v>0</v>
      </c>
      <c r="AZ17" s="239">
        <v>0</v>
      </c>
      <c r="BA17" s="239">
        <v>0</v>
      </c>
      <c r="BB17" s="239">
        <v>0</v>
      </c>
      <c r="BC17" s="239">
        <v>0</v>
      </c>
      <c r="BD17" s="239">
        <v>0</v>
      </c>
      <c r="BE17" s="239">
        <v>0</v>
      </c>
      <c r="BF17" s="239">
        <v>-2634807</v>
      </c>
      <c r="BG17" s="239">
        <v>0</v>
      </c>
      <c r="BH17" s="239">
        <v>-2634807</v>
      </c>
      <c r="BI17" s="239">
        <v>-341819</v>
      </c>
      <c r="BJ17" s="239">
        <v>0</v>
      </c>
      <c r="BK17" s="239">
        <v>-341819</v>
      </c>
      <c r="BL17" s="239">
        <v>0</v>
      </c>
      <c r="BM17" s="239">
        <v>0</v>
      </c>
      <c r="BN17" s="239">
        <v>0</v>
      </c>
      <c r="BO17" s="239">
        <v>-584215</v>
      </c>
      <c r="BP17" s="239">
        <v>0</v>
      </c>
      <c r="BQ17" s="239">
        <v>-584215</v>
      </c>
      <c r="BR17" s="239">
        <v>-60627</v>
      </c>
      <c r="BS17" s="239">
        <v>0</v>
      </c>
      <c r="BT17" s="239">
        <v>-60627</v>
      </c>
      <c r="BU17" s="239">
        <v>-986661</v>
      </c>
      <c r="BV17" s="239">
        <v>0</v>
      </c>
      <c r="BW17" s="239">
        <v>-986661</v>
      </c>
      <c r="BX17" s="239">
        <v>0</v>
      </c>
      <c r="BY17" s="239">
        <v>0</v>
      </c>
      <c r="BZ17" s="239">
        <v>0</v>
      </c>
      <c r="CA17" s="239">
        <v>0</v>
      </c>
      <c r="CB17" s="239">
        <v>0</v>
      </c>
      <c r="CC17" s="239">
        <v>0</v>
      </c>
      <c r="CD17" s="239">
        <v>0</v>
      </c>
      <c r="CE17" s="239">
        <v>0</v>
      </c>
      <c r="CF17" s="239">
        <v>0</v>
      </c>
      <c r="CG17" s="239">
        <v>783</v>
      </c>
      <c r="CH17" s="239">
        <v>0</v>
      </c>
      <c r="CI17" s="239">
        <v>783</v>
      </c>
      <c r="CJ17" s="239">
        <v>0</v>
      </c>
      <c r="CK17" s="239">
        <v>0</v>
      </c>
      <c r="CL17" s="239">
        <v>0</v>
      </c>
      <c r="CM17" s="239">
        <v>0</v>
      </c>
      <c r="CN17" s="239">
        <v>0</v>
      </c>
      <c r="CO17" s="239">
        <v>0</v>
      </c>
      <c r="CP17" s="239">
        <v>0</v>
      </c>
      <c r="CQ17" s="239">
        <v>0</v>
      </c>
      <c r="CR17" s="239">
        <v>0</v>
      </c>
      <c r="CS17" s="239">
        <v>0</v>
      </c>
      <c r="CT17" s="239">
        <v>0</v>
      </c>
      <c r="CU17" s="239">
        <v>0</v>
      </c>
      <c r="CV17" s="239">
        <v>0</v>
      </c>
      <c r="CW17" s="239">
        <v>0</v>
      </c>
      <c r="CX17" s="239">
        <v>0</v>
      </c>
      <c r="CY17" s="239">
        <v>0</v>
      </c>
      <c r="CZ17" s="239">
        <v>0</v>
      </c>
      <c r="DA17" s="239">
        <v>0</v>
      </c>
      <c r="DB17" s="239">
        <v>0</v>
      </c>
      <c r="DC17" s="239">
        <v>0</v>
      </c>
      <c r="DD17" s="239">
        <v>0</v>
      </c>
      <c r="DE17" s="239">
        <v>0</v>
      </c>
      <c r="DF17" s="239">
        <v>0</v>
      </c>
      <c r="DG17" s="239">
        <v>0</v>
      </c>
      <c r="DH17" s="239">
        <v>0</v>
      </c>
      <c r="DI17" s="239">
        <v>0</v>
      </c>
      <c r="DJ17" s="239">
        <v>783</v>
      </c>
      <c r="DK17" s="239">
        <v>0</v>
      </c>
      <c r="DL17" s="239">
        <v>783</v>
      </c>
      <c r="DM17" s="239">
        <v>-94</v>
      </c>
      <c r="DN17" s="239">
        <v>0</v>
      </c>
      <c r="DO17" s="239">
        <v>-94</v>
      </c>
      <c r="DP17" s="239">
        <v>0</v>
      </c>
      <c r="DQ17" s="239">
        <v>0</v>
      </c>
      <c r="DR17" s="239">
        <v>0</v>
      </c>
      <c r="DS17" s="239">
        <v>-3196</v>
      </c>
      <c r="DT17" s="239">
        <v>0</v>
      </c>
      <c r="DU17" s="239">
        <v>-3196</v>
      </c>
      <c r="DV17" s="239">
        <v>-702</v>
      </c>
      <c r="DW17" s="239">
        <v>0</v>
      </c>
      <c r="DX17" s="239">
        <v>-702</v>
      </c>
      <c r="DY17" s="239">
        <v>-391178</v>
      </c>
      <c r="DZ17" s="239">
        <v>0</v>
      </c>
      <c r="EA17" s="239">
        <v>-391178</v>
      </c>
      <c r="EB17" s="239">
        <v>1629</v>
      </c>
      <c r="EC17" s="239">
        <v>0</v>
      </c>
      <c r="ED17" s="239">
        <v>1629</v>
      </c>
      <c r="EE17" s="239">
        <v>0</v>
      </c>
      <c r="EF17" s="239">
        <v>0</v>
      </c>
      <c r="EG17" s="239">
        <v>0</v>
      </c>
      <c r="EH17" s="239">
        <v>-1423</v>
      </c>
      <c r="EI17" s="239">
        <v>0</v>
      </c>
      <c r="EJ17" s="239">
        <v>-1423</v>
      </c>
      <c r="EK17" s="239">
        <v>-5108</v>
      </c>
      <c r="EL17" s="239">
        <v>0</v>
      </c>
      <c r="EM17" s="239">
        <v>-5108</v>
      </c>
      <c r="EN17" s="239">
        <v>-400072</v>
      </c>
      <c r="EO17" s="239">
        <v>0</v>
      </c>
      <c r="EP17" s="239">
        <v>-400072</v>
      </c>
      <c r="EQ17" s="239">
        <v>0</v>
      </c>
      <c r="ER17" s="239">
        <v>0</v>
      </c>
      <c r="ES17" s="239">
        <v>0</v>
      </c>
      <c r="ET17" s="239">
        <v>0</v>
      </c>
      <c r="EU17" s="239">
        <v>0</v>
      </c>
      <c r="EV17" s="239">
        <v>0</v>
      </c>
      <c r="EW17" s="239">
        <v>0</v>
      </c>
      <c r="EX17" s="239">
        <v>0</v>
      </c>
      <c r="EY17" s="239">
        <v>0</v>
      </c>
      <c r="EZ17" s="239">
        <v>26497440</v>
      </c>
      <c r="FA17" s="239">
        <v>0</v>
      </c>
      <c r="FB17" s="239">
        <v>26497440</v>
      </c>
      <c r="FC17" s="239">
        <v>29142</v>
      </c>
      <c r="FD17" s="239">
        <v>0</v>
      </c>
      <c r="FE17" s="239">
        <v>29142</v>
      </c>
      <c r="FF17" s="239">
        <v>-2634807</v>
      </c>
      <c r="FG17" s="239">
        <v>0</v>
      </c>
      <c r="FH17" s="239">
        <v>-2634807</v>
      </c>
      <c r="FI17" s="239">
        <v>-986661</v>
      </c>
      <c r="FJ17" s="239">
        <v>0</v>
      </c>
      <c r="FK17" s="239">
        <v>-986661</v>
      </c>
      <c r="FL17" s="239">
        <v>783</v>
      </c>
      <c r="FM17" s="239">
        <v>0</v>
      </c>
      <c r="FN17" s="239">
        <v>783</v>
      </c>
      <c r="FO17" s="239">
        <v>-400072</v>
      </c>
      <c r="FP17" s="239">
        <v>0</v>
      </c>
      <c r="FQ17" s="239">
        <v>-400072</v>
      </c>
      <c r="FR17" s="239">
        <v>0</v>
      </c>
      <c r="FS17" s="239">
        <v>0</v>
      </c>
      <c r="FT17" s="239">
        <v>0</v>
      </c>
      <c r="FU17" s="239">
        <v>-3991615</v>
      </c>
      <c r="FV17" s="239">
        <v>0</v>
      </c>
      <c r="FW17" s="239">
        <v>-3991615</v>
      </c>
      <c r="FX17" s="239">
        <v>22505825</v>
      </c>
      <c r="FY17" s="239">
        <v>0</v>
      </c>
      <c r="FZ17" s="239">
        <v>22505825</v>
      </c>
      <c r="GA17" s="214" t="s">
        <v>1294</v>
      </c>
    </row>
    <row r="18" spans="2:183" s="214" customFormat="1" x14ac:dyDescent="0.2">
      <c r="B18" s="610" t="s">
        <v>119</v>
      </c>
      <c r="C18" s="610" t="s">
        <v>118</v>
      </c>
      <c r="D18" s="239">
        <v>0</v>
      </c>
      <c r="E18" s="239">
        <v>0</v>
      </c>
      <c r="F18" s="239">
        <v>0</v>
      </c>
      <c r="G18" s="239">
        <v>-375018</v>
      </c>
      <c r="H18" s="239">
        <v>0</v>
      </c>
      <c r="I18" s="239">
        <v>-375018</v>
      </c>
      <c r="J18" s="239">
        <v>0</v>
      </c>
      <c r="K18" s="239">
        <v>0</v>
      </c>
      <c r="L18" s="239">
        <v>0</v>
      </c>
      <c r="M18" s="239">
        <v>689670</v>
      </c>
      <c r="N18" s="239">
        <v>0</v>
      </c>
      <c r="O18" s="239">
        <v>689670</v>
      </c>
      <c r="P18" s="239">
        <v>314652</v>
      </c>
      <c r="Q18" s="239">
        <v>0</v>
      </c>
      <c r="R18" s="239">
        <v>314652</v>
      </c>
      <c r="S18" s="239">
        <v>-2549640</v>
      </c>
      <c r="T18" s="239">
        <v>0</v>
      </c>
      <c r="U18" s="239">
        <v>-2549640</v>
      </c>
      <c r="V18" s="239">
        <v>-8752</v>
      </c>
      <c r="W18" s="239">
        <v>0</v>
      </c>
      <c r="X18" s="239">
        <v>-8752</v>
      </c>
      <c r="Y18" s="239">
        <v>-132364</v>
      </c>
      <c r="Z18" s="239">
        <v>0</v>
      </c>
      <c r="AA18" s="239">
        <v>-132364</v>
      </c>
      <c r="AB18" s="239">
        <v>-82355</v>
      </c>
      <c r="AC18" s="239">
        <v>0</v>
      </c>
      <c r="AD18" s="239">
        <v>-82355</v>
      </c>
      <c r="AE18" s="239">
        <v>-1000</v>
      </c>
      <c r="AF18" s="239">
        <v>0</v>
      </c>
      <c r="AG18" s="239">
        <v>-1000</v>
      </c>
      <c r="AH18" s="239">
        <v>2176931</v>
      </c>
      <c r="AI18" s="239">
        <v>0</v>
      </c>
      <c r="AJ18" s="239">
        <v>2176931</v>
      </c>
      <c r="AK18" s="239">
        <v>-57196</v>
      </c>
      <c r="AL18" s="239">
        <v>0</v>
      </c>
      <c r="AM18" s="239">
        <v>-57196</v>
      </c>
      <c r="AN18" s="239">
        <v>-3577736</v>
      </c>
      <c r="AO18" s="239">
        <v>0</v>
      </c>
      <c r="AP18" s="239">
        <v>-3577736</v>
      </c>
      <c r="AQ18" s="239">
        <v>-2566</v>
      </c>
      <c r="AR18" s="239">
        <v>0</v>
      </c>
      <c r="AS18" s="239">
        <v>-2566</v>
      </c>
      <c r="AT18" s="239">
        <v>-29974</v>
      </c>
      <c r="AU18" s="239">
        <v>0</v>
      </c>
      <c r="AV18" s="239">
        <v>-29974</v>
      </c>
      <c r="AW18" s="239">
        <v>48</v>
      </c>
      <c r="AX18" s="239">
        <v>0</v>
      </c>
      <c r="AY18" s="239">
        <v>48</v>
      </c>
      <c r="AZ18" s="239">
        <v>-3476</v>
      </c>
      <c r="BA18" s="239">
        <v>0</v>
      </c>
      <c r="BB18" s="239">
        <v>-3476</v>
      </c>
      <c r="BC18" s="239">
        <v>0</v>
      </c>
      <c r="BD18" s="239">
        <v>0</v>
      </c>
      <c r="BE18" s="239">
        <v>0</v>
      </c>
      <c r="BF18" s="239">
        <v>-4175973</v>
      </c>
      <c r="BG18" s="239">
        <v>0</v>
      </c>
      <c r="BH18" s="239">
        <v>-4175973</v>
      </c>
      <c r="BI18" s="239">
        <v>-38798</v>
      </c>
      <c r="BJ18" s="239">
        <v>0</v>
      </c>
      <c r="BK18" s="239">
        <v>-38798</v>
      </c>
      <c r="BL18" s="239">
        <v>1677</v>
      </c>
      <c r="BM18" s="239">
        <v>0</v>
      </c>
      <c r="BN18" s="239">
        <v>1677</v>
      </c>
      <c r="BO18" s="239">
        <v>-1840390</v>
      </c>
      <c r="BP18" s="239">
        <v>0</v>
      </c>
      <c r="BQ18" s="239">
        <v>-1840390</v>
      </c>
      <c r="BR18" s="239">
        <v>-234961</v>
      </c>
      <c r="BS18" s="239">
        <v>0</v>
      </c>
      <c r="BT18" s="239">
        <v>-234961</v>
      </c>
      <c r="BU18" s="239">
        <v>-2112472</v>
      </c>
      <c r="BV18" s="239">
        <v>0</v>
      </c>
      <c r="BW18" s="239">
        <v>-2112472</v>
      </c>
      <c r="BX18" s="239">
        <v>-7561</v>
      </c>
      <c r="BY18" s="239">
        <v>0</v>
      </c>
      <c r="BZ18" s="239">
        <v>-7561</v>
      </c>
      <c r="CA18" s="239">
        <v>5217</v>
      </c>
      <c r="CB18" s="239">
        <v>0</v>
      </c>
      <c r="CC18" s="239">
        <v>5217</v>
      </c>
      <c r="CD18" s="239">
        <v>-47922</v>
      </c>
      <c r="CE18" s="239">
        <v>0</v>
      </c>
      <c r="CF18" s="239">
        <v>-47922</v>
      </c>
      <c r="CG18" s="239">
        <v>0</v>
      </c>
      <c r="CH18" s="239">
        <v>0</v>
      </c>
      <c r="CI18" s="239">
        <v>0</v>
      </c>
      <c r="CJ18" s="239">
        <v>0</v>
      </c>
      <c r="CK18" s="239">
        <v>0</v>
      </c>
      <c r="CL18" s="239">
        <v>0</v>
      </c>
      <c r="CM18" s="239">
        <v>0</v>
      </c>
      <c r="CN18" s="239">
        <v>0</v>
      </c>
      <c r="CO18" s="239">
        <v>0</v>
      </c>
      <c r="CP18" s="239">
        <v>0</v>
      </c>
      <c r="CQ18" s="239">
        <v>0</v>
      </c>
      <c r="CR18" s="239">
        <v>0</v>
      </c>
      <c r="CS18" s="239">
        <v>0</v>
      </c>
      <c r="CT18" s="239">
        <v>0</v>
      </c>
      <c r="CU18" s="239">
        <v>0</v>
      </c>
      <c r="CV18" s="239">
        <v>0</v>
      </c>
      <c r="CW18" s="239">
        <v>0</v>
      </c>
      <c r="CX18" s="239">
        <v>0</v>
      </c>
      <c r="CY18" s="239">
        <v>0</v>
      </c>
      <c r="CZ18" s="239">
        <v>0</v>
      </c>
      <c r="DA18" s="239">
        <v>0</v>
      </c>
      <c r="DB18" s="239">
        <v>0</v>
      </c>
      <c r="DC18" s="239">
        <v>0</v>
      </c>
      <c r="DD18" s="239">
        <v>0</v>
      </c>
      <c r="DE18" s="239">
        <v>0</v>
      </c>
      <c r="DF18" s="239">
        <v>0</v>
      </c>
      <c r="DG18" s="239">
        <v>0</v>
      </c>
      <c r="DH18" s="239">
        <v>0</v>
      </c>
      <c r="DI18" s="239">
        <v>0</v>
      </c>
      <c r="DJ18" s="239">
        <v>-50266</v>
      </c>
      <c r="DK18" s="239">
        <v>0</v>
      </c>
      <c r="DL18" s="239">
        <v>-50266</v>
      </c>
      <c r="DM18" s="239">
        <v>-4018</v>
      </c>
      <c r="DN18" s="239">
        <v>0</v>
      </c>
      <c r="DO18" s="239">
        <v>-4018</v>
      </c>
      <c r="DP18" s="239">
        <v>-25526</v>
      </c>
      <c r="DQ18" s="239">
        <v>0</v>
      </c>
      <c r="DR18" s="239">
        <v>-25526</v>
      </c>
      <c r="DS18" s="239">
        <v>0</v>
      </c>
      <c r="DT18" s="239">
        <v>0</v>
      </c>
      <c r="DU18" s="239">
        <v>0</v>
      </c>
      <c r="DV18" s="239">
        <v>0</v>
      </c>
      <c r="DW18" s="239">
        <v>0</v>
      </c>
      <c r="DX18" s="239">
        <v>0</v>
      </c>
      <c r="DY18" s="239">
        <v>-751335</v>
      </c>
      <c r="DZ18" s="239">
        <v>0</v>
      </c>
      <c r="EA18" s="239">
        <v>-751335</v>
      </c>
      <c r="EB18" s="239">
        <v>-31408</v>
      </c>
      <c r="EC18" s="239">
        <v>0</v>
      </c>
      <c r="ED18" s="239">
        <v>-31408</v>
      </c>
      <c r="EE18" s="239">
        <v>0</v>
      </c>
      <c r="EF18" s="239">
        <v>0</v>
      </c>
      <c r="EG18" s="239">
        <v>0</v>
      </c>
      <c r="EH18" s="239">
        <v>0</v>
      </c>
      <c r="EI18" s="239">
        <v>0</v>
      </c>
      <c r="EJ18" s="239">
        <v>0</v>
      </c>
      <c r="EK18" s="239">
        <v>-4987</v>
      </c>
      <c r="EL18" s="239">
        <v>0</v>
      </c>
      <c r="EM18" s="239">
        <v>-4987</v>
      </c>
      <c r="EN18" s="239">
        <v>-817274</v>
      </c>
      <c r="EO18" s="239">
        <v>0</v>
      </c>
      <c r="EP18" s="239">
        <v>-817274</v>
      </c>
      <c r="EQ18" s="239">
        <v>0</v>
      </c>
      <c r="ER18" s="239">
        <v>0</v>
      </c>
      <c r="ES18" s="239">
        <v>0</v>
      </c>
      <c r="ET18" s="239">
        <v>0</v>
      </c>
      <c r="EU18" s="239">
        <v>0</v>
      </c>
      <c r="EV18" s="239">
        <v>0</v>
      </c>
      <c r="EW18" s="239">
        <v>0</v>
      </c>
      <c r="EX18" s="239">
        <v>0</v>
      </c>
      <c r="EY18" s="239">
        <v>0</v>
      </c>
      <c r="EZ18" s="239">
        <v>87733058</v>
      </c>
      <c r="FA18" s="239">
        <v>0</v>
      </c>
      <c r="FB18" s="239">
        <v>87733058</v>
      </c>
      <c r="FC18" s="239">
        <v>314652</v>
      </c>
      <c r="FD18" s="239">
        <v>0</v>
      </c>
      <c r="FE18" s="239">
        <v>314652</v>
      </c>
      <c r="FF18" s="239">
        <v>-4175973</v>
      </c>
      <c r="FG18" s="239">
        <v>0</v>
      </c>
      <c r="FH18" s="239">
        <v>-4175973</v>
      </c>
      <c r="FI18" s="239">
        <v>-2112472</v>
      </c>
      <c r="FJ18" s="239">
        <v>0</v>
      </c>
      <c r="FK18" s="239">
        <v>-2112472</v>
      </c>
      <c r="FL18" s="239">
        <v>-50266</v>
      </c>
      <c r="FM18" s="239">
        <v>0</v>
      </c>
      <c r="FN18" s="239">
        <v>-50266</v>
      </c>
      <c r="FO18" s="239">
        <v>-817274</v>
      </c>
      <c r="FP18" s="239">
        <v>0</v>
      </c>
      <c r="FQ18" s="239">
        <v>-817274</v>
      </c>
      <c r="FR18" s="239">
        <v>0</v>
      </c>
      <c r="FS18" s="239">
        <v>0</v>
      </c>
      <c r="FT18" s="239">
        <v>0</v>
      </c>
      <c r="FU18" s="239">
        <v>-6841333</v>
      </c>
      <c r="FV18" s="239">
        <v>0</v>
      </c>
      <c r="FW18" s="239">
        <v>-6841333</v>
      </c>
      <c r="FX18" s="239">
        <v>80891725</v>
      </c>
      <c r="FY18" s="239">
        <v>0</v>
      </c>
      <c r="FZ18" s="239">
        <v>80891725</v>
      </c>
      <c r="GA18" s="214" t="s">
        <v>1294</v>
      </c>
    </row>
    <row r="19" spans="2:183" s="214" customFormat="1" x14ac:dyDescent="0.2">
      <c r="B19" s="610" t="s">
        <v>121</v>
      </c>
      <c r="C19" s="610" t="s">
        <v>120</v>
      </c>
      <c r="D19" s="239">
        <v>0</v>
      </c>
      <c r="E19" s="239">
        <v>0</v>
      </c>
      <c r="F19" s="239">
        <v>0</v>
      </c>
      <c r="G19" s="239">
        <v>-731907</v>
      </c>
      <c r="H19" s="239">
        <v>0</v>
      </c>
      <c r="I19" s="239">
        <v>-731907</v>
      </c>
      <c r="J19" s="239">
        <v>0</v>
      </c>
      <c r="K19" s="239">
        <v>0</v>
      </c>
      <c r="L19" s="239">
        <v>0</v>
      </c>
      <c r="M19" s="239">
        <v>-124012</v>
      </c>
      <c r="N19" s="239">
        <v>0</v>
      </c>
      <c r="O19" s="239">
        <v>-124012</v>
      </c>
      <c r="P19" s="239">
        <v>-855919</v>
      </c>
      <c r="Q19" s="239">
        <v>0</v>
      </c>
      <c r="R19" s="239">
        <v>-855919</v>
      </c>
      <c r="S19" s="239">
        <v>-1715262</v>
      </c>
      <c r="T19" s="239">
        <v>0</v>
      </c>
      <c r="U19" s="239">
        <v>-1715262</v>
      </c>
      <c r="V19" s="239">
        <v>-21548</v>
      </c>
      <c r="W19" s="239">
        <v>0</v>
      </c>
      <c r="X19" s="239">
        <v>-21548</v>
      </c>
      <c r="Y19" s="239">
        <v>-21754</v>
      </c>
      <c r="Z19" s="239">
        <v>0</v>
      </c>
      <c r="AA19" s="239">
        <v>-21754</v>
      </c>
      <c r="AB19" s="239">
        <v>-21754</v>
      </c>
      <c r="AC19" s="239">
        <v>0</v>
      </c>
      <c r="AD19" s="239">
        <v>-21754</v>
      </c>
      <c r="AE19" s="239">
        <v>0</v>
      </c>
      <c r="AF19" s="239">
        <v>0</v>
      </c>
      <c r="AG19" s="239">
        <v>0</v>
      </c>
      <c r="AH19" s="239">
        <v>2096131</v>
      </c>
      <c r="AI19" s="239">
        <v>0</v>
      </c>
      <c r="AJ19" s="239">
        <v>2096131</v>
      </c>
      <c r="AK19" s="239">
        <v>-37297</v>
      </c>
      <c r="AL19" s="239">
        <v>0</v>
      </c>
      <c r="AM19" s="239">
        <v>-37297</v>
      </c>
      <c r="AN19" s="239">
        <v>-3240717</v>
      </c>
      <c r="AO19" s="239">
        <v>0</v>
      </c>
      <c r="AP19" s="239">
        <v>-3240717</v>
      </c>
      <c r="AQ19" s="239">
        <v>-1870</v>
      </c>
      <c r="AR19" s="239">
        <v>0</v>
      </c>
      <c r="AS19" s="239">
        <v>-1870</v>
      </c>
      <c r="AT19" s="239">
        <v>-11221</v>
      </c>
      <c r="AU19" s="239">
        <v>0</v>
      </c>
      <c r="AV19" s="239">
        <v>-11221</v>
      </c>
      <c r="AW19" s="239">
        <v>0</v>
      </c>
      <c r="AX19" s="239">
        <v>0</v>
      </c>
      <c r="AY19" s="239">
        <v>0</v>
      </c>
      <c r="AZ19" s="239">
        <v>-36319</v>
      </c>
      <c r="BA19" s="239">
        <v>0</v>
      </c>
      <c r="BB19" s="239">
        <v>-36319</v>
      </c>
      <c r="BC19" s="239">
        <v>782</v>
      </c>
      <c r="BD19" s="239">
        <v>0</v>
      </c>
      <c r="BE19" s="239">
        <v>782</v>
      </c>
      <c r="BF19" s="239">
        <v>-2967527</v>
      </c>
      <c r="BG19" s="239">
        <v>0</v>
      </c>
      <c r="BH19" s="239">
        <v>-2967527</v>
      </c>
      <c r="BI19" s="239">
        <v>-692325</v>
      </c>
      <c r="BJ19" s="239">
        <v>0</v>
      </c>
      <c r="BK19" s="239">
        <v>-692325</v>
      </c>
      <c r="BL19" s="239">
        <v>-29620</v>
      </c>
      <c r="BM19" s="239">
        <v>0</v>
      </c>
      <c r="BN19" s="239">
        <v>-29620</v>
      </c>
      <c r="BO19" s="239">
        <v>-3695150</v>
      </c>
      <c r="BP19" s="239">
        <v>0</v>
      </c>
      <c r="BQ19" s="239">
        <v>-3695150</v>
      </c>
      <c r="BR19" s="239">
        <v>-14702</v>
      </c>
      <c r="BS19" s="239">
        <v>0</v>
      </c>
      <c r="BT19" s="239">
        <v>-14702</v>
      </c>
      <c r="BU19" s="239">
        <v>-4431797</v>
      </c>
      <c r="BV19" s="239">
        <v>0</v>
      </c>
      <c r="BW19" s="239">
        <v>-4431797</v>
      </c>
      <c r="BX19" s="239">
        <v>-377799</v>
      </c>
      <c r="BY19" s="239">
        <v>0</v>
      </c>
      <c r="BZ19" s="239">
        <v>-377799</v>
      </c>
      <c r="CA19" s="239">
        <v>-705</v>
      </c>
      <c r="CB19" s="239">
        <v>0</v>
      </c>
      <c r="CC19" s="239">
        <v>-705</v>
      </c>
      <c r="CD19" s="239">
        <v>-161928</v>
      </c>
      <c r="CE19" s="239">
        <v>0</v>
      </c>
      <c r="CF19" s="239">
        <v>-161928</v>
      </c>
      <c r="CG19" s="239">
        <v>0</v>
      </c>
      <c r="CH19" s="239">
        <v>0</v>
      </c>
      <c r="CI19" s="239">
        <v>0</v>
      </c>
      <c r="CJ19" s="239">
        <v>-2805</v>
      </c>
      <c r="CK19" s="239">
        <v>0</v>
      </c>
      <c r="CL19" s="239">
        <v>-2805</v>
      </c>
      <c r="CM19" s="239">
        <v>0</v>
      </c>
      <c r="CN19" s="239">
        <v>0</v>
      </c>
      <c r="CO19" s="239">
        <v>0</v>
      </c>
      <c r="CP19" s="239">
        <v>-29029</v>
      </c>
      <c r="CQ19" s="239">
        <v>0</v>
      </c>
      <c r="CR19" s="239">
        <v>-29029</v>
      </c>
      <c r="CS19" s="239">
        <v>0</v>
      </c>
      <c r="CT19" s="239">
        <v>0</v>
      </c>
      <c r="CU19" s="239">
        <v>0</v>
      </c>
      <c r="CV19" s="239">
        <v>-60090</v>
      </c>
      <c r="CW19" s="239">
        <v>0</v>
      </c>
      <c r="CX19" s="239">
        <v>-60090</v>
      </c>
      <c r="CY19" s="239">
        <v>782</v>
      </c>
      <c r="CZ19" s="239">
        <v>0</v>
      </c>
      <c r="DA19" s="239">
        <v>782</v>
      </c>
      <c r="DB19" s="239">
        <v>0</v>
      </c>
      <c r="DC19" s="239">
        <v>0</v>
      </c>
      <c r="DD19" s="239">
        <v>0</v>
      </c>
      <c r="DE19" s="239">
        <v>0</v>
      </c>
      <c r="DF19" s="239">
        <v>0</v>
      </c>
      <c r="DG19" s="239">
        <v>0</v>
      </c>
      <c r="DH19" s="239">
        <v>0</v>
      </c>
      <c r="DI19" s="239">
        <v>0</v>
      </c>
      <c r="DJ19" s="239">
        <v>-631574</v>
      </c>
      <c r="DK19" s="239">
        <v>0</v>
      </c>
      <c r="DL19" s="239">
        <v>-631574</v>
      </c>
      <c r="DM19" s="239">
        <v>0</v>
      </c>
      <c r="DN19" s="239">
        <v>0</v>
      </c>
      <c r="DO19" s="239">
        <v>0</v>
      </c>
      <c r="DP19" s="239">
        <v>0</v>
      </c>
      <c r="DQ19" s="239">
        <v>0</v>
      </c>
      <c r="DR19" s="239">
        <v>0</v>
      </c>
      <c r="DS19" s="239">
        <v>-64886</v>
      </c>
      <c r="DT19" s="239">
        <v>0</v>
      </c>
      <c r="DU19" s="239">
        <v>-64886</v>
      </c>
      <c r="DV19" s="239">
        <v>0</v>
      </c>
      <c r="DW19" s="239">
        <v>0</v>
      </c>
      <c r="DX19" s="239">
        <v>0</v>
      </c>
      <c r="DY19" s="239">
        <v>-387140</v>
      </c>
      <c r="DZ19" s="239">
        <v>0</v>
      </c>
      <c r="EA19" s="239">
        <v>-387140</v>
      </c>
      <c r="EB19" s="239">
        <v>-8836</v>
      </c>
      <c r="EC19" s="239">
        <v>0</v>
      </c>
      <c r="ED19" s="239">
        <v>-8836</v>
      </c>
      <c r="EE19" s="239">
        <v>0</v>
      </c>
      <c r="EF19" s="239">
        <v>0</v>
      </c>
      <c r="EG19" s="239">
        <v>0</v>
      </c>
      <c r="EH19" s="239">
        <v>0</v>
      </c>
      <c r="EI19" s="239">
        <v>0</v>
      </c>
      <c r="EJ19" s="239">
        <v>0</v>
      </c>
      <c r="EK19" s="239">
        <v>-7099</v>
      </c>
      <c r="EL19" s="239">
        <v>0</v>
      </c>
      <c r="EM19" s="239">
        <v>-7099</v>
      </c>
      <c r="EN19" s="239">
        <v>-467961</v>
      </c>
      <c r="EO19" s="239">
        <v>0</v>
      </c>
      <c r="EP19" s="239">
        <v>-467961</v>
      </c>
      <c r="EQ19" s="239">
        <v>0</v>
      </c>
      <c r="ER19" s="239">
        <v>0</v>
      </c>
      <c r="ES19" s="239">
        <v>0</v>
      </c>
      <c r="ET19" s="239">
        <v>0</v>
      </c>
      <c r="EU19" s="239">
        <v>0</v>
      </c>
      <c r="EV19" s="239">
        <v>0</v>
      </c>
      <c r="EW19" s="239">
        <v>0</v>
      </c>
      <c r="EX19" s="239">
        <v>0</v>
      </c>
      <c r="EY19" s="239">
        <v>0</v>
      </c>
      <c r="EZ19" s="239">
        <v>82614266</v>
      </c>
      <c r="FA19" s="239">
        <v>0</v>
      </c>
      <c r="FB19" s="239">
        <v>82614266</v>
      </c>
      <c r="FC19" s="239">
        <v>-855919</v>
      </c>
      <c r="FD19" s="239">
        <v>0</v>
      </c>
      <c r="FE19" s="239">
        <v>-855919</v>
      </c>
      <c r="FF19" s="239">
        <v>-2967527</v>
      </c>
      <c r="FG19" s="239">
        <v>0</v>
      </c>
      <c r="FH19" s="239">
        <v>-2967527</v>
      </c>
      <c r="FI19" s="239">
        <v>-4431797</v>
      </c>
      <c r="FJ19" s="239">
        <v>0</v>
      </c>
      <c r="FK19" s="239">
        <v>-4431797</v>
      </c>
      <c r="FL19" s="239">
        <v>-631574</v>
      </c>
      <c r="FM19" s="239">
        <v>0</v>
      </c>
      <c r="FN19" s="239">
        <v>-631574</v>
      </c>
      <c r="FO19" s="239">
        <v>-467961</v>
      </c>
      <c r="FP19" s="239">
        <v>0</v>
      </c>
      <c r="FQ19" s="239">
        <v>-467961</v>
      </c>
      <c r="FR19" s="239">
        <v>0</v>
      </c>
      <c r="FS19" s="239">
        <v>0</v>
      </c>
      <c r="FT19" s="239">
        <v>0</v>
      </c>
      <c r="FU19" s="239">
        <v>-9354778</v>
      </c>
      <c r="FV19" s="239">
        <v>0</v>
      </c>
      <c r="FW19" s="239">
        <v>-9354778</v>
      </c>
      <c r="FX19" s="239">
        <v>73259488</v>
      </c>
      <c r="FY19" s="239">
        <v>0</v>
      </c>
      <c r="FZ19" s="239">
        <v>73259488</v>
      </c>
      <c r="GA19" s="214" t="s">
        <v>1294</v>
      </c>
    </row>
    <row r="20" spans="2:183" s="214" customFormat="1" x14ac:dyDescent="0.2">
      <c r="B20" s="610" t="s">
        <v>123</v>
      </c>
      <c r="C20" s="610" t="s">
        <v>122</v>
      </c>
      <c r="D20" s="239">
        <v>0</v>
      </c>
      <c r="E20" s="239">
        <v>0</v>
      </c>
      <c r="F20" s="239">
        <v>0</v>
      </c>
      <c r="G20" s="239">
        <v>5327</v>
      </c>
      <c r="H20" s="239">
        <v>0</v>
      </c>
      <c r="I20" s="239">
        <v>5327</v>
      </c>
      <c r="J20" s="239">
        <v>0</v>
      </c>
      <c r="K20" s="239">
        <v>0</v>
      </c>
      <c r="L20" s="239">
        <v>0</v>
      </c>
      <c r="M20" s="239">
        <v>189129</v>
      </c>
      <c r="N20" s="239">
        <v>0</v>
      </c>
      <c r="O20" s="239">
        <v>189129</v>
      </c>
      <c r="P20" s="239">
        <v>194456</v>
      </c>
      <c r="Q20" s="239">
        <v>0</v>
      </c>
      <c r="R20" s="239">
        <v>194456</v>
      </c>
      <c r="S20" s="239">
        <v>-2551959</v>
      </c>
      <c r="T20" s="239">
        <v>0</v>
      </c>
      <c r="U20" s="239">
        <v>-2551959</v>
      </c>
      <c r="V20" s="239">
        <v>-10562</v>
      </c>
      <c r="W20" s="239">
        <v>0</v>
      </c>
      <c r="X20" s="239">
        <v>-10562</v>
      </c>
      <c r="Y20" s="239">
        <v>-170095</v>
      </c>
      <c r="Z20" s="239">
        <v>0</v>
      </c>
      <c r="AA20" s="239">
        <v>-170095</v>
      </c>
      <c r="AB20" s="239">
        <v>-88840</v>
      </c>
      <c r="AC20" s="239">
        <v>0</v>
      </c>
      <c r="AD20" s="239">
        <v>-88840</v>
      </c>
      <c r="AE20" s="239">
        <v>-3201</v>
      </c>
      <c r="AF20" s="239">
        <v>0</v>
      </c>
      <c r="AG20" s="239">
        <v>-3201</v>
      </c>
      <c r="AH20" s="239">
        <v>1451785</v>
      </c>
      <c r="AI20" s="239">
        <v>0</v>
      </c>
      <c r="AJ20" s="239">
        <v>1451785</v>
      </c>
      <c r="AK20" s="239">
        <v>5584</v>
      </c>
      <c r="AL20" s="239">
        <v>0</v>
      </c>
      <c r="AM20" s="239">
        <v>5584</v>
      </c>
      <c r="AN20" s="239">
        <v>-2725444</v>
      </c>
      <c r="AO20" s="239">
        <v>0</v>
      </c>
      <c r="AP20" s="239">
        <v>-2725444</v>
      </c>
      <c r="AQ20" s="239">
        <v>-29948</v>
      </c>
      <c r="AR20" s="239">
        <v>0</v>
      </c>
      <c r="AS20" s="239">
        <v>-29948</v>
      </c>
      <c r="AT20" s="239">
        <v>-13193</v>
      </c>
      <c r="AU20" s="239">
        <v>0</v>
      </c>
      <c r="AV20" s="239">
        <v>-13193</v>
      </c>
      <c r="AW20" s="239">
        <v>0</v>
      </c>
      <c r="AX20" s="239">
        <v>0</v>
      </c>
      <c r="AY20" s="239">
        <v>0</v>
      </c>
      <c r="AZ20" s="239">
        <v>-38473</v>
      </c>
      <c r="BA20" s="239">
        <v>0</v>
      </c>
      <c r="BB20" s="239">
        <v>-38473</v>
      </c>
      <c r="BC20" s="239">
        <v>1444</v>
      </c>
      <c r="BD20" s="239">
        <v>0</v>
      </c>
      <c r="BE20" s="239">
        <v>1444</v>
      </c>
      <c r="BF20" s="239">
        <v>-4070299</v>
      </c>
      <c r="BG20" s="239">
        <v>0</v>
      </c>
      <c r="BH20" s="239">
        <v>-4070299</v>
      </c>
      <c r="BI20" s="239">
        <v>-289433</v>
      </c>
      <c r="BJ20" s="239">
        <v>0</v>
      </c>
      <c r="BK20" s="239">
        <v>-289433</v>
      </c>
      <c r="BL20" s="239">
        <v>148563</v>
      </c>
      <c r="BM20" s="239">
        <v>0</v>
      </c>
      <c r="BN20" s="239">
        <v>148563</v>
      </c>
      <c r="BO20" s="239">
        <v>-1341155</v>
      </c>
      <c r="BP20" s="239">
        <v>0</v>
      </c>
      <c r="BQ20" s="239">
        <v>-1341155</v>
      </c>
      <c r="BR20" s="239">
        <v>139889</v>
      </c>
      <c r="BS20" s="239">
        <v>0</v>
      </c>
      <c r="BT20" s="239">
        <v>139889</v>
      </c>
      <c r="BU20" s="239">
        <v>-1342136</v>
      </c>
      <c r="BV20" s="239">
        <v>0</v>
      </c>
      <c r="BW20" s="239">
        <v>-1342136</v>
      </c>
      <c r="BX20" s="239">
        <v>-82524</v>
      </c>
      <c r="BY20" s="239">
        <v>0</v>
      </c>
      <c r="BZ20" s="239">
        <v>-82524</v>
      </c>
      <c r="CA20" s="239">
        <v>124</v>
      </c>
      <c r="CB20" s="239">
        <v>0</v>
      </c>
      <c r="CC20" s="239">
        <v>124</v>
      </c>
      <c r="CD20" s="239">
        <v>-75671</v>
      </c>
      <c r="CE20" s="239">
        <v>0</v>
      </c>
      <c r="CF20" s="239">
        <v>-75671</v>
      </c>
      <c r="CG20" s="239">
        <v>-6109</v>
      </c>
      <c r="CH20" s="239">
        <v>0</v>
      </c>
      <c r="CI20" s="239">
        <v>-6109</v>
      </c>
      <c r="CJ20" s="239">
        <v>-1612</v>
      </c>
      <c r="CK20" s="239">
        <v>0</v>
      </c>
      <c r="CL20" s="239">
        <v>-1612</v>
      </c>
      <c r="CM20" s="239">
        <v>0</v>
      </c>
      <c r="CN20" s="239">
        <v>0</v>
      </c>
      <c r="CO20" s="239">
        <v>0</v>
      </c>
      <c r="CP20" s="239">
        <v>-38473</v>
      </c>
      <c r="CQ20" s="239">
        <v>0</v>
      </c>
      <c r="CR20" s="239">
        <v>-38473</v>
      </c>
      <c r="CS20" s="239">
        <v>1444</v>
      </c>
      <c r="CT20" s="239">
        <v>0</v>
      </c>
      <c r="CU20" s="239">
        <v>1444</v>
      </c>
      <c r="CV20" s="239">
        <v>-11460</v>
      </c>
      <c r="CW20" s="239">
        <v>0</v>
      </c>
      <c r="CX20" s="239">
        <v>-11460</v>
      </c>
      <c r="CY20" s="239">
        <v>0</v>
      </c>
      <c r="CZ20" s="239">
        <v>0</v>
      </c>
      <c r="DA20" s="239">
        <v>0</v>
      </c>
      <c r="DB20" s="239">
        <v>0</v>
      </c>
      <c r="DC20" s="239">
        <v>0</v>
      </c>
      <c r="DD20" s="239">
        <v>0</v>
      </c>
      <c r="DE20" s="239">
        <v>0</v>
      </c>
      <c r="DF20" s="239">
        <v>0</v>
      </c>
      <c r="DG20" s="239">
        <v>0</v>
      </c>
      <c r="DH20" s="239">
        <v>0</v>
      </c>
      <c r="DI20" s="239">
        <v>0</v>
      </c>
      <c r="DJ20" s="239">
        <v>-214281</v>
      </c>
      <c r="DK20" s="239">
        <v>0</v>
      </c>
      <c r="DL20" s="239">
        <v>-214281</v>
      </c>
      <c r="DM20" s="239">
        <v>-40687</v>
      </c>
      <c r="DN20" s="239">
        <v>0</v>
      </c>
      <c r="DO20" s="239">
        <v>-40687</v>
      </c>
      <c r="DP20" s="239">
        <v>2109</v>
      </c>
      <c r="DQ20" s="239">
        <v>0</v>
      </c>
      <c r="DR20" s="239">
        <v>2109</v>
      </c>
      <c r="DS20" s="239">
        <v>-20653</v>
      </c>
      <c r="DT20" s="239">
        <v>0</v>
      </c>
      <c r="DU20" s="239">
        <v>-20653</v>
      </c>
      <c r="DV20" s="239">
        <v>28</v>
      </c>
      <c r="DW20" s="239">
        <v>0</v>
      </c>
      <c r="DX20" s="239">
        <v>28</v>
      </c>
      <c r="DY20" s="239">
        <v>-445441</v>
      </c>
      <c r="DZ20" s="239">
        <v>0</v>
      </c>
      <c r="EA20" s="239">
        <v>-445441</v>
      </c>
      <c r="EB20" s="239">
        <v>-37380</v>
      </c>
      <c r="EC20" s="239">
        <v>0</v>
      </c>
      <c r="ED20" s="239">
        <v>-37380</v>
      </c>
      <c r="EE20" s="239">
        <v>0</v>
      </c>
      <c r="EF20" s="239">
        <v>0</v>
      </c>
      <c r="EG20" s="239">
        <v>0</v>
      </c>
      <c r="EH20" s="239">
        <v>0</v>
      </c>
      <c r="EI20" s="239">
        <v>0</v>
      </c>
      <c r="EJ20" s="239">
        <v>0</v>
      </c>
      <c r="EK20" s="239">
        <v>-17721</v>
      </c>
      <c r="EL20" s="239">
        <v>0</v>
      </c>
      <c r="EM20" s="239">
        <v>-17721</v>
      </c>
      <c r="EN20" s="239">
        <v>-559745</v>
      </c>
      <c r="EO20" s="239">
        <v>0</v>
      </c>
      <c r="EP20" s="239">
        <v>-559745</v>
      </c>
      <c r="EQ20" s="239">
        <v>0</v>
      </c>
      <c r="ER20" s="239">
        <v>0</v>
      </c>
      <c r="ES20" s="239">
        <v>0</v>
      </c>
      <c r="ET20" s="239">
        <v>0</v>
      </c>
      <c r="EU20" s="239">
        <v>0</v>
      </c>
      <c r="EV20" s="239">
        <v>0</v>
      </c>
      <c r="EW20" s="239">
        <v>0</v>
      </c>
      <c r="EX20" s="239">
        <v>0</v>
      </c>
      <c r="EY20" s="239">
        <v>0</v>
      </c>
      <c r="EZ20" s="239">
        <v>59584045</v>
      </c>
      <c r="FA20" s="239">
        <v>0</v>
      </c>
      <c r="FB20" s="239">
        <v>59584045</v>
      </c>
      <c r="FC20" s="239">
        <v>194456</v>
      </c>
      <c r="FD20" s="239">
        <v>0</v>
      </c>
      <c r="FE20" s="239">
        <v>194456</v>
      </c>
      <c r="FF20" s="239">
        <v>-4070299</v>
      </c>
      <c r="FG20" s="239">
        <v>0</v>
      </c>
      <c r="FH20" s="239">
        <v>-4070299</v>
      </c>
      <c r="FI20" s="239">
        <v>-1342136</v>
      </c>
      <c r="FJ20" s="239">
        <v>0</v>
      </c>
      <c r="FK20" s="239">
        <v>-1342136</v>
      </c>
      <c r="FL20" s="239">
        <v>-214281</v>
      </c>
      <c r="FM20" s="239">
        <v>0</v>
      </c>
      <c r="FN20" s="239">
        <v>-214281</v>
      </c>
      <c r="FO20" s="239">
        <v>-559745</v>
      </c>
      <c r="FP20" s="239">
        <v>0</v>
      </c>
      <c r="FQ20" s="239">
        <v>-559745</v>
      </c>
      <c r="FR20" s="239">
        <v>0</v>
      </c>
      <c r="FS20" s="239">
        <v>0</v>
      </c>
      <c r="FT20" s="239">
        <v>0</v>
      </c>
      <c r="FU20" s="239">
        <v>-5992005</v>
      </c>
      <c r="FV20" s="239">
        <v>0</v>
      </c>
      <c r="FW20" s="239">
        <v>-5992005</v>
      </c>
      <c r="FX20" s="239">
        <v>53592040</v>
      </c>
      <c r="FY20" s="239">
        <v>0</v>
      </c>
      <c r="FZ20" s="239">
        <v>53592040</v>
      </c>
      <c r="GA20" s="214" t="s">
        <v>1294</v>
      </c>
    </row>
    <row r="21" spans="2:183" s="214" customFormat="1" x14ac:dyDescent="0.2">
      <c r="B21" s="610" t="s">
        <v>125</v>
      </c>
      <c r="C21" s="610" t="s">
        <v>124</v>
      </c>
      <c r="D21" s="239">
        <v>0</v>
      </c>
      <c r="E21" s="239">
        <v>0</v>
      </c>
      <c r="F21" s="239">
        <v>0</v>
      </c>
      <c r="G21" s="239">
        <v>56954</v>
      </c>
      <c r="H21" s="239">
        <v>0</v>
      </c>
      <c r="I21" s="239">
        <v>56954</v>
      </c>
      <c r="J21" s="239">
        <v>0</v>
      </c>
      <c r="K21" s="239">
        <v>0</v>
      </c>
      <c r="L21" s="239">
        <v>0</v>
      </c>
      <c r="M21" s="239">
        <v>17122</v>
      </c>
      <c r="N21" s="239">
        <v>1450</v>
      </c>
      <c r="O21" s="239">
        <v>18572</v>
      </c>
      <c r="P21" s="239">
        <v>74076</v>
      </c>
      <c r="Q21" s="239">
        <v>1450</v>
      </c>
      <c r="R21" s="239">
        <v>75526</v>
      </c>
      <c r="S21" s="239">
        <v>-3787201</v>
      </c>
      <c r="T21" s="239">
        <v>-98763</v>
      </c>
      <c r="U21" s="239">
        <v>-3885964</v>
      </c>
      <c r="V21" s="239">
        <v>-9315</v>
      </c>
      <c r="W21" s="239">
        <v>0</v>
      </c>
      <c r="X21" s="239">
        <v>-9315</v>
      </c>
      <c r="Y21" s="239">
        <v>-141308</v>
      </c>
      <c r="Z21" s="239">
        <v>-11749</v>
      </c>
      <c r="AA21" s="239">
        <v>-153057</v>
      </c>
      <c r="AB21" s="239">
        <v>-84609</v>
      </c>
      <c r="AC21" s="239">
        <v>-7333</v>
      </c>
      <c r="AD21" s="239">
        <v>-91942</v>
      </c>
      <c r="AE21" s="239">
        <v>1893</v>
      </c>
      <c r="AF21" s="239">
        <v>0</v>
      </c>
      <c r="AG21" s="239">
        <v>1893</v>
      </c>
      <c r="AH21" s="239">
        <v>1704335</v>
      </c>
      <c r="AI21" s="239">
        <v>165096</v>
      </c>
      <c r="AJ21" s="239">
        <v>1869431</v>
      </c>
      <c r="AK21" s="239">
        <v>11937</v>
      </c>
      <c r="AL21" s="239">
        <v>-295</v>
      </c>
      <c r="AM21" s="239">
        <v>11642</v>
      </c>
      <c r="AN21" s="239">
        <v>-6826969</v>
      </c>
      <c r="AO21" s="239">
        <v>-217496</v>
      </c>
      <c r="AP21" s="239">
        <v>-7044465</v>
      </c>
      <c r="AQ21" s="239">
        <v>-123995</v>
      </c>
      <c r="AR21" s="239">
        <v>0</v>
      </c>
      <c r="AS21" s="239">
        <v>-123995</v>
      </c>
      <c r="AT21" s="239">
        <v>-153156</v>
      </c>
      <c r="AU21" s="239">
        <v>0</v>
      </c>
      <c r="AV21" s="239">
        <v>-153156</v>
      </c>
      <c r="AW21" s="239">
        <v>0</v>
      </c>
      <c r="AX21" s="239">
        <v>0</v>
      </c>
      <c r="AY21" s="239">
        <v>0</v>
      </c>
      <c r="AZ21" s="239">
        <v>-26819</v>
      </c>
      <c r="BA21" s="239">
        <v>0</v>
      </c>
      <c r="BB21" s="239">
        <v>-26819</v>
      </c>
      <c r="BC21" s="239">
        <v>0</v>
      </c>
      <c r="BD21" s="239">
        <v>0</v>
      </c>
      <c r="BE21" s="239">
        <v>0</v>
      </c>
      <c r="BF21" s="239">
        <v>-9343176</v>
      </c>
      <c r="BG21" s="239">
        <v>-163207</v>
      </c>
      <c r="BH21" s="239">
        <v>-9506383</v>
      </c>
      <c r="BI21" s="239">
        <v>-2502</v>
      </c>
      <c r="BJ21" s="239">
        <v>-2110</v>
      </c>
      <c r="BK21" s="239">
        <v>-4612</v>
      </c>
      <c r="BL21" s="239">
        <v>21944</v>
      </c>
      <c r="BM21" s="239">
        <v>0</v>
      </c>
      <c r="BN21" s="239">
        <v>21944</v>
      </c>
      <c r="BO21" s="239">
        <v>-2766012</v>
      </c>
      <c r="BP21" s="239">
        <v>-247989</v>
      </c>
      <c r="BQ21" s="239">
        <v>-3014001</v>
      </c>
      <c r="BR21" s="239">
        <v>161508</v>
      </c>
      <c r="BS21" s="239">
        <v>5861</v>
      </c>
      <c r="BT21" s="239">
        <v>167369</v>
      </c>
      <c r="BU21" s="239">
        <v>-2585062</v>
      </c>
      <c r="BV21" s="239">
        <v>-244238</v>
      </c>
      <c r="BW21" s="239">
        <v>-2829300</v>
      </c>
      <c r="BX21" s="239">
        <v>-85376</v>
      </c>
      <c r="BY21" s="239">
        <v>0</v>
      </c>
      <c r="BZ21" s="239">
        <v>-85376</v>
      </c>
      <c r="CA21" s="239">
        <v>-3452</v>
      </c>
      <c r="CB21" s="239">
        <v>0</v>
      </c>
      <c r="CC21" s="239">
        <v>-3452</v>
      </c>
      <c r="CD21" s="239">
        <v>-41552</v>
      </c>
      <c r="CE21" s="239">
        <v>0</v>
      </c>
      <c r="CF21" s="239">
        <v>-41552</v>
      </c>
      <c r="CG21" s="239">
        <v>-3572</v>
      </c>
      <c r="CH21" s="239">
        <v>0</v>
      </c>
      <c r="CI21" s="239">
        <v>-3572</v>
      </c>
      <c r="CJ21" s="239">
        <v>-20413</v>
      </c>
      <c r="CK21" s="239">
        <v>0</v>
      </c>
      <c r="CL21" s="239">
        <v>-20413</v>
      </c>
      <c r="CM21" s="239">
        <v>0</v>
      </c>
      <c r="CN21" s="239">
        <v>0</v>
      </c>
      <c r="CO21" s="239">
        <v>0</v>
      </c>
      <c r="CP21" s="239">
        <v>-14719</v>
      </c>
      <c r="CQ21" s="239">
        <v>0</v>
      </c>
      <c r="CR21" s="239">
        <v>-14719</v>
      </c>
      <c r="CS21" s="239">
        <v>0</v>
      </c>
      <c r="CT21" s="239">
        <v>0</v>
      </c>
      <c r="CU21" s="239">
        <v>0</v>
      </c>
      <c r="CV21" s="239">
        <v>-36864</v>
      </c>
      <c r="CW21" s="239">
        <v>0</v>
      </c>
      <c r="CX21" s="239">
        <v>-36864</v>
      </c>
      <c r="CY21" s="239">
        <v>0</v>
      </c>
      <c r="CZ21" s="239">
        <v>0</v>
      </c>
      <c r="DA21" s="239">
        <v>0</v>
      </c>
      <c r="DB21" s="239">
        <v>0</v>
      </c>
      <c r="DC21" s="239">
        <v>0</v>
      </c>
      <c r="DD21" s="239">
        <v>0</v>
      </c>
      <c r="DE21" s="239">
        <v>0</v>
      </c>
      <c r="DF21" s="239">
        <v>0</v>
      </c>
      <c r="DG21" s="239">
        <v>0</v>
      </c>
      <c r="DH21" s="239">
        <v>0</v>
      </c>
      <c r="DI21" s="239">
        <v>0</v>
      </c>
      <c r="DJ21" s="239">
        <v>-205948</v>
      </c>
      <c r="DK21" s="239">
        <v>0</v>
      </c>
      <c r="DL21" s="239">
        <v>-205948</v>
      </c>
      <c r="DM21" s="239">
        <v>0</v>
      </c>
      <c r="DN21" s="239">
        <v>0</v>
      </c>
      <c r="DO21" s="239">
        <v>0</v>
      </c>
      <c r="DP21" s="239">
        <v>0</v>
      </c>
      <c r="DQ21" s="239">
        <v>0</v>
      </c>
      <c r="DR21" s="239">
        <v>0</v>
      </c>
      <c r="DS21" s="239">
        <v>-54122</v>
      </c>
      <c r="DT21" s="239">
        <v>0</v>
      </c>
      <c r="DU21" s="239">
        <v>-54122</v>
      </c>
      <c r="DV21" s="239">
        <v>-10330</v>
      </c>
      <c r="DW21" s="239">
        <v>0</v>
      </c>
      <c r="DX21" s="239">
        <v>-10330</v>
      </c>
      <c r="DY21" s="239">
        <v>-1121673</v>
      </c>
      <c r="DZ21" s="239">
        <v>-46693</v>
      </c>
      <c r="EA21" s="239">
        <v>-1168366</v>
      </c>
      <c r="EB21" s="239">
        <v>-55893</v>
      </c>
      <c r="EC21" s="239">
        <v>-2359</v>
      </c>
      <c r="ED21" s="239">
        <v>-58252</v>
      </c>
      <c r="EE21" s="239">
        <v>0</v>
      </c>
      <c r="EF21" s="239">
        <v>0</v>
      </c>
      <c r="EG21" s="239">
        <v>0</v>
      </c>
      <c r="EH21" s="239">
        <v>0</v>
      </c>
      <c r="EI21" s="239">
        <v>0</v>
      </c>
      <c r="EJ21" s="239">
        <v>0</v>
      </c>
      <c r="EK21" s="239">
        <v>-9739</v>
      </c>
      <c r="EL21" s="239">
        <v>0</v>
      </c>
      <c r="EM21" s="239">
        <v>-9739</v>
      </c>
      <c r="EN21" s="239">
        <v>-1251757</v>
      </c>
      <c r="EO21" s="239">
        <v>-49052</v>
      </c>
      <c r="EP21" s="239">
        <v>-1300809</v>
      </c>
      <c r="EQ21" s="239">
        <v>0</v>
      </c>
      <c r="ER21" s="239">
        <v>0</v>
      </c>
      <c r="ES21" s="239">
        <v>0</v>
      </c>
      <c r="ET21" s="239">
        <v>0</v>
      </c>
      <c r="EU21" s="239">
        <v>0</v>
      </c>
      <c r="EV21" s="239">
        <v>0</v>
      </c>
      <c r="EW21" s="239">
        <v>0</v>
      </c>
      <c r="EX21" s="239">
        <v>0</v>
      </c>
      <c r="EY21" s="239">
        <v>0</v>
      </c>
      <c r="EZ21" s="239">
        <v>73815611</v>
      </c>
      <c r="FA21" s="239">
        <v>6508381</v>
      </c>
      <c r="FB21" s="239">
        <v>80323992</v>
      </c>
      <c r="FC21" s="239">
        <v>74076</v>
      </c>
      <c r="FD21" s="239">
        <v>1450</v>
      </c>
      <c r="FE21" s="239">
        <v>75526</v>
      </c>
      <c r="FF21" s="239">
        <v>-9343176</v>
      </c>
      <c r="FG21" s="239">
        <v>-163207</v>
      </c>
      <c r="FH21" s="239">
        <v>-9506383</v>
      </c>
      <c r="FI21" s="239">
        <v>-2585062</v>
      </c>
      <c r="FJ21" s="239">
        <v>-244238</v>
      </c>
      <c r="FK21" s="239">
        <v>-2829300</v>
      </c>
      <c r="FL21" s="239">
        <v>-205948</v>
      </c>
      <c r="FM21" s="239">
        <v>0</v>
      </c>
      <c r="FN21" s="239">
        <v>-205948</v>
      </c>
      <c r="FO21" s="239">
        <v>-1251757</v>
      </c>
      <c r="FP21" s="239">
        <v>-49052</v>
      </c>
      <c r="FQ21" s="239">
        <v>-1300809</v>
      </c>
      <c r="FR21" s="239">
        <v>0</v>
      </c>
      <c r="FS21" s="239">
        <v>0</v>
      </c>
      <c r="FT21" s="239">
        <v>0</v>
      </c>
      <c r="FU21" s="239">
        <v>-13311867</v>
      </c>
      <c r="FV21" s="239">
        <v>-455047</v>
      </c>
      <c r="FW21" s="239">
        <v>-13766914</v>
      </c>
      <c r="FX21" s="239">
        <v>60503744</v>
      </c>
      <c r="FY21" s="239">
        <v>6053334</v>
      </c>
      <c r="FZ21" s="239">
        <v>66557078</v>
      </c>
      <c r="GA21" s="214" t="s">
        <v>748</v>
      </c>
    </row>
    <row r="22" spans="2:183" s="214" customFormat="1" x14ac:dyDescent="0.2">
      <c r="B22" s="610" t="s">
        <v>127</v>
      </c>
      <c r="C22" s="610" t="s">
        <v>126</v>
      </c>
      <c r="D22" s="239">
        <v>0</v>
      </c>
      <c r="E22" s="239">
        <v>0</v>
      </c>
      <c r="F22" s="239">
        <v>0</v>
      </c>
      <c r="G22" s="239">
        <v>142498</v>
      </c>
      <c r="H22" s="239">
        <v>0</v>
      </c>
      <c r="I22" s="239">
        <v>142498</v>
      </c>
      <c r="J22" s="239">
        <v>0</v>
      </c>
      <c r="K22" s="239">
        <v>0</v>
      </c>
      <c r="L22" s="239">
        <v>0</v>
      </c>
      <c r="M22" s="239">
        <v>345923</v>
      </c>
      <c r="N22" s="239">
        <v>0</v>
      </c>
      <c r="O22" s="239">
        <v>345923</v>
      </c>
      <c r="P22" s="239">
        <v>488421</v>
      </c>
      <c r="Q22" s="239">
        <v>0</v>
      </c>
      <c r="R22" s="239">
        <v>488421</v>
      </c>
      <c r="S22" s="239">
        <v>-3230261</v>
      </c>
      <c r="T22" s="239">
        <v>0</v>
      </c>
      <c r="U22" s="239">
        <v>-3230261</v>
      </c>
      <c r="V22" s="239">
        <v>-8269</v>
      </c>
      <c r="W22" s="239">
        <v>0</v>
      </c>
      <c r="X22" s="239">
        <v>-8269</v>
      </c>
      <c r="Y22" s="239">
        <v>-93144</v>
      </c>
      <c r="Z22" s="239">
        <v>0</v>
      </c>
      <c r="AA22" s="239">
        <v>-93144</v>
      </c>
      <c r="AB22" s="239">
        <v>-59261</v>
      </c>
      <c r="AC22" s="239">
        <v>0</v>
      </c>
      <c r="AD22" s="239">
        <v>-59261</v>
      </c>
      <c r="AE22" s="239">
        <v>-86</v>
      </c>
      <c r="AF22" s="239">
        <v>0</v>
      </c>
      <c r="AG22" s="239">
        <v>-86</v>
      </c>
      <c r="AH22" s="239">
        <v>1814225</v>
      </c>
      <c r="AI22" s="239">
        <v>0</v>
      </c>
      <c r="AJ22" s="239">
        <v>1814225</v>
      </c>
      <c r="AK22" s="239">
        <v>3907</v>
      </c>
      <c r="AL22" s="239">
        <v>0</v>
      </c>
      <c r="AM22" s="239">
        <v>3907</v>
      </c>
      <c r="AN22" s="239">
        <v>-5247197</v>
      </c>
      <c r="AO22" s="239">
        <v>0</v>
      </c>
      <c r="AP22" s="239">
        <v>-5247197</v>
      </c>
      <c r="AQ22" s="239">
        <v>-15545</v>
      </c>
      <c r="AR22" s="239">
        <v>0</v>
      </c>
      <c r="AS22" s="239">
        <v>-15545</v>
      </c>
      <c r="AT22" s="239">
        <v>-151507</v>
      </c>
      <c r="AU22" s="239">
        <v>0</v>
      </c>
      <c r="AV22" s="239">
        <v>-151507</v>
      </c>
      <c r="AW22" s="239">
        <v>0</v>
      </c>
      <c r="AX22" s="239">
        <v>0</v>
      </c>
      <c r="AY22" s="239">
        <v>0</v>
      </c>
      <c r="AZ22" s="239">
        <v>-48492</v>
      </c>
      <c r="BA22" s="239">
        <v>0</v>
      </c>
      <c r="BB22" s="239">
        <v>-48492</v>
      </c>
      <c r="BC22" s="239">
        <v>-1428</v>
      </c>
      <c r="BD22" s="239">
        <v>0</v>
      </c>
      <c r="BE22" s="239">
        <v>-1428</v>
      </c>
      <c r="BF22" s="239">
        <v>-6969442</v>
      </c>
      <c r="BG22" s="239">
        <v>0</v>
      </c>
      <c r="BH22" s="239">
        <v>-6969442</v>
      </c>
      <c r="BI22" s="239">
        <v>0</v>
      </c>
      <c r="BJ22" s="239">
        <v>0</v>
      </c>
      <c r="BK22" s="239">
        <v>0</v>
      </c>
      <c r="BL22" s="239">
        <v>168</v>
      </c>
      <c r="BM22" s="239">
        <v>0</v>
      </c>
      <c r="BN22" s="239">
        <v>168</v>
      </c>
      <c r="BO22" s="239">
        <v>-2243583</v>
      </c>
      <c r="BP22" s="239">
        <v>0</v>
      </c>
      <c r="BQ22" s="239">
        <v>-2243583</v>
      </c>
      <c r="BR22" s="239">
        <v>117087</v>
      </c>
      <c r="BS22" s="239">
        <v>0</v>
      </c>
      <c r="BT22" s="239">
        <v>117087</v>
      </c>
      <c r="BU22" s="239">
        <v>-2126328</v>
      </c>
      <c r="BV22" s="239">
        <v>0</v>
      </c>
      <c r="BW22" s="239">
        <v>-2126328</v>
      </c>
      <c r="BX22" s="239">
        <v>-121397</v>
      </c>
      <c r="BY22" s="239">
        <v>0</v>
      </c>
      <c r="BZ22" s="239">
        <v>-121397</v>
      </c>
      <c r="CA22" s="239">
        <v>-724</v>
      </c>
      <c r="CB22" s="239">
        <v>0</v>
      </c>
      <c r="CC22" s="239">
        <v>-724</v>
      </c>
      <c r="CD22" s="239">
        <v>-23098</v>
      </c>
      <c r="CE22" s="239">
        <v>0</v>
      </c>
      <c r="CF22" s="239">
        <v>-23098</v>
      </c>
      <c r="CG22" s="239">
        <v>6439</v>
      </c>
      <c r="CH22" s="239">
        <v>0</v>
      </c>
      <c r="CI22" s="239">
        <v>6439</v>
      </c>
      <c r="CJ22" s="239">
        <v>-1442</v>
      </c>
      <c r="CK22" s="239">
        <v>0</v>
      </c>
      <c r="CL22" s="239">
        <v>-1442</v>
      </c>
      <c r="CM22" s="239">
        <v>0</v>
      </c>
      <c r="CN22" s="239">
        <v>0</v>
      </c>
      <c r="CO22" s="239">
        <v>0</v>
      </c>
      <c r="CP22" s="239">
        <v>-38020</v>
      </c>
      <c r="CQ22" s="239">
        <v>0</v>
      </c>
      <c r="CR22" s="239">
        <v>-38020</v>
      </c>
      <c r="CS22" s="239">
        <v>22</v>
      </c>
      <c r="CT22" s="239">
        <v>0</v>
      </c>
      <c r="CU22" s="239">
        <v>22</v>
      </c>
      <c r="CV22" s="239">
        <v>-25765</v>
      </c>
      <c r="CW22" s="239">
        <v>0</v>
      </c>
      <c r="CX22" s="239">
        <v>-25765</v>
      </c>
      <c r="CY22" s="239">
        <v>0</v>
      </c>
      <c r="CZ22" s="239">
        <v>0</v>
      </c>
      <c r="DA22" s="239">
        <v>0</v>
      </c>
      <c r="DB22" s="239">
        <v>0</v>
      </c>
      <c r="DC22" s="239">
        <v>0</v>
      </c>
      <c r="DD22" s="239">
        <v>0</v>
      </c>
      <c r="DE22" s="239">
        <v>0</v>
      </c>
      <c r="DF22" s="239">
        <v>0</v>
      </c>
      <c r="DG22" s="239">
        <v>0</v>
      </c>
      <c r="DH22" s="239">
        <v>0</v>
      </c>
      <c r="DI22" s="239">
        <v>0</v>
      </c>
      <c r="DJ22" s="239">
        <v>-203985</v>
      </c>
      <c r="DK22" s="239">
        <v>0</v>
      </c>
      <c r="DL22" s="239">
        <v>-203985</v>
      </c>
      <c r="DM22" s="239">
        <v>-49554</v>
      </c>
      <c r="DN22" s="239">
        <v>0</v>
      </c>
      <c r="DO22" s="239">
        <v>-49554</v>
      </c>
      <c r="DP22" s="239">
        <v>349</v>
      </c>
      <c r="DQ22" s="239">
        <v>0</v>
      </c>
      <c r="DR22" s="239">
        <v>349</v>
      </c>
      <c r="DS22" s="239">
        <v>-29454</v>
      </c>
      <c r="DT22" s="239">
        <v>0</v>
      </c>
      <c r="DU22" s="239">
        <v>-29454</v>
      </c>
      <c r="DV22" s="239">
        <v>-533</v>
      </c>
      <c r="DW22" s="239">
        <v>0</v>
      </c>
      <c r="DX22" s="239">
        <v>-533</v>
      </c>
      <c r="DY22" s="239">
        <v>-764712</v>
      </c>
      <c r="DZ22" s="239">
        <v>0</v>
      </c>
      <c r="EA22" s="239">
        <v>-764712</v>
      </c>
      <c r="EB22" s="239">
        <v>-36071</v>
      </c>
      <c r="EC22" s="239">
        <v>0</v>
      </c>
      <c r="ED22" s="239">
        <v>-36071</v>
      </c>
      <c r="EE22" s="239">
        <v>0</v>
      </c>
      <c r="EF22" s="239">
        <v>0</v>
      </c>
      <c r="EG22" s="239">
        <v>0</v>
      </c>
      <c r="EH22" s="239">
        <v>0</v>
      </c>
      <c r="EI22" s="239">
        <v>0</v>
      </c>
      <c r="EJ22" s="239">
        <v>0</v>
      </c>
      <c r="EK22" s="239">
        <v>0</v>
      </c>
      <c r="EL22" s="239">
        <v>0</v>
      </c>
      <c r="EM22" s="239">
        <v>0</v>
      </c>
      <c r="EN22" s="239">
        <v>-879975</v>
      </c>
      <c r="EO22" s="239">
        <v>0</v>
      </c>
      <c r="EP22" s="239">
        <v>-879975</v>
      </c>
      <c r="EQ22" s="239">
        <v>-17255</v>
      </c>
      <c r="ER22" s="239">
        <v>0</v>
      </c>
      <c r="ES22" s="239">
        <v>-17255</v>
      </c>
      <c r="ET22" s="239">
        <v>-9233</v>
      </c>
      <c r="EU22" s="239">
        <v>0</v>
      </c>
      <c r="EV22" s="239">
        <v>-9233</v>
      </c>
      <c r="EW22" s="239">
        <v>-26488</v>
      </c>
      <c r="EX22" s="239">
        <v>0</v>
      </c>
      <c r="EY22" s="239">
        <v>-26488</v>
      </c>
      <c r="EZ22" s="239">
        <v>75156991</v>
      </c>
      <c r="FA22" s="239">
        <v>0</v>
      </c>
      <c r="FB22" s="239">
        <v>75156991</v>
      </c>
      <c r="FC22" s="239">
        <v>488421</v>
      </c>
      <c r="FD22" s="239">
        <v>0</v>
      </c>
      <c r="FE22" s="239">
        <v>488421</v>
      </c>
      <c r="FF22" s="239">
        <v>-6969442</v>
      </c>
      <c r="FG22" s="239">
        <v>0</v>
      </c>
      <c r="FH22" s="239">
        <v>-6969442</v>
      </c>
      <c r="FI22" s="239">
        <v>-2126328</v>
      </c>
      <c r="FJ22" s="239">
        <v>0</v>
      </c>
      <c r="FK22" s="239">
        <v>-2126328</v>
      </c>
      <c r="FL22" s="239">
        <v>-203985</v>
      </c>
      <c r="FM22" s="239">
        <v>0</v>
      </c>
      <c r="FN22" s="239">
        <v>-203985</v>
      </c>
      <c r="FO22" s="239">
        <v>-879975</v>
      </c>
      <c r="FP22" s="239">
        <v>0</v>
      </c>
      <c r="FQ22" s="239">
        <v>-879975</v>
      </c>
      <c r="FR22" s="239">
        <v>-26488</v>
      </c>
      <c r="FS22" s="239">
        <v>0</v>
      </c>
      <c r="FT22" s="239">
        <v>-26488</v>
      </c>
      <c r="FU22" s="239">
        <v>-9717797</v>
      </c>
      <c r="FV22" s="239">
        <v>0</v>
      </c>
      <c r="FW22" s="239">
        <v>-9717797</v>
      </c>
      <c r="FX22" s="239">
        <v>65439194</v>
      </c>
      <c r="FY22" s="239">
        <v>0</v>
      </c>
      <c r="FZ22" s="239">
        <v>65439194</v>
      </c>
      <c r="GA22" s="214" t="s">
        <v>748</v>
      </c>
    </row>
    <row r="23" spans="2:183" s="214" customFormat="1" x14ac:dyDescent="0.2">
      <c r="B23" s="610" t="s">
        <v>129</v>
      </c>
      <c r="C23" s="610" t="s">
        <v>128</v>
      </c>
      <c r="D23" s="239">
        <v>0</v>
      </c>
      <c r="E23" s="239">
        <v>0</v>
      </c>
      <c r="F23" s="239">
        <v>0</v>
      </c>
      <c r="G23" s="239">
        <v>123586</v>
      </c>
      <c r="H23" s="239">
        <v>0</v>
      </c>
      <c r="I23" s="239">
        <v>123586</v>
      </c>
      <c r="J23" s="239">
        <v>0</v>
      </c>
      <c r="K23" s="239">
        <v>0</v>
      </c>
      <c r="L23" s="239">
        <v>0</v>
      </c>
      <c r="M23" s="239">
        <v>13866</v>
      </c>
      <c r="N23" s="239">
        <v>0</v>
      </c>
      <c r="O23" s="239">
        <v>13866</v>
      </c>
      <c r="P23" s="239">
        <v>137452</v>
      </c>
      <c r="Q23" s="239">
        <v>0</v>
      </c>
      <c r="R23" s="239">
        <v>137452</v>
      </c>
      <c r="S23" s="239">
        <v>-4041201</v>
      </c>
      <c r="T23" s="239">
        <v>0</v>
      </c>
      <c r="U23" s="239">
        <v>-4041201</v>
      </c>
      <c r="V23" s="239">
        <v>0</v>
      </c>
      <c r="W23" s="239">
        <v>0</v>
      </c>
      <c r="X23" s="239">
        <v>0</v>
      </c>
      <c r="Y23" s="239">
        <v>-75101</v>
      </c>
      <c r="Z23" s="239">
        <v>0</v>
      </c>
      <c r="AA23" s="239">
        <v>-75101</v>
      </c>
      <c r="AB23" s="239">
        <v>-48702</v>
      </c>
      <c r="AC23" s="239">
        <v>0</v>
      </c>
      <c r="AD23" s="239">
        <v>-48702</v>
      </c>
      <c r="AE23" s="239">
        <v>0</v>
      </c>
      <c r="AF23" s="239">
        <v>0</v>
      </c>
      <c r="AG23" s="239">
        <v>0</v>
      </c>
      <c r="AH23" s="239">
        <v>1864134</v>
      </c>
      <c r="AI23" s="239">
        <v>0</v>
      </c>
      <c r="AJ23" s="239">
        <v>1864134</v>
      </c>
      <c r="AK23" s="239">
        <v>-6795</v>
      </c>
      <c r="AL23" s="239">
        <v>0</v>
      </c>
      <c r="AM23" s="239">
        <v>-6795</v>
      </c>
      <c r="AN23" s="239">
        <v>-6725962</v>
      </c>
      <c r="AO23" s="239">
        <v>0</v>
      </c>
      <c r="AP23" s="239">
        <v>-6725962</v>
      </c>
      <c r="AQ23" s="239">
        <v>-241563</v>
      </c>
      <c r="AR23" s="239">
        <v>0</v>
      </c>
      <c r="AS23" s="239">
        <v>-241563</v>
      </c>
      <c r="AT23" s="239">
        <v>-101696</v>
      </c>
      <c r="AU23" s="239">
        <v>0</v>
      </c>
      <c r="AV23" s="239">
        <v>-101696</v>
      </c>
      <c r="AW23" s="239">
        <v>0</v>
      </c>
      <c r="AX23" s="239">
        <v>0</v>
      </c>
      <c r="AY23" s="239">
        <v>0</v>
      </c>
      <c r="AZ23" s="239">
        <v>0</v>
      </c>
      <c r="BA23" s="239">
        <v>0</v>
      </c>
      <c r="BB23" s="239">
        <v>0</v>
      </c>
      <c r="BC23" s="239">
        <v>0</v>
      </c>
      <c r="BD23" s="239">
        <v>0</v>
      </c>
      <c r="BE23" s="239">
        <v>0</v>
      </c>
      <c r="BF23" s="239">
        <v>-9328184</v>
      </c>
      <c r="BG23" s="239">
        <v>0</v>
      </c>
      <c r="BH23" s="239">
        <v>-9328184</v>
      </c>
      <c r="BI23" s="239">
        <v>-144968</v>
      </c>
      <c r="BJ23" s="239">
        <v>0</v>
      </c>
      <c r="BK23" s="239">
        <v>-144968</v>
      </c>
      <c r="BL23" s="239">
        <v>-13681</v>
      </c>
      <c r="BM23" s="239">
        <v>0</v>
      </c>
      <c r="BN23" s="239">
        <v>-13681</v>
      </c>
      <c r="BO23" s="239">
        <v>-1466859</v>
      </c>
      <c r="BP23" s="239">
        <v>0</v>
      </c>
      <c r="BQ23" s="239">
        <v>-1466859</v>
      </c>
      <c r="BR23" s="239">
        <v>102367</v>
      </c>
      <c r="BS23" s="239">
        <v>0</v>
      </c>
      <c r="BT23" s="239">
        <v>102367</v>
      </c>
      <c r="BU23" s="239">
        <v>-1523141</v>
      </c>
      <c r="BV23" s="239">
        <v>0</v>
      </c>
      <c r="BW23" s="239">
        <v>-1523141</v>
      </c>
      <c r="BX23" s="239">
        <v>0</v>
      </c>
      <c r="BY23" s="239">
        <v>0</v>
      </c>
      <c r="BZ23" s="239">
        <v>0</v>
      </c>
      <c r="CA23" s="239">
        <v>0</v>
      </c>
      <c r="CB23" s="239">
        <v>0</v>
      </c>
      <c r="CC23" s="239">
        <v>0</v>
      </c>
      <c r="CD23" s="239">
        <v>0</v>
      </c>
      <c r="CE23" s="239">
        <v>0</v>
      </c>
      <c r="CF23" s="239">
        <v>0</v>
      </c>
      <c r="CG23" s="239">
        <v>0</v>
      </c>
      <c r="CH23" s="239">
        <v>0</v>
      </c>
      <c r="CI23" s="239">
        <v>0</v>
      </c>
      <c r="CJ23" s="239">
        <v>0</v>
      </c>
      <c r="CK23" s="239">
        <v>0</v>
      </c>
      <c r="CL23" s="239">
        <v>0</v>
      </c>
      <c r="CM23" s="239">
        <v>0</v>
      </c>
      <c r="CN23" s="239">
        <v>0</v>
      </c>
      <c r="CO23" s="239">
        <v>0</v>
      </c>
      <c r="CP23" s="239">
        <v>0</v>
      </c>
      <c r="CQ23" s="239">
        <v>0</v>
      </c>
      <c r="CR23" s="239">
        <v>0</v>
      </c>
      <c r="CS23" s="239">
        <v>0</v>
      </c>
      <c r="CT23" s="239">
        <v>0</v>
      </c>
      <c r="CU23" s="239">
        <v>0</v>
      </c>
      <c r="CV23" s="239">
        <v>0</v>
      </c>
      <c r="CW23" s="239">
        <v>0</v>
      </c>
      <c r="CX23" s="239">
        <v>0</v>
      </c>
      <c r="CY23" s="239">
        <v>0</v>
      </c>
      <c r="CZ23" s="239">
        <v>0</v>
      </c>
      <c r="DA23" s="239">
        <v>0</v>
      </c>
      <c r="DB23" s="239">
        <v>0</v>
      </c>
      <c r="DC23" s="239">
        <v>0</v>
      </c>
      <c r="DD23" s="239">
        <v>0</v>
      </c>
      <c r="DE23" s="239">
        <v>0</v>
      </c>
      <c r="DF23" s="239">
        <v>0</v>
      </c>
      <c r="DG23" s="239">
        <v>0</v>
      </c>
      <c r="DH23" s="239">
        <v>0</v>
      </c>
      <c r="DI23" s="239">
        <v>0</v>
      </c>
      <c r="DJ23" s="239">
        <v>0</v>
      </c>
      <c r="DK23" s="239">
        <v>0</v>
      </c>
      <c r="DL23" s="239">
        <v>0</v>
      </c>
      <c r="DM23" s="239">
        <v>0</v>
      </c>
      <c r="DN23" s="239">
        <v>0</v>
      </c>
      <c r="DO23" s="239">
        <v>0</v>
      </c>
      <c r="DP23" s="239">
        <v>0</v>
      </c>
      <c r="DQ23" s="239">
        <v>0</v>
      </c>
      <c r="DR23" s="239">
        <v>0</v>
      </c>
      <c r="DS23" s="239">
        <v>-13904</v>
      </c>
      <c r="DT23" s="239">
        <v>0</v>
      </c>
      <c r="DU23" s="239">
        <v>-13904</v>
      </c>
      <c r="DV23" s="239">
        <v>-2611</v>
      </c>
      <c r="DW23" s="239">
        <v>0</v>
      </c>
      <c r="DX23" s="239">
        <v>-2611</v>
      </c>
      <c r="DY23" s="239">
        <v>-1282997</v>
      </c>
      <c r="DZ23" s="239">
        <v>0</v>
      </c>
      <c r="EA23" s="239">
        <v>-1282997</v>
      </c>
      <c r="EB23" s="239">
        <v>-35595</v>
      </c>
      <c r="EC23" s="239">
        <v>0</v>
      </c>
      <c r="ED23" s="239">
        <v>-35595</v>
      </c>
      <c r="EE23" s="239">
        <v>0</v>
      </c>
      <c r="EF23" s="239">
        <v>0</v>
      </c>
      <c r="EG23" s="239">
        <v>0</v>
      </c>
      <c r="EH23" s="239">
        <v>0</v>
      </c>
      <c r="EI23" s="239">
        <v>0</v>
      </c>
      <c r="EJ23" s="239">
        <v>0</v>
      </c>
      <c r="EK23" s="239">
        <v>-231</v>
      </c>
      <c r="EL23" s="239">
        <v>0</v>
      </c>
      <c r="EM23" s="239">
        <v>-231</v>
      </c>
      <c r="EN23" s="239">
        <v>-1335338</v>
      </c>
      <c r="EO23" s="239">
        <v>0</v>
      </c>
      <c r="EP23" s="239">
        <v>-1335338</v>
      </c>
      <c r="EQ23" s="239">
        <v>0</v>
      </c>
      <c r="ER23" s="239">
        <v>0</v>
      </c>
      <c r="ES23" s="239">
        <v>0</v>
      </c>
      <c r="ET23" s="239">
        <v>0</v>
      </c>
      <c r="EU23" s="239">
        <v>0</v>
      </c>
      <c r="EV23" s="239">
        <v>0</v>
      </c>
      <c r="EW23" s="239">
        <v>0</v>
      </c>
      <c r="EX23" s="239">
        <v>0</v>
      </c>
      <c r="EY23" s="239">
        <v>0</v>
      </c>
      <c r="EZ23" s="239">
        <v>82430672</v>
      </c>
      <c r="FA23" s="239">
        <v>0</v>
      </c>
      <c r="FB23" s="239">
        <v>82430672</v>
      </c>
      <c r="FC23" s="239">
        <v>137452</v>
      </c>
      <c r="FD23" s="239">
        <v>0</v>
      </c>
      <c r="FE23" s="239">
        <v>137452</v>
      </c>
      <c r="FF23" s="239">
        <v>-9328184</v>
      </c>
      <c r="FG23" s="239">
        <v>0</v>
      </c>
      <c r="FH23" s="239">
        <v>-9328184</v>
      </c>
      <c r="FI23" s="239">
        <v>-1523141</v>
      </c>
      <c r="FJ23" s="239">
        <v>0</v>
      </c>
      <c r="FK23" s="239">
        <v>-1523141</v>
      </c>
      <c r="FL23" s="239">
        <v>0</v>
      </c>
      <c r="FM23" s="239">
        <v>0</v>
      </c>
      <c r="FN23" s="239">
        <v>0</v>
      </c>
      <c r="FO23" s="239">
        <v>-1335338</v>
      </c>
      <c r="FP23" s="239">
        <v>0</v>
      </c>
      <c r="FQ23" s="239">
        <v>-1335338</v>
      </c>
      <c r="FR23" s="239">
        <v>0</v>
      </c>
      <c r="FS23" s="239">
        <v>0</v>
      </c>
      <c r="FT23" s="239">
        <v>0</v>
      </c>
      <c r="FU23" s="239">
        <v>-12049211</v>
      </c>
      <c r="FV23" s="239">
        <v>0</v>
      </c>
      <c r="FW23" s="239">
        <v>-12049211</v>
      </c>
      <c r="FX23" s="239">
        <v>70381461</v>
      </c>
      <c r="FY23" s="239">
        <v>0</v>
      </c>
      <c r="FZ23" s="239">
        <v>70381461</v>
      </c>
      <c r="GA23" s="214" t="s">
        <v>1295</v>
      </c>
    </row>
    <row r="24" spans="2:183" s="214" customFormat="1" x14ac:dyDescent="0.2">
      <c r="B24" s="610" t="s">
        <v>131</v>
      </c>
      <c r="C24" s="610" t="s">
        <v>130</v>
      </c>
      <c r="D24" s="239">
        <v>0</v>
      </c>
      <c r="E24" s="239">
        <v>0</v>
      </c>
      <c r="F24" s="239">
        <v>0</v>
      </c>
      <c r="G24" s="239">
        <v>-353520</v>
      </c>
      <c r="H24" s="239">
        <v>-426802</v>
      </c>
      <c r="I24" s="239">
        <v>-780322</v>
      </c>
      <c r="J24" s="239">
        <v>0</v>
      </c>
      <c r="K24" s="239">
        <v>0</v>
      </c>
      <c r="L24" s="239">
        <v>0</v>
      </c>
      <c r="M24" s="239">
        <v>1852302</v>
      </c>
      <c r="N24" s="239">
        <v>1380</v>
      </c>
      <c r="O24" s="239">
        <v>1853682</v>
      </c>
      <c r="P24" s="239">
        <v>1498782</v>
      </c>
      <c r="Q24" s="239">
        <v>-425422</v>
      </c>
      <c r="R24" s="239">
        <v>1073360</v>
      </c>
      <c r="S24" s="239">
        <v>-23525900</v>
      </c>
      <c r="T24" s="239">
        <v>-192568</v>
      </c>
      <c r="U24" s="239">
        <v>-23718468</v>
      </c>
      <c r="V24" s="239">
        <v>-81063</v>
      </c>
      <c r="W24" s="239">
        <v>0</v>
      </c>
      <c r="X24" s="239">
        <v>-81063</v>
      </c>
      <c r="Y24" s="239">
        <v>-1573787</v>
      </c>
      <c r="Z24" s="239">
        <v>-17076</v>
      </c>
      <c r="AA24" s="239">
        <v>-1590863</v>
      </c>
      <c r="AB24" s="239">
        <v>-1105777</v>
      </c>
      <c r="AC24" s="239">
        <v>-10893</v>
      </c>
      <c r="AD24" s="239">
        <v>-1116670</v>
      </c>
      <c r="AE24" s="239">
        <v>-1586</v>
      </c>
      <c r="AF24" s="239">
        <v>0</v>
      </c>
      <c r="AG24" s="239">
        <v>-1586</v>
      </c>
      <c r="AH24" s="239">
        <v>11717805</v>
      </c>
      <c r="AI24" s="239">
        <v>183544</v>
      </c>
      <c r="AJ24" s="239">
        <v>11901349</v>
      </c>
      <c r="AK24" s="239">
        <v>160829</v>
      </c>
      <c r="AL24" s="239">
        <v>5376</v>
      </c>
      <c r="AM24" s="239">
        <v>166205</v>
      </c>
      <c r="AN24" s="239">
        <v>-30006308</v>
      </c>
      <c r="AO24" s="239">
        <v>-354688</v>
      </c>
      <c r="AP24" s="239">
        <v>-30360996</v>
      </c>
      <c r="AQ24" s="239">
        <v>-377654</v>
      </c>
      <c r="AR24" s="239">
        <v>0</v>
      </c>
      <c r="AS24" s="239">
        <v>-377654</v>
      </c>
      <c r="AT24" s="239">
        <v>-131356</v>
      </c>
      <c r="AU24" s="239">
        <v>0</v>
      </c>
      <c r="AV24" s="239">
        <v>-131356</v>
      </c>
      <c r="AW24" s="239">
        <v>0</v>
      </c>
      <c r="AX24" s="239">
        <v>0</v>
      </c>
      <c r="AY24" s="239">
        <v>0</v>
      </c>
      <c r="AZ24" s="239">
        <v>0</v>
      </c>
      <c r="BA24" s="239">
        <v>0</v>
      </c>
      <c r="BB24" s="239">
        <v>0</v>
      </c>
      <c r="BC24" s="239">
        <v>0</v>
      </c>
      <c r="BD24" s="239">
        <v>0</v>
      </c>
      <c r="BE24" s="239">
        <v>0</v>
      </c>
      <c r="BF24" s="239">
        <v>-43736371</v>
      </c>
      <c r="BG24" s="239">
        <v>-375412</v>
      </c>
      <c r="BH24" s="239">
        <v>-44111783</v>
      </c>
      <c r="BI24" s="239">
        <v>-118259</v>
      </c>
      <c r="BJ24" s="239">
        <v>0</v>
      </c>
      <c r="BK24" s="239">
        <v>-118259</v>
      </c>
      <c r="BL24" s="239">
        <v>-12800</v>
      </c>
      <c r="BM24" s="239">
        <v>0</v>
      </c>
      <c r="BN24" s="239">
        <v>-12800</v>
      </c>
      <c r="BO24" s="239">
        <v>-27468245</v>
      </c>
      <c r="BP24" s="239">
        <v>-574097</v>
      </c>
      <c r="BQ24" s="239">
        <v>-28042342</v>
      </c>
      <c r="BR24" s="239">
        <v>-1133596</v>
      </c>
      <c r="BS24" s="239">
        <v>0</v>
      </c>
      <c r="BT24" s="239">
        <v>-1133596</v>
      </c>
      <c r="BU24" s="239">
        <v>-28732900</v>
      </c>
      <c r="BV24" s="239">
        <v>-574097</v>
      </c>
      <c r="BW24" s="239">
        <v>-29306997</v>
      </c>
      <c r="BX24" s="239">
        <v>-44056</v>
      </c>
      <c r="BY24" s="239">
        <v>0</v>
      </c>
      <c r="BZ24" s="239">
        <v>-44056</v>
      </c>
      <c r="CA24" s="239">
        <v>-254</v>
      </c>
      <c r="CB24" s="239">
        <v>0</v>
      </c>
      <c r="CC24" s="239">
        <v>-254</v>
      </c>
      <c r="CD24" s="239">
        <v>-428775</v>
      </c>
      <c r="CE24" s="239">
        <v>-1142</v>
      </c>
      <c r="CF24" s="239">
        <v>-429917</v>
      </c>
      <c r="CG24" s="239">
        <v>179069</v>
      </c>
      <c r="CH24" s="239">
        <v>0</v>
      </c>
      <c r="CI24" s="239">
        <v>179069</v>
      </c>
      <c r="CJ24" s="239">
        <v>0</v>
      </c>
      <c r="CK24" s="239">
        <v>0</v>
      </c>
      <c r="CL24" s="239">
        <v>0</v>
      </c>
      <c r="CM24" s="239">
        <v>0</v>
      </c>
      <c r="CN24" s="239">
        <v>0</v>
      </c>
      <c r="CO24" s="239">
        <v>0</v>
      </c>
      <c r="CP24" s="239">
        <v>0</v>
      </c>
      <c r="CQ24" s="239">
        <v>0</v>
      </c>
      <c r="CR24" s="239">
        <v>0</v>
      </c>
      <c r="CS24" s="239">
        <v>0</v>
      </c>
      <c r="CT24" s="239">
        <v>0</v>
      </c>
      <c r="CU24" s="239">
        <v>0</v>
      </c>
      <c r="CV24" s="239">
        <v>0</v>
      </c>
      <c r="CW24" s="239">
        <v>0</v>
      </c>
      <c r="CX24" s="239">
        <v>0</v>
      </c>
      <c r="CY24" s="239">
        <v>0</v>
      </c>
      <c r="CZ24" s="239">
        <v>0</v>
      </c>
      <c r="DA24" s="239">
        <v>0</v>
      </c>
      <c r="DB24" s="239">
        <v>-104</v>
      </c>
      <c r="DC24" s="239">
        <v>-407071</v>
      </c>
      <c r="DD24" s="239">
        <v>-407175</v>
      </c>
      <c r="DE24" s="239">
        <v>-10212</v>
      </c>
      <c r="DF24" s="239">
        <v>0</v>
      </c>
      <c r="DG24" s="239">
        <v>-10212</v>
      </c>
      <c r="DH24" s="239">
        <v>-407071</v>
      </c>
      <c r="DI24" s="239">
        <v>0</v>
      </c>
      <c r="DJ24" s="239">
        <v>-304332</v>
      </c>
      <c r="DK24" s="239">
        <v>-408213</v>
      </c>
      <c r="DL24" s="239">
        <v>-712545</v>
      </c>
      <c r="DM24" s="239">
        <v>-54128</v>
      </c>
      <c r="DN24" s="239">
        <v>0</v>
      </c>
      <c r="DO24" s="239">
        <v>-54128</v>
      </c>
      <c r="DP24" s="239">
        <v>-24257</v>
      </c>
      <c r="DQ24" s="239">
        <v>341</v>
      </c>
      <c r="DR24" s="239">
        <v>-23916</v>
      </c>
      <c r="DS24" s="239">
        <v>-75746</v>
      </c>
      <c r="DT24" s="239">
        <v>0</v>
      </c>
      <c r="DU24" s="239">
        <v>-75746</v>
      </c>
      <c r="DV24" s="239">
        <v>-247</v>
      </c>
      <c r="DW24" s="239">
        <v>0</v>
      </c>
      <c r="DX24" s="239">
        <v>-247</v>
      </c>
      <c r="DY24" s="239">
        <v>-4375966</v>
      </c>
      <c r="DZ24" s="239">
        <v>-46600</v>
      </c>
      <c r="EA24" s="239">
        <v>-4422566</v>
      </c>
      <c r="EB24" s="239">
        <v>-463673</v>
      </c>
      <c r="EC24" s="239">
        <v>0</v>
      </c>
      <c r="ED24" s="239">
        <v>-463673</v>
      </c>
      <c r="EE24" s="239">
        <v>0</v>
      </c>
      <c r="EF24" s="239">
        <v>0</v>
      </c>
      <c r="EG24" s="239">
        <v>0</v>
      </c>
      <c r="EH24" s="239">
        <v>0</v>
      </c>
      <c r="EI24" s="239">
        <v>0</v>
      </c>
      <c r="EJ24" s="239">
        <v>0</v>
      </c>
      <c r="EK24" s="239">
        <v>0</v>
      </c>
      <c r="EL24" s="239">
        <v>0</v>
      </c>
      <c r="EM24" s="239">
        <v>0</v>
      </c>
      <c r="EN24" s="239">
        <v>-4994017</v>
      </c>
      <c r="EO24" s="239">
        <v>-46259</v>
      </c>
      <c r="EP24" s="239">
        <v>-5040276</v>
      </c>
      <c r="EQ24" s="239">
        <v>0</v>
      </c>
      <c r="ER24" s="239">
        <v>0</v>
      </c>
      <c r="ES24" s="239">
        <v>0</v>
      </c>
      <c r="ET24" s="239">
        <v>44578</v>
      </c>
      <c r="EU24" s="239">
        <v>0</v>
      </c>
      <c r="EV24" s="239">
        <v>44578</v>
      </c>
      <c r="EW24" s="239">
        <v>44578</v>
      </c>
      <c r="EX24" s="239">
        <v>0</v>
      </c>
      <c r="EY24" s="239">
        <v>44578</v>
      </c>
      <c r="EZ24" s="239">
        <v>474510379</v>
      </c>
      <c r="FA24" s="239">
        <v>7092955</v>
      </c>
      <c r="FB24" s="239">
        <v>481603334</v>
      </c>
      <c r="FC24" s="239">
        <v>1498782</v>
      </c>
      <c r="FD24" s="239">
        <v>-425422</v>
      </c>
      <c r="FE24" s="239">
        <v>1073360</v>
      </c>
      <c r="FF24" s="239">
        <v>-43736371</v>
      </c>
      <c r="FG24" s="239">
        <v>-375412</v>
      </c>
      <c r="FH24" s="239">
        <v>-44111783</v>
      </c>
      <c r="FI24" s="239">
        <v>-28732900</v>
      </c>
      <c r="FJ24" s="239">
        <v>-574097</v>
      </c>
      <c r="FK24" s="239">
        <v>-29306997</v>
      </c>
      <c r="FL24" s="239">
        <v>-304332</v>
      </c>
      <c r="FM24" s="239">
        <v>-408213</v>
      </c>
      <c r="FN24" s="239">
        <v>-712545</v>
      </c>
      <c r="FO24" s="239">
        <v>-4994017</v>
      </c>
      <c r="FP24" s="239">
        <v>-46259</v>
      </c>
      <c r="FQ24" s="239">
        <v>-5040276</v>
      </c>
      <c r="FR24" s="239">
        <v>44578</v>
      </c>
      <c r="FS24" s="239">
        <v>0</v>
      </c>
      <c r="FT24" s="239">
        <v>44578</v>
      </c>
      <c r="FU24" s="239">
        <v>-76224260</v>
      </c>
      <c r="FV24" s="239">
        <v>-1829403</v>
      </c>
      <c r="FW24" s="239">
        <v>-78053663</v>
      </c>
      <c r="FX24" s="239">
        <v>398286119</v>
      </c>
      <c r="FY24" s="239">
        <v>5263552</v>
      </c>
      <c r="FZ24" s="239">
        <v>403549671</v>
      </c>
      <c r="GA24" s="214" t="s">
        <v>1296</v>
      </c>
    </row>
    <row r="25" spans="2:183" s="214" customFormat="1" x14ac:dyDescent="0.2">
      <c r="B25" s="610" t="s">
        <v>133</v>
      </c>
      <c r="C25" s="610" t="s">
        <v>132</v>
      </c>
      <c r="D25" s="239">
        <v>0</v>
      </c>
      <c r="E25" s="239">
        <v>0</v>
      </c>
      <c r="F25" s="239">
        <v>0</v>
      </c>
      <c r="G25" s="239">
        <v>9663</v>
      </c>
      <c r="H25" s="239">
        <v>0</v>
      </c>
      <c r="I25" s="239">
        <v>9663</v>
      </c>
      <c r="J25" s="239">
        <v>0</v>
      </c>
      <c r="K25" s="239">
        <v>0</v>
      </c>
      <c r="L25" s="239">
        <v>0</v>
      </c>
      <c r="M25" s="239">
        <v>71534</v>
      </c>
      <c r="N25" s="239">
        <v>0</v>
      </c>
      <c r="O25" s="239">
        <v>71534</v>
      </c>
      <c r="P25" s="239">
        <v>81197</v>
      </c>
      <c r="Q25" s="239">
        <v>0</v>
      </c>
      <c r="R25" s="239">
        <v>81197</v>
      </c>
      <c r="S25" s="239">
        <v>-1263712</v>
      </c>
      <c r="T25" s="239">
        <v>0</v>
      </c>
      <c r="U25" s="239">
        <v>-1263712</v>
      </c>
      <c r="V25" s="239">
        <v>-9801</v>
      </c>
      <c r="W25" s="239">
        <v>0</v>
      </c>
      <c r="X25" s="239">
        <v>-9801</v>
      </c>
      <c r="Y25" s="239">
        <v>-62861</v>
      </c>
      <c r="Z25" s="239">
        <v>0</v>
      </c>
      <c r="AA25" s="239">
        <v>-62861</v>
      </c>
      <c r="AB25" s="239">
        <v>-29208</v>
      </c>
      <c r="AC25" s="239">
        <v>0</v>
      </c>
      <c r="AD25" s="239">
        <v>-29208</v>
      </c>
      <c r="AE25" s="239">
        <v>0</v>
      </c>
      <c r="AF25" s="239">
        <v>0</v>
      </c>
      <c r="AG25" s="239">
        <v>0</v>
      </c>
      <c r="AH25" s="239">
        <v>1121524</v>
      </c>
      <c r="AI25" s="239">
        <v>0</v>
      </c>
      <c r="AJ25" s="239">
        <v>1121524</v>
      </c>
      <c r="AK25" s="239">
        <v>23437</v>
      </c>
      <c r="AL25" s="239">
        <v>0</v>
      </c>
      <c r="AM25" s="239">
        <v>23437</v>
      </c>
      <c r="AN25" s="239">
        <v>-922068</v>
      </c>
      <c r="AO25" s="239">
        <v>0</v>
      </c>
      <c r="AP25" s="239">
        <v>-922068</v>
      </c>
      <c r="AQ25" s="239">
        <v>1315</v>
      </c>
      <c r="AR25" s="239">
        <v>0</v>
      </c>
      <c r="AS25" s="239">
        <v>1315</v>
      </c>
      <c r="AT25" s="239">
        <v>-45220</v>
      </c>
      <c r="AU25" s="239">
        <v>0</v>
      </c>
      <c r="AV25" s="239">
        <v>-45220</v>
      </c>
      <c r="AW25" s="239">
        <v>0</v>
      </c>
      <c r="AX25" s="239">
        <v>0</v>
      </c>
      <c r="AY25" s="239">
        <v>0</v>
      </c>
      <c r="AZ25" s="239">
        <v>0</v>
      </c>
      <c r="BA25" s="239">
        <v>0</v>
      </c>
      <c r="BB25" s="239">
        <v>0</v>
      </c>
      <c r="BC25" s="239">
        <v>0</v>
      </c>
      <c r="BD25" s="239">
        <v>0</v>
      </c>
      <c r="BE25" s="239">
        <v>0</v>
      </c>
      <c r="BF25" s="239">
        <v>-1147585</v>
      </c>
      <c r="BG25" s="239">
        <v>0</v>
      </c>
      <c r="BH25" s="239">
        <v>-1147585</v>
      </c>
      <c r="BI25" s="239">
        <v>-1279</v>
      </c>
      <c r="BJ25" s="239">
        <v>0</v>
      </c>
      <c r="BK25" s="239">
        <v>-1279</v>
      </c>
      <c r="BL25" s="239">
        <v>0</v>
      </c>
      <c r="BM25" s="239">
        <v>0</v>
      </c>
      <c r="BN25" s="239">
        <v>0</v>
      </c>
      <c r="BO25" s="239">
        <v>-577918</v>
      </c>
      <c r="BP25" s="239">
        <v>0</v>
      </c>
      <c r="BQ25" s="239">
        <v>-577918</v>
      </c>
      <c r="BR25" s="239">
        <v>-72421</v>
      </c>
      <c r="BS25" s="239">
        <v>0</v>
      </c>
      <c r="BT25" s="239">
        <v>-72421</v>
      </c>
      <c r="BU25" s="239">
        <v>-651618</v>
      </c>
      <c r="BV25" s="239">
        <v>0</v>
      </c>
      <c r="BW25" s="239">
        <v>-651618</v>
      </c>
      <c r="BX25" s="239">
        <v>-48332</v>
      </c>
      <c r="BY25" s="239">
        <v>0</v>
      </c>
      <c r="BZ25" s="239">
        <v>-48332</v>
      </c>
      <c r="CA25" s="239">
        <v>0</v>
      </c>
      <c r="CB25" s="239">
        <v>0</v>
      </c>
      <c r="CC25" s="239">
        <v>0</v>
      </c>
      <c r="CD25" s="239">
        <v>-2950</v>
      </c>
      <c r="CE25" s="239">
        <v>0</v>
      </c>
      <c r="CF25" s="239">
        <v>-2950</v>
      </c>
      <c r="CG25" s="239">
        <v>67</v>
      </c>
      <c r="CH25" s="239">
        <v>0</v>
      </c>
      <c r="CI25" s="239">
        <v>67</v>
      </c>
      <c r="CJ25" s="239">
        <v>-4490</v>
      </c>
      <c r="CK25" s="239">
        <v>0</v>
      </c>
      <c r="CL25" s="239">
        <v>-4490</v>
      </c>
      <c r="CM25" s="239">
        <v>0</v>
      </c>
      <c r="CN25" s="239">
        <v>0</v>
      </c>
      <c r="CO25" s="239">
        <v>0</v>
      </c>
      <c r="CP25" s="239">
        <v>0</v>
      </c>
      <c r="CQ25" s="239">
        <v>0</v>
      </c>
      <c r="CR25" s="239">
        <v>0</v>
      </c>
      <c r="CS25" s="239">
        <v>0</v>
      </c>
      <c r="CT25" s="239">
        <v>0</v>
      </c>
      <c r="CU25" s="239">
        <v>0</v>
      </c>
      <c r="CV25" s="239">
        <v>0</v>
      </c>
      <c r="CW25" s="239">
        <v>0</v>
      </c>
      <c r="CX25" s="239">
        <v>0</v>
      </c>
      <c r="CY25" s="239">
        <v>0</v>
      </c>
      <c r="CZ25" s="239">
        <v>0</v>
      </c>
      <c r="DA25" s="239">
        <v>0</v>
      </c>
      <c r="DB25" s="239">
        <v>0</v>
      </c>
      <c r="DC25" s="239">
        <v>0</v>
      </c>
      <c r="DD25" s="239">
        <v>0</v>
      </c>
      <c r="DE25" s="239">
        <v>0</v>
      </c>
      <c r="DF25" s="239">
        <v>0</v>
      </c>
      <c r="DG25" s="239">
        <v>0</v>
      </c>
      <c r="DH25" s="239">
        <v>0</v>
      </c>
      <c r="DI25" s="239">
        <v>0</v>
      </c>
      <c r="DJ25" s="239">
        <v>-55705</v>
      </c>
      <c r="DK25" s="239">
        <v>0</v>
      </c>
      <c r="DL25" s="239">
        <v>-55705</v>
      </c>
      <c r="DM25" s="239">
        <v>-591</v>
      </c>
      <c r="DN25" s="239">
        <v>0</v>
      </c>
      <c r="DO25" s="239">
        <v>-591</v>
      </c>
      <c r="DP25" s="239">
        <v>0</v>
      </c>
      <c r="DQ25" s="239">
        <v>0</v>
      </c>
      <c r="DR25" s="239">
        <v>0</v>
      </c>
      <c r="DS25" s="239">
        <v>-399</v>
      </c>
      <c r="DT25" s="239">
        <v>0</v>
      </c>
      <c r="DU25" s="239">
        <v>-399</v>
      </c>
      <c r="DV25" s="239">
        <v>0</v>
      </c>
      <c r="DW25" s="239">
        <v>0</v>
      </c>
      <c r="DX25" s="239">
        <v>0</v>
      </c>
      <c r="DY25" s="239">
        <v>-129119</v>
      </c>
      <c r="DZ25" s="239">
        <v>0</v>
      </c>
      <c r="EA25" s="239">
        <v>-129119</v>
      </c>
      <c r="EB25" s="239">
        <v>-15314</v>
      </c>
      <c r="EC25" s="239">
        <v>0</v>
      </c>
      <c r="ED25" s="239">
        <v>-15314</v>
      </c>
      <c r="EE25" s="239">
        <v>0</v>
      </c>
      <c r="EF25" s="239">
        <v>0</v>
      </c>
      <c r="EG25" s="239">
        <v>0</v>
      </c>
      <c r="EH25" s="239">
        <v>0</v>
      </c>
      <c r="EI25" s="239">
        <v>0</v>
      </c>
      <c r="EJ25" s="239">
        <v>0</v>
      </c>
      <c r="EK25" s="239">
        <v>0</v>
      </c>
      <c r="EL25" s="239">
        <v>0</v>
      </c>
      <c r="EM25" s="239">
        <v>0</v>
      </c>
      <c r="EN25" s="239">
        <v>-145423</v>
      </c>
      <c r="EO25" s="239">
        <v>0</v>
      </c>
      <c r="EP25" s="239">
        <v>-145423</v>
      </c>
      <c r="EQ25" s="239">
        <v>0</v>
      </c>
      <c r="ER25" s="239">
        <v>0</v>
      </c>
      <c r="ES25" s="239">
        <v>0</v>
      </c>
      <c r="ET25" s="239">
        <v>0</v>
      </c>
      <c r="EU25" s="239">
        <v>0</v>
      </c>
      <c r="EV25" s="239">
        <v>0</v>
      </c>
      <c r="EW25" s="239">
        <v>0</v>
      </c>
      <c r="EX25" s="239">
        <v>0</v>
      </c>
      <c r="EY25" s="239">
        <v>0</v>
      </c>
      <c r="EZ25" s="239">
        <v>45257665</v>
      </c>
      <c r="FA25" s="239">
        <v>0</v>
      </c>
      <c r="FB25" s="239">
        <v>45257665</v>
      </c>
      <c r="FC25" s="239">
        <v>81197</v>
      </c>
      <c r="FD25" s="239">
        <v>0</v>
      </c>
      <c r="FE25" s="239">
        <v>81197</v>
      </c>
      <c r="FF25" s="239">
        <v>-1147585</v>
      </c>
      <c r="FG25" s="239">
        <v>0</v>
      </c>
      <c r="FH25" s="239">
        <v>-1147585</v>
      </c>
      <c r="FI25" s="239">
        <v>-651618</v>
      </c>
      <c r="FJ25" s="239">
        <v>0</v>
      </c>
      <c r="FK25" s="239">
        <v>-651618</v>
      </c>
      <c r="FL25" s="239">
        <v>-55705</v>
      </c>
      <c r="FM25" s="239">
        <v>0</v>
      </c>
      <c r="FN25" s="239">
        <v>-55705</v>
      </c>
      <c r="FO25" s="239">
        <v>-145423</v>
      </c>
      <c r="FP25" s="239">
        <v>0</v>
      </c>
      <c r="FQ25" s="239">
        <v>-145423</v>
      </c>
      <c r="FR25" s="239">
        <v>0</v>
      </c>
      <c r="FS25" s="239">
        <v>0</v>
      </c>
      <c r="FT25" s="239">
        <v>0</v>
      </c>
      <c r="FU25" s="239">
        <v>-1919134</v>
      </c>
      <c r="FV25" s="239">
        <v>0</v>
      </c>
      <c r="FW25" s="239">
        <v>-1919134</v>
      </c>
      <c r="FX25" s="239">
        <v>43338531</v>
      </c>
      <c r="FY25" s="239">
        <v>0</v>
      </c>
      <c r="FZ25" s="239">
        <v>43338531</v>
      </c>
      <c r="GA25" s="214" t="s">
        <v>1294</v>
      </c>
    </row>
    <row r="26" spans="2:183" s="214" customFormat="1" x14ac:dyDescent="0.2">
      <c r="B26" s="610" t="s">
        <v>135</v>
      </c>
      <c r="C26" s="610" t="s">
        <v>134</v>
      </c>
      <c r="D26" s="239">
        <v>0</v>
      </c>
      <c r="E26" s="239">
        <v>0</v>
      </c>
      <c r="F26" s="239">
        <v>0</v>
      </c>
      <c r="G26" s="239">
        <v>0</v>
      </c>
      <c r="H26" s="239">
        <v>0</v>
      </c>
      <c r="I26" s="239">
        <v>0</v>
      </c>
      <c r="J26" s="239">
        <v>0</v>
      </c>
      <c r="K26" s="239">
        <v>0</v>
      </c>
      <c r="L26" s="239">
        <v>0</v>
      </c>
      <c r="M26" s="239">
        <v>147949</v>
      </c>
      <c r="N26" s="239">
        <v>0</v>
      </c>
      <c r="O26" s="239">
        <v>147949</v>
      </c>
      <c r="P26" s="239">
        <v>147949</v>
      </c>
      <c r="Q26" s="239">
        <v>0</v>
      </c>
      <c r="R26" s="239">
        <v>147949</v>
      </c>
      <c r="S26" s="239">
        <v>-5334370</v>
      </c>
      <c r="T26" s="239">
        <v>0</v>
      </c>
      <c r="U26" s="239">
        <v>-5334370</v>
      </c>
      <c r="V26" s="239">
        <v>-18630</v>
      </c>
      <c r="W26" s="239">
        <v>0</v>
      </c>
      <c r="X26" s="239">
        <v>-18630</v>
      </c>
      <c r="Y26" s="239">
        <v>-154115</v>
      </c>
      <c r="Z26" s="239">
        <v>0</v>
      </c>
      <c r="AA26" s="239">
        <v>-154115</v>
      </c>
      <c r="AB26" s="239">
        <v>-98118</v>
      </c>
      <c r="AC26" s="239">
        <v>0</v>
      </c>
      <c r="AD26" s="239">
        <v>-98118</v>
      </c>
      <c r="AE26" s="239">
        <v>-993</v>
      </c>
      <c r="AF26" s="239">
        <v>0</v>
      </c>
      <c r="AG26" s="239">
        <v>-993</v>
      </c>
      <c r="AH26" s="239">
        <v>1362067</v>
      </c>
      <c r="AI26" s="239">
        <v>0</v>
      </c>
      <c r="AJ26" s="239">
        <v>1362067</v>
      </c>
      <c r="AK26" s="239">
        <v>4837</v>
      </c>
      <c r="AL26" s="239">
        <v>0</v>
      </c>
      <c r="AM26" s="239">
        <v>4837</v>
      </c>
      <c r="AN26" s="239">
        <v>-4346632</v>
      </c>
      <c r="AO26" s="239">
        <v>0</v>
      </c>
      <c r="AP26" s="239">
        <v>-4346632</v>
      </c>
      <c r="AQ26" s="239">
        <v>-13657</v>
      </c>
      <c r="AR26" s="239">
        <v>0</v>
      </c>
      <c r="AS26" s="239">
        <v>-13657</v>
      </c>
      <c r="AT26" s="239">
        <v>-80655</v>
      </c>
      <c r="AU26" s="239">
        <v>0</v>
      </c>
      <c r="AV26" s="239">
        <v>-80655</v>
      </c>
      <c r="AW26" s="239">
        <v>0</v>
      </c>
      <c r="AX26" s="239">
        <v>0</v>
      </c>
      <c r="AY26" s="239">
        <v>0</v>
      </c>
      <c r="AZ26" s="239">
        <v>-2523</v>
      </c>
      <c r="BA26" s="239">
        <v>0</v>
      </c>
      <c r="BB26" s="239">
        <v>-2523</v>
      </c>
      <c r="BC26" s="239">
        <v>0</v>
      </c>
      <c r="BD26" s="239">
        <v>0</v>
      </c>
      <c r="BE26" s="239">
        <v>0</v>
      </c>
      <c r="BF26" s="239">
        <v>-8565048</v>
      </c>
      <c r="BG26" s="239">
        <v>0</v>
      </c>
      <c r="BH26" s="239">
        <v>-8565048</v>
      </c>
      <c r="BI26" s="239">
        <v>-126033</v>
      </c>
      <c r="BJ26" s="239">
        <v>0</v>
      </c>
      <c r="BK26" s="239">
        <v>-126033</v>
      </c>
      <c r="BL26" s="239">
        <v>88</v>
      </c>
      <c r="BM26" s="239">
        <v>0</v>
      </c>
      <c r="BN26" s="239">
        <v>88</v>
      </c>
      <c r="BO26" s="239">
        <v>-2849692</v>
      </c>
      <c r="BP26" s="239">
        <v>0</v>
      </c>
      <c r="BQ26" s="239">
        <v>-2849692</v>
      </c>
      <c r="BR26" s="239">
        <v>-65939</v>
      </c>
      <c r="BS26" s="239">
        <v>0</v>
      </c>
      <c r="BT26" s="239">
        <v>-65939</v>
      </c>
      <c r="BU26" s="239">
        <v>-3041576</v>
      </c>
      <c r="BV26" s="239">
        <v>0</v>
      </c>
      <c r="BW26" s="239">
        <v>-3041576</v>
      </c>
      <c r="BX26" s="239">
        <v>-23192</v>
      </c>
      <c r="BY26" s="239">
        <v>0</v>
      </c>
      <c r="BZ26" s="239">
        <v>-23192</v>
      </c>
      <c r="CA26" s="239">
        <v>-325</v>
      </c>
      <c r="CB26" s="239">
        <v>0</v>
      </c>
      <c r="CC26" s="239">
        <v>-325</v>
      </c>
      <c r="CD26" s="239">
        <v>-2259</v>
      </c>
      <c r="CE26" s="239">
        <v>0</v>
      </c>
      <c r="CF26" s="239">
        <v>-2259</v>
      </c>
      <c r="CG26" s="239">
        <v>0</v>
      </c>
      <c r="CH26" s="239">
        <v>0</v>
      </c>
      <c r="CI26" s="239">
        <v>0</v>
      </c>
      <c r="CJ26" s="239">
        <v>0</v>
      </c>
      <c r="CK26" s="239">
        <v>0</v>
      </c>
      <c r="CL26" s="239">
        <v>0</v>
      </c>
      <c r="CM26" s="239">
        <v>0</v>
      </c>
      <c r="CN26" s="239">
        <v>0</v>
      </c>
      <c r="CO26" s="239">
        <v>0</v>
      </c>
      <c r="CP26" s="239">
        <v>0</v>
      </c>
      <c r="CQ26" s="239">
        <v>0</v>
      </c>
      <c r="CR26" s="239">
        <v>0</v>
      </c>
      <c r="CS26" s="239">
        <v>0</v>
      </c>
      <c r="CT26" s="239">
        <v>0</v>
      </c>
      <c r="CU26" s="239">
        <v>0</v>
      </c>
      <c r="CV26" s="239">
        <v>0</v>
      </c>
      <c r="CW26" s="239">
        <v>0</v>
      </c>
      <c r="CX26" s="239">
        <v>0</v>
      </c>
      <c r="CY26" s="239">
        <v>0</v>
      </c>
      <c r="CZ26" s="239">
        <v>0</v>
      </c>
      <c r="DA26" s="239">
        <v>0</v>
      </c>
      <c r="DB26" s="239">
        <v>-20341</v>
      </c>
      <c r="DC26" s="239">
        <v>0</v>
      </c>
      <c r="DD26" s="239">
        <v>-20341</v>
      </c>
      <c r="DE26" s="239">
        <v>-3466</v>
      </c>
      <c r="DF26" s="239">
        <v>0</v>
      </c>
      <c r="DG26" s="239">
        <v>-3466</v>
      </c>
      <c r="DH26" s="239">
        <v>0</v>
      </c>
      <c r="DI26" s="239">
        <v>0</v>
      </c>
      <c r="DJ26" s="239">
        <v>-49583</v>
      </c>
      <c r="DK26" s="239">
        <v>0</v>
      </c>
      <c r="DL26" s="239">
        <v>-49583</v>
      </c>
      <c r="DM26" s="239">
        <v>-74339</v>
      </c>
      <c r="DN26" s="239">
        <v>0</v>
      </c>
      <c r="DO26" s="239">
        <v>-74339</v>
      </c>
      <c r="DP26" s="239">
        <v>0</v>
      </c>
      <c r="DQ26" s="239">
        <v>0</v>
      </c>
      <c r="DR26" s="239">
        <v>0</v>
      </c>
      <c r="DS26" s="239">
        <v>-148038</v>
      </c>
      <c r="DT26" s="239">
        <v>0</v>
      </c>
      <c r="DU26" s="239">
        <v>-148038</v>
      </c>
      <c r="DV26" s="239">
        <v>-8217</v>
      </c>
      <c r="DW26" s="239">
        <v>0</v>
      </c>
      <c r="DX26" s="239">
        <v>-8217</v>
      </c>
      <c r="DY26" s="239">
        <v>-715075</v>
      </c>
      <c r="DZ26" s="239">
        <v>0</v>
      </c>
      <c r="EA26" s="239">
        <v>-715075</v>
      </c>
      <c r="EB26" s="239">
        <v>-20122</v>
      </c>
      <c r="EC26" s="239">
        <v>0</v>
      </c>
      <c r="ED26" s="239">
        <v>-20122</v>
      </c>
      <c r="EE26" s="239">
        <v>0</v>
      </c>
      <c r="EF26" s="239">
        <v>0</v>
      </c>
      <c r="EG26" s="239">
        <v>0</v>
      </c>
      <c r="EH26" s="239">
        <v>0</v>
      </c>
      <c r="EI26" s="239">
        <v>0</v>
      </c>
      <c r="EJ26" s="239">
        <v>0</v>
      </c>
      <c r="EK26" s="239">
        <v>-6957</v>
      </c>
      <c r="EL26" s="239">
        <v>0</v>
      </c>
      <c r="EM26" s="239">
        <v>-6957</v>
      </c>
      <c r="EN26" s="239">
        <v>-972748</v>
      </c>
      <c r="EO26" s="239">
        <v>0</v>
      </c>
      <c r="EP26" s="239">
        <v>-972748</v>
      </c>
      <c r="EQ26" s="239">
        <v>0</v>
      </c>
      <c r="ER26" s="239">
        <v>0</v>
      </c>
      <c r="ES26" s="239">
        <v>0</v>
      </c>
      <c r="ET26" s="239">
        <v>0</v>
      </c>
      <c r="EU26" s="239">
        <v>0</v>
      </c>
      <c r="EV26" s="239">
        <v>0</v>
      </c>
      <c r="EW26" s="239">
        <v>0</v>
      </c>
      <c r="EX26" s="239">
        <v>0</v>
      </c>
      <c r="EY26" s="239">
        <v>0</v>
      </c>
      <c r="EZ26" s="239">
        <v>58995705</v>
      </c>
      <c r="FA26" s="239">
        <v>0</v>
      </c>
      <c r="FB26" s="239">
        <v>58995705</v>
      </c>
      <c r="FC26" s="239">
        <v>147949</v>
      </c>
      <c r="FD26" s="239">
        <v>0</v>
      </c>
      <c r="FE26" s="239">
        <v>147949</v>
      </c>
      <c r="FF26" s="239">
        <v>-8565048</v>
      </c>
      <c r="FG26" s="239">
        <v>0</v>
      </c>
      <c r="FH26" s="239">
        <v>-8565048</v>
      </c>
      <c r="FI26" s="239">
        <v>-3041576</v>
      </c>
      <c r="FJ26" s="239">
        <v>0</v>
      </c>
      <c r="FK26" s="239">
        <v>-3041576</v>
      </c>
      <c r="FL26" s="239">
        <v>-49583</v>
      </c>
      <c r="FM26" s="239">
        <v>0</v>
      </c>
      <c r="FN26" s="239">
        <v>-49583</v>
      </c>
      <c r="FO26" s="239">
        <v>-972748</v>
      </c>
      <c r="FP26" s="239">
        <v>0</v>
      </c>
      <c r="FQ26" s="239">
        <v>-972748</v>
      </c>
      <c r="FR26" s="239">
        <v>0</v>
      </c>
      <c r="FS26" s="239">
        <v>0</v>
      </c>
      <c r="FT26" s="239">
        <v>0</v>
      </c>
      <c r="FU26" s="239">
        <v>-12481006</v>
      </c>
      <c r="FV26" s="239">
        <v>0</v>
      </c>
      <c r="FW26" s="239">
        <v>-12481006</v>
      </c>
      <c r="FX26" s="239">
        <v>46514699</v>
      </c>
      <c r="FY26" s="239">
        <v>0</v>
      </c>
      <c r="FZ26" s="239">
        <v>46514699</v>
      </c>
      <c r="GA26" s="214" t="s">
        <v>748</v>
      </c>
    </row>
    <row r="27" spans="2:183" s="214" customFormat="1" x14ac:dyDescent="0.2">
      <c r="B27" s="610" t="s">
        <v>137</v>
      </c>
      <c r="C27" s="610" t="s">
        <v>136</v>
      </c>
      <c r="D27" s="239">
        <v>0</v>
      </c>
      <c r="E27" s="239">
        <v>0</v>
      </c>
      <c r="F27" s="239">
        <v>0</v>
      </c>
      <c r="G27" s="239">
        <v>335806</v>
      </c>
      <c r="H27" s="239">
        <v>0</v>
      </c>
      <c r="I27" s="239">
        <v>335806</v>
      </c>
      <c r="J27" s="239">
        <v>0</v>
      </c>
      <c r="K27" s="239">
        <v>0</v>
      </c>
      <c r="L27" s="239">
        <v>0</v>
      </c>
      <c r="M27" s="239">
        <v>4466</v>
      </c>
      <c r="N27" s="239">
        <v>0</v>
      </c>
      <c r="O27" s="239">
        <v>4466</v>
      </c>
      <c r="P27" s="239">
        <v>340272</v>
      </c>
      <c r="Q27" s="239">
        <v>0</v>
      </c>
      <c r="R27" s="239">
        <v>340272</v>
      </c>
      <c r="S27" s="239">
        <v>-6215669</v>
      </c>
      <c r="T27" s="239">
        <v>0</v>
      </c>
      <c r="U27" s="239">
        <v>-6215669</v>
      </c>
      <c r="V27" s="239">
        <v>-1943</v>
      </c>
      <c r="W27" s="239">
        <v>0</v>
      </c>
      <c r="X27" s="239">
        <v>-1943</v>
      </c>
      <c r="Y27" s="239">
        <v>-119125</v>
      </c>
      <c r="Z27" s="239">
        <v>0</v>
      </c>
      <c r="AA27" s="239">
        <v>-119125</v>
      </c>
      <c r="AB27" s="239">
        <v>-119125</v>
      </c>
      <c r="AC27" s="239">
        <v>0</v>
      </c>
      <c r="AD27" s="239">
        <v>-119125</v>
      </c>
      <c r="AE27" s="239">
        <v>0</v>
      </c>
      <c r="AF27" s="239">
        <v>0</v>
      </c>
      <c r="AG27" s="239">
        <v>0</v>
      </c>
      <c r="AH27" s="239">
        <v>1367892</v>
      </c>
      <c r="AI27" s="239">
        <v>0</v>
      </c>
      <c r="AJ27" s="239">
        <v>1367892</v>
      </c>
      <c r="AK27" s="239">
        <v>-89932</v>
      </c>
      <c r="AL27" s="239">
        <v>0</v>
      </c>
      <c r="AM27" s="239">
        <v>-89932</v>
      </c>
      <c r="AN27" s="239">
        <v>-2347669</v>
      </c>
      <c r="AO27" s="239">
        <v>0</v>
      </c>
      <c r="AP27" s="239">
        <v>-2347669</v>
      </c>
      <c r="AQ27" s="239">
        <v>-25532</v>
      </c>
      <c r="AR27" s="239">
        <v>0</v>
      </c>
      <c r="AS27" s="239">
        <v>-25532</v>
      </c>
      <c r="AT27" s="239">
        <v>0</v>
      </c>
      <c r="AU27" s="239">
        <v>0</v>
      </c>
      <c r="AV27" s="239">
        <v>0</v>
      </c>
      <c r="AW27" s="239">
        <v>0</v>
      </c>
      <c r="AX27" s="239">
        <v>0</v>
      </c>
      <c r="AY27" s="239">
        <v>0</v>
      </c>
      <c r="AZ27" s="239">
        <v>0</v>
      </c>
      <c r="BA27" s="239">
        <v>0</v>
      </c>
      <c r="BB27" s="239">
        <v>0</v>
      </c>
      <c r="BC27" s="239">
        <v>0</v>
      </c>
      <c r="BD27" s="239">
        <v>0</v>
      </c>
      <c r="BE27" s="239">
        <v>0</v>
      </c>
      <c r="BF27" s="239">
        <v>-7430035</v>
      </c>
      <c r="BG27" s="239">
        <v>0</v>
      </c>
      <c r="BH27" s="239">
        <v>-7430035</v>
      </c>
      <c r="BI27" s="239">
        <v>0</v>
      </c>
      <c r="BJ27" s="239">
        <v>0</v>
      </c>
      <c r="BK27" s="239">
        <v>0</v>
      </c>
      <c r="BL27" s="239">
        <v>69</v>
      </c>
      <c r="BM27" s="239">
        <v>0</v>
      </c>
      <c r="BN27" s="239">
        <v>69</v>
      </c>
      <c r="BO27" s="239">
        <v>-2100685</v>
      </c>
      <c r="BP27" s="239">
        <v>0</v>
      </c>
      <c r="BQ27" s="239">
        <v>-2100685</v>
      </c>
      <c r="BR27" s="239">
        <v>-87488</v>
      </c>
      <c r="BS27" s="239">
        <v>0</v>
      </c>
      <c r="BT27" s="239">
        <v>-87488</v>
      </c>
      <c r="BU27" s="239">
        <v>-2188104</v>
      </c>
      <c r="BV27" s="239">
        <v>0</v>
      </c>
      <c r="BW27" s="239">
        <v>-2188104</v>
      </c>
      <c r="BX27" s="239">
        <v>-5705</v>
      </c>
      <c r="BY27" s="239">
        <v>0</v>
      </c>
      <c r="BZ27" s="239">
        <v>-5705</v>
      </c>
      <c r="CA27" s="239">
        <v>0</v>
      </c>
      <c r="CB27" s="239">
        <v>0</v>
      </c>
      <c r="CC27" s="239">
        <v>0</v>
      </c>
      <c r="CD27" s="239">
        <v>-30663</v>
      </c>
      <c r="CE27" s="239">
        <v>0</v>
      </c>
      <c r="CF27" s="239">
        <v>-30663</v>
      </c>
      <c r="CG27" s="239">
        <v>4</v>
      </c>
      <c r="CH27" s="239">
        <v>0</v>
      </c>
      <c r="CI27" s="239">
        <v>4</v>
      </c>
      <c r="CJ27" s="239">
        <v>0</v>
      </c>
      <c r="CK27" s="239">
        <v>0</v>
      </c>
      <c r="CL27" s="239">
        <v>0</v>
      </c>
      <c r="CM27" s="239">
        <v>0</v>
      </c>
      <c r="CN27" s="239">
        <v>0</v>
      </c>
      <c r="CO27" s="239">
        <v>0</v>
      </c>
      <c r="CP27" s="239">
        <v>0</v>
      </c>
      <c r="CQ27" s="239">
        <v>0</v>
      </c>
      <c r="CR27" s="239">
        <v>0</v>
      </c>
      <c r="CS27" s="239">
        <v>0</v>
      </c>
      <c r="CT27" s="239">
        <v>0</v>
      </c>
      <c r="CU27" s="239">
        <v>0</v>
      </c>
      <c r="CV27" s="239">
        <v>0</v>
      </c>
      <c r="CW27" s="239">
        <v>0</v>
      </c>
      <c r="CX27" s="239">
        <v>0</v>
      </c>
      <c r="CY27" s="239">
        <v>0</v>
      </c>
      <c r="CZ27" s="239">
        <v>0</v>
      </c>
      <c r="DA27" s="239">
        <v>0</v>
      </c>
      <c r="DB27" s="239">
        <v>0</v>
      </c>
      <c r="DC27" s="239">
        <v>0</v>
      </c>
      <c r="DD27" s="239">
        <v>0</v>
      </c>
      <c r="DE27" s="239">
        <v>0</v>
      </c>
      <c r="DF27" s="239">
        <v>0</v>
      </c>
      <c r="DG27" s="239">
        <v>0</v>
      </c>
      <c r="DH27" s="239">
        <v>0</v>
      </c>
      <c r="DI27" s="239">
        <v>0</v>
      </c>
      <c r="DJ27" s="239">
        <v>-36364</v>
      </c>
      <c r="DK27" s="239">
        <v>0</v>
      </c>
      <c r="DL27" s="239">
        <v>-36364</v>
      </c>
      <c r="DM27" s="239">
        <v>0</v>
      </c>
      <c r="DN27" s="239">
        <v>0</v>
      </c>
      <c r="DO27" s="239">
        <v>0</v>
      </c>
      <c r="DP27" s="239">
        <v>1424</v>
      </c>
      <c r="DQ27" s="239">
        <v>0</v>
      </c>
      <c r="DR27" s="239">
        <v>1424</v>
      </c>
      <c r="DS27" s="239">
        <v>-163320</v>
      </c>
      <c r="DT27" s="239">
        <v>0</v>
      </c>
      <c r="DU27" s="239">
        <v>-163320</v>
      </c>
      <c r="DV27" s="239">
        <v>-344</v>
      </c>
      <c r="DW27" s="239">
        <v>0</v>
      </c>
      <c r="DX27" s="239">
        <v>-344</v>
      </c>
      <c r="DY27" s="239">
        <v>-915494</v>
      </c>
      <c r="DZ27" s="239">
        <v>0</v>
      </c>
      <c r="EA27" s="239">
        <v>-915494</v>
      </c>
      <c r="EB27" s="239">
        <v>-20066</v>
      </c>
      <c r="EC27" s="239">
        <v>0</v>
      </c>
      <c r="ED27" s="239">
        <v>-20066</v>
      </c>
      <c r="EE27" s="239">
        <v>0</v>
      </c>
      <c r="EF27" s="239">
        <v>0</v>
      </c>
      <c r="EG27" s="239">
        <v>0</v>
      </c>
      <c r="EH27" s="239">
        <v>0</v>
      </c>
      <c r="EI27" s="239">
        <v>0</v>
      </c>
      <c r="EJ27" s="239">
        <v>0</v>
      </c>
      <c r="EK27" s="239">
        <v>-5051</v>
      </c>
      <c r="EL27" s="239">
        <v>0</v>
      </c>
      <c r="EM27" s="239">
        <v>-5051</v>
      </c>
      <c r="EN27" s="239">
        <v>-1102851</v>
      </c>
      <c r="EO27" s="239">
        <v>0</v>
      </c>
      <c r="EP27" s="239">
        <v>-1102851</v>
      </c>
      <c r="EQ27" s="239">
        <v>-425</v>
      </c>
      <c r="ER27" s="239">
        <v>0</v>
      </c>
      <c r="ES27" s="239">
        <v>-425</v>
      </c>
      <c r="ET27" s="239">
        <v>0</v>
      </c>
      <c r="EU27" s="239">
        <v>0</v>
      </c>
      <c r="EV27" s="239">
        <v>0</v>
      </c>
      <c r="EW27" s="239">
        <v>-425</v>
      </c>
      <c r="EX27" s="239">
        <v>0</v>
      </c>
      <c r="EY27" s="239">
        <v>-425</v>
      </c>
      <c r="EZ27" s="239">
        <v>57673826</v>
      </c>
      <c r="FA27" s="239">
        <v>0</v>
      </c>
      <c r="FB27" s="239">
        <v>57673826</v>
      </c>
      <c r="FC27" s="239">
        <v>340272</v>
      </c>
      <c r="FD27" s="239">
        <v>0</v>
      </c>
      <c r="FE27" s="239">
        <v>340272</v>
      </c>
      <c r="FF27" s="239">
        <v>-7430035</v>
      </c>
      <c r="FG27" s="239">
        <v>0</v>
      </c>
      <c r="FH27" s="239">
        <v>-7430035</v>
      </c>
      <c r="FI27" s="239">
        <v>-2188104</v>
      </c>
      <c r="FJ27" s="239">
        <v>0</v>
      </c>
      <c r="FK27" s="239">
        <v>-2188104</v>
      </c>
      <c r="FL27" s="239">
        <v>-36364</v>
      </c>
      <c r="FM27" s="239">
        <v>0</v>
      </c>
      <c r="FN27" s="239">
        <v>-36364</v>
      </c>
      <c r="FO27" s="239">
        <v>-1102851</v>
      </c>
      <c r="FP27" s="239">
        <v>0</v>
      </c>
      <c r="FQ27" s="239">
        <v>-1102851</v>
      </c>
      <c r="FR27" s="239">
        <v>-425</v>
      </c>
      <c r="FS27" s="239">
        <v>0</v>
      </c>
      <c r="FT27" s="239">
        <v>-425</v>
      </c>
      <c r="FU27" s="239">
        <v>-10417507</v>
      </c>
      <c r="FV27" s="239">
        <v>0</v>
      </c>
      <c r="FW27" s="239">
        <v>-10417507</v>
      </c>
      <c r="FX27" s="239">
        <v>47256319</v>
      </c>
      <c r="FY27" s="239">
        <v>0</v>
      </c>
      <c r="FZ27" s="239">
        <v>47256319</v>
      </c>
      <c r="GA27" s="214" t="s">
        <v>748</v>
      </c>
    </row>
    <row r="28" spans="2:183" s="214" customFormat="1" x14ac:dyDescent="0.2">
      <c r="B28" s="610" t="s">
        <v>139</v>
      </c>
      <c r="C28" s="610" t="s">
        <v>138</v>
      </c>
      <c r="D28" s="239">
        <v>0</v>
      </c>
      <c r="E28" s="239">
        <v>0</v>
      </c>
      <c r="F28" s="239">
        <v>0</v>
      </c>
      <c r="G28" s="239">
        <v>-506249</v>
      </c>
      <c r="H28" s="239">
        <v>0</v>
      </c>
      <c r="I28" s="239">
        <v>-506249</v>
      </c>
      <c r="J28" s="239">
        <v>0</v>
      </c>
      <c r="K28" s="239">
        <v>0</v>
      </c>
      <c r="L28" s="239">
        <v>0</v>
      </c>
      <c r="M28" s="239">
        <v>84091</v>
      </c>
      <c r="N28" s="239">
        <v>0</v>
      </c>
      <c r="O28" s="239">
        <v>84091</v>
      </c>
      <c r="P28" s="239">
        <v>-422158</v>
      </c>
      <c r="Q28" s="239">
        <v>0</v>
      </c>
      <c r="R28" s="239">
        <v>-422158</v>
      </c>
      <c r="S28" s="239">
        <v>-1362209</v>
      </c>
      <c r="T28" s="239">
        <v>0</v>
      </c>
      <c r="U28" s="239">
        <v>-1362209</v>
      </c>
      <c r="V28" s="239">
        <v>0</v>
      </c>
      <c r="W28" s="239">
        <v>0</v>
      </c>
      <c r="X28" s="239">
        <v>0</v>
      </c>
      <c r="Y28" s="239">
        <v>-55372</v>
      </c>
      <c r="Z28" s="239">
        <v>0</v>
      </c>
      <c r="AA28" s="239">
        <v>-55372</v>
      </c>
      <c r="AB28" s="239">
        <v>-32612</v>
      </c>
      <c r="AC28" s="239">
        <v>0</v>
      </c>
      <c r="AD28" s="239">
        <v>-32612</v>
      </c>
      <c r="AE28" s="239">
        <v>0</v>
      </c>
      <c r="AF28" s="239">
        <v>0</v>
      </c>
      <c r="AG28" s="239">
        <v>0</v>
      </c>
      <c r="AH28" s="239">
        <v>616693</v>
      </c>
      <c r="AI28" s="239">
        <v>0</v>
      </c>
      <c r="AJ28" s="239">
        <v>616693</v>
      </c>
      <c r="AK28" s="239">
        <v>-6172</v>
      </c>
      <c r="AL28" s="239">
        <v>0</v>
      </c>
      <c r="AM28" s="239">
        <v>-6172</v>
      </c>
      <c r="AN28" s="239">
        <v>-569420</v>
      </c>
      <c r="AO28" s="239">
        <v>0</v>
      </c>
      <c r="AP28" s="239">
        <v>-569420</v>
      </c>
      <c r="AQ28" s="239">
        <v>-13304</v>
      </c>
      <c r="AR28" s="239">
        <v>0</v>
      </c>
      <c r="AS28" s="239">
        <v>-13304</v>
      </c>
      <c r="AT28" s="239">
        <v>0</v>
      </c>
      <c r="AU28" s="239">
        <v>0</v>
      </c>
      <c r="AV28" s="239">
        <v>0</v>
      </c>
      <c r="AW28" s="239">
        <v>0</v>
      </c>
      <c r="AX28" s="239">
        <v>0</v>
      </c>
      <c r="AY28" s="239">
        <v>0</v>
      </c>
      <c r="AZ28" s="239">
        <v>-9073</v>
      </c>
      <c r="BA28" s="239">
        <v>0</v>
      </c>
      <c r="BB28" s="239">
        <v>-9073</v>
      </c>
      <c r="BC28" s="239">
        <v>-1625</v>
      </c>
      <c r="BD28" s="239">
        <v>0</v>
      </c>
      <c r="BE28" s="239">
        <v>-1625</v>
      </c>
      <c r="BF28" s="239">
        <v>-1400482</v>
      </c>
      <c r="BG28" s="239">
        <v>0</v>
      </c>
      <c r="BH28" s="239">
        <v>-1400482</v>
      </c>
      <c r="BI28" s="239">
        <v>-47807</v>
      </c>
      <c r="BJ28" s="239">
        <v>0</v>
      </c>
      <c r="BK28" s="239">
        <v>-47807</v>
      </c>
      <c r="BL28" s="239">
        <v>-1908</v>
      </c>
      <c r="BM28" s="239">
        <v>0</v>
      </c>
      <c r="BN28" s="239">
        <v>-1908</v>
      </c>
      <c r="BO28" s="239">
        <v>-437383</v>
      </c>
      <c r="BP28" s="239">
        <v>0</v>
      </c>
      <c r="BQ28" s="239">
        <v>-437383</v>
      </c>
      <c r="BR28" s="239">
        <v>-7160</v>
      </c>
      <c r="BS28" s="239">
        <v>0</v>
      </c>
      <c r="BT28" s="239">
        <v>-7160</v>
      </c>
      <c r="BU28" s="239">
        <v>-494258</v>
      </c>
      <c r="BV28" s="239">
        <v>0</v>
      </c>
      <c r="BW28" s="239">
        <v>-494258</v>
      </c>
      <c r="BX28" s="239">
        <v>0</v>
      </c>
      <c r="BY28" s="239">
        <v>0</v>
      </c>
      <c r="BZ28" s="239">
        <v>0</v>
      </c>
      <c r="CA28" s="239">
        <v>0</v>
      </c>
      <c r="CB28" s="239">
        <v>0</v>
      </c>
      <c r="CC28" s="239">
        <v>0</v>
      </c>
      <c r="CD28" s="239">
        <v>-14426</v>
      </c>
      <c r="CE28" s="239">
        <v>0</v>
      </c>
      <c r="CF28" s="239">
        <v>-14426</v>
      </c>
      <c r="CG28" s="239">
        <v>0</v>
      </c>
      <c r="CH28" s="239">
        <v>0</v>
      </c>
      <c r="CI28" s="239">
        <v>0</v>
      </c>
      <c r="CJ28" s="239">
        <v>0</v>
      </c>
      <c r="CK28" s="239">
        <v>0</v>
      </c>
      <c r="CL28" s="239">
        <v>0</v>
      </c>
      <c r="CM28" s="239">
        <v>0</v>
      </c>
      <c r="CN28" s="239">
        <v>0</v>
      </c>
      <c r="CO28" s="239">
        <v>0</v>
      </c>
      <c r="CP28" s="239">
        <v>0</v>
      </c>
      <c r="CQ28" s="239">
        <v>0</v>
      </c>
      <c r="CR28" s="239">
        <v>0</v>
      </c>
      <c r="CS28" s="239">
        <v>0</v>
      </c>
      <c r="CT28" s="239">
        <v>0</v>
      </c>
      <c r="CU28" s="239">
        <v>0</v>
      </c>
      <c r="CV28" s="239">
        <v>0</v>
      </c>
      <c r="CW28" s="239">
        <v>0</v>
      </c>
      <c r="CX28" s="239">
        <v>0</v>
      </c>
      <c r="CY28" s="239">
        <v>0</v>
      </c>
      <c r="CZ28" s="239">
        <v>0</v>
      </c>
      <c r="DA28" s="239">
        <v>0</v>
      </c>
      <c r="DB28" s="239">
        <v>0</v>
      </c>
      <c r="DC28" s="239">
        <v>0</v>
      </c>
      <c r="DD28" s="239">
        <v>0</v>
      </c>
      <c r="DE28" s="239">
        <v>0</v>
      </c>
      <c r="DF28" s="239">
        <v>0</v>
      </c>
      <c r="DG28" s="239">
        <v>0</v>
      </c>
      <c r="DH28" s="239">
        <v>0</v>
      </c>
      <c r="DI28" s="239">
        <v>0</v>
      </c>
      <c r="DJ28" s="239">
        <v>-14426</v>
      </c>
      <c r="DK28" s="239">
        <v>0</v>
      </c>
      <c r="DL28" s="239">
        <v>-14426</v>
      </c>
      <c r="DM28" s="239">
        <v>-10904</v>
      </c>
      <c r="DN28" s="239">
        <v>0</v>
      </c>
      <c r="DO28" s="239">
        <v>-10904</v>
      </c>
      <c r="DP28" s="239">
        <v>0</v>
      </c>
      <c r="DQ28" s="239">
        <v>0</v>
      </c>
      <c r="DR28" s="239">
        <v>0</v>
      </c>
      <c r="DS28" s="239">
        <v>0</v>
      </c>
      <c r="DT28" s="239">
        <v>0</v>
      </c>
      <c r="DU28" s="239">
        <v>0</v>
      </c>
      <c r="DV28" s="239">
        <v>0</v>
      </c>
      <c r="DW28" s="239">
        <v>0</v>
      </c>
      <c r="DX28" s="239">
        <v>0</v>
      </c>
      <c r="DY28" s="239">
        <v>-190261</v>
      </c>
      <c r="DZ28" s="239">
        <v>0</v>
      </c>
      <c r="EA28" s="239">
        <v>-190261</v>
      </c>
      <c r="EB28" s="239">
        <v>-477</v>
      </c>
      <c r="EC28" s="239">
        <v>0</v>
      </c>
      <c r="ED28" s="239">
        <v>-477</v>
      </c>
      <c r="EE28" s="239">
        <v>0</v>
      </c>
      <c r="EF28" s="239">
        <v>0</v>
      </c>
      <c r="EG28" s="239">
        <v>0</v>
      </c>
      <c r="EH28" s="239">
        <v>0</v>
      </c>
      <c r="EI28" s="239">
        <v>0</v>
      </c>
      <c r="EJ28" s="239">
        <v>0</v>
      </c>
      <c r="EK28" s="239">
        <v>0</v>
      </c>
      <c r="EL28" s="239">
        <v>0</v>
      </c>
      <c r="EM28" s="239">
        <v>0</v>
      </c>
      <c r="EN28" s="239">
        <v>-201642</v>
      </c>
      <c r="EO28" s="239">
        <v>0</v>
      </c>
      <c r="EP28" s="239">
        <v>-201642</v>
      </c>
      <c r="EQ28" s="239">
        <v>0</v>
      </c>
      <c r="ER28" s="239">
        <v>0</v>
      </c>
      <c r="ES28" s="239">
        <v>0</v>
      </c>
      <c r="ET28" s="239">
        <v>0</v>
      </c>
      <c r="EU28" s="239">
        <v>0</v>
      </c>
      <c r="EV28" s="239">
        <v>0</v>
      </c>
      <c r="EW28" s="239">
        <v>0</v>
      </c>
      <c r="EX28" s="239">
        <v>0</v>
      </c>
      <c r="EY28" s="239">
        <v>0</v>
      </c>
      <c r="EZ28" s="239">
        <v>26129781</v>
      </c>
      <c r="FA28" s="239">
        <v>0</v>
      </c>
      <c r="FB28" s="239">
        <v>26129781</v>
      </c>
      <c r="FC28" s="239">
        <v>-422158</v>
      </c>
      <c r="FD28" s="239">
        <v>0</v>
      </c>
      <c r="FE28" s="239">
        <v>-422158</v>
      </c>
      <c r="FF28" s="239">
        <v>-1400482</v>
      </c>
      <c r="FG28" s="239">
        <v>0</v>
      </c>
      <c r="FH28" s="239">
        <v>-1400482</v>
      </c>
      <c r="FI28" s="239">
        <v>-494258</v>
      </c>
      <c r="FJ28" s="239">
        <v>0</v>
      </c>
      <c r="FK28" s="239">
        <v>-494258</v>
      </c>
      <c r="FL28" s="239">
        <v>-14426</v>
      </c>
      <c r="FM28" s="239">
        <v>0</v>
      </c>
      <c r="FN28" s="239">
        <v>-14426</v>
      </c>
      <c r="FO28" s="239">
        <v>-201642</v>
      </c>
      <c r="FP28" s="239">
        <v>0</v>
      </c>
      <c r="FQ28" s="239">
        <v>-201642</v>
      </c>
      <c r="FR28" s="239">
        <v>0</v>
      </c>
      <c r="FS28" s="239">
        <v>0</v>
      </c>
      <c r="FT28" s="239">
        <v>0</v>
      </c>
      <c r="FU28" s="239">
        <v>-2532966</v>
      </c>
      <c r="FV28" s="239">
        <v>0</v>
      </c>
      <c r="FW28" s="239">
        <v>-2532966</v>
      </c>
      <c r="FX28" s="239">
        <v>23596815</v>
      </c>
      <c r="FY28" s="239">
        <v>0</v>
      </c>
      <c r="FZ28" s="239">
        <v>23596815</v>
      </c>
      <c r="GA28" s="214" t="s">
        <v>1294</v>
      </c>
    </row>
    <row r="29" spans="2:183" s="214" customFormat="1" x14ac:dyDescent="0.2">
      <c r="B29" s="610" t="s">
        <v>141</v>
      </c>
      <c r="C29" s="610" t="s">
        <v>140</v>
      </c>
      <c r="D29" s="239">
        <v>0</v>
      </c>
      <c r="E29" s="239">
        <v>0</v>
      </c>
      <c r="F29" s="239">
        <v>0</v>
      </c>
      <c r="G29" s="239">
        <v>-1810</v>
      </c>
      <c r="H29" s="239">
        <v>0</v>
      </c>
      <c r="I29" s="239">
        <v>-1810</v>
      </c>
      <c r="J29" s="239">
        <v>0</v>
      </c>
      <c r="K29" s="239">
        <v>0</v>
      </c>
      <c r="L29" s="239">
        <v>0</v>
      </c>
      <c r="M29" s="239">
        <v>86625</v>
      </c>
      <c r="N29" s="239">
        <v>0</v>
      </c>
      <c r="O29" s="239">
        <v>86625</v>
      </c>
      <c r="P29" s="239">
        <v>84815</v>
      </c>
      <c r="Q29" s="239">
        <v>0</v>
      </c>
      <c r="R29" s="239">
        <v>84815</v>
      </c>
      <c r="S29" s="239">
        <v>-7918197</v>
      </c>
      <c r="T29" s="239">
        <v>0</v>
      </c>
      <c r="U29" s="239">
        <v>-7918197</v>
      </c>
      <c r="V29" s="239">
        <v>0</v>
      </c>
      <c r="W29" s="239">
        <v>0</v>
      </c>
      <c r="X29" s="239">
        <v>0</v>
      </c>
      <c r="Y29" s="239">
        <v>-237829</v>
      </c>
      <c r="Z29" s="239">
        <v>0</v>
      </c>
      <c r="AA29" s="239">
        <v>-237829</v>
      </c>
      <c r="AB29" s="239">
        <v>-179799</v>
      </c>
      <c r="AC29" s="239">
        <v>0</v>
      </c>
      <c r="AD29" s="239">
        <v>-179799</v>
      </c>
      <c r="AE29" s="239">
        <v>0</v>
      </c>
      <c r="AF29" s="239">
        <v>0</v>
      </c>
      <c r="AG29" s="239">
        <v>0</v>
      </c>
      <c r="AH29" s="239">
        <v>2455025</v>
      </c>
      <c r="AI29" s="239">
        <v>0</v>
      </c>
      <c r="AJ29" s="239">
        <v>2455025</v>
      </c>
      <c r="AK29" s="239">
        <v>-107403</v>
      </c>
      <c r="AL29" s="239">
        <v>0</v>
      </c>
      <c r="AM29" s="239">
        <v>-107403</v>
      </c>
      <c r="AN29" s="239">
        <v>-6110633</v>
      </c>
      <c r="AO29" s="239">
        <v>0</v>
      </c>
      <c r="AP29" s="239">
        <v>-6110633</v>
      </c>
      <c r="AQ29" s="239">
        <v>26999</v>
      </c>
      <c r="AR29" s="239">
        <v>0</v>
      </c>
      <c r="AS29" s="239">
        <v>26999</v>
      </c>
      <c r="AT29" s="239">
        <v>-104575</v>
      </c>
      <c r="AU29" s="239">
        <v>0</v>
      </c>
      <c r="AV29" s="239">
        <v>-104575</v>
      </c>
      <c r="AW29" s="239">
        <v>0</v>
      </c>
      <c r="AX29" s="239">
        <v>0</v>
      </c>
      <c r="AY29" s="239">
        <v>0</v>
      </c>
      <c r="AZ29" s="239">
        <v>0</v>
      </c>
      <c r="BA29" s="239">
        <v>0</v>
      </c>
      <c r="BB29" s="239">
        <v>0</v>
      </c>
      <c r="BC29" s="239">
        <v>0</v>
      </c>
      <c r="BD29" s="239">
        <v>0</v>
      </c>
      <c r="BE29" s="239">
        <v>0</v>
      </c>
      <c r="BF29" s="239">
        <v>-11996613</v>
      </c>
      <c r="BG29" s="239">
        <v>0</v>
      </c>
      <c r="BH29" s="239">
        <v>-11996613</v>
      </c>
      <c r="BI29" s="239">
        <v>-129810</v>
      </c>
      <c r="BJ29" s="239">
        <v>0</v>
      </c>
      <c r="BK29" s="239">
        <v>-129810</v>
      </c>
      <c r="BL29" s="239">
        <v>-66677</v>
      </c>
      <c r="BM29" s="239">
        <v>0</v>
      </c>
      <c r="BN29" s="239">
        <v>-66677</v>
      </c>
      <c r="BO29" s="239">
        <v>-4481025</v>
      </c>
      <c r="BP29" s="239">
        <v>0</v>
      </c>
      <c r="BQ29" s="239">
        <v>-4481025</v>
      </c>
      <c r="BR29" s="239">
        <v>100446</v>
      </c>
      <c r="BS29" s="239">
        <v>0</v>
      </c>
      <c r="BT29" s="239">
        <v>100446</v>
      </c>
      <c r="BU29" s="239">
        <v>-4577066</v>
      </c>
      <c r="BV29" s="239">
        <v>0</v>
      </c>
      <c r="BW29" s="239">
        <v>-4577066</v>
      </c>
      <c r="BX29" s="239">
        <v>-662290</v>
      </c>
      <c r="BY29" s="239">
        <v>0</v>
      </c>
      <c r="BZ29" s="239">
        <v>-662290</v>
      </c>
      <c r="CA29" s="239">
        <v>13705</v>
      </c>
      <c r="CB29" s="239">
        <v>0</v>
      </c>
      <c r="CC29" s="239">
        <v>13705</v>
      </c>
      <c r="CD29" s="239">
        <v>-292709</v>
      </c>
      <c r="CE29" s="239">
        <v>0</v>
      </c>
      <c r="CF29" s="239">
        <v>-292709</v>
      </c>
      <c r="CG29" s="239">
        <v>-7562</v>
      </c>
      <c r="CH29" s="239">
        <v>0</v>
      </c>
      <c r="CI29" s="239">
        <v>-7562</v>
      </c>
      <c r="CJ29" s="239">
        <v>-4477</v>
      </c>
      <c r="CK29" s="239">
        <v>0</v>
      </c>
      <c r="CL29" s="239">
        <v>-4477</v>
      </c>
      <c r="CM29" s="239">
        <v>0</v>
      </c>
      <c r="CN29" s="239">
        <v>0</v>
      </c>
      <c r="CO29" s="239">
        <v>0</v>
      </c>
      <c r="CP29" s="239">
        <v>0</v>
      </c>
      <c r="CQ29" s="239">
        <v>0</v>
      </c>
      <c r="CR29" s="239">
        <v>0</v>
      </c>
      <c r="CS29" s="239">
        <v>0</v>
      </c>
      <c r="CT29" s="239">
        <v>0</v>
      </c>
      <c r="CU29" s="239">
        <v>0</v>
      </c>
      <c r="CV29" s="239">
        <v>0</v>
      </c>
      <c r="CW29" s="239">
        <v>0</v>
      </c>
      <c r="CX29" s="239">
        <v>0</v>
      </c>
      <c r="CY29" s="239">
        <v>0</v>
      </c>
      <c r="CZ29" s="239">
        <v>0</v>
      </c>
      <c r="DA29" s="239">
        <v>0</v>
      </c>
      <c r="DB29" s="239">
        <v>0</v>
      </c>
      <c r="DC29" s="239">
        <v>0</v>
      </c>
      <c r="DD29" s="239">
        <v>0</v>
      </c>
      <c r="DE29" s="239">
        <v>0</v>
      </c>
      <c r="DF29" s="239">
        <v>0</v>
      </c>
      <c r="DG29" s="239">
        <v>0</v>
      </c>
      <c r="DH29" s="239">
        <v>0</v>
      </c>
      <c r="DI29" s="239">
        <v>0</v>
      </c>
      <c r="DJ29" s="239">
        <v>-953333</v>
      </c>
      <c r="DK29" s="239">
        <v>0</v>
      </c>
      <c r="DL29" s="239">
        <v>-953333</v>
      </c>
      <c r="DM29" s="239">
        <v>-3854</v>
      </c>
      <c r="DN29" s="239">
        <v>0</v>
      </c>
      <c r="DO29" s="239">
        <v>-3854</v>
      </c>
      <c r="DP29" s="239">
        <v>6193</v>
      </c>
      <c r="DQ29" s="239">
        <v>0</v>
      </c>
      <c r="DR29" s="239">
        <v>6193</v>
      </c>
      <c r="DS29" s="239">
        <v>-180600</v>
      </c>
      <c r="DT29" s="239">
        <v>0</v>
      </c>
      <c r="DU29" s="239">
        <v>-180600</v>
      </c>
      <c r="DV29" s="239">
        <v>-9476</v>
      </c>
      <c r="DW29" s="239">
        <v>0</v>
      </c>
      <c r="DX29" s="239">
        <v>-9476</v>
      </c>
      <c r="DY29" s="239">
        <v>-1715749</v>
      </c>
      <c r="DZ29" s="239">
        <v>0</v>
      </c>
      <c r="EA29" s="239">
        <v>-1715749</v>
      </c>
      <c r="EB29" s="239">
        <v>-12579</v>
      </c>
      <c r="EC29" s="239">
        <v>0</v>
      </c>
      <c r="ED29" s="239">
        <v>-12579</v>
      </c>
      <c r="EE29" s="239">
        <v>-9485</v>
      </c>
      <c r="EF29" s="239">
        <v>0</v>
      </c>
      <c r="EG29" s="239">
        <v>-9485</v>
      </c>
      <c r="EH29" s="239">
        <v>0</v>
      </c>
      <c r="EI29" s="239">
        <v>0</v>
      </c>
      <c r="EJ29" s="239">
        <v>0</v>
      </c>
      <c r="EK29" s="239">
        <v>-62286</v>
      </c>
      <c r="EL29" s="239">
        <v>0</v>
      </c>
      <c r="EM29" s="239">
        <v>-62286</v>
      </c>
      <c r="EN29" s="239">
        <v>-1987836</v>
      </c>
      <c r="EO29" s="239">
        <v>0</v>
      </c>
      <c r="EP29" s="239">
        <v>-1987836</v>
      </c>
      <c r="EQ29" s="239">
        <v>0</v>
      </c>
      <c r="ER29" s="239">
        <v>0</v>
      </c>
      <c r="ES29" s="239">
        <v>0</v>
      </c>
      <c r="ET29" s="239">
        <v>-22617</v>
      </c>
      <c r="EU29" s="239">
        <v>0</v>
      </c>
      <c r="EV29" s="239">
        <v>-22617</v>
      </c>
      <c r="EW29" s="239">
        <v>-22617</v>
      </c>
      <c r="EX29" s="239">
        <v>0</v>
      </c>
      <c r="EY29" s="239">
        <v>-22617</v>
      </c>
      <c r="EZ29" s="239">
        <v>102016664</v>
      </c>
      <c r="FA29" s="239">
        <v>0</v>
      </c>
      <c r="FB29" s="239">
        <v>102016664</v>
      </c>
      <c r="FC29" s="239">
        <v>84815</v>
      </c>
      <c r="FD29" s="239">
        <v>0</v>
      </c>
      <c r="FE29" s="239">
        <v>84815</v>
      </c>
      <c r="FF29" s="239">
        <v>-11996613</v>
      </c>
      <c r="FG29" s="239">
        <v>0</v>
      </c>
      <c r="FH29" s="239">
        <v>-11996613</v>
      </c>
      <c r="FI29" s="239">
        <v>-4577066</v>
      </c>
      <c r="FJ29" s="239">
        <v>0</v>
      </c>
      <c r="FK29" s="239">
        <v>-4577066</v>
      </c>
      <c r="FL29" s="239">
        <v>-953333</v>
      </c>
      <c r="FM29" s="239">
        <v>0</v>
      </c>
      <c r="FN29" s="239">
        <v>-953333</v>
      </c>
      <c r="FO29" s="239">
        <v>-1987836</v>
      </c>
      <c r="FP29" s="239">
        <v>0</v>
      </c>
      <c r="FQ29" s="239">
        <v>-1987836</v>
      </c>
      <c r="FR29" s="239">
        <v>-22617</v>
      </c>
      <c r="FS29" s="239">
        <v>0</v>
      </c>
      <c r="FT29" s="239">
        <v>-22617</v>
      </c>
      <c r="FU29" s="239">
        <v>-19452650</v>
      </c>
      <c r="FV29" s="239">
        <v>0</v>
      </c>
      <c r="FW29" s="239">
        <v>-19452650</v>
      </c>
      <c r="FX29" s="239">
        <v>82564014</v>
      </c>
      <c r="FY29" s="239">
        <v>0</v>
      </c>
      <c r="FZ29" s="239">
        <v>82564014</v>
      </c>
      <c r="GA29" s="214" t="s">
        <v>1296</v>
      </c>
    </row>
    <row r="30" spans="2:183" s="214" customFormat="1" x14ac:dyDescent="0.2">
      <c r="B30" s="610" t="s">
        <v>143</v>
      </c>
      <c r="C30" s="610" t="s">
        <v>142</v>
      </c>
      <c r="D30" s="239">
        <v>0</v>
      </c>
      <c r="E30" s="239">
        <v>0</v>
      </c>
      <c r="F30" s="239">
        <v>0</v>
      </c>
      <c r="G30" s="239">
        <v>46432</v>
      </c>
      <c r="H30" s="239">
        <v>0</v>
      </c>
      <c r="I30" s="239">
        <v>46432</v>
      </c>
      <c r="J30" s="239">
        <v>0</v>
      </c>
      <c r="K30" s="239">
        <v>0</v>
      </c>
      <c r="L30" s="239">
        <v>0</v>
      </c>
      <c r="M30" s="239">
        <v>128662</v>
      </c>
      <c r="N30" s="239">
        <v>0</v>
      </c>
      <c r="O30" s="239">
        <v>128662</v>
      </c>
      <c r="P30" s="239">
        <v>175094</v>
      </c>
      <c r="Q30" s="239">
        <v>0</v>
      </c>
      <c r="R30" s="239">
        <v>175094</v>
      </c>
      <c r="S30" s="239">
        <v>-1554083</v>
      </c>
      <c r="T30" s="239">
        <v>0</v>
      </c>
      <c r="U30" s="239">
        <v>-1554083</v>
      </c>
      <c r="V30" s="239">
        <v>0</v>
      </c>
      <c r="W30" s="239">
        <v>0</v>
      </c>
      <c r="X30" s="239">
        <v>0</v>
      </c>
      <c r="Y30" s="239">
        <v>-175133</v>
      </c>
      <c r="Z30" s="239">
        <v>0</v>
      </c>
      <c r="AA30" s="239">
        <v>-175133</v>
      </c>
      <c r="AB30" s="239">
        <v>-107280</v>
      </c>
      <c r="AC30" s="239">
        <v>0</v>
      </c>
      <c r="AD30" s="239">
        <v>-107280</v>
      </c>
      <c r="AE30" s="239">
        <v>0</v>
      </c>
      <c r="AF30" s="239">
        <v>0</v>
      </c>
      <c r="AG30" s="239">
        <v>0</v>
      </c>
      <c r="AH30" s="239">
        <v>536844</v>
      </c>
      <c r="AI30" s="239">
        <v>0</v>
      </c>
      <c r="AJ30" s="239">
        <v>536844</v>
      </c>
      <c r="AK30" s="239">
        <v>-18146</v>
      </c>
      <c r="AL30" s="239">
        <v>0</v>
      </c>
      <c r="AM30" s="239">
        <v>-18146</v>
      </c>
      <c r="AN30" s="239">
        <v>-1481153</v>
      </c>
      <c r="AO30" s="239">
        <v>0</v>
      </c>
      <c r="AP30" s="239">
        <v>-1481153</v>
      </c>
      <c r="AQ30" s="239">
        <v>-51583</v>
      </c>
      <c r="AR30" s="239">
        <v>0</v>
      </c>
      <c r="AS30" s="239">
        <v>-51583</v>
      </c>
      <c r="AT30" s="239">
        <v>-61329</v>
      </c>
      <c r="AU30" s="239">
        <v>0</v>
      </c>
      <c r="AV30" s="239">
        <v>-61329</v>
      </c>
      <c r="AW30" s="239">
        <v>0</v>
      </c>
      <c r="AX30" s="239">
        <v>0</v>
      </c>
      <c r="AY30" s="239">
        <v>0</v>
      </c>
      <c r="AZ30" s="239">
        <v>-20282</v>
      </c>
      <c r="BA30" s="239">
        <v>0</v>
      </c>
      <c r="BB30" s="239">
        <v>-20282</v>
      </c>
      <c r="BC30" s="239">
        <v>-1362</v>
      </c>
      <c r="BD30" s="239">
        <v>0</v>
      </c>
      <c r="BE30" s="239">
        <v>-1362</v>
      </c>
      <c r="BF30" s="239">
        <v>-2826227</v>
      </c>
      <c r="BG30" s="239">
        <v>0</v>
      </c>
      <c r="BH30" s="239">
        <v>-2826227</v>
      </c>
      <c r="BI30" s="239">
        <v>0</v>
      </c>
      <c r="BJ30" s="239">
        <v>0</v>
      </c>
      <c r="BK30" s="239">
        <v>0</v>
      </c>
      <c r="BL30" s="239">
        <v>0</v>
      </c>
      <c r="BM30" s="239">
        <v>0</v>
      </c>
      <c r="BN30" s="239">
        <v>0</v>
      </c>
      <c r="BO30" s="239">
        <v>-833964</v>
      </c>
      <c r="BP30" s="239">
        <v>0</v>
      </c>
      <c r="BQ30" s="239">
        <v>-833964</v>
      </c>
      <c r="BR30" s="239">
        <v>-610384</v>
      </c>
      <c r="BS30" s="239">
        <v>0</v>
      </c>
      <c r="BT30" s="239">
        <v>-610384</v>
      </c>
      <c r="BU30" s="239">
        <v>-1444348</v>
      </c>
      <c r="BV30" s="239">
        <v>0</v>
      </c>
      <c r="BW30" s="239">
        <v>-1444348</v>
      </c>
      <c r="BX30" s="239">
        <v>-45279</v>
      </c>
      <c r="BY30" s="239">
        <v>0</v>
      </c>
      <c r="BZ30" s="239">
        <v>-45279</v>
      </c>
      <c r="CA30" s="239">
        <v>64</v>
      </c>
      <c r="CB30" s="239">
        <v>0</v>
      </c>
      <c r="CC30" s="239">
        <v>64</v>
      </c>
      <c r="CD30" s="239">
        <v>-16055</v>
      </c>
      <c r="CE30" s="239">
        <v>0</v>
      </c>
      <c r="CF30" s="239">
        <v>-16055</v>
      </c>
      <c r="CG30" s="239">
        <v>0</v>
      </c>
      <c r="CH30" s="239">
        <v>0</v>
      </c>
      <c r="CI30" s="239">
        <v>0</v>
      </c>
      <c r="CJ30" s="239">
        <v>-11499</v>
      </c>
      <c r="CK30" s="239">
        <v>0</v>
      </c>
      <c r="CL30" s="239">
        <v>-11499</v>
      </c>
      <c r="CM30" s="239">
        <v>0</v>
      </c>
      <c r="CN30" s="239">
        <v>0</v>
      </c>
      <c r="CO30" s="239">
        <v>0</v>
      </c>
      <c r="CP30" s="239">
        <v>-1661</v>
      </c>
      <c r="CQ30" s="239">
        <v>0</v>
      </c>
      <c r="CR30" s="239">
        <v>-1661</v>
      </c>
      <c r="CS30" s="239">
        <v>324</v>
      </c>
      <c r="CT30" s="239">
        <v>0</v>
      </c>
      <c r="CU30" s="239">
        <v>324</v>
      </c>
      <c r="CV30" s="239">
        <v>0</v>
      </c>
      <c r="CW30" s="239">
        <v>0</v>
      </c>
      <c r="CX30" s="239">
        <v>0</v>
      </c>
      <c r="CY30" s="239">
        <v>0</v>
      </c>
      <c r="CZ30" s="239">
        <v>0</v>
      </c>
      <c r="DA30" s="239">
        <v>0</v>
      </c>
      <c r="DB30" s="239">
        <v>0</v>
      </c>
      <c r="DC30" s="239">
        <v>0</v>
      </c>
      <c r="DD30" s="239">
        <v>0</v>
      </c>
      <c r="DE30" s="239">
        <v>0</v>
      </c>
      <c r="DF30" s="239">
        <v>0</v>
      </c>
      <c r="DG30" s="239">
        <v>0</v>
      </c>
      <c r="DH30" s="239">
        <v>0</v>
      </c>
      <c r="DI30" s="239">
        <v>0</v>
      </c>
      <c r="DJ30" s="239">
        <v>-74106</v>
      </c>
      <c r="DK30" s="239">
        <v>0</v>
      </c>
      <c r="DL30" s="239">
        <v>-74106</v>
      </c>
      <c r="DM30" s="239">
        <v>-22717</v>
      </c>
      <c r="DN30" s="239">
        <v>0</v>
      </c>
      <c r="DO30" s="239">
        <v>-22717</v>
      </c>
      <c r="DP30" s="239">
        <v>0</v>
      </c>
      <c r="DQ30" s="239">
        <v>0</v>
      </c>
      <c r="DR30" s="239">
        <v>0</v>
      </c>
      <c r="DS30" s="239">
        <v>-2336</v>
      </c>
      <c r="DT30" s="239">
        <v>0</v>
      </c>
      <c r="DU30" s="239">
        <v>-2336</v>
      </c>
      <c r="DV30" s="239">
        <v>0</v>
      </c>
      <c r="DW30" s="239">
        <v>0</v>
      </c>
      <c r="DX30" s="239">
        <v>0</v>
      </c>
      <c r="DY30" s="239">
        <v>-262162</v>
      </c>
      <c r="DZ30" s="239">
        <v>0</v>
      </c>
      <c r="EA30" s="239">
        <v>-262162</v>
      </c>
      <c r="EB30" s="239">
        <v>-10989</v>
      </c>
      <c r="EC30" s="239">
        <v>0</v>
      </c>
      <c r="ED30" s="239">
        <v>-10989</v>
      </c>
      <c r="EE30" s="239">
        <v>0</v>
      </c>
      <c r="EF30" s="239">
        <v>0</v>
      </c>
      <c r="EG30" s="239">
        <v>0</v>
      </c>
      <c r="EH30" s="239">
        <v>-1244</v>
      </c>
      <c r="EI30" s="239">
        <v>0</v>
      </c>
      <c r="EJ30" s="239">
        <v>-1244</v>
      </c>
      <c r="EK30" s="239">
        <v>-606</v>
      </c>
      <c r="EL30" s="239">
        <v>0</v>
      </c>
      <c r="EM30" s="239">
        <v>-606</v>
      </c>
      <c r="EN30" s="239">
        <v>-300054</v>
      </c>
      <c r="EO30" s="239">
        <v>0</v>
      </c>
      <c r="EP30" s="239">
        <v>-300054</v>
      </c>
      <c r="EQ30" s="239">
        <v>0</v>
      </c>
      <c r="ER30" s="239">
        <v>0</v>
      </c>
      <c r="ES30" s="239">
        <v>0</v>
      </c>
      <c r="ET30" s="239">
        <v>0</v>
      </c>
      <c r="EU30" s="239">
        <v>0</v>
      </c>
      <c r="EV30" s="239">
        <v>0</v>
      </c>
      <c r="EW30" s="239">
        <v>0</v>
      </c>
      <c r="EX30" s="239">
        <v>0</v>
      </c>
      <c r="EY30" s="239">
        <v>0</v>
      </c>
      <c r="EZ30" s="239">
        <v>22973311</v>
      </c>
      <c r="FA30" s="239">
        <v>0</v>
      </c>
      <c r="FB30" s="239">
        <v>22973311</v>
      </c>
      <c r="FC30" s="239">
        <v>175094</v>
      </c>
      <c r="FD30" s="239">
        <v>0</v>
      </c>
      <c r="FE30" s="239">
        <v>175094</v>
      </c>
      <c r="FF30" s="239">
        <v>-2826227</v>
      </c>
      <c r="FG30" s="239">
        <v>0</v>
      </c>
      <c r="FH30" s="239">
        <v>-2826227</v>
      </c>
      <c r="FI30" s="239">
        <v>-1444348</v>
      </c>
      <c r="FJ30" s="239">
        <v>0</v>
      </c>
      <c r="FK30" s="239">
        <v>-1444348</v>
      </c>
      <c r="FL30" s="239">
        <v>-74106</v>
      </c>
      <c r="FM30" s="239">
        <v>0</v>
      </c>
      <c r="FN30" s="239">
        <v>-74106</v>
      </c>
      <c r="FO30" s="239">
        <v>-300054</v>
      </c>
      <c r="FP30" s="239">
        <v>0</v>
      </c>
      <c r="FQ30" s="239">
        <v>-300054</v>
      </c>
      <c r="FR30" s="239">
        <v>0</v>
      </c>
      <c r="FS30" s="239">
        <v>0</v>
      </c>
      <c r="FT30" s="239">
        <v>0</v>
      </c>
      <c r="FU30" s="239">
        <v>-4469641</v>
      </c>
      <c r="FV30" s="239">
        <v>0</v>
      </c>
      <c r="FW30" s="239">
        <v>-4469641</v>
      </c>
      <c r="FX30" s="239">
        <v>18503670</v>
      </c>
      <c r="FY30" s="239">
        <v>0</v>
      </c>
      <c r="FZ30" s="239">
        <v>18503670</v>
      </c>
      <c r="GA30" s="214" t="s">
        <v>1294</v>
      </c>
    </row>
    <row r="31" spans="2:183" s="214" customFormat="1" x14ac:dyDescent="0.2">
      <c r="B31" s="610" t="s">
        <v>145</v>
      </c>
      <c r="C31" s="610" t="s">
        <v>144</v>
      </c>
      <c r="D31" s="239">
        <v>0</v>
      </c>
      <c r="E31" s="239">
        <v>0</v>
      </c>
      <c r="F31" s="239">
        <v>0</v>
      </c>
      <c r="G31" s="239">
        <v>19637</v>
      </c>
      <c r="H31" s="239">
        <v>0</v>
      </c>
      <c r="I31" s="239">
        <v>19637</v>
      </c>
      <c r="J31" s="239">
        <v>0</v>
      </c>
      <c r="K31" s="239">
        <v>0</v>
      </c>
      <c r="L31" s="239">
        <v>0</v>
      </c>
      <c r="M31" s="239">
        <v>222188</v>
      </c>
      <c r="N31" s="239">
        <v>0</v>
      </c>
      <c r="O31" s="239">
        <v>222188</v>
      </c>
      <c r="P31" s="239">
        <v>241825</v>
      </c>
      <c r="Q31" s="239">
        <v>0</v>
      </c>
      <c r="R31" s="239">
        <v>241825</v>
      </c>
      <c r="S31" s="239">
        <v>-4572650</v>
      </c>
      <c r="T31" s="239">
        <v>0</v>
      </c>
      <c r="U31" s="239">
        <v>-4572650</v>
      </c>
      <c r="V31" s="239">
        <v>-20552</v>
      </c>
      <c r="W31" s="239">
        <v>0</v>
      </c>
      <c r="X31" s="239">
        <v>-20552</v>
      </c>
      <c r="Y31" s="239">
        <v>-58589</v>
      </c>
      <c r="Z31" s="239">
        <v>0</v>
      </c>
      <c r="AA31" s="239">
        <v>-58589</v>
      </c>
      <c r="AB31" s="239">
        <v>-35084</v>
      </c>
      <c r="AC31" s="239">
        <v>0</v>
      </c>
      <c r="AD31" s="239">
        <v>-35084</v>
      </c>
      <c r="AE31" s="239">
        <v>-1974</v>
      </c>
      <c r="AF31" s="239">
        <v>0</v>
      </c>
      <c r="AG31" s="239">
        <v>-1974</v>
      </c>
      <c r="AH31" s="239">
        <v>1836026</v>
      </c>
      <c r="AI31" s="239">
        <v>0</v>
      </c>
      <c r="AJ31" s="239">
        <v>1836026</v>
      </c>
      <c r="AK31" s="239">
        <v>-26857</v>
      </c>
      <c r="AL31" s="239">
        <v>0</v>
      </c>
      <c r="AM31" s="239">
        <v>-26857</v>
      </c>
      <c r="AN31" s="239">
        <v>-5400233</v>
      </c>
      <c r="AO31" s="239">
        <v>0</v>
      </c>
      <c r="AP31" s="239">
        <v>-5400233</v>
      </c>
      <c r="AQ31" s="239">
        <v>161994</v>
      </c>
      <c r="AR31" s="239">
        <v>0</v>
      </c>
      <c r="AS31" s="239">
        <v>161994</v>
      </c>
      <c r="AT31" s="239">
        <v>-114376</v>
      </c>
      <c r="AU31" s="239">
        <v>0</v>
      </c>
      <c r="AV31" s="239">
        <v>-114376</v>
      </c>
      <c r="AW31" s="239">
        <v>0</v>
      </c>
      <c r="AX31" s="239">
        <v>0</v>
      </c>
      <c r="AY31" s="239">
        <v>0</v>
      </c>
      <c r="AZ31" s="239">
        <v>0</v>
      </c>
      <c r="BA31" s="239">
        <v>0</v>
      </c>
      <c r="BB31" s="239">
        <v>0</v>
      </c>
      <c r="BC31" s="239">
        <v>0</v>
      </c>
      <c r="BD31" s="239">
        <v>0</v>
      </c>
      <c r="BE31" s="239">
        <v>0</v>
      </c>
      <c r="BF31" s="239">
        <v>-8174685</v>
      </c>
      <c r="BG31" s="239">
        <v>0</v>
      </c>
      <c r="BH31" s="239">
        <v>-8174685</v>
      </c>
      <c r="BI31" s="239">
        <v>-5844</v>
      </c>
      <c r="BJ31" s="239">
        <v>0</v>
      </c>
      <c r="BK31" s="239">
        <v>-5844</v>
      </c>
      <c r="BL31" s="239">
        <v>-3693</v>
      </c>
      <c r="BM31" s="239">
        <v>0</v>
      </c>
      <c r="BN31" s="239">
        <v>-3693</v>
      </c>
      <c r="BO31" s="239">
        <v>-1988171</v>
      </c>
      <c r="BP31" s="239">
        <v>0</v>
      </c>
      <c r="BQ31" s="239">
        <v>-1988171</v>
      </c>
      <c r="BR31" s="239">
        <v>304590</v>
      </c>
      <c r="BS31" s="239">
        <v>0</v>
      </c>
      <c r="BT31" s="239">
        <v>304590</v>
      </c>
      <c r="BU31" s="239">
        <v>-1693118</v>
      </c>
      <c r="BV31" s="239">
        <v>0</v>
      </c>
      <c r="BW31" s="239">
        <v>-1693118</v>
      </c>
      <c r="BX31" s="239">
        <v>-80911</v>
      </c>
      <c r="BY31" s="239">
        <v>0</v>
      </c>
      <c r="BZ31" s="239">
        <v>-80911</v>
      </c>
      <c r="CA31" s="239">
        <v>9812</v>
      </c>
      <c r="CB31" s="239">
        <v>0</v>
      </c>
      <c r="CC31" s="239">
        <v>9812</v>
      </c>
      <c r="CD31" s="239">
        <v>-24748</v>
      </c>
      <c r="CE31" s="239">
        <v>0</v>
      </c>
      <c r="CF31" s="239">
        <v>-24748</v>
      </c>
      <c r="CG31" s="239">
        <v>-296</v>
      </c>
      <c r="CH31" s="239">
        <v>0</v>
      </c>
      <c r="CI31" s="239">
        <v>-296</v>
      </c>
      <c r="CJ31" s="239">
        <v>-4000</v>
      </c>
      <c r="CK31" s="239">
        <v>0</v>
      </c>
      <c r="CL31" s="239">
        <v>-4000</v>
      </c>
      <c r="CM31" s="239">
        <v>0</v>
      </c>
      <c r="CN31" s="239">
        <v>0</v>
      </c>
      <c r="CO31" s="239">
        <v>0</v>
      </c>
      <c r="CP31" s="239">
        <v>0</v>
      </c>
      <c r="CQ31" s="239">
        <v>0</v>
      </c>
      <c r="CR31" s="239">
        <v>0</v>
      </c>
      <c r="CS31" s="239">
        <v>0</v>
      </c>
      <c r="CT31" s="239">
        <v>0</v>
      </c>
      <c r="CU31" s="239">
        <v>0</v>
      </c>
      <c r="CV31" s="239">
        <v>0</v>
      </c>
      <c r="CW31" s="239">
        <v>0</v>
      </c>
      <c r="CX31" s="239">
        <v>0</v>
      </c>
      <c r="CY31" s="239">
        <v>0</v>
      </c>
      <c r="CZ31" s="239">
        <v>0</v>
      </c>
      <c r="DA31" s="239">
        <v>0</v>
      </c>
      <c r="DB31" s="239">
        <v>0</v>
      </c>
      <c r="DC31" s="239">
        <v>0</v>
      </c>
      <c r="DD31" s="239">
        <v>0</v>
      </c>
      <c r="DE31" s="239">
        <v>0</v>
      </c>
      <c r="DF31" s="239">
        <v>0</v>
      </c>
      <c r="DG31" s="239">
        <v>0</v>
      </c>
      <c r="DH31" s="239">
        <v>0</v>
      </c>
      <c r="DI31" s="239">
        <v>0</v>
      </c>
      <c r="DJ31" s="239">
        <v>-100143</v>
      </c>
      <c r="DK31" s="239">
        <v>0</v>
      </c>
      <c r="DL31" s="239">
        <v>-100143</v>
      </c>
      <c r="DM31" s="239">
        <v>0</v>
      </c>
      <c r="DN31" s="239">
        <v>0</v>
      </c>
      <c r="DO31" s="239">
        <v>0</v>
      </c>
      <c r="DP31" s="239">
        <v>0</v>
      </c>
      <c r="DQ31" s="239">
        <v>0</v>
      </c>
      <c r="DR31" s="239">
        <v>0</v>
      </c>
      <c r="DS31" s="239">
        <v>-94450</v>
      </c>
      <c r="DT31" s="239">
        <v>0</v>
      </c>
      <c r="DU31" s="239">
        <v>-94450</v>
      </c>
      <c r="DV31" s="239">
        <v>-6393</v>
      </c>
      <c r="DW31" s="239">
        <v>0</v>
      </c>
      <c r="DX31" s="239">
        <v>-6393</v>
      </c>
      <c r="DY31" s="239">
        <v>-1385998</v>
      </c>
      <c r="DZ31" s="239">
        <v>0</v>
      </c>
      <c r="EA31" s="239">
        <v>-1385998</v>
      </c>
      <c r="EB31" s="239">
        <v>-8736</v>
      </c>
      <c r="EC31" s="239">
        <v>0</v>
      </c>
      <c r="ED31" s="239">
        <v>-8736</v>
      </c>
      <c r="EE31" s="239">
        <v>0</v>
      </c>
      <c r="EF31" s="239">
        <v>0</v>
      </c>
      <c r="EG31" s="239">
        <v>0</v>
      </c>
      <c r="EH31" s="239">
        <v>-20452</v>
      </c>
      <c r="EI31" s="239">
        <v>0</v>
      </c>
      <c r="EJ31" s="239">
        <v>-20452</v>
      </c>
      <c r="EK31" s="239">
        <v>-1570</v>
      </c>
      <c r="EL31" s="239">
        <v>0</v>
      </c>
      <c r="EM31" s="239">
        <v>-1570</v>
      </c>
      <c r="EN31" s="239">
        <v>-1517599</v>
      </c>
      <c r="EO31" s="239">
        <v>0</v>
      </c>
      <c r="EP31" s="239">
        <v>-1517599</v>
      </c>
      <c r="EQ31" s="239">
        <v>0</v>
      </c>
      <c r="ER31" s="239">
        <v>0</v>
      </c>
      <c r="ES31" s="239">
        <v>0</v>
      </c>
      <c r="ET31" s="239">
        <v>0</v>
      </c>
      <c r="EU31" s="239">
        <v>0</v>
      </c>
      <c r="EV31" s="239">
        <v>0</v>
      </c>
      <c r="EW31" s="239">
        <v>0</v>
      </c>
      <c r="EX31" s="239">
        <v>0</v>
      </c>
      <c r="EY31" s="239">
        <v>0</v>
      </c>
      <c r="EZ31" s="239">
        <v>78197017</v>
      </c>
      <c r="FA31" s="239">
        <v>0</v>
      </c>
      <c r="FB31" s="239">
        <v>78197017</v>
      </c>
      <c r="FC31" s="239">
        <v>241825</v>
      </c>
      <c r="FD31" s="239">
        <v>0</v>
      </c>
      <c r="FE31" s="239">
        <v>241825</v>
      </c>
      <c r="FF31" s="239">
        <v>-8174685</v>
      </c>
      <c r="FG31" s="239">
        <v>0</v>
      </c>
      <c r="FH31" s="239">
        <v>-8174685</v>
      </c>
      <c r="FI31" s="239">
        <v>-1693118</v>
      </c>
      <c r="FJ31" s="239">
        <v>0</v>
      </c>
      <c r="FK31" s="239">
        <v>-1693118</v>
      </c>
      <c r="FL31" s="239">
        <v>-100143</v>
      </c>
      <c r="FM31" s="239">
        <v>0</v>
      </c>
      <c r="FN31" s="239">
        <v>-100143</v>
      </c>
      <c r="FO31" s="239">
        <v>-1517599</v>
      </c>
      <c r="FP31" s="239">
        <v>0</v>
      </c>
      <c r="FQ31" s="239">
        <v>-1517599</v>
      </c>
      <c r="FR31" s="239">
        <v>0</v>
      </c>
      <c r="FS31" s="239">
        <v>0</v>
      </c>
      <c r="FT31" s="239">
        <v>0</v>
      </c>
      <c r="FU31" s="239">
        <v>-11243720</v>
      </c>
      <c r="FV31" s="239">
        <v>0</v>
      </c>
      <c r="FW31" s="239">
        <v>-11243720</v>
      </c>
      <c r="FX31" s="239">
        <v>66953297</v>
      </c>
      <c r="FY31" s="239">
        <v>0</v>
      </c>
      <c r="FZ31" s="239">
        <v>66953297</v>
      </c>
      <c r="GA31" s="214" t="s">
        <v>748</v>
      </c>
    </row>
    <row r="32" spans="2:183" s="214" customFormat="1" x14ac:dyDescent="0.2">
      <c r="B32" s="610" t="s">
        <v>147</v>
      </c>
      <c r="C32" s="610" t="s">
        <v>146</v>
      </c>
      <c r="D32" s="239">
        <v>0</v>
      </c>
      <c r="E32" s="239">
        <v>0</v>
      </c>
      <c r="F32" s="239">
        <v>0</v>
      </c>
      <c r="G32" s="239">
        <v>368338</v>
      </c>
      <c r="H32" s="239">
        <v>0</v>
      </c>
      <c r="I32" s="239">
        <v>368338</v>
      </c>
      <c r="J32" s="239">
        <v>0</v>
      </c>
      <c r="K32" s="239">
        <v>0</v>
      </c>
      <c r="L32" s="239">
        <v>0</v>
      </c>
      <c r="M32" s="239">
        <v>291695</v>
      </c>
      <c r="N32" s="239">
        <v>0</v>
      </c>
      <c r="O32" s="239">
        <v>291695</v>
      </c>
      <c r="P32" s="239">
        <v>660033</v>
      </c>
      <c r="Q32" s="239">
        <v>0</v>
      </c>
      <c r="R32" s="239">
        <v>660033</v>
      </c>
      <c r="S32" s="239">
        <v>-885802</v>
      </c>
      <c r="T32" s="239">
        <v>0</v>
      </c>
      <c r="U32" s="239">
        <v>-885802</v>
      </c>
      <c r="V32" s="239">
        <v>-6561</v>
      </c>
      <c r="W32" s="239">
        <v>0</v>
      </c>
      <c r="X32" s="239">
        <v>-6561</v>
      </c>
      <c r="Y32" s="239">
        <v>-212031</v>
      </c>
      <c r="Z32" s="239">
        <v>0</v>
      </c>
      <c r="AA32" s="239">
        <v>-212031</v>
      </c>
      <c r="AB32" s="239">
        <v>-210075</v>
      </c>
      <c r="AC32" s="239">
        <v>0</v>
      </c>
      <c r="AD32" s="239">
        <v>-210075</v>
      </c>
      <c r="AE32" s="239">
        <v>-1956</v>
      </c>
      <c r="AF32" s="239">
        <v>0</v>
      </c>
      <c r="AG32" s="239">
        <v>-1956</v>
      </c>
      <c r="AH32" s="239">
        <v>1956775</v>
      </c>
      <c r="AI32" s="239">
        <v>0</v>
      </c>
      <c r="AJ32" s="239">
        <v>1956775</v>
      </c>
      <c r="AK32" s="239">
        <v>-217008</v>
      </c>
      <c r="AL32" s="239">
        <v>0</v>
      </c>
      <c r="AM32" s="239">
        <v>-217008</v>
      </c>
      <c r="AN32" s="239">
        <v>-2095923</v>
      </c>
      <c r="AO32" s="239">
        <v>0</v>
      </c>
      <c r="AP32" s="239">
        <v>-2095923</v>
      </c>
      <c r="AQ32" s="239">
        <v>-435161</v>
      </c>
      <c r="AR32" s="239">
        <v>0</v>
      </c>
      <c r="AS32" s="239">
        <v>-435161</v>
      </c>
      <c r="AT32" s="239">
        <v>-3510</v>
      </c>
      <c r="AU32" s="239">
        <v>0</v>
      </c>
      <c r="AV32" s="239">
        <v>-3510</v>
      </c>
      <c r="AW32" s="239">
        <v>0</v>
      </c>
      <c r="AX32" s="239">
        <v>0</v>
      </c>
      <c r="AY32" s="239">
        <v>0</v>
      </c>
      <c r="AZ32" s="239">
        <v>0</v>
      </c>
      <c r="BA32" s="239">
        <v>0</v>
      </c>
      <c r="BB32" s="239">
        <v>0</v>
      </c>
      <c r="BC32" s="239">
        <v>0</v>
      </c>
      <c r="BD32" s="239">
        <v>0</v>
      </c>
      <c r="BE32" s="239">
        <v>0</v>
      </c>
      <c r="BF32" s="239">
        <v>-1892660</v>
      </c>
      <c r="BG32" s="239">
        <v>0</v>
      </c>
      <c r="BH32" s="239">
        <v>-1892660</v>
      </c>
      <c r="BI32" s="239">
        <v>-12993</v>
      </c>
      <c r="BJ32" s="239">
        <v>0</v>
      </c>
      <c r="BK32" s="239">
        <v>-12993</v>
      </c>
      <c r="BL32" s="239">
        <v>488</v>
      </c>
      <c r="BM32" s="239">
        <v>0</v>
      </c>
      <c r="BN32" s="239">
        <v>488</v>
      </c>
      <c r="BO32" s="239">
        <v>-4367834</v>
      </c>
      <c r="BP32" s="239">
        <v>0</v>
      </c>
      <c r="BQ32" s="239">
        <v>-4367834</v>
      </c>
      <c r="BR32" s="239">
        <v>-4131868</v>
      </c>
      <c r="BS32" s="239">
        <v>0</v>
      </c>
      <c r="BT32" s="239">
        <v>-4131868</v>
      </c>
      <c r="BU32" s="239">
        <v>-8512207</v>
      </c>
      <c r="BV32" s="239">
        <v>0</v>
      </c>
      <c r="BW32" s="239">
        <v>-8512207</v>
      </c>
      <c r="BX32" s="239">
        <v>-65510</v>
      </c>
      <c r="BY32" s="239">
        <v>0</v>
      </c>
      <c r="BZ32" s="239">
        <v>-65510</v>
      </c>
      <c r="CA32" s="239">
        <v>2516</v>
      </c>
      <c r="CB32" s="239">
        <v>0</v>
      </c>
      <c r="CC32" s="239">
        <v>2516</v>
      </c>
      <c r="CD32" s="239">
        <v>-50680</v>
      </c>
      <c r="CE32" s="239">
        <v>0</v>
      </c>
      <c r="CF32" s="239">
        <v>-50680</v>
      </c>
      <c r="CG32" s="239">
        <v>-275</v>
      </c>
      <c r="CH32" s="239">
        <v>0</v>
      </c>
      <c r="CI32" s="239">
        <v>-275</v>
      </c>
      <c r="CJ32" s="239">
        <v>0</v>
      </c>
      <c r="CK32" s="239">
        <v>0</v>
      </c>
      <c r="CL32" s="239">
        <v>0</v>
      </c>
      <c r="CM32" s="239">
        <v>0</v>
      </c>
      <c r="CN32" s="239">
        <v>0</v>
      </c>
      <c r="CO32" s="239">
        <v>0</v>
      </c>
      <c r="CP32" s="239">
        <v>0</v>
      </c>
      <c r="CQ32" s="239">
        <v>0</v>
      </c>
      <c r="CR32" s="239">
        <v>0</v>
      </c>
      <c r="CS32" s="239">
        <v>0</v>
      </c>
      <c r="CT32" s="239">
        <v>0</v>
      </c>
      <c r="CU32" s="239">
        <v>0</v>
      </c>
      <c r="CV32" s="239">
        <v>0</v>
      </c>
      <c r="CW32" s="239">
        <v>0</v>
      </c>
      <c r="CX32" s="239">
        <v>0</v>
      </c>
      <c r="CY32" s="239">
        <v>0</v>
      </c>
      <c r="CZ32" s="239">
        <v>0</v>
      </c>
      <c r="DA32" s="239">
        <v>0</v>
      </c>
      <c r="DB32" s="239">
        <v>0</v>
      </c>
      <c r="DC32" s="239">
        <v>0</v>
      </c>
      <c r="DD32" s="239">
        <v>0</v>
      </c>
      <c r="DE32" s="239">
        <v>0</v>
      </c>
      <c r="DF32" s="239">
        <v>0</v>
      </c>
      <c r="DG32" s="239">
        <v>0</v>
      </c>
      <c r="DH32" s="239">
        <v>0</v>
      </c>
      <c r="DI32" s="239">
        <v>0</v>
      </c>
      <c r="DJ32" s="239">
        <v>-113949</v>
      </c>
      <c r="DK32" s="239">
        <v>0</v>
      </c>
      <c r="DL32" s="239">
        <v>-113949</v>
      </c>
      <c r="DM32" s="239">
        <v>0</v>
      </c>
      <c r="DN32" s="239">
        <v>0</v>
      </c>
      <c r="DO32" s="239">
        <v>0</v>
      </c>
      <c r="DP32" s="239">
        <v>0</v>
      </c>
      <c r="DQ32" s="239">
        <v>0</v>
      </c>
      <c r="DR32" s="239">
        <v>0</v>
      </c>
      <c r="DS32" s="239">
        <v>-5723</v>
      </c>
      <c r="DT32" s="239">
        <v>0</v>
      </c>
      <c r="DU32" s="239">
        <v>-5723</v>
      </c>
      <c r="DV32" s="239">
        <v>0</v>
      </c>
      <c r="DW32" s="239">
        <v>0</v>
      </c>
      <c r="DX32" s="239">
        <v>0</v>
      </c>
      <c r="DY32" s="239">
        <v>-287350</v>
      </c>
      <c r="DZ32" s="239">
        <v>0</v>
      </c>
      <c r="EA32" s="239">
        <v>-287350</v>
      </c>
      <c r="EB32" s="239">
        <v>-14548</v>
      </c>
      <c r="EC32" s="239">
        <v>0</v>
      </c>
      <c r="ED32" s="239">
        <v>-14548</v>
      </c>
      <c r="EE32" s="239">
        <v>0</v>
      </c>
      <c r="EF32" s="239">
        <v>0</v>
      </c>
      <c r="EG32" s="239">
        <v>0</v>
      </c>
      <c r="EH32" s="239">
        <v>0</v>
      </c>
      <c r="EI32" s="239">
        <v>0</v>
      </c>
      <c r="EJ32" s="239">
        <v>0</v>
      </c>
      <c r="EK32" s="239">
        <v>-1383</v>
      </c>
      <c r="EL32" s="239">
        <v>0</v>
      </c>
      <c r="EM32" s="239">
        <v>-1383</v>
      </c>
      <c r="EN32" s="239">
        <v>-309004</v>
      </c>
      <c r="EO32" s="239">
        <v>0</v>
      </c>
      <c r="EP32" s="239">
        <v>-309004</v>
      </c>
      <c r="EQ32" s="239">
        <v>0</v>
      </c>
      <c r="ER32" s="239">
        <v>0</v>
      </c>
      <c r="ES32" s="239">
        <v>0</v>
      </c>
      <c r="ET32" s="239">
        <v>0</v>
      </c>
      <c r="EU32" s="239">
        <v>0</v>
      </c>
      <c r="EV32" s="239">
        <v>0</v>
      </c>
      <c r="EW32" s="239">
        <v>0</v>
      </c>
      <c r="EX32" s="239">
        <v>0</v>
      </c>
      <c r="EY32" s="239">
        <v>0</v>
      </c>
      <c r="EZ32" s="239">
        <v>63582879</v>
      </c>
      <c r="FA32" s="239">
        <v>0</v>
      </c>
      <c r="FB32" s="239">
        <v>63582879</v>
      </c>
      <c r="FC32" s="239">
        <v>660033</v>
      </c>
      <c r="FD32" s="239">
        <v>0</v>
      </c>
      <c r="FE32" s="239">
        <v>660033</v>
      </c>
      <c r="FF32" s="239">
        <v>-1892660</v>
      </c>
      <c r="FG32" s="239">
        <v>0</v>
      </c>
      <c r="FH32" s="239">
        <v>-1892660</v>
      </c>
      <c r="FI32" s="239">
        <v>-8512207</v>
      </c>
      <c r="FJ32" s="239">
        <v>0</v>
      </c>
      <c r="FK32" s="239">
        <v>-8512207</v>
      </c>
      <c r="FL32" s="239">
        <v>-113949</v>
      </c>
      <c r="FM32" s="239">
        <v>0</v>
      </c>
      <c r="FN32" s="239">
        <v>-113949</v>
      </c>
      <c r="FO32" s="239">
        <v>-309004</v>
      </c>
      <c r="FP32" s="239">
        <v>0</v>
      </c>
      <c r="FQ32" s="239">
        <v>-309004</v>
      </c>
      <c r="FR32" s="239">
        <v>0</v>
      </c>
      <c r="FS32" s="239">
        <v>0</v>
      </c>
      <c r="FT32" s="239">
        <v>0</v>
      </c>
      <c r="FU32" s="239">
        <v>-10167787</v>
      </c>
      <c r="FV32" s="239">
        <v>0</v>
      </c>
      <c r="FW32" s="239">
        <v>-10167787</v>
      </c>
      <c r="FX32" s="239">
        <v>53415092</v>
      </c>
      <c r="FY32" s="239">
        <v>0</v>
      </c>
      <c r="FZ32" s="239">
        <v>53415092</v>
      </c>
      <c r="GA32" s="214" t="s">
        <v>748</v>
      </c>
    </row>
    <row r="33" spans="1:183" s="214" customFormat="1" x14ac:dyDescent="0.2">
      <c r="B33" s="610" t="s">
        <v>149</v>
      </c>
      <c r="C33" s="610" t="s">
        <v>148</v>
      </c>
      <c r="D33" s="239">
        <v>0</v>
      </c>
      <c r="E33" s="239">
        <v>0</v>
      </c>
      <c r="F33" s="239">
        <v>0</v>
      </c>
      <c r="G33" s="239">
        <v>436359</v>
      </c>
      <c r="H33" s="239">
        <v>0</v>
      </c>
      <c r="I33" s="239">
        <v>436359</v>
      </c>
      <c r="J33" s="239">
        <v>0</v>
      </c>
      <c r="K33" s="239">
        <v>0</v>
      </c>
      <c r="L33" s="239">
        <v>0</v>
      </c>
      <c r="M33" s="239">
        <v>266918</v>
      </c>
      <c r="N33" s="239">
        <v>0</v>
      </c>
      <c r="O33" s="239">
        <v>266918</v>
      </c>
      <c r="P33" s="239">
        <v>703277</v>
      </c>
      <c r="Q33" s="239">
        <v>0</v>
      </c>
      <c r="R33" s="239">
        <v>703277</v>
      </c>
      <c r="S33" s="239">
        <v>-15684201</v>
      </c>
      <c r="T33" s="239">
        <v>0</v>
      </c>
      <c r="U33" s="239">
        <v>-15684201</v>
      </c>
      <c r="V33" s="239">
        <v>-74264</v>
      </c>
      <c r="W33" s="239">
        <v>0</v>
      </c>
      <c r="X33" s="239">
        <v>-74264</v>
      </c>
      <c r="Y33" s="239">
        <v>-441622</v>
      </c>
      <c r="Z33" s="239">
        <v>0</v>
      </c>
      <c r="AA33" s="239">
        <v>-441622</v>
      </c>
      <c r="AB33" s="239">
        <v>0</v>
      </c>
      <c r="AC33" s="239">
        <v>0</v>
      </c>
      <c r="AD33" s="239">
        <v>0</v>
      </c>
      <c r="AE33" s="239">
        <v>-2660</v>
      </c>
      <c r="AF33" s="239">
        <v>0</v>
      </c>
      <c r="AG33" s="239">
        <v>-2660</v>
      </c>
      <c r="AH33" s="239">
        <v>4027528</v>
      </c>
      <c r="AI33" s="239">
        <v>0</v>
      </c>
      <c r="AJ33" s="239">
        <v>4027528</v>
      </c>
      <c r="AK33" s="239">
        <v>-33097</v>
      </c>
      <c r="AL33" s="239">
        <v>0</v>
      </c>
      <c r="AM33" s="239">
        <v>-33097</v>
      </c>
      <c r="AN33" s="239">
        <v>-13181182</v>
      </c>
      <c r="AO33" s="239">
        <v>0</v>
      </c>
      <c r="AP33" s="239">
        <v>-13181182</v>
      </c>
      <c r="AQ33" s="239">
        <v>-477227</v>
      </c>
      <c r="AR33" s="239">
        <v>0</v>
      </c>
      <c r="AS33" s="239">
        <v>-477227</v>
      </c>
      <c r="AT33" s="239">
        <v>-166622</v>
      </c>
      <c r="AU33" s="239">
        <v>0</v>
      </c>
      <c r="AV33" s="239">
        <v>-166622</v>
      </c>
      <c r="AW33" s="239">
        <v>-47550</v>
      </c>
      <c r="AX33" s="239">
        <v>0</v>
      </c>
      <c r="AY33" s="239">
        <v>-47550</v>
      </c>
      <c r="AZ33" s="239">
        <v>-9842</v>
      </c>
      <c r="BA33" s="239">
        <v>0</v>
      </c>
      <c r="BB33" s="239">
        <v>-9842</v>
      </c>
      <c r="BC33" s="239">
        <v>0</v>
      </c>
      <c r="BD33" s="239">
        <v>0</v>
      </c>
      <c r="BE33" s="239">
        <v>0</v>
      </c>
      <c r="BF33" s="239">
        <v>-26013815</v>
      </c>
      <c r="BG33" s="239">
        <v>0</v>
      </c>
      <c r="BH33" s="239">
        <v>-26013815</v>
      </c>
      <c r="BI33" s="239">
        <v>-226235</v>
      </c>
      <c r="BJ33" s="239">
        <v>0</v>
      </c>
      <c r="BK33" s="239">
        <v>-226235</v>
      </c>
      <c r="BL33" s="239">
        <v>19910</v>
      </c>
      <c r="BM33" s="239">
        <v>0</v>
      </c>
      <c r="BN33" s="239">
        <v>19910</v>
      </c>
      <c r="BO33" s="239">
        <v>-8421424</v>
      </c>
      <c r="BP33" s="239">
        <v>0</v>
      </c>
      <c r="BQ33" s="239">
        <v>-8421424</v>
      </c>
      <c r="BR33" s="239">
        <v>-101938</v>
      </c>
      <c r="BS33" s="239">
        <v>0</v>
      </c>
      <c r="BT33" s="239">
        <v>-101938</v>
      </c>
      <c r="BU33" s="239">
        <v>-8729687</v>
      </c>
      <c r="BV33" s="239">
        <v>0</v>
      </c>
      <c r="BW33" s="239">
        <v>-8729687</v>
      </c>
      <c r="BX33" s="239">
        <v>-8076</v>
      </c>
      <c r="BY33" s="239">
        <v>0</v>
      </c>
      <c r="BZ33" s="239">
        <v>-8076</v>
      </c>
      <c r="CA33" s="239">
        <v>0</v>
      </c>
      <c r="CB33" s="239">
        <v>0</v>
      </c>
      <c r="CC33" s="239">
        <v>0</v>
      </c>
      <c r="CD33" s="239">
        <v>-333940</v>
      </c>
      <c r="CE33" s="239">
        <v>0</v>
      </c>
      <c r="CF33" s="239">
        <v>-333940</v>
      </c>
      <c r="CG33" s="239">
        <v>37254</v>
      </c>
      <c r="CH33" s="239">
        <v>0</v>
      </c>
      <c r="CI33" s="239">
        <v>37254</v>
      </c>
      <c r="CJ33" s="239">
        <v>0</v>
      </c>
      <c r="CK33" s="239">
        <v>0</v>
      </c>
      <c r="CL33" s="239">
        <v>0</v>
      </c>
      <c r="CM33" s="239">
        <v>0</v>
      </c>
      <c r="CN33" s="239">
        <v>0</v>
      </c>
      <c r="CO33" s="239">
        <v>0</v>
      </c>
      <c r="CP33" s="239">
        <v>0</v>
      </c>
      <c r="CQ33" s="239">
        <v>0</v>
      </c>
      <c r="CR33" s="239">
        <v>0</v>
      </c>
      <c r="CS33" s="239">
        <v>0</v>
      </c>
      <c r="CT33" s="239">
        <v>0</v>
      </c>
      <c r="CU33" s="239">
        <v>0</v>
      </c>
      <c r="CV33" s="239">
        <v>-6662</v>
      </c>
      <c r="CW33" s="239">
        <v>0</v>
      </c>
      <c r="CX33" s="239">
        <v>-6662</v>
      </c>
      <c r="CY33" s="239">
        <v>0</v>
      </c>
      <c r="CZ33" s="239">
        <v>0</v>
      </c>
      <c r="DA33" s="239">
        <v>0</v>
      </c>
      <c r="DB33" s="239">
        <v>0</v>
      </c>
      <c r="DC33" s="239">
        <v>0</v>
      </c>
      <c r="DD33" s="239">
        <v>0</v>
      </c>
      <c r="DE33" s="239">
        <v>0</v>
      </c>
      <c r="DF33" s="239">
        <v>0</v>
      </c>
      <c r="DG33" s="239">
        <v>0</v>
      </c>
      <c r="DH33" s="239">
        <v>0</v>
      </c>
      <c r="DI33" s="239">
        <v>0</v>
      </c>
      <c r="DJ33" s="239">
        <v>-311424</v>
      </c>
      <c r="DK33" s="239">
        <v>0</v>
      </c>
      <c r="DL33" s="239">
        <v>-311424</v>
      </c>
      <c r="DM33" s="239">
        <v>-15468</v>
      </c>
      <c r="DN33" s="239">
        <v>0</v>
      </c>
      <c r="DO33" s="239">
        <v>-15468</v>
      </c>
      <c r="DP33" s="239">
        <v>5720</v>
      </c>
      <c r="DQ33" s="239">
        <v>0</v>
      </c>
      <c r="DR33" s="239">
        <v>5720</v>
      </c>
      <c r="DS33" s="239">
        <v>-117057</v>
      </c>
      <c r="DT33" s="239">
        <v>0</v>
      </c>
      <c r="DU33" s="239">
        <v>-117057</v>
      </c>
      <c r="DV33" s="239">
        <v>-6710</v>
      </c>
      <c r="DW33" s="239">
        <v>0</v>
      </c>
      <c r="DX33" s="239">
        <v>-6710</v>
      </c>
      <c r="DY33" s="239">
        <v>-3178344</v>
      </c>
      <c r="DZ33" s="239">
        <v>0</v>
      </c>
      <c r="EA33" s="239">
        <v>-3178344</v>
      </c>
      <c r="EB33" s="239">
        <v>-147854</v>
      </c>
      <c r="EC33" s="239">
        <v>0</v>
      </c>
      <c r="ED33" s="239">
        <v>-147854</v>
      </c>
      <c r="EE33" s="239">
        <v>-581472</v>
      </c>
      <c r="EF33" s="239">
        <v>0</v>
      </c>
      <c r="EG33" s="239">
        <v>-581472</v>
      </c>
      <c r="EH33" s="239">
        <v>0</v>
      </c>
      <c r="EI33" s="239">
        <v>0</v>
      </c>
      <c r="EJ33" s="239">
        <v>0</v>
      </c>
      <c r="EK33" s="239">
        <v>-46347</v>
      </c>
      <c r="EL33" s="239">
        <v>0</v>
      </c>
      <c r="EM33" s="239">
        <v>-46347</v>
      </c>
      <c r="EN33" s="239">
        <v>-4087532</v>
      </c>
      <c r="EO33" s="239">
        <v>0</v>
      </c>
      <c r="EP33" s="239">
        <v>-4087532</v>
      </c>
      <c r="EQ33" s="239">
        <v>0</v>
      </c>
      <c r="ER33" s="239">
        <v>0</v>
      </c>
      <c r="ES33" s="239">
        <v>0</v>
      </c>
      <c r="ET33" s="239">
        <v>0</v>
      </c>
      <c r="EU33" s="239">
        <v>0</v>
      </c>
      <c r="EV33" s="239">
        <v>0</v>
      </c>
      <c r="EW33" s="239">
        <v>0</v>
      </c>
      <c r="EX33" s="239">
        <v>0</v>
      </c>
      <c r="EY33" s="239">
        <v>0</v>
      </c>
      <c r="EZ33" s="239">
        <v>171074529</v>
      </c>
      <c r="FA33" s="239">
        <v>0</v>
      </c>
      <c r="FB33" s="239">
        <v>171074529</v>
      </c>
      <c r="FC33" s="239">
        <v>703277</v>
      </c>
      <c r="FD33" s="239">
        <v>0</v>
      </c>
      <c r="FE33" s="239">
        <v>703277</v>
      </c>
      <c r="FF33" s="239">
        <v>-26013815</v>
      </c>
      <c r="FG33" s="239">
        <v>0</v>
      </c>
      <c r="FH33" s="239">
        <v>-26013815</v>
      </c>
      <c r="FI33" s="239">
        <v>-8729687</v>
      </c>
      <c r="FJ33" s="239">
        <v>0</v>
      </c>
      <c r="FK33" s="239">
        <v>-8729687</v>
      </c>
      <c r="FL33" s="239">
        <v>-311424</v>
      </c>
      <c r="FM33" s="239">
        <v>0</v>
      </c>
      <c r="FN33" s="239">
        <v>-311424</v>
      </c>
      <c r="FO33" s="239">
        <v>-4087532</v>
      </c>
      <c r="FP33" s="239">
        <v>0</v>
      </c>
      <c r="FQ33" s="239">
        <v>-4087532</v>
      </c>
      <c r="FR33" s="239">
        <v>0</v>
      </c>
      <c r="FS33" s="239">
        <v>0</v>
      </c>
      <c r="FT33" s="239">
        <v>0</v>
      </c>
      <c r="FU33" s="239">
        <v>-38439181</v>
      </c>
      <c r="FV33" s="239">
        <v>0</v>
      </c>
      <c r="FW33" s="239">
        <v>-38439181</v>
      </c>
      <c r="FX33" s="239">
        <v>132635348</v>
      </c>
      <c r="FY33" s="239">
        <v>0</v>
      </c>
      <c r="FZ33" s="239">
        <v>132635348</v>
      </c>
      <c r="GA33" s="214" t="s">
        <v>1296</v>
      </c>
    </row>
    <row r="34" spans="1:183" s="214" customFormat="1" x14ac:dyDescent="0.2">
      <c r="B34" s="610" t="s">
        <v>151</v>
      </c>
      <c r="C34" s="610" t="s">
        <v>150</v>
      </c>
      <c r="D34" s="239">
        <v>0</v>
      </c>
      <c r="E34" s="239">
        <v>0</v>
      </c>
      <c r="F34" s="239">
        <v>0</v>
      </c>
      <c r="G34" s="239">
        <v>72960</v>
      </c>
      <c r="H34" s="239">
        <v>0</v>
      </c>
      <c r="I34" s="239">
        <v>72960</v>
      </c>
      <c r="J34" s="239">
        <v>0</v>
      </c>
      <c r="K34" s="239">
        <v>0</v>
      </c>
      <c r="L34" s="239">
        <v>0</v>
      </c>
      <c r="M34" s="239">
        <v>138254</v>
      </c>
      <c r="N34" s="239">
        <v>0</v>
      </c>
      <c r="O34" s="239">
        <v>138254</v>
      </c>
      <c r="P34" s="239">
        <v>211214</v>
      </c>
      <c r="Q34" s="239">
        <v>0</v>
      </c>
      <c r="R34" s="239">
        <v>211214</v>
      </c>
      <c r="S34" s="239">
        <v>-3313156</v>
      </c>
      <c r="T34" s="239">
        <v>0</v>
      </c>
      <c r="U34" s="239">
        <v>-3313156</v>
      </c>
      <c r="V34" s="239">
        <v>0</v>
      </c>
      <c r="W34" s="239">
        <v>0</v>
      </c>
      <c r="X34" s="239">
        <v>0</v>
      </c>
      <c r="Y34" s="239">
        <v>-155516</v>
      </c>
      <c r="Z34" s="239">
        <v>0</v>
      </c>
      <c r="AA34" s="239">
        <v>-155516</v>
      </c>
      <c r="AB34" s="239">
        <v>-102557</v>
      </c>
      <c r="AC34" s="239">
        <v>0</v>
      </c>
      <c r="AD34" s="239">
        <v>-102557</v>
      </c>
      <c r="AE34" s="239">
        <v>0</v>
      </c>
      <c r="AF34" s="239">
        <v>0</v>
      </c>
      <c r="AG34" s="239">
        <v>0</v>
      </c>
      <c r="AH34" s="239">
        <v>1127145</v>
      </c>
      <c r="AI34" s="239">
        <v>0</v>
      </c>
      <c r="AJ34" s="239">
        <v>1127145</v>
      </c>
      <c r="AK34" s="239">
        <v>8415</v>
      </c>
      <c r="AL34" s="239">
        <v>0</v>
      </c>
      <c r="AM34" s="239">
        <v>8415</v>
      </c>
      <c r="AN34" s="239">
        <v>-2848284</v>
      </c>
      <c r="AO34" s="239">
        <v>0</v>
      </c>
      <c r="AP34" s="239">
        <v>-2848284</v>
      </c>
      <c r="AQ34" s="239">
        <v>9659</v>
      </c>
      <c r="AR34" s="239">
        <v>0</v>
      </c>
      <c r="AS34" s="239">
        <v>9659</v>
      </c>
      <c r="AT34" s="239">
        <v>-106946</v>
      </c>
      <c r="AU34" s="239">
        <v>0</v>
      </c>
      <c r="AV34" s="239">
        <v>-106946</v>
      </c>
      <c r="AW34" s="239">
        <v>-57</v>
      </c>
      <c r="AX34" s="239">
        <v>0</v>
      </c>
      <c r="AY34" s="239">
        <v>-57</v>
      </c>
      <c r="AZ34" s="239">
        <v>-13618</v>
      </c>
      <c r="BA34" s="239">
        <v>0</v>
      </c>
      <c r="BB34" s="239">
        <v>-13618</v>
      </c>
      <c r="BC34" s="239">
        <v>0</v>
      </c>
      <c r="BD34" s="239">
        <v>0</v>
      </c>
      <c r="BE34" s="239">
        <v>0</v>
      </c>
      <c r="BF34" s="239">
        <v>-5292358</v>
      </c>
      <c r="BG34" s="239">
        <v>0</v>
      </c>
      <c r="BH34" s="239">
        <v>-5292358</v>
      </c>
      <c r="BI34" s="239">
        <v>-15349</v>
      </c>
      <c r="BJ34" s="239">
        <v>0</v>
      </c>
      <c r="BK34" s="239">
        <v>-15349</v>
      </c>
      <c r="BL34" s="239">
        <v>0</v>
      </c>
      <c r="BM34" s="239">
        <v>0</v>
      </c>
      <c r="BN34" s="239">
        <v>0</v>
      </c>
      <c r="BO34" s="239">
        <v>-1211399</v>
      </c>
      <c r="BP34" s="239">
        <v>0</v>
      </c>
      <c r="BQ34" s="239">
        <v>-1211399</v>
      </c>
      <c r="BR34" s="239">
        <v>60513</v>
      </c>
      <c r="BS34" s="239">
        <v>0</v>
      </c>
      <c r="BT34" s="239">
        <v>60513</v>
      </c>
      <c r="BU34" s="239">
        <v>-1166235</v>
      </c>
      <c r="BV34" s="239">
        <v>0</v>
      </c>
      <c r="BW34" s="239">
        <v>-1166235</v>
      </c>
      <c r="BX34" s="239">
        <v>-66105</v>
      </c>
      <c r="BY34" s="239">
        <v>0</v>
      </c>
      <c r="BZ34" s="239">
        <v>-66105</v>
      </c>
      <c r="CA34" s="239">
        <v>4292</v>
      </c>
      <c r="CB34" s="239">
        <v>0</v>
      </c>
      <c r="CC34" s="239">
        <v>4292</v>
      </c>
      <c r="CD34" s="239">
        <v>-199000</v>
      </c>
      <c r="CE34" s="239">
        <v>0</v>
      </c>
      <c r="CF34" s="239">
        <v>-199000</v>
      </c>
      <c r="CG34" s="239">
        <v>-3866</v>
      </c>
      <c r="CH34" s="239">
        <v>0</v>
      </c>
      <c r="CI34" s="239">
        <v>-3866</v>
      </c>
      <c r="CJ34" s="239">
        <v>-638</v>
      </c>
      <c r="CK34" s="239">
        <v>0</v>
      </c>
      <c r="CL34" s="239">
        <v>-638</v>
      </c>
      <c r="CM34" s="239">
        <v>0</v>
      </c>
      <c r="CN34" s="239">
        <v>0</v>
      </c>
      <c r="CO34" s="239">
        <v>0</v>
      </c>
      <c r="CP34" s="239">
        <v>-3055</v>
      </c>
      <c r="CQ34" s="239">
        <v>0</v>
      </c>
      <c r="CR34" s="239">
        <v>-3055</v>
      </c>
      <c r="CS34" s="239">
        <v>0</v>
      </c>
      <c r="CT34" s="239">
        <v>0</v>
      </c>
      <c r="CU34" s="239">
        <v>0</v>
      </c>
      <c r="CV34" s="239">
        <v>0</v>
      </c>
      <c r="CW34" s="239">
        <v>0</v>
      </c>
      <c r="CX34" s="239">
        <v>0</v>
      </c>
      <c r="CY34" s="239">
        <v>0</v>
      </c>
      <c r="CZ34" s="239">
        <v>0</v>
      </c>
      <c r="DA34" s="239">
        <v>0</v>
      </c>
      <c r="DB34" s="239">
        <v>-17255</v>
      </c>
      <c r="DC34" s="239">
        <v>0</v>
      </c>
      <c r="DD34" s="239">
        <v>-17255</v>
      </c>
      <c r="DE34" s="239">
        <v>0</v>
      </c>
      <c r="DF34" s="239">
        <v>0</v>
      </c>
      <c r="DG34" s="239">
        <v>0</v>
      </c>
      <c r="DH34" s="239">
        <v>0</v>
      </c>
      <c r="DI34" s="239">
        <v>0</v>
      </c>
      <c r="DJ34" s="239">
        <v>-285627</v>
      </c>
      <c r="DK34" s="239">
        <v>0</v>
      </c>
      <c r="DL34" s="239">
        <v>-285627</v>
      </c>
      <c r="DM34" s="239">
        <v>-47880</v>
      </c>
      <c r="DN34" s="239">
        <v>0</v>
      </c>
      <c r="DO34" s="239">
        <v>-47880</v>
      </c>
      <c r="DP34" s="239">
        <v>-581</v>
      </c>
      <c r="DQ34" s="239">
        <v>0</v>
      </c>
      <c r="DR34" s="239">
        <v>-581</v>
      </c>
      <c r="DS34" s="239">
        <v>-19230</v>
      </c>
      <c r="DT34" s="239">
        <v>0</v>
      </c>
      <c r="DU34" s="239">
        <v>-19230</v>
      </c>
      <c r="DV34" s="239">
        <v>-2758</v>
      </c>
      <c r="DW34" s="239">
        <v>0</v>
      </c>
      <c r="DX34" s="239">
        <v>-2758</v>
      </c>
      <c r="DY34" s="239">
        <v>-691838</v>
      </c>
      <c r="DZ34" s="239">
        <v>0</v>
      </c>
      <c r="EA34" s="239">
        <v>-691838</v>
      </c>
      <c r="EB34" s="239">
        <v>-24876</v>
      </c>
      <c r="EC34" s="239">
        <v>0</v>
      </c>
      <c r="ED34" s="239">
        <v>-24876</v>
      </c>
      <c r="EE34" s="239">
        <v>0</v>
      </c>
      <c r="EF34" s="239">
        <v>0</v>
      </c>
      <c r="EG34" s="239">
        <v>0</v>
      </c>
      <c r="EH34" s="239">
        <v>0</v>
      </c>
      <c r="EI34" s="239">
        <v>0</v>
      </c>
      <c r="EJ34" s="239">
        <v>0</v>
      </c>
      <c r="EK34" s="239">
        <v>-9208</v>
      </c>
      <c r="EL34" s="239">
        <v>0</v>
      </c>
      <c r="EM34" s="239">
        <v>-9208</v>
      </c>
      <c r="EN34" s="239">
        <v>-796371</v>
      </c>
      <c r="EO34" s="239">
        <v>0</v>
      </c>
      <c r="EP34" s="239">
        <v>-796371</v>
      </c>
      <c r="EQ34" s="239">
        <v>0</v>
      </c>
      <c r="ER34" s="239">
        <v>0</v>
      </c>
      <c r="ES34" s="239">
        <v>0</v>
      </c>
      <c r="ET34" s="239">
        <v>0</v>
      </c>
      <c r="EU34" s="239">
        <v>0</v>
      </c>
      <c r="EV34" s="239">
        <v>0</v>
      </c>
      <c r="EW34" s="239">
        <v>0</v>
      </c>
      <c r="EX34" s="239">
        <v>0</v>
      </c>
      <c r="EY34" s="239">
        <v>0</v>
      </c>
      <c r="EZ34" s="239">
        <v>51362311</v>
      </c>
      <c r="FA34" s="239">
        <v>0</v>
      </c>
      <c r="FB34" s="239">
        <v>51362311</v>
      </c>
      <c r="FC34" s="239">
        <v>211214</v>
      </c>
      <c r="FD34" s="239">
        <v>0</v>
      </c>
      <c r="FE34" s="239">
        <v>211214</v>
      </c>
      <c r="FF34" s="239">
        <v>-5292358</v>
      </c>
      <c r="FG34" s="239">
        <v>0</v>
      </c>
      <c r="FH34" s="239">
        <v>-5292358</v>
      </c>
      <c r="FI34" s="239">
        <v>-1166235</v>
      </c>
      <c r="FJ34" s="239">
        <v>0</v>
      </c>
      <c r="FK34" s="239">
        <v>-1166235</v>
      </c>
      <c r="FL34" s="239">
        <v>-285627</v>
      </c>
      <c r="FM34" s="239">
        <v>0</v>
      </c>
      <c r="FN34" s="239">
        <v>-285627</v>
      </c>
      <c r="FO34" s="239">
        <v>-796371</v>
      </c>
      <c r="FP34" s="239">
        <v>0</v>
      </c>
      <c r="FQ34" s="239">
        <v>-796371</v>
      </c>
      <c r="FR34" s="239">
        <v>0</v>
      </c>
      <c r="FS34" s="239">
        <v>0</v>
      </c>
      <c r="FT34" s="239">
        <v>0</v>
      </c>
      <c r="FU34" s="239">
        <v>-7329377</v>
      </c>
      <c r="FV34" s="239">
        <v>0</v>
      </c>
      <c r="FW34" s="239">
        <v>-7329377</v>
      </c>
      <c r="FX34" s="239">
        <v>44032934</v>
      </c>
      <c r="FY34" s="239">
        <v>0</v>
      </c>
      <c r="FZ34" s="239">
        <v>44032934</v>
      </c>
      <c r="GA34" s="214" t="s">
        <v>1294</v>
      </c>
    </row>
    <row r="35" spans="1:183" s="214" customFormat="1" x14ac:dyDescent="0.2">
      <c r="B35" s="610" t="s">
        <v>153</v>
      </c>
      <c r="C35" s="610" t="s">
        <v>152</v>
      </c>
      <c r="D35" s="239">
        <v>0</v>
      </c>
      <c r="E35" s="239">
        <v>0</v>
      </c>
      <c r="F35" s="239">
        <v>0</v>
      </c>
      <c r="G35" s="239">
        <v>91641</v>
      </c>
      <c r="H35" s="239">
        <v>0</v>
      </c>
      <c r="I35" s="239">
        <v>91641</v>
      </c>
      <c r="J35" s="239">
        <v>0</v>
      </c>
      <c r="K35" s="239">
        <v>0</v>
      </c>
      <c r="L35" s="239">
        <v>0</v>
      </c>
      <c r="M35" s="239">
        <v>33412</v>
      </c>
      <c r="N35" s="239">
        <v>0</v>
      </c>
      <c r="O35" s="239">
        <v>33412</v>
      </c>
      <c r="P35" s="239">
        <v>125053</v>
      </c>
      <c r="Q35" s="239">
        <v>0</v>
      </c>
      <c r="R35" s="239">
        <v>125053</v>
      </c>
      <c r="S35" s="239">
        <v>-2985174</v>
      </c>
      <c r="T35" s="239">
        <v>0</v>
      </c>
      <c r="U35" s="239">
        <v>-2985174</v>
      </c>
      <c r="V35" s="239">
        <v>-2305</v>
      </c>
      <c r="W35" s="239">
        <v>0</v>
      </c>
      <c r="X35" s="239">
        <v>-2305</v>
      </c>
      <c r="Y35" s="239">
        <v>-29011</v>
      </c>
      <c r="Z35" s="239">
        <v>0</v>
      </c>
      <c r="AA35" s="239">
        <v>-29011</v>
      </c>
      <c r="AB35" s="239">
        <v>-29408</v>
      </c>
      <c r="AC35" s="239">
        <v>0</v>
      </c>
      <c r="AD35" s="239">
        <v>-29408</v>
      </c>
      <c r="AE35" s="239">
        <v>397</v>
      </c>
      <c r="AF35" s="239">
        <v>0</v>
      </c>
      <c r="AG35" s="239">
        <v>397</v>
      </c>
      <c r="AH35" s="239">
        <v>788468</v>
      </c>
      <c r="AI35" s="239">
        <v>0</v>
      </c>
      <c r="AJ35" s="239">
        <v>788468</v>
      </c>
      <c r="AK35" s="239">
        <v>-14610</v>
      </c>
      <c r="AL35" s="239">
        <v>0</v>
      </c>
      <c r="AM35" s="239">
        <v>-14610</v>
      </c>
      <c r="AN35" s="239">
        <v>-2126983</v>
      </c>
      <c r="AO35" s="239">
        <v>0</v>
      </c>
      <c r="AP35" s="239">
        <v>-2126983</v>
      </c>
      <c r="AQ35" s="239">
        <v>6854</v>
      </c>
      <c r="AR35" s="239">
        <v>0</v>
      </c>
      <c r="AS35" s="239">
        <v>6854</v>
      </c>
      <c r="AT35" s="239">
        <v>-42321</v>
      </c>
      <c r="AU35" s="239">
        <v>0</v>
      </c>
      <c r="AV35" s="239">
        <v>-42321</v>
      </c>
      <c r="AW35" s="239">
        <v>0</v>
      </c>
      <c r="AX35" s="239">
        <v>0</v>
      </c>
      <c r="AY35" s="239">
        <v>0</v>
      </c>
      <c r="AZ35" s="239">
        <v>-85185</v>
      </c>
      <c r="BA35" s="239">
        <v>0</v>
      </c>
      <c r="BB35" s="239">
        <v>-85185</v>
      </c>
      <c r="BC35" s="239">
        <v>-656</v>
      </c>
      <c r="BD35" s="239">
        <v>0</v>
      </c>
      <c r="BE35" s="239">
        <v>-656</v>
      </c>
      <c r="BF35" s="239">
        <v>-4488618</v>
      </c>
      <c r="BG35" s="239">
        <v>0</v>
      </c>
      <c r="BH35" s="239">
        <v>-4488618</v>
      </c>
      <c r="BI35" s="239">
        <v>0</v>
      </c>
      <c r="BJ35" s="239">
        <v>0</v>
      </c>
      <c r="BK35" s="239">
        <v>0</v>
      </c>
      <c r="BL35" s="239">
        <v>50472</v>
      </c>
      <c r="BM35" s="239">
        <v>0</v>
      </c>
      <c r="BN35" s="239">
        <v>50472</v>
      </c>
      <c r="BO35" s="239">
        <v>-780020</v>
      </c>
      <c r="BP35" s="239">
        <v>0</v>
      </c>
      <c r="BQ35" s="239">
        <v>-780020</v>
      </c>
      <c r="BR35" s="239">
        <v>-61481</v>
      </c>
      <c r="BS35" s="239">
        <v>0</v>
      </c>
      <c r="BT35" s="239">
        <v>-61481</v>
      </c>
      <c r="BU35" s="239">
        <v>-791029</v>
      </c>
      <c r="BV35" s="239">
        <v>0</v>
      </c>
      <c r="BW35" s="239">
        <v>-791029</v>
      </c>
      <c r="BX35" s="239">
        <v>-46580</v>
      </c>
      <c r="BY35" s="239">
        <v>0</v>
      </c>
      <c r="BZ35" s="239">
        <v>-46580</v>
      </c>
      <c r="CA35" s="239">
        <v>1641</v>
      </c>
      <c r="CB35" s="239">
        <v>0</v>
      </c>
      <c r="CC35" s="239">
        <v>1641</v>
      </c>
      <c r="CD35" s="239">
        <v>-225794</v>
      </c>
      <c r="CE35" s="239">
        <v>0</v>
      </c>
      <c r="CF35" s="239">
        <v>-225794</v>
      </c>
      <c r="CG35" s="239">
        <v>0</v>
      </c>
      <c r="CH35" s="239">
        <v>0</v>
      </c>
      <c r="CI35" s="239">
        <v>0</v>
      </c>
      <c r="CJ35" s="239">
        <v>-2357</v>
      </c>
      <c r="CK35" s="239">
        <v>0</v>
      </c>
      <c r="CL35" s="239">
        <v>-2357</v>
      </c>
      <c r="CM35" s="239">
        <v>0</v>
      </c>
      <c r="CN35" s="239">
        <v>0</v>
      </c>
      <c r="CO35" s="239">
        <v>0</v>
      </c>
      <c r="CP35" s="239">
        <v>-8396</v>
      </c>
      <c r="CQ35" s="239">
        <v>0</v>
      </c>
      <c r="CR35" s="239">
        <v>-8396</v>
      </c>
      <c r="CS35" s="239">
        <v>-340</v>
      </c>
      <c r="CT35" s="239">
        <v>0</v>
      </c>
      <c r="CU35" s="239">
        <v>-340</v>
      </c>
      <c r="CV35" s="239">
        <v>0</v>
      </c>
      <c r="CW35" s="239">
        <v>0</v>
      </c>
      <c r="CX35" s="239">
        <v>0</v>
      </c>
      <c r="CY35" s="239">
        <v>0</v>
      </c>
      <c r="CZ35" s="239">
        <v>0</v>
      </c>
      <c r="DA35" s="239">
        <v>0</v>
      </c>
      <c r="DB35" s="239">
        <v>0</v>
      </c>
      <c r="DC35" s="239">
        <v>0</v>
      </c>
      <c r="DD35" s="239">
        <v>0</v>
      </c>
      <c r="DE35" s="239">
        <v>0</v>
      </c>
      <c r="DF35" s="239">
        <v>0</v>
      </c>
      <c r="DG35" s="239">
        <v>0</v>
      </c>
      <c r="DH35" s="239">
        <v>0</v>
      </c>
      <c r="DI35" s="239">
        <v>0</v>
      </c>
      <c r="DJ35" s="239">
        <v>-281826</v>
      </c>
      <c r="DK35" s="239">
        <v>0</v>
      </c>
      <c r="DL35" s="239">
        <v>-281826</v>
      </c>
      <c r="DM35" s="239">
        <v>0</v>
      </c>
      <c r="DN35" s="239">
        <v>0</v>
      </c>
      <c r="DO35" s="239">
        <v>0</v>
      </c>
      <c r="DP35" s="239">
        <v>0</v>
      </c>
      <c r="DQ35" s="239">
        <v>0</v>
      </c>
      <c r="DR35" s="239">
        <v>0</v>
      </c>
      <c r="DS35" s="239">
        <v>-19800</v>
      </c>
      <c r="DT35" s="239">
        <v>0</v>
      </c>
      <c r="DU35" s="239">
        <v>-19800</v>
      </c>
      <c r="DV35" s="239">
        <v>-2018</v>
      </c>
      <c r="DW35" s="239">
        <v>0</v>
      </c>
      <c r="DX35" s="239">
        <v>-2018</v>
      </c>
      <c r="DY35" s="239">
        <v>-633903</v>
      </c>
      <c r="DZ35" s="239">
        <v>0</v>
      </c>
      <c r="EA35" s="239">
        <v>-633903</v>
      </c>
      <c r="EB35" s="239">
        <v>-9878</v>
      </c>
      <c r="EC35" s="239">
        <v>0</v>
      </c>
      <c r="ED35" s="239">
        <v>-9878</v>
      </c>
      <c r="EE35" s="239">
        <v>0</v>
      </c>
      <c r="EF35" s="239">
        <v>0</v>
      </c>
      <c r="EG35" s="239">
        <v>0</v>
      </c>
      <c r="EH35" s="239">
        <v>0</v>
      </c>
      <c r="EI35" s="239">
        <v>0</v>
      </c>
      <c r="EJ35" s="239">
        <v>0</v>
      </c>
      <c r="EK35" s="239">
        <v>-30357</v>
      </c>
      <c r="EL35" s="239">
        <v>0</v>
      </c>
      <c r="EM35" s="239">
        <v>-30357</v>
      </c>
      <c r="EN35" s="239">
        <v>-695956</v>
      </c>
      <c r="EO35" s="239">
        <v>0</v>
      </c>
      <c r="EP35" s="239">
        <v>-695956</v>
      </c>
      <c r="EQ35" s="239">
        <v>0</v>
      </c>
      <c r="ER35" s="239">
        <v>0</v>
      </c>
      <c r="ES35" s="239">
        <v>0</v>
      </c>
      <c r="ET35" s="239">
        <v>0</v>
      </c>
      <c r="EU35" s="239">
        <v>0</v>
      </c>
      <c r="EV35" s="239">
        <v>0</v>
      </c>
      <c r="EW35" s="239">
        <v>0</v>
      </c>
      <c r="EX35" s="239">
        <v>0</v>
      </c>
      <c r="EY35" s="239">
        <v>0</v>
      </c>
      <c r="EZ35" s="239">
        <v>36322193</v>
      </c>
      <c r="FA35" s="239">
        <v>0</v>
      </c>
      <c r="FB35" s="239">
        <v>36322193</v>
      </c>
      <c r="FC35" s="239">
        <v>125053</v>
      </c>
      <c r="FD35" s="239">
        <v>0</v>
      </c>
      <c r="FE35" s="239">
        <v>125053</v>
      </c>
      <c r="FF35" s="239">
        <v>-4488618</v>
      </c>
      <c r="FG35" s="239">
        <v>0</v>
      </c>
      <c r="FH35" s="239">
        <v>-4488618</v>
      </c>
      <c r="FI35" s="239">
        <v>-791029</v>
      </c>
      <c r="FJ35" s="239">
        <v>0</v>
      </c>
      <c r="FK35" s="239">
        <v>-791029</v>
      </c>
      <c r="FL35" s="239">
        <v>-281826</v>
      </c>
      <c r="FM35" s="239">
        <v>0</v>
      </c>
      <c r="FN35" s="239">
        <v>-281826</v>
      </c>
      <c r="FO35" s="239">
        <v>-695956</v>
      </c>
      <c r="FP35" s="239">
        <v>0</v>
      </c>
      <c r="FQ35" s="239">
        <v>-695956</v>
      </c>
      <c r="FR35" s="239">
        <v>0</v>
      </c>
      <c r="FS35" s="239">
        <v>0</v>
      </c>
      <c r="FT35" s="239">
        <v>0</v>
      </c>
      <c r="FU35" s="239">
        <v>-6132376</v>
      </c>
      <c r="FV35" s="239">
        <v>0</v>
      </c>
      <c r="FW35" s="239">
        <v>-6132376</v>
      </c>
      <c r="FX35" s="239">
        <v>30189817</v>
      </c>
      <c r="FY35" s="239">
        <v>0</v>
      </c>
      <c r="FZ35" s="239">
        <v>30189817</v>
      </c>
      <c r="GA35" s="214" t="s">
        <v>1294</v>
      </c>
    </row>
    <row r="36" spans="1:183" s="214" customFormat="1" x14ac:dyDescent="0.2">
      <c r="B36" s="610" t="s">
        <v>155</v>
      </c>
      <c r="C36" s="610" t="s">
        <v>154</v>
      </c>
      <c r="D36" s="239">
        <v>0</v>
      </c>
      <c r="E36" s="239">
        <v>0</v>
      </c>
      <c r="F36" s="239">
        <v>0</v>
      </c>
      <c r="G36" s="239">
        <v>155962</v>
      </c>
      <c r="H36" s="239">
        <v>0</v>
      </c>
      <c r="I36" s="239">
        <v>155962</v>
      </c>
      <c r="J36" s="239">
        <v>0</v>
      </c>
      <c r="K36" s="239">
        <v>0</v>
      </c>
      <c r="L36" s="239">
        <v>0</v>
      </c>
      <c r="M36" s="239">
        <v>99160</v>
      </c>
      <c r="N36" s="239">
        <v>0</v>
      </c>
      <c r="O36" s="239">
        <v>99160</v>
      </c>
      <c r="P36" s="239">
        <v>255122</v>
      </c>
      <c r="Q36" s="239">
        <v>0</v>
      </c>
      <c r="R36" s="239">
        <v>255122</v>
      </c>
      <c r="S36" s="239">
        <v>-4552027</v>
      </c>
      <c r="T36" s="239">
        <v>0</v>
      </c>
      <c r="U36" s="239">
        <v>-4552027</v>
      </c>
      <c r="V36" s="239">
        <v>-4621</v>
      </c>
      <c r="W36" s="239">
        <v>0</v>
      </c>
      <c r="X36" s="239">
        <v>-4621</v>
      </c>
      <c r="Y36" s="239">
        <v>-109246</v>
      </c>
      <c r="Z36" s="239">
        <v>0</v>
      </c>
      <c r="AA36" s="239">
        <v>-109246</v>
      </c>
      <c r="AB36" s="239">
        <v>-69505</v>
      </c>
      <c r="AC36" s="239">
        <v>0</v>
      </c>
      <c r="AD36" s="239">
        <v>-69505</v>
      </c>
      <c r="AE36" s="239">
        <v>-861</v>
      </c>
      <c r="AF36" s="239">
        <v>0</v>
      </c>
      <c r="AG36" s="239">
        <v>-861</v>
      </c>
      <c r="AH36" s="239">
        <v>2943361</v>
      </c>
      <c r="AI36" s="239">
        <v>0</v>
      </c>
      <c r="AJ36" s="239">
        <v>2943361</v>
      </c>
      <c r="AK36" s="239">
        <v>1192</v>
      </c>
      <c r="AL36" s="239">
        <v>0</v>
      </c>
      <c r="AM36" s="239">
        <v>1192</v>
      </c>
      <c r="AN36" s="239">
        <v>-7500289</v>
      </c>
      <c r="AO36" s="239">
        <v>0</v>
      </c>
      <c r="AP36" s="239">
        <v>-7500289</v>
      </c>
      <c r="AQ36" s="239">
        <v>-206293</v>
      </c>
      <c r="AR36" s="239">
        <v>0</v>
      </c>
      <c r="AS36" s="239">
        <v>-206293</v>
      </c>
      <c r="AT36" s="239">
        <v>-39105</v>
      </c>
      <c r="AU36" s="239">
        <v>0</v>
      </c>
      <c r="AV36" s="239">
        <v>-39105</v>
      </c>
      <c r="AW36" s="239">
        <v>0</v>
      </c>
      <c r="AX36" s="239">
        <v>0</v>
      </c>
      <c r="AY36" s="239">
        <v>0</v>
      </c>
      <c r="AZ36" s="239">
        <v>0</v>
      </c>
      <c r="BA36" s="239">
        <v>0</v>
      </c>
      <c r="BB36" s="239">
        <v>0</v>
      </c>
      <c r="BC36" s="239">
        <v>0</v>
      </c>
      <c r="BD36" s="239">
        <v>0</v>
      </c>
      <c r="BE36" s="239">
        <v>0</v>
      </c>
      <c r="BF36" s="239">
        <v>-9462407</v>
      </c>
      <c r="BG36" s="239">
        <v>0</v>
      </c>
      <c r="BH36" s="239">
        <v>-9462407</v>
      </c>
      <c r="BI36" s="239">
        <v>-14619</v>
      </c>
      <c r="BJ36" s="239">
        <v>0</v>
      </c>
      <c r="BK36" s="239">
        <v>-14619</v>
      </c>
      <c r="BL36" s="239">
        <v>-2480</v>
      </c>
      <c r="BM36" s="239">
        <v>0</v>
      </c>
      <c r="BN36" s="239">
        <v>-2480</v>
      </c>
      <c r="BO36" s="239">
        <v>-3249755</v>
      </c>
      <c r="BP36" s="239">
        <v>0</v>
      </c>
      <c r="BQ36" s="239">
        <v>-3249755</v>
      </c>
      <c r="BR36" s="239">
        <v>162500</v>
      </c>
      <c r="BS36" s="239">
        <v>0</v>
      </c>
      <c r="BT36" s="239">
        <v>162500</v>
      </c>
      <c r="BU36" s="239">
        <v>-3104354</v>
      </c>
      <c r="BV36" s="239">
        <v>0</v>
      </c>
      <c r="BW36" s="239">
        <v>-3104354</v>
      </c>
      <c r="BX36" s="239">
        <v>-439216</v>
      </c>
      <c r="BY36" s="239">
        <v>0</v>
      </c>
      <c r="BZ36" s="239">
        <v>-439216</v>
      </c>
      <c r="CA36" s="239">
        <v>18803</v>
      </c>
      <c r="CB36" s="239">
        <v>0</v>
      </c>
      <c r="CC36" s="239">
        <v>18803</v>
      </c>
      <c r="CD36" s="239">
        <v>-63024</v>
      </c>
      <c r="CE36" s="239">
        <v>0</v>
      </c>
      <c r="CF36" s="239">
        <v>-63024</v>
      </c>
      <c r="CG36" s="239">
        <v>13257</v>
      </c>
      <c r="CH36" s="239">
        <v>0</v>
      </c>
      <c r="CI36" s="239">
        <v>13257</v>
      </c>
      <c r="CJ36" s="239">
        <v>-2268</v>
      </c>
      <c r="CK36" s="239">
        <v>0</v>
      </c>
      <c r="CL36" s="239">
        <v>-2268</v>
      </c>
      <c r="CM36" s="239">
        <v>0</v>
      </c>
      <c r="CN36" s="239">
        <v>0</v>
      </c>
      <c r="CO36" s="239">
        <v>0</v>
      </c>
      <c r="CP36" s="239">
        <v>0</v>
      </c>
      <c r="CQ36" s="239">
        <v>0</v>
      </c>
      <c r="CR36" s="239">
        <v>0</v>
      </c>
      <c r="CS36" s="239">
        <v>0</v>
      </c>
      <c r="CT36" s="239">
        <v>0</v>
      </c>
      <c r="CU36" s="239">
        <v>0</v>
      </c>
      <c r="CV36" s="239">
        <v>0</v>
      </c>
      <c r="CW36" s="239">
        <v>0</v>
      </c>
      <c r="CX36" s="239">
        <v>0</v>
      </c>
      <c r="CY36" s="239">
        <v>0</v>
      </c>
      <c r="CZ36" s="239">
        <v>0</v>
      </c>
      <c r="DA36" s="239">
        <v>0</v>
      </c>
      <c r="DB36" s="239">
        <v>-2211</v>
      </c>
      <c r="DC36" s="239">
        <v>0</v>
      </c>
      <c r="DD36" s="239">
        <v>-2211</v>
      </c>
      <c r="DE36" s="239">
        <v>0</v>
      </c>
      <c r="DF36" s="239">
        <v>0</v>
      </c>
      <c r="DG36" s="239">
        <v>0</v>
      </c>
      <c r="DH36" s="239">
        <v>0</v>
      </c>
      <c r="DI36" s="239">
        <v>0</v>
      </c>
      <c r="DJ36" s="239">
        <v>-474659</v>
      </c>
      <c r="DK36" s="239">
        <v>0</v>
      </c>
      <c r="DL36" s="239">
        <v>-474659</v>
      </c>
      <c r="DM36" s="239">
        <v>0</v>
      </c>
      <c r="DN36" s="239">
        <v>0</v>
      </c>
      <c r="DO36" s="239">
        <v>0</v>
      </c>
      <c r="DP36" s="239">
        <v>0</v>
      </c>
      <c r="DQ36" s="239">
        <v>0</v>
      </c>
      <c r="DR36" s="239">
        <v>0</v>
      </c>
      <c r="DS36" s="239">
        <v>-57564</v>
      </c>
      <c r="DT36" s="239">
        <v>0</v>
      </c>
      <c r="DU36" s="239">
        <v>-57564</v>
      </c>
      <c r="DV36" s="239">
        <v>-4003</v>
      </c>
      <c r="DW36" s="239">
        <v>0</v>
      </c>
      <c r="DX36" s="239">
        <v>-4003</v>
      </c>
      <c r="DY36" s="239">
        <v>-2339513</v>
      </c>
      <c r="DZ36" s="239">
        <v>0</v>
      </c>
      <c r="EA36" s="239">
        <v>-2339513</v>
      </c>
      <c r="EB36" s="239">
        <v>-115152</v>
      </c>
      <c r="EC36" s="239">
        <v>0</v>
      </c>
      <c r="ED36" s="239">
        <v>-115152</v>
      </c>
      <c r="EE36" s="239">
        <v>0</v>
      </c>
      <c r="EF36" s="239">
        <v>0</v>
      </c>
      <c r="EG36" s="239">
        <v>0</v>
      </c>
      <c r="EH36" s="239">
        <v>0</v>
      </c>
      <c r="EI36" s="239">
        <v>0</v>
      </c>
      <c r="EJ36" s="239">
        <v>0</v>
      </c>
      <c r="EK36" s="239">
        <v>-8181</v>
      </c>
      <c r="EL36" s="239">
        <v>0</v>
      </c>
      <c r="EM36" s="239">
        <v>-8181</v>
      </c>
      <c r="EN36" s="239">
        <v>-2524413</v>
      </c>
      <c r="EO36" s="239">
        <v>0</v>
      </c>
      <c r="EP36" s="239">
        <v>-2524413</v>
      </c>
      <c r="EQ36" s="239">
        <v>0</v>
      </c>
      <c r="ER36" s="239">
        <v>0</v>
      </c>
      <c r="ES36" s="239">
        <v>0</v>
      </c>
      <c r="ET36" s="239">
        <v>0</v>
      </c>
      <c r="EU36" s="239">
        <v>0</v>
      </c>
      <c r="EV36" s="239">
        <v>0</v>
      </c>
      <c r="EW36" s="239">
        <v>0</v>
      </c>
      <c r="EX36" s="239">
        <v>0</v>
      </c>
      <c r="EY36" s="239">
        <v>0</v>
      </c>
      <c r="EZ36" s="239">
        <v>134665782</v>
      </c>
      <c r="FA36" s="239">
        <v>0</v>
      </c>
      <c r="FB36" s="239">
        <v>134665782</v>
      </c>
      <c r="FC36" s="239">
        <v>255122</v>
      </c>
      <c r="FD36" s="239">
        <v>0</v>
      </c>
      <c r="FE36" s="239">
        <v>255122</v>
      </c>
      <c r="FF36" s="239">
        <v>-9462407</v>
      </c>
      <c r="FG36" s="239">
        <v>0</v>
      </c>
      <c r="FH36" s="239">
        <v>-9462407</v>
      </c>
      <c r="FI36" s="239">
        <v>-3104354</v>
      </c>
      <c r="FJ36" s="239">
        <v>0</v>
      </c>
      <c r="FK36" s="239">
        <v>-3104354</v>
      </c>
      <c r="FL36" s="239">
        <v>-474659</v>
      </c>
      <c r="FM36" s="239">
        <v>0</v>
      </c>
      <c r="FN36" s="239">
        <v>-474659</v>
      </c>
      <c r="FO36" s="239">
        <v>-2524413</v>
      </c>
      <c r="FP36" s="239">
        <v>0</v>
      </c>
      <c r="FQ36" s="239">
        <v>-2524413</v>
      </c>
      <c r="FR36" s="239">
        <v>0</v>
      </c>
      <c r="FS36" s="239">
        <v>0</v>
      </c>
      <c r="FT36" s="239">
        <v>0</v>
      </c>
      <c r="FU36" s="239">
        <v>-15310711</v>
      </c>
      <c r="FV36" s="239">
        <v>0</v>
      </c>
      <c r="FW36" s="239">
        <v>-15310711</v>
      </c>
      <c r="FX36" s="239">
        <v>119355071</v>
      </c>
      <c r="FY36" s="239">
        <v>0</v>
      </c>
      <c r="FZ36" s="239">
        <v>119355071</v>
      </c>
      <c r="GA36" s="214" t="s">
        <v>1295</v>
      </c>
    </row>
    <row r="37" spans="1:183" s="214" customFormat="1" x14ac:dyDescent="0.2">
      <c r="B37" s="610" t="s">
        <v>157</v>
      </c>
      <c r="C37" s="610" t="s">
        <v>156</v>
      </c>
      <c r="D37" s="239">
        <v>0</v>
      </c>
      <c r="E37" s="239">
        <v>0</v>
      </c>
      <c r="F37" s="239">
        <v>0</v>
      </c>
      <c r="G37" s="239">
        <v>-220068</v>
      </c>
      <c r="H37" s="239">
        <v>0</v>
      </c>
      <c r="I37" s="239">
        <v>-220068</v>
      </c>
      <c r="J37" s="239">
        <v>0</v>
      </c>
      <c r="K37" s="239">
        <v>0</v>
      </c>
      <c r="L37" s="239">
        <v>0</v>
      </c>
      <c r="M37" s="239">
        <v>0</v>
      </c>
      <c r="N37" s="239">
        <v>0</v>
      </c>
      <c r="O37" s="239">
        <v>0</v>
      </c>
      <c r="P37" s="239">
        <v>-220068</v>
      </c>
      <c r="Q37" s="239">
        <v>0</v>
      </c>
      <c r="R37" s="239">
        <v>-220068</v>
      </c>
      <c r="S37" s="239">
        <v>-1297632</v>
      </c>
      <c r="T37" s="239">
        <v>0</v>
      </c>
      <c r="U37" s="239">
        <v>-1297632</v>
      </c>
      <c r="V37" s="239">
        <v>0</v>
      </c>
      <c r="W37" s="239">
        <v>0</v>
      </c>
      <c r="X37" s="239">
        <v>0</v>
      </c>
      <c r="Y37" s="239">
        <v>-11561</v>
      </c>
      <c r="Z37" s="239">
        <v>0</v>
      </c>
      <c r="AA37" s="239">
        <v>-11561</v>
      </c>
      <c r="AB37" s="239">
        <v>-10994</v>
      </c>
      <c r="AC37" s="239">
        <v>0</v>
      </c>
      <c r="AD37" s="239">
        <v>-10994</v>
      </c>
      <c r="AE37" s="239">
        <v>0</v>
      </c>
      <c r="AF37" s="239">
        <v>0</v>
      </c>
      <c r="AG37" s="239">
        <v>0</v>
      </c>
      <c r="AH37" s="239">
        <v>486436</v>
      </c>
      <c r="AI37" s="239">
        <v>0</v>
      </c>
      <c r="AJ37" s="239">
        <v>486436</v>
      </c>
      <c r="AK37" s="239">
        <v>0</v>
      </c>
      <c r="AL37" s="239">
        <v>0</v>
      </c>
      <c r="AM37" s="239">
        <v>0</v>
      </c>
      <c r="AN37" s="239">
        <v>-2247136</v>
      </c>
      <c r="AO37" s="239">
        <v>0</v>
      </c>
      <c r="AP37" s="239">
        <v>-2247136</v>
      </c>
      <c r="AQ37" s="239">
        <v>0</v>
      </c>
      <c r="AR37" s="239">
        <v>0</v>
      </c>
      <c r="AS37" s="239">
        <v>0</v>
      </c>
      <c r="AT37" s="239">
        <v>-51074</v>
      </c>
      <c r="AU37" s="239">
        <v>0</v>
      </c>
      <c r="AV37" s="239">
        <v>-51074</v>
      </c>
      <c r="AW37" s="239">
        <v>0</v>
      </c>
      <c r="AX37" s="239">
        <v>0</v>
      </c>
      <c r="AY37" s="239">
        <v>0</v>
      </c>
      <c r="AZ37" s="239">
        <v>-1725</v>
      </c>
      <c r="BA37" s="239">
        <v>0</v>
      </c>
      <c r="BB37" s="239">
        <v>-1725</v>
      </c>
      <c r="BC37" s="239">
        <v>0</v>
      </c>
      <c r="BD37" s="239">
        <v>0</v>
      </c>
      <c r="BE37" s="239">
        <v>0</v>
      </c>
      <c r="BF37" s="239">
        <v>-3122692</v>
      </c>
      <c r="BG37" s="239">
        <v>0</v>
      </c>
      <c r="BH37" s="239">
        <v>-3122692</v>
      </c>
      <c r="BI37" s="239">
        <v>-17925</v>
      </c>
      <c r="BJ37" s="239">
        <v>0</v>
      </c>
      <c r="BK37" s="239">
        <v>-17925</v>
      </c>
      <c r="BL37" s="239">
        <v>0</v>
      </c>
      <c r="BM37" s="239">
        <v>0</v>
      </c>
      <c r="BN37" s="239">
        <v>0</v>
      </c>
      <c r="BO37" s="239">
        <v>-1102932</v>
      </c>
      <c r="BP37" s="239">
        <v>0</v>
      </c>
      <c r="BQ37" s="239">
        <v>-1102932</v>
      </c>
      <c r="BR37" s="239">
        <v>0</v>
      </c>
      <c r="BS37" s="239">
        <v>0</v>
      </c>
      <c r="BT37" s="239">
        <v>0</v>
      </c>
      <c r="BU37" s="239">
        <v>-1120857</v>
      </c>
      <c r="BV37" s="239">
        <v>0</v>
      </c>
      <c r="BW37" s="239">
        <v>-1120857</v>
      </c>
      <c r="BX37" s="239">
        <v>-61738</v>
      </c>
      <c r="BY37" s="239">
        <v>0</v>
      </c>
      <c r="BZ37" s="239">
        <v>-61738</v>
      </c>
      <c r="CA37" s="239">
        <v>0</v>
      </c>
      <c r="CB37" s="239">
        <v>0</v>
      </c>
      <c r="CC37" s="239">
        <v>0</v>
      </c>
      <c r="CD37" s="239">
        <v>-41684</v>
      </c>
      <c r="CE37" s="239">
        <v>0</v>
      </c>
      <c r="CF37" s="239">
        <v>-41684</v>
      </c>
      <c r="CG37" s="239">
        <v>0</v>
      </c>
      <c r="CH37" s="239">
        <v>0</v>
      </c>
      <c r="CI37" s="239">
        <v>0</v>
      </c>
      <c r="CJ37" s="239">
        <v>-4400</v>
      </c>
      <c r="CK37" s="239">
        <v>0</v>
      </c>
      <c r="CL37" s="239">
        <v>-4400</v>
      </c>
      <c r="CM37" s="239">
        <v>0</v>
      </c>
      <c r="CN37" s="239">
        <v>0</v>
      </c>
      <c r="CO37" s="239">
        <v>0</v>
      </c>
      <c r="CP37" s="239">
        <v>-4561</v>
      </c>
      <c r="CQ37" s="239">
        <v>0</v>
      </c>
      <c r="CR37" s="239">
        <v>-4561</v>
      </c>
      <c r="CS37" s="239">
        <v>0</v>
      </c>
      <c r="CT37" s="239">
        <v>0</v>
      </c>
      <c r="CU37" s="239">
        <v>0</v>
      </c>
      <c r="CV37" s="239">
        <v>-9849</v>
      </c>
      <c r="CW37" s="239">
        <v>0</v>
      </c>
      <c r="CX37" s="239">
        <v>-9849</v>
      </c>
      <c r="CY37" s="239">
        <v>0</v>
      </c>
      <c r="CZ37" s="239">
        <v>0</v>
      </c>
      <c r="DA37" s="239">
        <v>0</v>
      </c>
      <c r="DB37" s="239">
        <v>-13199</v>
      </c>
      <c r="DC37" s="239">
        <v>0</v>
      </c>
      <c r="DD37" s="239">
        <v>-13199</v>
      </c>
      <c r="DE37" s="239">
        <v>0</v>
      </c>
      <c r="DF37" s="239">
        <v>0</v>
      </c>
      <c r="DG37" s="239">
        <v>0</v>
      </c>
      <c r="DH37" s="239">
        <v>0</v>
      </c>
      <c r="DI37" s="239">
        <v>0</v>
      </c>
      <c r="DJ37" s="239">
        <v>-135431</v>
      </c>
      <c r="DK37" s="239">
        <v>0</v>
      </c>
      <c r="DL37" s="239">
        <v>-135431</v>
      </c>
      <c r="DM37" s="239">
        <v>0</v>
      </c>
      <c r="DN37" s="239">
        <v>0</v>
      </c>
      <c r="DO37" s="239">
        <v>0</v>
      </c>
      <c r="DP37" s="239">
        <v>0</v>
      </c>
      <c r="DQ37" s="239">
        <v>0</v>
      </c>
      <c r="DR37" s="239">
        <v>0</v>
      </c>
      <c r="DS37" s="239">
        <v>-42206</v>
      </c>
      <c r="DT37" s="239">
        <v>0</v>
      </c>
      <c r="DU37" s="239">
        <v>-42206</v>
      </c>
      <c r="DV37" s="239">
        <v>0</v>
      </c>
      <c r="DW37" s="239">
        <v>0</v>
      </c>
      <c r="DX37" s="239">
        <v>0</v>
      </c>
      <c r="DY37" s="239">
        <v>-517957</v>
      </c>
      <c r="DZ37" s="239">
        <v>0</v>
      </c>
      <c r="EA37" s="239">
        <v>-517957</v>
      </c>
      <c r="EB37" s="239">
        <v>0</v>
      </c>
      <c r="EC37" s="239">
        <v>0</v>
      </c>
      <c r="ED37" s="239">
        <v>0</v>
      </c>
      <c r="EE37" s="239">
        <v>0</v>
      </c>
      <c r="EF37" s="239">
        <v>0</v>
      </c>
      <c r="EG37" s="239">
        <v>0</v>
      </c>
      <c r="EH37" s="239">
        <v>0</v>
      </c>
      <c r="EI37" s="239">
        <v>0</v>
      </c>
      <c r="EJ37" s="239">
        <v>0</v>
      </c>
      <c r="EK37" s="239">
        <v>-3259</v>
      </c>
      <c r="EL37" s="239">
        <v>0</v>
      </c>
      <c r="EM37" s="239">
        <v>-3259</v>
      </c>
      <c r="EN37" s="239">
        <v>-563422</v>
      </c>
      <c r="EO37" s="239">
        <v>0</v>
      </c>
      <c r="EP37" s="239">
        <v>-563422</v>
      </c>
      <c r="EQ37" s="239">
        <v>0</v>
      </c>
      <c r="ER37" s="239">
        <v>0</v>
      </c>
      <c r="ES37" s="239">
        <v>0</v>
      </c>
      <c r="ET37" s="239">
        <v>0</v>
      </c>
      <c r="EU37" s="239">
        <v>0</v>
      </c>
      <c r="EV37" s="239">
        <v>0</v>
      </c>
      <c r="EW37" s="239">
        <v>0</v>
      </c>
      <c r="EX37" s="239">
        <v>0</v>
      </c>
      <c r="EY37" s="239">
        <v>0</v>
      </c>
      <c r="EZ37" s="239">
        <v>36223278</v>
      </c>
      <c r="FA37" s="239">
        <v>0</v>
      </c>
      <c r="FB37" s="239">
        <v>36223278</v>
      </c>
      <c r="FC37" s="239">
        <v>-220068</v>
      </c>
      <c r="FD37" s="239">
        <v>0</v>
      </c>
      <c r="FE37" s="239">
        <v>-220068</v>
      </c>
      <c r="FF37" s="239">
        <v>-3122692</v>
      </c>
      <c r="FG37" s="239">
        <v>0</v>
      </c>
      <c r="FH37" s="239">
        <v>-3122692</v>
      </c>
      <c r="FI37" s="239">
        <v>-1120857</v>
      </c>
      <c r="FJ37" s="239">
        <v>0</v>
      </c>
      <c r="FK37" s="239">
        <v>-1120857</v>
      </c>
      <c r="FL37" s="239">
        <v>-135431</v>
      </c>
      <c r="FM37" s="239">
        <v>0</v>
      </c>
      <c r="FN37" s="239">
        <v>-135431</v>
      </c>
      <c r="FO37" s="239">
        <v>-563422</v>
      </c>
      <c r="FP37" s="239">
        <v>0</v>
      </c>
      <c r="FQ37" s="239">
        <v>-563422</v>
      </c>
      <c r="FR37" s="239">
        <v>0</v>
      </c>
      <c r="FS37" s="239">
        <v>0</v>
      </c>
      <c r="FT37" s="239">
        <v>0</v>
      </c>
      <c r="FU37" s="239">
        <v>-5162470</v>
      </c>
      <c r="FV37" s="239">
        <v>0</v>
      </c>
      <c r="FW37" s="239">
        <v>-5162470</v>
      </c>
      <c r="FX37" s="239">
        <v>31060808</v>
      </c>
      <c r="FY37" s="239">
        <v>0</v>
      </c>
      <c r="FZ37" s="239">
        <v>31060808</v>
      </c>
      <c r="GA37" s="214" t="s">
        <v>1294</v>
      </c>
    </row>
    <row r="38" spans="1:183" s="214" customFormat="1" x14ac:dyDescent="0.2">
      <c r="B38" s="610" t="s">
        <v>159</v>
      </c>
      <c r="C38" s="610" t="s">
        <v>158</v>
      </c>
      <c r="D38" s="239">
        <v>0</v>
      </c>
      <c r="E38" s="239">
        <v>0</v>
      </c>
      <c r="F38" s="239">
        <v>0</v>
      </c>
      <c r="G38" s="239">
        <v>117589</v>
      </c>
      <c r="H38" s="239">
        <v>0</v>
      </c>
      <c r="I38" s="239">
        <v>117589</v>
      </c>
      <c r="J38" s="239">
        <v>0</v>
      </c>
      <c r="K38" s="239">
        <v>0</v>
      </c>
      <c r="L38" s="239">
        <v>0</v>
      </c>
      <c r="M38" s="239">
        <v>61235</v>
      </c>
      <c r="N38" s="239">
        <v>0</v>
      </c>
      <c r="O38" s="239">
        <v>61235</v>
      </c>
      <c r="P38" s="239">
        <v>178824</v>
      </c>
      <c r="Q38" s="239">
        <v>0</v>
      </c>
      <c r="R38" s="239">
        <v>178824</v>
      </c>
      <c r="S38" s="239">
        <v>-6574061</v>
      </c>
      <c r="T38" s="239">
        <v>0</v>
      </c>
      <c r="U38" s="239">
        <v>-6574061</v>
      </c>
      <c r="V38" s="239">
        <v>-42650</v>
      </c>
      <c r="W38" s="239">
        <v>0</v>
      </c>
      <c r="X38" s="239">
        <v>-42650</v>
      </c>
      <c r="Y38" s="239">
        <v>-169069</v>
      </c>
      <c r="Z38" s="239">
        <v>0</v>
      </c>
      <c r="AA38" s="239">
        <v>-169069</v>
      </c>
      <c r="AB38" s="239">
        <v>-146311</v>
      </c>
      <c r="AC38" s="239">
        <v>0</v>
      </c>
      <c r="AD38" s="239">
        <v>-146311</v>
      </c>
      <c r="AE38" s="239">
        <v>-14151</v>
      </c>
      <c r="AF38" s="239">
        <v>0</v>
      </c>
      <c r="AG38" s="239">
        <v>-14151</v>
      </c>
      <c r="AH38" s="239">
        <v>2929404</v>
      </c>
      <c r="AI38" s="239">
        <v>0</v>
      </c>
      <c r="AJ38" s="239">
        <v>2929404</v>
      </c>
      <c r="AK38" s="239">
        <v>17261</v>
      </c>
      <c r="AL38" s="239">
        <v>0</v>
      </c>
      <c r="AM38" s="239">
        <v>17261</v>
      </c>
      <c r="AN38" s="239">
        <v>-8567894</v>
      </c>
      <c r="AO38" s="239">
        <v>0</v>
      </c>
      <c r="AP38" s="239">
        <v>-8567894</v>
      </c>
      <c r="AQ38" s="239">
        <v>-22385</v>
      </c>
      <c r="AR38" s="239">
        <v>0</v>
      </c>
      <c r="AS38" s="239">
        <v>-22385</v>
      </c>
      <c r="AT38" s="239">
        <v>-59058</v>
      </c>
      <c r="AU38" s="239">
        <v>0</v>
      </c>
      <c r="AV38" s="239">
        <v>-59058</v>
      </c>
      <c r="AW38" s="239">
        <v>0</v>
      </c>
      <c r="AX38" s="239">
        <v>0</v>
      </c>
      <c r="AY38" s="239">
        <v>0</v>
      </c>
      <c r="AZ38" s="239">
        <v>0</v>
      </c>
      <c r="BA38" s="239">
        <v>0</v>
      </c>
      <c r="BB38" s="239">
        <v>0</v>
      </c>
      <c r="BC38" s="239">
        <v>0</v>
      </c>
      <c r="BD38" s="239">
        <v>0</v>
      </c>
      <c r="BE38" s="239">
        <v>0</v>
      </c>
      <c r="BF38" s="239">
        <v>-12445802</v>
      </c>
      <c r="BG38" s="239">
        <v>0</v>
      </c>
      <c r="BH38" s="239">
        <v>-12445802</v>
      </c>
      <c r="BI38" s="239">
        <v>-135656</v>
      </c>
      <c r="BJ38" s="239">
        <v>0</v>
      </c>
      <c r="BK38" s="239">
        <v>-135656</v>
      </c>
      <c r="BL38" s="239">
        <v>-17</v>
      </c>
      <c r="BM38" s="239">
        <v>0</v>
      </c>
      <c r="BN38" s="239">
        <v>-17</v>
      </c>
      <c r="BO38" s="239">
        <v>-3168220</v>
      </c>
      <c r="BP38" s="239">
        <v>0</v>
      </c>
      <c r="BQ38" s="239">
        <v>-3168220</v>
      </c>
      <c r="BR38" s="239">
        <v>-334098</v>
      </c>
      <c r="BS38" s="239">
        <v>0</v>
      </c>
      <c r="BT38" s="239">
        <v>-334098</v>
      </c>
      <c r="BU38" s="239">
        <v>-3637991</v>
      </c>
      <c r="BV38" s="239">
        <v>0</v>
      </c>
      <c r="BW38" s="239">
        <v>-3637991</v>
      </c>
      <c r="BX38" s="239">
        <v>-87700</v>
      </c>
      <c r="BY38" s="239">
        <v>0</v>
      </c>
      <c r="BZ38" s="239">
        <v>-87700</v>
      </c>
      <c r="CA38" s="239">
        <v>-1126</v>
      </c>
      <c r="CB38" s="239">
        <v>0</v>
      </c>
      <c r="CC38" s="239">
        <v>-1126</v>
      </c>
      <c r="CD38" s="239">
        <v>-49760</v>
      </c>
      <c r="CE38" s="239">
        <v>0</v>
      </c>
      <c r="CF38" s="239">
        <v>-49760</v>
      </c>
      <c r="CG38" s="239">
        <v>5018</v>
      </c>
      <c r="CH38" s="239">
        <v>0</v>
      </c>
      <c r="CI38" s="239">
        <v>5018</v>
      </c>
      <c r="CJ38" s="239">
        <v>-2089</v>
      </c>
      <c r="CK38" s="239">
        <v>0</v>
      </c>
      <c r="CL38" s="239">
        <v>-2089</v>
      </c>
      <c r="CM38" s="239">
        <v>0</v>
      </c>
      <c r="CN38" s="239">
        <v>0</v>
      </c>
      <c r="CO38" s="239">
        <v>0</v>
      </c>
      <c r="CP38" s="239">
        <v>0</v>
      </c>
      <c r="CQ38" s="239">
        <v>0</v>
      </c>
      <c r="CR38" s="239">
        <v>0</v>
      </c>
      <c r="CS38" s="239">
        <v>0</v>
      </c>
      <c r="CT38" s="239">
        <v>0</v>
      </c>
      <c r="CU38" s="239">
        <v>0</v>
      </c>
      <c r="CV38" s="239">
        <v>0</v>
      </c>
      <c r="CW38" s="239">
        <v>0</v>
      </c>
      <c r="CX38" s="239">
        <v>0</v>
      </c>
      <c r="CY38" s="239">
        <v>0</v>
      </c>
      <c r="CZ38" s="239">
        <v>0</v>
      </c>
      <c r="DA38" s="239">
        <v>0</v>
      </c>
      <c r="DB38" s="239">
        <v>-37049</v>
      </c>
      <c r="DC38" s="239">
        <v>0</v>
      </c>
      <c r="DD38" s="239">
        <v>-37049</v>
      </c>
      <c r="DE38" s="239">
        <v>-15598</v>
      </c>
      <c r="DF38" s="239">
        <v>0</v>
      </c>
      <c r="DG38" s="239">
        <v>-15598</v>
      </c>
      <c r="DH38" s="239">
        <v>0</v>
      </c>
      <c r="DI38" s="239">
        <v>0</v>
      </c>
      <c r="DJ38" s="239">
        <v>-188304</v>
      </c>
      <c r="DK38" s="239">
        <v>0</v>
      </c>
      <c r="DL38" s="239">
        <v>-188304</v>
      </c>
      <c r="DM38" s="239">
        <v>-71761</v>
      </c>
      <c r="DN38" s="239">
        <v>0</v>
      </c>
      <c r="DO38" s="239">
        <v>-71761</v>
      </c>
      <c r="DP38" s="239">
        <v>15296</v>
      </c>
      <c r="DQ38" s="239">
        <v>0</v>
      </c>
      <c r="DR38" s="239">
        <v>15296</v>
      </c>
      <c r="DS38" s="239">
        <v>-160639</v>
      </c>
      <c r="DT38" s="239">
        <v>0</v>
      </c>
      <c r="DU38" s="239">
        <v>-160639</v>
      </c>
      <c r="DV38" s="239">
        <v>1832</v>
      </c>
      <c r="DW38" s="239">
        <v>0</v>
      </c>
      <c r="DX38" s="239">
        <v>1832</v>
      </c>
      <c r="DY38" s="239">
        <v>-3136285</v>
      </c>
      <c r="DZ38" s="239">
        <v>0</v>
      </c>
      <c r="EA38" s="239">
        <v>-3136285</v>
      </c>
      <c r="EB38" s="239">
        <v>-8143</v>
      </c>
      <c r="EC38" s="239">
        <v>0</v>
      </c>
      <c r="ED38" s="239">
        <v>-8143</v>
      </c>
      <c r="EE38" s="239">
        <v>0</v>
      </c>
      <c r="EF38" s="239">
        <v>0</v>
      </c>
      <c r="EG38" s="239">
        <v>0</v>
      </c>
      <c r="EH38" s="239">
        <v>-26</v>
      </c>
      <c r="EI38" s="239">
        <v>0</v>
      </c>
      <c r="EJ38" s="239">
        <v>-26</v>
      </c>
      <c r="EK38" s="239">
        <v>-7662</v>
      </c>
      <c r="EL38" s="239">
        <v>0</v>
      </c>
      <c r="EM38" s="239">
        <v>-7662</v>
      </c>
      <c r="EN38" s="239">
        <v>-3367388</v>
      </c>
      <c r="EO38" s="239">
        <v>0</v>
      </c>
      <c r="EP38" s="239">
        <v>-3367388</v>
      </c>
      <c r="EQ38" s="239">
        <v>0</v>
      </c>
      <c r="ER38" s="239">
        <v>0</v>
      </c>
      <c r="ES38" s="239">
        <v>0</v>
      </c>
      <c r="ET38" s="239">
        <v>0</v>
      </c>
      <c r="EU38" s="239">
        <v>0</v>
      </c>
      <c r="EV38" s="239">
        <v>0</v>
      </c>
      <c r="EW38" s="239">
        <v>0</v>
      </c>
      <c r="EX38" s="239">
        <v>0</v>
      </c>
      <c r="EY38" s="239">
        <v>0</v>
      </c>
      <c r="EZ38" s="239">
        <v>125372457</v>
      </c>
      <c r="FA38" s="239">
        <v>0</v>
      </c>
      <c r="FB38" s="239">
        <v>125372457</v>
      </c>
      <c r="FC38" s="239">
        <v>178824</v>
      </c>
      <c r="FD38" s="239">
        <v>0</v>
      </c>
      <c r="FE38" s="239">
        <v>178824</v>
      </c>
      <c r="FF38" s="239">
        <v>-12445802</v>
      </c>
      <c r="FG38" s="239">
        <v>0</v>
      </c>
      <c r="FH38" s="239">
        <v>-12445802</v>
      </c>
      <c r="FI38" s="239">
        <v>-3637991</v>
      </c>
      <c r="FJ38" s="239">
        <v>0</v>
      </c>
      <c r="FK38" s="239">
        <v>-3637991</v>
      </c>
      <c r="FL38" s="239">
        <v>-188304</v>
      </c>
      <c r="FM38" s="239">
        <v>0</v>
      </c>
      <c r="FN38" s="239">
        <v>-188304</v>
      </c>
      <c r="FO38" s="239">
        <v>-3367388</v>
      </c>
      <c r="FP38" s="239">
        <v>0</v>
      </c>
      <c r="FQ38" s="239">
        <v>-3367388</v>
      </c>
      <c r="FR38" s="239">
        <v>0</v>
      </c>
      <c r="FS38" s="239">
        <v>0</v>
      </c>
      <c r="FT38" s="239">
        <v>0</v>
      </c>
      <c r="FU38" s="239">
        <v>-19460661</v>
      </c>
      <c r="FV38" s="239">
        <v>0</v>
      </c>
      <c r="FW38" s="239">
        <v>-19460661</v>
      </c>
      <c r="FX38" s="239">
        <v>105911796</v>
      </c>
      <c r="FY38" s="239">
        <v>0</v>
      </c>
      <c r="FZ38" s="239">
        <v>105911796</v>
      </c>
      <c r="GA38" s="214" t="s">
        <v>748</v>
      </c>
    </row>
    <row r="39" spans="1:183" s="214" customFormat="1" x14ac:dyDescent="0.2">
      <c r="B39" s="610" t="s">
        <v>161</v>
      </c>
      <c r="C39" s="610" t="s">
        <v>160</v>
      </c>
      <c r="D39" s="239">
        <v>0</v>
      </c>
      <c r="E39" s="239">
        <v>0</v>
      </c>
      <c r="F39" s="239">
        <v>0</v>
      </c>
      <c r="G39" s="239">
        <v>-3997716</v>
      </c>
      <c r="H39" s="239">
        <v>0</v>
      </c>
      <c r="I39" s="239">
        <v>-3997716</v>
      </c>
      <c r="J39" s="239">
        <v>0</v>
      </c>
      <c r="K39" s="239">
        <v>0</v>
      </c>
      <c r="L39" s="239">
        <v>0</v>
      </c>
      <c r="M39" s="239">
        <v>1291008</v>
      </c>
      <c r="N39" s="239">
        <v>-380</v>
      </c>
      <c r="O39" s="239">
        <v>1290628</v>
      </c>
      <c r="P39" s="239">
        <v>-2706708</v>
      </c>
      <c r="Q39" s="239">
        <v>-380</v>
      </c>
      <c r="R39" s="239">
        <v>-2707088</v>
      </c>
      <c r="S39" s="239">
        <v>-9323326</v>
      </c>
      <c r="T39" s="239">
        <v>-96890</v>
      </c>
      <c r="U39" s="239">
        <v>-9420216</v>
      </c>
      <c r="V39" s="239">
        <v>-60637</v>
      </c>
      <c r="W39" s="239">
        <v>0</v>
      </c>
      <c r="X39" s="239">
        <v>-60637</v>
      </c>
      <c r="Y39" s="239">
        <v>-10483</v>
      </c>
      <c r="Z39" s="239">
        <v>-139</v>
      </c>
      <c r="AA39" s="239">
        <v>-10622</v>
      </c>
      <c r="AB39" s="239">
        <v>-512407</v>
      </c>
      <c r="AC39" s="239">
        <v>-1690</v>
      </c>
      <c r="AD39" s="239">
        <v>-514097</v>
      </c>
      <c r="AE39" s="239">
        <v>-60637</v>
      </c>
      <c r="AF39" s="239">
        <v>0</v>
      </c>
      <c r="AG39" s="239">
        <v>-60637</v>
      </c>
      <c r="AH39" s="239">
        <v>5407131</v>
      </c>
      <c r="AI39" s="239">
        <v>687352</v>
      </c>
      <c r="AJ39" s="239">
        <v>6094483</v>
      </c>
      <c r="AK39" s="239">
        <v>96386</v>
      </c>
      <c r="AL39" s="239">
        <v>30676</v>
      </c>
      <c r="AM39" s="239">
        <v>127062</v>
      </c>
      <c r="AN39" s="239">
        <v>-16658709</v>
      </c>
      <c r="AO39" s="239">
        <v>-366953</v>
      </c>
      <c r="AP39" s="239">
        <v>-17025662</v>
      </c>
      <c r="AQ39" s="239">
        <v>-442945</v>
      </c>
      <c r="AR39" s="239">
        <v>-33762</v>
      </c>
      <c r="AS39" s="239">
        <v>-476707</v>
      </c>
      <c r="AT39" s="239">
        <v>-149943</v>
      </c>
      <c r="AU39" s="239">
        <v>0</v>
      </c>
      <c r="AV39" s="239">
        <v>-149943</v>
      </c>
      <c r="AW39" s="239">
        <v>1347</v>
      </c>
      <c r="AX39" s="239">
        <v>0</v>
      </c>
      <c r="AY39" s="239">
        <v>1347</v>
      </c>
      <c r="AZ39" s="239">
        <v>0</v>
      </c>
      <c r="BA39" s="239">
        <v>0</v>
      </c>
      <c r="BB39" s="239">
        <v>0</v>
      </c>
      <c r="BC39" s="239">
        <v>0</v>
      </c>
      <c r="BD39" s="239">
        <v>0</v>
      </c>
      <c r="BE39" s="239">
        <v>0</v>
      </c>
      <c r="BF39" s="239">
        <v>-21080542</v>
      </c>
      <c r="BG39" s="239">
        <v>220284</v>
      </c>
      <c r="BH39" s="239">
        <v>-20860258</v>
      </c>
      <c r="BI39" s="239">
        <v>-734332</v>
      </c>
      <c r="BJ39" s="239">
        <v>-176053</v>
      </c>
      <c r="BK39" s="239">
        <v>-910385</v>
      </c>
      <c r="BL39" s="239">
        <v>-197023</v>
      </c>
      <c r="BM39" s="239">
        <v>7806</v>
      </c>
      <c r="BN39" s="239">
        <v>-189217</v>
      </c>
      <c r="BO39" s="239">
        <v>-11021110</v>
      </c>
      <c r="BP39" s="239">
        <v>-562272</v>
      </c>
      <c r="BQ39" s="239">
        <v>-11583382</v>
      </c>
      <c r="BR39" s="239">
        <v>-95207</v>
      </c>
      <c r="BS39" s="239">
        <v>-62275</v>
      </c>
      <c r="BT39" s="239">
        <v>-157482</v>
      </c>
      <c r="BU39" s="239">
        <v>-12047672</v>
      </c>
      <c r="BV39" s="239">
        <v>-792794</v>
      </c>
      <c r="BW39" s="239">
        <v>-12840466</v>
      </c>
      <c r="BX39" s="239">
        <v>-256860</v>
      </c>
      <c r="BY39" s="239">
        <v>0</v>
      </c>
      <c r="BZ39" s="239">
        <v>-256860</v>
      </c>
      <c r="CA39" s="239">
        <v>6377</v>
      </c>
      <c r="CB39" s="239">
        <v>0</v>
      </c>
      <c r="CC39" s="239">
        <v>6377</v>
      </c>
      <c r="CD39" s="239">
        <v>-326866</v>
      </c>
      <c r="CE39" s="239">
        <v>-4200</v>
      </c>
      <c r="CF39" s="239">
        <v>-331066</v>
      </c>
      <c r="CG39" s="239">
        <v>-48719</v>
      </c>
      <c r="CH39" s="239">
        <v>0</v>
      </c>
      <c r="CI39" s="239">
        <v>-48719</v>
      </c>
      <c r="CJ39" s="239">
        <v>-2841</v>
      </c>
      <c r="CK39" s="239">
        <v>0</v>
      </c>
      <c r="CL39" s="239">
        <v>-2841</v>
      </c>
      <c r="CM39" s="239">
        <v>0</v>
      </c>
      <c r="CN39" s="239">
        <v>0</v>
      </c>
      <c r="CO39" s="239">
        <v>0</v>
      </c>
      <c r="CP39" s="239">
        <v>0</v>
      </c>
      <c r="CQ39" s="239">
        <v>0</v>
      </c>
      <c r="CR39" s="239">
        <v>0</v>
      </c>
      <c r="CS39" s="239">
        <v>0</v>
      </c>
      <c r="CT39" s="239">
        <v>0</v>
      </c>
      <c r="CU39" s="239">
        <v>0</v>
      </c>
      <c r="CV39" s="239">
        <v>0</v>
      </c>
      <c r="CW39" s="239">
        <v>0</v>
      </c>
      <c r="CX39" s="239">
        <v>0</v>
      </c>
      <c r="CY39" s="239">
        <v>0</v>
      </c>
      <c r="CZ39" s="239">
        <v>0</v>
      </c>
      <c r="DA39" s="239">
        <v>0</v>
      </c>
      <c r="DB39" s="239">
        <v>0</v>
      </c>
      <c r="DC39" s="239">
        <v>-657770</v>
      </c>
      <c r="DD39" s="239">
        <v>-657770</v>
      </c>
      <c r="DE39" s="239">
        <v>0</v>
      </c>
      <c r="DF39" s="239">
        <v>-151790</v>
      </c>
      <c r="DG39" s="239">
        <v>-151790</v>
      </c>
      <c r="DH39" s="239">
        <v>-809560</v>
      </c>
      <c r="DI39" s="239">
        <v>0</v>
      </c>
      <c r="DJ39" s="239">
        <v>-628909</v>
      </c>
      <c r="DK39" s="239">
        <v>-813760</v>
      </c>
      <c r="DL39" s="239">
        <v>-1442669</v>
      </c>
      <c r="DM39" s="239">
        <v>0</v>
      </c>
      <c r="DN39" s="239">
        <v>0</v>
      </c>
      <c r="DO39" s="239">
        <v>0</v>
      </c>
      <c r="DP39" s="239">
        <v>0</v>
      </c>
      <c r="DQ39" s="239">
        <v>0</v>
      </c>
      <c r="DR39" s="239">
        <v>0</v>
      </c>
      <c r="DS39" s="239">
        <v>-151771</v>
      </c>
      <c r="DT39" s="239">
        <v>0</v>
      </c>
      <c r="DU39" s="239">
        <v>-151771</v>
      </c>
      <c r="DV39" s="239">
        <v>5029</v>
      </c>
      <c r="DW39" s="239">
        <v>0</v>
      </c>
      <c r="DX39" s="239">
        <v>5029</v>
      </c>
      <c r="DY39" s="239">
        <v>-2282232</v>
      </c>
      <c r="DZ39" s="239">
        <v>-19944</v>
      </c>
      <c r="EA39" s="239">
        <v>-2302176</v>
      </c>
      <c r="EB39" s="239">
        <v>-835509</v>
      </c>
      <c r="EC39" s="239">
        <v>-8368</v>
      </c>
      <c r="ED39" s="239">
        <v>-843877</v>
      </c>
      <c r="EE39" s="239">
        <v>0</v>
      </c>
      <c r="EF39" s="239">
        <v>0</v>
      </c>
      <c r="EG39" s="239">
        <v>0</v>
      </c>
      <c r="EH39" s="239">
        <v>0</v>
      </c>
      <c r="EI39" s="239">
        <v>0</v>
      </c>
      <c r="EJ39" s="239">
        <v>0</v>
      </c>
      <c r="EK39" s="239">
        <v>-24566</v>
      </c>
      <c r="EL39" s="239">
        <v>-6024</v>
      </c>
      <c r="EM39" s="239">
        <v>-30590</v>
      </c>
      <c r="EN39" s="239">
        <v>-3289049</v>
      </c>
      <c r="EO39" s="239">
        <v>-34336</v>
      </c>
      <c r="EP39" s="239">
        <v>-3323385</v>
      </c>
      <c r="EQ39" s="239">
        <v>0</v>
      </c>
      <c r="ER39" s="239">
        <v>0</v>
      </c>
      <c r="ES39" s="239">
        <v>0</v>
      </c>
      <c r="ET39" s="239">
        <v>-4097</v>
      </c>
      <c r="EU39" s="239">
        <v>0</v>
      </c>
      <c r="EV39" s="239">
        <v>-4097</v>
      </c>
      <c r="EW39" s="239">
        <v>-4097</v>
      </c>
      <c r="EX39" s="239">
        <v>0</v>
      </c>
      <c r="EY39" s="239">
        <v>-4097</v>
      </c>
      <c r="EZ39" s="239">
        <v>229463345</v>
      </c>
      <c r="FA39" s="239">
        <v>19999949</v>
      </c>
      <c r="FB39" s="239">
        <v>249463294</v>
      </c>
      <c r="FC39" s="239">
        <v>-2706708</v>
      </c>
      <c r="FD39" s="239">
        <v>-380</v>
      </c>
      <c r="FE39" s="239">
        <v>-2707088</v>
      </c>
      <c r="FF39" s="239">
        <v>-21080542</v>
      </c>
      <c r="FG39" s="239">
        <v>220284</v>
      </c>
      <c r="FH39" s="239">
        <v>-20860258</v>
      </c>
      <c r="FI39" s="239">
        <v>-12047672</v>
      </c>
      <c r="FJ39" s="239">
        <v>-792794</v>
      </c>
      <c r="FK39" s="239">
        <v>-12840466</v>
      </c>
      <c r="FL39" s="239">
        <v>-628909</v>
      </c>
      <c r="FM39" s="239">
        <v>-813760</v>
      </c>
      <c r="FN39" s="239">
        <v>-1442669</v>
      </c>
      <c r="FO39" s="239">
        <v>-3289049</v>
      </c>
      <c r="FP39" s="239">
        <v>-34336</v>
      </c>
      <c r="FQ39" s="239">
        <v>-3323385</v>
      </c>
      <c r="FR39" s="239">
        <v>-4097</v>
      </c>
      <c r="FS39" s="239">
        <v>0</v>
      </c>
      <c r="FT39" s="239">
        <v>-4097</v>
      </c>
      <c r="FU39" s="239">
        <v>-39756977</v>
      </c>
      <c r="FV39" s="239">
        <v>-1420986</v>
      </c>
      <c r="FW39" s="239">
        <v>-41177963</v>
      </c>
      <c r="FX39" s="239">
        <v>189706368</v>
      </c>
      <c r="FY39" s="239">
        <v>18578963</v>
      </c>
      <c r="FZ39" s="239">
        <v>208285331</v>
      </c>
      <c r="GA39" s="214" t="s">
        <v>748</v>
      </c>
    </row>
    <row r="40" spans="1:183" s="214" customFormat="1" x14ac:dyDescent="0.2">
      <c r="B40" s="610" t="s">
        <v>163</v>
      </c>
      <c r="C40" s="610" t="s">
        <v>162</v>
      </c>
      <c r="D40" s="239">
        <v>0</v>
      </c>
      <c r="E40" s="239">
        <v>0</v>
      </c>
      <c r="F40" s="239">
        <v>0</v>
      </c>
      <c r="G40" s="239">
        <v>94369</v>
      </c>
      <c r="H40" s="239">
        <v>0</v>
      </c>
      <c r="I40" s="239">
        <v>94369</v>
      </c>
      <c r="J40" s="239">
        <v>0</v>
      </c>
      <c r="K40" s="239">
        <v>0</v>
      </c>
      <c r="L40" s="239">
        <v>0</v>
      </c>
      <c r="M40" s="239">
        <v>37567</v>
      </c>
      <c r="N40" s="239">
        <v>0</v>
      </c>
      <c r="O40" s="239">
        <v>37567</v>
      </c>
      <c r="P40" s="239">
        <v>131936</v>
      </c>
      <c r="Q40" s="239">
        <v>0</v>
      </c>
      <c r="R40" s="239">
        <v>131936</v>
      </c>
      <c r="S40" s="239">
        <v>-2713943</v>
      </c>
      <c r="T40" s="239">
        <v>0</v>
      </c>
      <c r="U40" s="239">
        <v>-2713943</v>
      </c>
      <c r="V40" s="239">
        <v>-1185</v>
      </c>
      <c r="W40" s="239">
        <v>0</v>
      </c>
      <c r="X40" s="239">
        <v>-1185</v>
      </c>
      <c r="Y40" s="239">
        <v>-65435</v>
      </c>
      <c r="Z40" s="239">
        <v>0</v>
      </c>
      <c r="AA40" s="239">
        <v>-65435</v>
      </c>
      <c r="AB40" s="239">
        <v>-65435</v>
      </c>
      <c r="AC40" s="239">
        <v>0</v>
      </c>
      <c r="AD40" s="239">
        <v>-65435</v>
      </c>
      <c r="AE40" s="239">
        <v>0</v>
      </c>
      <c r="AF40" s="239">
        <v>0</v>
      </c>
      <c r="AG40" s="239">
        <v>0</v>
      </c>
      <c r="AH40" s="239">
        <v>783821</v>
      </c>
      <c r="AI40" s="239">
        <v>0</v>
      </c>
      <c r="AJ40" s="239">
        <v>783821</v>
      </c>
      <c r="AK40" s="239">
        <v>-23770</v>
      </c>
      <c r="AL40" s="239">
        <v>0</v>
      </c>
      <c r="AM40" s="239">
        <v>-23770</v>
      </c>
      <c r="AN40" s="239">
        <v>-1409646</v>
      </c>
      <c r="AO40" s="239">
        <v>0</v>
      </c>
      <c r="AP40" s="239">
        <v>-1409646</v>
      </c>
      <c r="AQ40" s="239">
        <v>11906</v>
      </c>
      <c r="AR40" s="239">
        <v>0</v>
      </c>
      <c r="AS40" s="239">
        <v>11906</v>
      </c>
      <c r="AT40" s="239">
        <v>-37083</v>
      </c>
      <c r="AU40" s="239">
        <v>0</v>
      </c>
      <c r="AV40" s="239">
        <v>-37083</v>
      </c>
      <c r="AW40" s="239">
        <v>-1935</v>
      </c>
      <c r="AX40" s="239">
        <v>0</v>
      </c>
      <c r="AY40" s="239">
        <v>-1935</v>
      </c>
      <c r="AZ40" s="239">
        <v>-55809</v>
      </c>
      <c r="BA40" s="239">
        <v>0</v>
      </c>
      <c r="BB40" s="239">
        <v>-55809</v>
      </c>
      <c r="BC40" s="239">
        <v>-631</v>
      </c>
      <c r="BD40" s="239">
        <v>0</v>
      </c>
      <c r="BE40" s="239">
        <v>-631</v>
      </c>
      <c r="BF40" s="239">
        <v>-3512525</v>
      </c>
      <c r="BG40" s="239">
        <v>0</v>
      </c>
      <c r="BH40" s="239">
        <v>-3512525</v>
      </c>
      <c r="BI40" s="239">
        <v>0</v>
      </c>
      <c r="BJ40" s="239">
        <v>0</v>
      </c>
      <c r="BK40" s="239">
        <v>0</v>
      </c>
      <c r="BL40" s="239">
        <v>-4808</v>
      </c>
      <c r="BM40" s="239">
        <v>0</v>
      </c>
      <c r="BN40" s="239">
        <v>-4808</v>
      </c>
      <c r="BO40" s="239">
        <v>-769719</v>
      </c>
      <c r="BP40" s="239">
        <v>0</v>
      </c>
      <c r="BQ40" s="239">
        <v>-769719</v>
      </c>
      <c r="BR40" s="239">
        <v>-25327</v>
      </c>
      <c r="BS40" s="239">
        <v>0</v>
      </c>
      <c r="BT40" s="239">
        <v>-25327</v>
      </c>
      <c r="BU40" s="239">
        <v>-799854</v>
      </c>
      <c r="BV40" s="239">
        <v>0</v>
      </c>
      <c r="BW40" s="239">
        <v>-799854</v>
      </c>
      <c r="BX40" s="239">
        <v>-19838</v>
      </c>
      <c r="BY40" s="239">
        <v>0</v>
      </c>
      <c r="BZ40" s="239">
        <v>-19838</v>
      </c>
      <c r="CA40" s="239">
        <v>0</v>
      </c>
      <c r="CB40" s="239">
        <v>0</v>
      </c>
      <c r="CC40" s="239">
        <v>0</v>
      </c>
      <c r="CD40" s="239">
        <v>-58283</v>
      </c>
      <c r="CE40" s="239">
        <v>0</v>
      </c>
      <c r="CF40" s="239">
        <v>-58283</v>
      </c>
      <c r="CG40" s="239">
        <v>2136</v>
      </c>
      <c r="CH40" s="239">
        <v>0</v>
      </c>
      <c r="CI40" s="239">
        <v>2136</v>
      </c>
      <c r="CJ40" s="239">
        <v>0</v>
      </c>
      <c r="CK40" s="239">
        <v>0</v>
      </c>
      <c r="CL40" s="239">
        <v>0</v>
      </c>
      <c r="CM40" s="239">
        <v>0</v>
      </c>
      <c r="CN40" s="239">
        <v>0</v>
      </c>
      <c r="CO40" s="239">
        <v>0</v>
      </c>
      <c r="CP40" s="239">
        <v>-55809</v>
      </c>
      <c r="CQ40" s="239">
        <v>0</v>
      </c>
      <c r="CR40" s="239">
        <v>-55809</v>
      </c>
      <c r="CS40" s="239">
        <v>-631</v>
      </c>
      <c r="CT40" s="239">
        <v>0</v>
      </c>
      <c r="CU40" s="239">
        <v>-631</v>
      </c>
      <c r="CV40" s="239">
        <v>-10320</v>
      </c>
      <c r="CW40" s="239">
        <v>0</v>
      </c>
      <c r="CX40" s="239">
        <v>-10320</v>
      </c>
      <c r="CY40" s="239">
        <v>0</v>
      </c>
      <c r="CZ40" s="239">
        <v>0</v>
      </c>
      <c r="DA40" s="239">
        <v>0</v>
      </c>
      <c r="DB40" s="239">
        <v>-16510</v>
      </c>
      <c r="DC40" s="239">
        <v>0</v>
      </c>
      <c r="DD40" s="239">
        <v>-16510</v>
      </c>
      <c r="DE40" s="239">
        <v>0</v>
      </c>
      <c r="DF40" s="239">
        <v>0</v>
      </c>
      <c r="DG40" s="239">
        <v>0</v>
      </c>
      <c r="DH40" s="239">
        <v>0</v>
      </c>
      <c r="DI40" s="239">
        <v>0</v>
      </c>
      <c r="DJ40" s="239">
        <v>-159255</v>
      </c>
      <c r="DK40" s="239">
        <v>0</v>
      </c>
      <c r="DL40" s="239">
        <v>-159255</v>
      </c>
      <c r="DM40" s="239">
        <v>-4190</v>
      </c>
      <c r="DN40" s="239">
        <v>0</v>
      </c>
      <c r="DO40" s="239">
        <v>-4190</v>
      </c>
      <c r="DP40" s="239">
        <v>0</v>
      </c>
      <c r="DQ40" s="239">
        <v>0</v>
      </c>
      <c r="DR40" s="239">
        <v>0</v>
      </c>
      <c r="DS40" s="239">
        <v>0</v>
      </c>
      <c r="DT40" s="239">
        <v>0</v>
      </c>
      <c r="DU40" s="239">
        <v>0</v>
      </c>
      <c r="DV40" s="239">
        <v>0</v>
      </c>
      <c r="DW40" s="239">
        <v>0</v>
      </c>
      <c r="DX40" s="239">
        <v>0</v>
      </c>
      <c r="DY40" s="239">
        <v>-332620</v>
      </c>
      <c r="DZ40" s="239">
        <v>0</v>
      </c>
      <c r="EA40" s="239">
        <v>-332620</v>
      </c>
      <c r="EB40" s="239">
        <v>885</v>
      </c>
      <c r="EC40" s="239">
        <v>0</v>
      </c>
      <c r="ED40" s="239">
        <v>885</v>
      </c>
      <c r="EE40" s="239">
        <v>0</v>
      </c>
      <c r="EF40" s="239">
        <v>0</v>
      </c>
      <c r="EG40" s="239">
        <v>0</v>
      </c>
      <c r="EH40" s="239">
        <v>0</v>
      </c>
      <c r="EI40" s="239">
        <v>0</v>
      </c>
      <c r="EJ40" s="239">
        <v>0</v>
      </c>
      <c r="EK40" s="239">
        <v>-4581</v>
      </c>
      <c r="EL40" s="239">
        <v>0</v>
      </c>
      <c r="EM40" s="239">
        <v>-4581</v>
      </c>
      <c r="EN40" s="239">
        <v>-340506</v>
      </c>
      <c r="EO40" s="239">
        <v>0</v>
      </c>
      <c r="EP40" s="239">
        <v>-340506</v>
      </c>
      <c r="EQ40" s="239">
        <v>0</v>
      </c>
      <c r="ER40" s="239">
        <v>0</v>
      </c>
      <c r="ES40" s="239">
        <v>0</v>
      </c>
      <c r="ET40" s="239">
        <v>0</v>
      </c>
      <c r="EU40" s="239">
        <v>0</v>
      </c>
      <c r="EV40" s="239">
        <v>0</v>
      </c>
      <c r="EW40" s="239">
        <v>0</v>
      </c>
      <c r="EX40" s="239">
        <v>0</v>
      </c>
      <c r="EY40" s="239">
        <v>0</v>
      </c>
      <c r="EZ40" s="239">
        <v>33985025</v>
      </c>
      <c r="FA40" s="239">
        <v>0</v>
      </c>
      <c r="FB40" s="239">
        <v>33985025</v>
      </c>
      <c r="FC40" s="239">
        <v>131936</v>
      </c>
      <c r="FD40" s="239">
        <v>0</v>
      </c>
      <c r="FE40" s="239">
        <v>131936</v>
      </c>
      <c r="FF40" s="239">
        <v>-3512525</v>
      </c>
      <c r="FG40" s="239">
        <v>0</v>
      </c>
      <c r="FH40" s="239">
        <v>-3512525</v>
      </c>
      <c r="FI40" s="239">
        <v>-799854</v>
      </c>
      <c r="FJ40" s="239">
        <v>0</v>
      </c>
      <c r="FK40" s="239">
        <v>-799854</v>
      </c>
      <c r="FL40" s="239">
        <v>-159255</v>
      </c>
      <c r="FM40" s="239">
        <v>0</v>
      </c>
      <c r="FN40" s="239">
        <v>-159255</v>
      </c>
      <c r="FO40" s="239">
        <v>-340506</v>
      </c>
      <c r="FP40" s="239">
        <v>0</v>
      </c>
      <c r="FQ40" s="239">
        <v>-340506</v>
      </c>
      <c r="FR40" s="239">
        <v>0</v>
      </c>
      <c r="FS40" s="239">
        <v>0</v>
      </c>
      <c r="FT40" s="239">
        <v>0</v>
      </c>
      <c r="FU40" s="239">
        <v>-4680204</v>
      </c>
      <c r="FV40" s="239">
        <v>0</v>
      </c>
      <c r="FW40" s="239">
        <v>-4680204</v>
      </c>
      <c r="FX40" s="239">
        <v>29304821</v>
      </c>
      <c r="FY40" s="239">
        <v>0</v>
      </c>
      <c r="FZ40" s="239">
        <v>29304821</v>
      </c>
      <c r="GA40" s="214" t="s">
        <v>1294</v>
      </c>
    </row>
    <row r="41" spans="1:183" s="214" customFormat="1" x14ac:dyDescent="0.2">
      <c r="B41" s="610" t="s">
        <v>165</v>
      </c>
      <c r="C41" s="610" t="s">
        <v>164</v>
      </c>
      <c r="D41" s="239">
        <v>0</v>
      </c>
      <c r="E41" s="239">
        <v>0</v>
      </c>
      <c r="F41" s="239">
        <v>0</v>
      </c>
      <c r="G41" s="239">
        <v>34253</v>
      </c>
      <c r="H41" s="239">
        <v>0</v>
      </c>
      <c r="I41" s="239">
        <v>34253</v>
      </c>
      <c r="J41" s="239">
        <v>0</v>
      </c>
      <c r="K41" s="239">
        <v>0</v>
      </c>
      <c r="L41" s="239">
        <v>0</v>
      </c>
      <c r="M41" s="239">
        <v>48697</v>
      </c>
      <c r="N41" s="239">
        <v>0</v>
      </c>
      <c r="O41" s="239">
        <v>48697</v>
      </c>
      <c r="P41" s="239">
        <v>82950</v>
      </c>
      <c r="Q41" s="239">
        <v>0</v>
      </c>
      <c r="R41" s="239">
        <v>82950</v>
      </c>
      <c r="S41" s="239">
        <v>-4544499</v>
      </c>
      <c r="T41" s="239">
        <v>0</v>
      </c>
      <c r="U41" s="239">
        <v>-4544499</v>
      </c>
      <c r="V41" s="239">
        <v>0</v>
      </c>
      <c r="W41" s="239">
        <v>0</v>
      </c>
      <c r="X41" s="239">
        <v>0</v>
      </c>
      <c r="Y41" s="239">
        <v>-302553</v>
      </c>
      <c r="Z41" s="239">
        <v>0</v>
      </c>
      <c r="AA41" s="239">
        <v>-302553</v>
      </c>
      <c r="AB41" s="239">
        <v>-166484</v>
      </c>
      <c r="AC41" s="239">
        <v>0</v>
      </c>
      <c r="AD41" s="239">
        <v>-166484</v>
      </c>
      <c r="AE41" s="239">
        <v>0</v>
      </c>
      <c r="AF41" s="239">
        <v>0</v>
      </c>
      <c r="AG41" s="239">
        <v>0</v>
      </c>
      <c r="AH41" s="239">
        <v>2218416</v>
      </c>
      <c r="AI41" s="239">
        <v>0</v>
      </c>
      <c r="AJ41" s="239">
        <v>2218416</v>
      </c>
      <c r="AK41" s="239">
        <v>-18746</v>
      </c>
      <c r="AL41" s="239">
        <v>0</v>
      </c>
      <c r="AM41" s="239">
        <v>-18746</v>
      </c>
      <c r="AN41" s="239">
        <v>-8425802</v>
      </c>
      <c r="AO41" s="239">
        <v>0</v>
      </c>
      <c r="AP41" s="239">
        <v>-8425802</v>
      </c>
      <c r="AQ41" s="239">
        <v>-86259</v>
      </c>
      <c r="AR41" s="239">
        <v>0</v>
      </c>
      <c r="AS41" s="239">
        <v>-86259</v>
      </c>
      <c r="AT41" s="239">
        <v>-177157</v>
      </c>
      <c r="AU41" s="239">
        <v>0</v>
      </c>
      <c r="AV41" s="239">
        <v>-177157</v>
      </c>
      <c r="AW41" s="239">
        <v>0</v>
      </c>
      <c r="AX41" s="239">
        <v>0</v>
      </c>
      <c r="AY41" s="239">
        <v>0</v>
      </c>
      <c r="AZ41" s="239">
        <v>0</v>
      </c>
      <c r="BA41" s="239">
        <v>0</v>
      </c>
      <c r="BB41" s="239">
        <v>0</v>
      </c>
      <c r="BC41" s="239">
        <v>0</v>
      </c>
      <c r="BD41" s="239">
        <v>0</v>
      </c>
      <c r="BE41" s="239">
        <v>0</v>
      </c>
      <c r="BF41" s="239">
        <v>-11336600</v>
      </c>
      <c r="BG41" s="239">
        <v>0</v>
      </c>
      <c r="BH41" s="239">
        <v>-11336600</v>
      </c>
      <c r="BI41" s="239">
        <v>-57360</v>
      </c>
      <c r="BJ41" s="239">
        <v>0</v>
      </c>
      <c r="BK41" s="239">
        <v>-57360</v>
      </c>
      <c r="BL41" s="239">
        <v>-25074</v>
      </c>
      <c r="BM41" s="239">
        <v>0</v>
      </c>
      <c r="BN41" s="239">
        <v>-25074</v>
      </c>
      <c r="BO41" s="239">
        <v>-2909672</v>
      </c>
      <c r="BP41" s="239">
        <v>0</v>
      </c>
      <c r="BQ41" s="239">
        <v>-2909672</v>
      </c>
      <c r="BR41" s="239">
        <v>60894</v>
      </c>
      <c r="BS41" s="239">
        <v>0</v>
      </c>
      <c r="BT41" s="239">
        <v>60894</v>
      </c>
      <c r="BU41" s="239">
        <v>-2931212</v>
      </c>
      <c r="BV41" s="239">
        <v>0</v>
      </c>
      <c r="BW41" s="239">
        <v>-2931212</v>
      </c>
      <c r="BX41" s="239">
        <v>-213661</v>
      </c>
      <c r="BY41" s="239">
        <v>0</v>
      </c>
      <c r="BZ41" s="239">
        <v>-213661</v>
      </c>
      <c r="CA41" s="239">
        <v>1183</v>
      </c>
      <c r="CB41" s="239">
        <v>0</v>
      </c>
      <c r="CC41" s="239">
        <v>1183</v>
      </c>
      <c r="CD41" s="239">
        <v>-293572</v>
      </c>
      <c r="CE41" s="239">
        <v>0</v>
      </c>
      <c r="CF41" s="239">
        <v>-293572</v>
      </c>
      <c r="CG41" s="239">
        <v>4263</v>
      </c>
      <c r="CH41" s="239">
        <v>0</v>
      </c>
      <c r="CI41" s="239">
        <v>4263</v>
      </c>
      <c r="CJ41" s="239">
        <v>-44289</v>
      </c>
      <c r="CK41" s="239">
        <v>0</v>
      </c>
      <c r="CL41" s="239">
        <v>-44289</v>
      </c>
      <c r="CM41" s="239">
        <v>0</v>
      </c>
      <c r="CN41" s="239">
        <v>0</v>
      </c>
      <c r="CO41" s="239">
        <v>0</v>
      </c>
      <c r="CP41" s="239">
        <v>0</v>
      </c>
      <c r="CQ41" s="239">
        <v>0</v>
      </c>
      <c r="CR41" s="239">
        <v>0</v>
      </c>
      <c r="CS41" s="239">
        <v>0</v>
      </c>
      <c r="CT41" s="239">
        <v>0</v>
      </c>
      <c r="CU41" s="239">
        <v>0</v>
      </c>
      <c r="CV41" s="239">
        <v>0</v>
      </c>
      <c r="CW41" s="239">
        <v>0</v>
      </c>
      <c r="CX41" s="239">
        <v>0</v>
      </c>
      <c r="CY41" s="239">
        <v>0</v>
      </c>
      <c r="CZ41" s="239">
        <v>0</v>
      </c>
      <c r="DA41" s="239">
        <v>0</v>
      </c>
      <c r="DB41" s="239">
        <v>0</v>
      </c>
      <c r="DC41" s="239">
        <v>0</v>
      </c>
      <c r="DD41" s="239">
        <v>0</v>
      </c>
      <c r="DE41" s="239">
        <v>0</v>
      </c>
      <c r="DF41" s="239">
        <v>0</v>
      </c>
      <c r="DG41" s="239">
        <v>0</v>
      </c>
      <c r="DH41" s="239">
        <v>0</v>
      </c>
      <c r="DI41" s="239">
        <v>0</v>
      </c>
      <c r="DJ41" s="239">
        <v>-546076</v>
      </c>
      <c r="DK41" s="239">
        <v>0</v>
      </c>
      <c r="DL41" s="239">
        <v>-546076</v>
      </c>
      <c r="DM41" s="239">
        <v>0</v>
      </c>
      <c r="DN41" s="239">
        <v>0</v>
      </c>
      <c r="DO41" s="239">
        <v>0</v>
      </c>
      <c r="DP41" s="239">
        <v>0</v>
      </c>
      <c r="DQ41" s="239">
        <v>0</v>
      </c>
      <c r="DR41" s="239">
        <v>0</v>
      </c>
      <c r="DS41" s="239">
        <v>-66921</v>
      </c>
      <c r="DT41" s="239">
        <v>0</v>
      </c>
      <c r="DU41" s="239">
        <v>-66921</v>
      </c>
      <c r="DV41" s="239">
        <v>-14657</v>
      </c>
      <c r="DW41" s="239">
        <v>0</v>
      </c>
      <c r="DX41" s="239">
        <v>-14657</v>
      </c>
      <c r="DY41" s="239">
        <v>-1704515</v>
      </c>
      <c r="DZ41" s="239">
        <v>0</v>
      </c>
      <c r="EA41" s="239">
        <v>-1704515</v>
      </c>
      <c r="EB41" s="239">
        <v>-190854</v>
      </c>
      <c r="EC41" s="239">
        <v>0</v>
      </c>
      <c r="ED41" s="239">
        <v>-190854</v>
      </c>
      <c r="EE41" s="239">
        <v>0</v>
      </c>
      <c r="EF41" s="239">
        <v>0</v>
      </c>
      <c r="EG41" s="239">
        <v>0</v>
      </c>
      <c r="EH41" s="239">
        <v>0</v>
      </c>
      <c r="EI41" s="239">
        <v>0</v>
      </c>
      <c r="EJ41" s="239">
        <v>0</v>
      </c>
      <c r="EK41" s="239">
        <v>-17260</v>
      </c>
      <c r="EL41" s="239">
        <v>0</v>
      </c>
      <c r="EM41" s="239">
        <v>-17260</v>
      </c>
      <c r="EN41" s="239">
        <v>-1994207</v>
      </c>
      <c r="EO41" s="239">
        <v>0</v>
      </c>
      <c r="EP41" s="239">
        <v>-1994207</v>
      </c>
      <c r="EQ41" s="239">
        <v>0</v>
      </c>
      <c r="ER41" s="239">
        <v>0</v>
      </c>
      <c r="ES41" s="239">
        <v>0</v>
      </c>
      <c r="ET41" s="239">
        <v>0</v>
      </c>
      <c r="EU41" s="239">
        <v>0</v>
      </c>
      <c r="EV41" s="239">
        <v>0</v>
      </c>
      <c r="EW41" s="239">
        <v>0</v>
      </c>
      <c r="EX41" s="239">
        <v>0</v>
      </c>
      <c r="EY41" s="239">
        <v>0</v>
      </c>
      <c r="EZ41" s="239">
        <v>101127417</v>
      </c>
      <c r="FA41" s="239">
        <v>0</v>
      </c>
      <c r="FB41" s="239">
        <v>101127417</v>
      </c>
      <c r="FC41" s="239">
        <v>82950</v>
      </c>
      <c r="FD41" s="239">
        <v>0</v>
      </c>
      <c r="FE41" s="239">
        <v>82950</v>
      </c>
      <c r="FF41" s="239">
        <v>-11336600</v>
      </c>
      <c r="FG41" s="239">
        <v>0</v>
      </c>
      <c r="FH41" s="239">
        <v>-11336600</v>
      </c>
      <c r="FI41" s="239">
        <v>-2931212</v>
      </c>
      <c r="FJ41" s="239">
        <v>0</v>
      </c>
      <c r="FK41" s="239">
        <v>-2931212</v>
      </c>
      <c r="FL41" s="239">
        <v>-546076</v>
      </c>
      <c r="FM41" s="239">
        <v>0</v>
      </c>
      <c r="FN41" s="239">
        <v>-546076</v>
      </c>
      <c r="FO41" s="239">
        <v>-1994207</v>
      </c>
      <c r="FP41" s="239">
        <v>0</v>
      </c>
      <c r="FQ41" s="239">
        <v>-1994207</v>
      </c>
      <c r="FR41" s="239">
        <v>0</v>
      </c>
      <c r="FS41" s="239">
        <v>0</v>
      </c>
      <c r="FT41" s="239">
        <v>0</v>
      </c>
      <c r="FU41" s="239">
        <v>-16725145</v>
      </c>
      <c r="FV41" s="239">
        <v>0</v>
      </c>
      <c r="FW41" s="239">
        <v>-16725145</v>
      </c>
      <c r="FX41" s="239">
        <v>84402272</v>
      </c>
      <c r="FY41" s="239">
        <v>0</v>
      </c>
      <c r="FZ41" s="239">
        <v>84402272</v>
      </c>
      <c r="GA41" s="214" t="s">
        <v>1295</v>
      </c>
    </row>
    <row r="42" spans="1:183" s="214" customFormat="1" x14ac:dyDescent="0.2">
      <c r="B42" s="610" t="s">
        <v>167</v>
      </c>
      <c r="C42" s="610" t="s">
        <v>166</v>
      </c>
      <c r="D42" s="239">
        <v>0</v>
      </c>
      <c r="E42" s="239">
        <v>0</v>
      </c>
      <c r="F42" s="239">
        <v>0</v>
      </c>
      <c r="G42" s="239">
        <v>-104742</v>
      </c>
      <c r="H42" s="239">
        <v>0</v>
      </c>
      <c r="I42" s="239">
        <v>-104742</v>
      </c>
      <c r="J42" s="239">
        <v>0</v>
      </c>
      <c r="K42" s="239">
        <v>0</v>
      </c>
      <c r="L42" s="239">
        <v>0</v>
      </c>
      <c r="M42" s="239">
        <v>-147077</v>
      </c>
      <c r="N42" s="239">
        <v>0</v>
      </c>
      <c r="O42" s="239">
        <v>-147077</v>
      </c>
      <c r="P42" s="239">
        <v>-251819</v>
      </c>
      <c r="Q42" s="239">
        <v>0</v>
      </c>
      <c r="R42" s="239">
        <v>-251819</v>
      </c>
      <c r="S42" s="239">
        <v>-2187341</v>
      </c>
      <c r="T42" s="239">
        <v>0</v>
      </c>
      <c r="U42" s="239">
        <v>-2187341</v>
      </c>
      <c r="V42" s="239">
        <v>0</v>
      </c>
      <c r="W42" s="239">
        <v>0</v>
      </c>
      <c r="X42" s="239">
        <v>0</v>
      </c>
      <c r="Y42" s="239">
        <v>-173842</v>
      </c>
      <c r="Z42" s="239">
        <v>0</v>
      </c>
      <c r="AA42" s="239">
        <v>-173842</v>
      </c>
      <c r="AB42" s="239">
        <v>0</v>
      </c>
      <c r="AC42" s="239">
        <v>0</v>
      </c>
      <c r="AD42" s="239">
        <v>0</v>
      </c>
      <c r="AE42" s="239">
        <v>0</v>
      </c>
      <c r="AF42" s="239">
        <v>0</v>
      </c>
      <c r="AG42" s="239">
        <v>0</v>
      </c>
      <c r="AH42" s="239">
        <v>725749</v>
      </c>
      <c r="AI42" s="239">
        <v>0</v>
      </c>
      <c r="AJ42" s="239">
        <v>725749</v>
      </c>
      <c r="AK42" s="239">
        <v>-18940</v>
      </c>
      <c r="AL42" s="239">
        <v>0</v>
      </c>
      <c r="AM42" s="239">
        <v>-18940</v>
      </c>
      <c r="AN42" s="239">
        <v>-2110459</v>
      </c>
      <c r="AO42" s="239">
        <v>0</v>
      </c>
      <c r="AP42" s="239">
        <v>-2110459</v>
      </c>
      <c r="AQ42" s="239">
        <v>8651</v>
      </c>
      <c r="AR42" s="239">
        <v>0</v>
      </c>
      <c r="AS42" s="239">
        <v>8651</v>
      </c>
      <c r="AT42" s="239">
        <v>-2544</v>
      </c>
      <c r="AU42" s="239">
        <v>0</v>
      </c>
      <c r="AV42" s="239">
        <v>-2544</v>
      </c>
      <c r="AW42" s="239">
        <v>0</v>
      </c>
      <c r="AX42" s="239">
        <v>0</v>
      </c>
      <c r="AY42" s="239">
        <v>0</v>
      </c>
      <c r="AZ42" s="239">
        <v>-1636</v>
      </c>
      <c r="BA42" s="239">
        <v>0</v>
      </c>
      <c r="BB42" s="239">
        <v>-1636</v>
      </c>
      <c r="BC42" s="239">
        <v>0</v>
      </c>
      <c r="BD42" s="239">
        <v>0</v>
      </c>
      <c r="BE42" s="239">
        <v>0</v>
      </c>
      <c r="BF42" s="239">
        <v>-3760362</v>
      </c>
      <c r="BG42" s="239">
        <v>0</v>
      </c>
      <c r="BH42" s="239">
        <v>-3760362</v>
      </c>
      <c r="BI42" s="239">
        <v>-24938</v>
      </c>
      <c r="BJ42" s="239">
        <v>0</v>
      </c>
      <c r="BK42" s="239">
        <v>-24938</v>
      </c>
      <c r="BL42" s="239">
        <v>4227</v>
      </c>
      <c r="BM42" s="239">
        <v>0</v>
      </c>
      <c r="BN42" s="239">
        <v>4227</v>
      </c>
      <c r="BO42" s="239">
        <v>-957507</v>
      </c>
      <c r="BP42" s="239">
        <v>0</v>
      </c>
      <c r="BQ42" s="239">
        <v>-957507</v>
      </c>
      <c r="BR42" s="239">
        <v>-75959</v>
      </c>
      <c r="BS42" s="239">
        <v>0</v>
      </c>
      <c r="BT42" s="239">
        <v>-75959</v>
      </c>
      <c r="BU42" s="239">
        <v>-1054177</v>
      </c>
      <c r="BV42" s="239">
        <v>0</v>
      </c>
      <c r="BW42" s="239">
        <v>-1054177</v>
      </c>
      <c r="BX42" s="239">
        <v>-34543</v>
      </c>
      <c r="BY42" s="239">
        <v>0</v>
      </c>
      <c r="BZ42" s="239">
        <v>-34543</v>
      </c>
      <c r="CA42" s="239">
        <v>3123</v>
      </c>
      <c r="CB42" s="239">
        <v>0</v>
      </c>
      <c r="CC42" s="239">
        <v>3123</v>
      </c>
      <c r="CD42" s="239">
        <v>-54764</v>
      </c>
      <c r="CE42" s="239">
        <v>0</v>
      </c>
      <c r="CF42" s="239">
        <v>-54764</v>
      </c>
      <c r="CG42" s="239">
        <v>0</v>
      </c>
      <c r="CH42" s="239">
        <v>0</v>
      </c>
      <c r="CI42" s="239">
        <v>0</v>
      </c>
      <c r="CJ42" s="239">
        <v>-256</v>
      </c>
      <c r="CK42" s="239">
        <v>0</v>
      </c>
      <c r="CL42" s="239">
        <v>-256</v>
      </c>
      <c r="CM42" s="239">
        <v>0</v>
      </c>
      <c r="CN42" s="239">
        <v>0</v>
      </c>
      <c r="CO42" s="239">
        <v>0</v>
      </c>
      <c r="CP42" s="239">
        <v>-1007</v>
      </c>
      <c r="CQ42" s="239">
        <v>0</v>
      </c>
      <c r="CR42" s="239">
        <v>-1007</v>
      </c>
      <c r="CS42" s="239">
        <v>0</v>
      </c>
      <c r="CT42" s="239">
        <v>0</v>
      </c>
      <c r="CU42" s="239">
        <v>0</v>
      </c>
      <c r="CV42" s="239">
        <v>0</v>
      </c>
      <c r="CW42" s="239">
        <v>0</v>
      </c>
      <c r="CX42" s="239">
        <v>0</v>
      </c>
      <c r="CY42" s="239">
        <v>0</v>
      </c>
      <c r="CZ42" s="239">
        <v>0</v>
      </c>
      <c r="DA42" s="239">
        <v>0</v>
      </c>
      <c r="DB42" s="239">
        <v>0</v>
      </c>
      <c r="DC42" s="239">
        <v>0</v>
      </c>
      <c r="DD42" s="239">
        <v>0</v>
      </c>
      <c r="DE42" s="239">
        <v>0</v>
      </c>
      <c r="DF42" s="239">
        <v>0</v>
      </c>
      <c r="DG42" s="239">
        <v>0</v>
      </c>
      <c r="DH42" s="239">
        <v>0</v>
      </c>
      <c r="DI42" s="239">
        <v>0</v>
      </c>
      <c r="DJ42" s="239">
        <v>-87447</v>
      </c>
      <c r="DK42" s="239">
        <v>0</v>
      </c>
      <c r="DL42" s="239">
        <v>-87447</v>
      </c>
      <c r="DM42" s="239">
        <v>-19740</v>
      </c>
      <c r="DN42" s="239">
        <v>0</v>
      </c>
      <c r="DO42" s="239">
        <v>-19740</v>
      </c>
      <c r="DP42" s="239">
        <v>-4969</v>
      </c>
      <c r="DQ42" s="239">
        <v>0</v>
      </c>
      <c r="DR42" s="239">
        <v>-4969</v>
      </c>
      <c r="DS42" s="239">
        <v>-10569</v>
      </c>
      <c r="DT42" s="239">
        <v>0</v>
      </c>
      <c r="DU42" s="239">
        <v>-10569</v>
      </c>
      <c r="DV42" s="239">
        <v>0</v>
      </c>
      <c r="DW42" s="239">
        <v>0</v>
      </c>
      <c r="DX42" s="239">
        <v>0</v>
      </c>
      <c r="DY42" s="239">
        <v>-454171</v>
      </c>
      <c r="DZ42" s="239">
        <v>0</v>
      </c>
      <c r="EA42" s="239">
        <v>-454171</v>
      </c>
      <c r="EB42" s="239">
        <v>-4740</v>
      </c>
      <c r="EC42" s="239">
        <v>0</v>
      </c>
      <c r="ED42" s="239">
        <v>-4740</v>
      </c>
      <c r="EE42" s="239">
        <v>0</v>
      </c>
      <c r="EF42" s="239">
        <v>0</v>
      </c>
      <c r="EG42" s="239">
        <v>0</v>
      </c>
      <c r="EH42" s="239">
        <v>0</v>
      </c>
      <c r="EI42" s="239">
        <v>0</v>
      </c>
      <c r="EJ42" s="239">
        <v>0</v>
      </c>
      <c r="EK42" s="239">
        <v>-12891</v>
      </c>
      <c r="EL42" s="239">
        <v>0</v>
      </c>
      <c r="EM42" s="239">
        <v>-12891</v>
      </c>
      <c r="EN42" s="239">
        <v>-507080</v>
      </c>
      <c r="EO42" s="239">
        <v>0</v>
      </c>
      <c r="EP42" s="239">
        <v>-507080</v>
      </c>
      <c r="EQ42" s="239">
        <v>0</v>
      </c>
      <c r="ER42" s="239">
        <v>0</v>
      </c>
      <c r="ES42" s="239">
        <v>0</v>
      </c>
      <c r="ET42" s="239">
        <v>0</v>
      </c>
      <c r="EU42" s="239">
        <v>0</v>
      </c>
      <c r="EV42" s="239">
        <v>0</v>
      </c>
      <c r="EW42" s="239">
        <v>0</v>
      </c>
      <c r="EX42" s="239">
        <v>0</v>
      </c>
      <c r="EY42" s="239">
        <v>0</v>
      </c>
      <c r="EZ42" s="239">
        <v>32217330</v>
      </c>
      <c r="FA42" s="239">
        <v>0</v>
      </c>
      <c r="FB42" s="239">
        <v>32217330</v>
      </c>
      <c r="FC42" s="239">
        <v>-251819</v>
      </c>
      <c r="FD42" s="239">
        <v>0</v>
      </c>
      <c r="FE42" s="239">
        <v>-251819</v>
      </c>
      <c r="FF42" s="239">
        <v>-3760362</v>
      </c>
      <c r="FG42" s="239">
        <v>0</v>
      </c>
      <c r="FH42" s="239">
        <v>-3760362</v>
      </c>
      <c r="FI42" s="239">
        <v>-1054177</v>
      </c>
      <c r="FJ42" s="239">
        <v>0</v>
      </c>
      <c r="FK42" s="239">
        <v>-1054177</v>
      </c>
      <c r="FL42" s="239">
        <v>-87447</v>
      </c>
      <c r="FM42" s="239">
        <v>0</v>
      </c>
      <c r="FN42" s="239">
        <v>-87447</v>
      </c>
      <c r="FO42" s="239">
        <v>-507080</v>
      </c>
      <c r="FP42" s="239">
        <v>0</v>
      </c>
      <c r="FQ42" s="239">
        <v>-507080</v>
      </c>
      <c r="FR42" s="239">
        <v>0</v>
      </c>
      <c r="FS42" s="239">
        <v>0</v>
      </c>
      <c r="FT42" s="239">
        <v>0</v>
      </c>
      <c r="FU42" s="239">
        <v>-5660885</v>
      </c>
      <c r="FV42" s="239">
        <v>0</v>
      </c>
      <c r="FW42" s="239">
        <v>-5660885</v>
      </c>
      <c r="FX42" s="239">
        <v>26556445</v>
      </c>
      <c r="FY42" s="239">
        <v>0</v>
      </c>
      <c r="FZ42" s="239">
        <v>26556445</v>
      </c>
      <c r="GA42" s="214" t="s">
        <v>1294</v>
      </c>
    </row>
    <row r="43" spans="1:183" s="214" customFormat="1" x14ac:dyDescent="0.2">
      <c r="B43" s="610" t="s">
        <v>169</v>
      </c>
      <c r="C43" s="610" t="s">
        <v>168</v>
      </c>
      <c r="D43" s="239">
        <v>0</v>
      </c>
      <c r="E43" s="239">
        <v>0</v>
      </c>
      <c r="F43" s="239">
        <v>0</v>
      </c>
      <c r="G43" s="239">
        <v>-128886</v>
      </c>
      <c r="H43" s="239">
        <v>0</v>
      </c>
      <c r="I43" s="239">
        <v>-128886</v>
      </c>
      <c r="J43" s="239">
        <v>0</v>
      </c>
      <c r="K43" s="239">
        <v>0</v>
      </c>
      <c r="L43" s="239">
        <v>0</v>
      </c>
      <c r="M43" s="239">
        <v>49913</v>
      </c>
      <c r="N43" s="239">
        <v>0</v>
      </c>
      <c r="O43" s="239">
        <v>49913</v>
      </c>
      <c r="P43" s="239">
        <v>-78973</v>
      </c>
      <c r="Q43" s="239">
        <v>0</v>
      </c>
      <c r="R43" s="239">
        <v>-78973</v>
      </c>
      <c r="S43" s="239">
        <v>-1446292</v>
      </c>
      <c r="T43" s="239">
        <v>0</v>
      </c>
      <c r="U43" s="239">
        <v>-1446292</v>
      </c>
      <c r="V43" s="239">
        <v>0</v>
      </c>
      <c r="W43" s="239">
        <v>0</v>
      </c>
      <c r="X43" s="239">
        <v>0</v>
      </c>
      <c r="Y43" s="239">
        <v>-26851</v>
      </c>
      <c r="Z43" s="239">
        <v>0</v>
      </c>
      <c r="AA43" s="239">
        <v>-26851</v>
      </c>
      <c r="AB43" s="239">
        <v>-15463</v>
      </c>
      <c r="AC43" s="239">
        <v>0</v>
      </c>
      <c r="AD43" s="239">
        <v>-15463</v>
      </c>
      <c r="AE43" s="239">
        <v>0</v>
      </c>
      <c r="AF43" s="239">
        <v>0</v>
      </c>
      <c r="AG43" s="239">
        <v>0</v>
      </c>
      <c r="AH43" s="239">
        <v>1098872</v>
      </c>
      <c r="AI43" s="239">
        <v>0</v>
      </c>
      <c r="AJ43" s="239">
        <v>1098872</v>
      </c>
      <c r="AK43" s="239">
        <v>457</v>
      </c>
      <c r="AL43" s="239">
        <v>0</v>
      </c>
      <c r="AM43" s="239">
        <v>457</v>
      </c>
      <c r="AN43" s="239">
        <v>-2211071</v>
      </c>
      <c r="AO43" s="239">
        <v>0</v>
      </c>
      <c r="AP43" s="239">
        <v>-2211071</v>
      </c>
      <c r="AQ43" s="239">
        <v>113033</v>
      </c>
      <c r="AR43" s="239">
        <v>0</v>
      </c>
      <c r="AS43" s="239">
        <v>113033</v>
      </c>
      <c r="AT43" s="239">
        <v>-73812</v>
      </c>
      <c r="AU43" s="239">
        <v>0</v>
      </c>
      <c r="AV43" s="239">
        <v>-73812</v>
      </c>
      <c r="AW43" s="239">
        <v>0</v>
      </c>
      <c r="AX43" s="239">
        <v>0</v>
      </c>
      <c r="AY43" s="239">
        <v>0</v>
      </c>
      <c r="AZ43" s="239">
        <v>0</v>
      </c>
      <c r="BA43" s="239">
        <v>0</v>
      </c>
      <c r="BB43" s="239">
        <v>0</v>
      </c>
      <c r="BC43" s="239">
        <v>0</v>
      </c>
      <c r="BD43" s="239">
        <v>0</v>
      </c>
      <c r="BE43" s="239">
        <v>0</v>
      </c>
      <c r="BF43" s="239">
        <v>-2545664</v>
      </c>
      <c r="BG43" s="239">
        <v>0</v>
      </c>
      <c r="BH43" s="239">
        <v>-2545664</v>
      </c>
      <c r="BI43" s="239">
        <v>-96624</v>
      </c>
      <c r="BJ43" s="239">
        <v>0</v>
      </c>
      <c r="BK43" s="239">
        <v>-96624</v>
      </c>
      <c r="BL43" s="239">
        <v>-6735</v>
      </c>
      <c r="BM43" s="239">
        <v>0</v>
      </c>
      <c r="BN43" s="239">
        <v>-6735</v>
      </c>
      <c r="BO43" s="239">
        <v>-575779</v>
      </c>
      <c r="BP43" s="239">
        <v>0</v>
      </c>
      <c r="BQ43" s="239">
        <v>-575779</v>
      </c>
      <c r="BR43" s="239">
        <v>-32169</v>
      </c>
      <c r="BS43" s="239">
        <v>0</v>
      </c>
      <c r="BT43" s="239">
        <v>-32169</v>
      </c>
      <c r="BU43" s="239">
        <v>-711307</v>
      </c>
      <c r="BV43" s="239">
        <v>0</v>
      </c>
      <c r="BW43" s="239">
        <v>-711307</v>
      </c>
      <c r="BX43" s="239">
        <v>-96095</v>
      </c>
      <c r="BY43" s="239">
        <v>0</v>
      </c>
      <c r="BZ43" s="239">
        <v>-96095</v>
      </c>
      <c r="CA43" s="239">
        <v>0</v>
      </c>
      <c r="CB43" s="239">
        <v>0</v>
      </c>
      <c r="CC43" s="239">
        <v>0</v>
      </c>
      <c r="CD43" s="239">
        <v>-8688</v>
      </c>
      <c r="CE43" s="239">
        <v>0</v>
      </c>
      <c r="CF43" s="239">
        <v>-8688</v>
      </c>
      <c r="CG43" s="239">
        <v>0</v>
      </c>
      <c r="CH43" s="239">
        <v>0</v>
      </c>
      <c r="CI43" s="239">
        <v>0</v>
      </c>
      <c r="CJ43" s="239">
        <v>0</v>
      </c>
      <c r="CK43" s="239">
        <v>0</v>
      </c>
      <c r="CL43" s="239">
        <v>0</v>
      </c>
      <c r="CM43" s="239">
        <v>0</v>
      </c>
      <c r="CN43" s="239">
        <v>0</v>
      </c>
      <c r="CO43" s="239">
        <v>0</v>
      </c>
      <c r="CP43" s="239">
        <v>0</v>
      </c>
      <c r="CQ43" s="239">
        <v>0</v>
      </c>
      <c r="CR43" s="239">
        <v>0</v>
      </c>
      <c r="CS43" s="239">
        <v>0</v>
      </c>
      <c r="CT43" s="239">
        <v>0</v>
      </c>
      <c r="CU43" s="239">
        <v>0</v>
      </c>
      <c r="CV43" s="239">
        <v>0</v>
      </c>
      <c r="CW43" s="239">
        <v>0</v>
      </c>
      <c r="CX43" s="239">
        <v>0</v>
      </c>
      <c r="CY43" s="239">
        <v>0</v>
      </c>
      <c r="CZ43" s="239">
        <v>0</v>
      </c>
      <c r="DA43" s="239">
        <v>0</v>
      </c>
      <c r="DB43" s="239">
        <v>0</v>
      </c>
      <c r="DC43" s="239">
        <v>0</v>
      </c>
      <c r="DD43" s="239">
        <v>0</v>
      </c>
      <c r="DE43" s="239">
        <v>0</v>
      </c>
      <c r="DF43" s="239">
        <v>0</v>
      </c>
      <c r="DG43" s="239">
        <v>0</v>
      </c>
      <c r="DH43" s="239">
        <v>0</v>
      </c>
      <c r="DI43" s="239">
        <v>0</v>
      </c>
      <c r="DJ43" s="239">
        <v>-104783</v>
      </c>
      <c r="DK43" s="239">
        <v>0</v>
      </c>
      <c r="DL43" s="239">
        <v>-104783</v>
      </c>
      <c r="DM43" s="239">
        <v>-6725</v>
      </c>
      <c r="DN43" s="239">
        <v>0</v>
      </c>
      <c r="DO43" s="239">
        <v>-6725</v>
      </c>
      <c r="DP43" s="239">
        <v>-1782</v>
      </c>
      <c r="DQ43" s="239">
        <v>0</v>
      </c>
      <c r="DR43" s="239">
        <v>-1782</v>
      </c>
      <c r="DS43" s="239">
        <v>-13112</v>
      </c>
      <c r="DT43" s="239">
        <v>0</v>
      </c>
      <c r="DU43" s="239">
        <v>-13112</v>
      </c>
      <c r="DV43" s="239">
        <v>293</v>
      </c>
      <c r="DW43" s="239">
        <v>0</v>
      </c>
      <c r="DX43" s="239">
        <v>293</v>
      </c>
      <c r="DY43" s="239">
        <v>-591180</v>
      </c>
      <c r="DZ43" s="239">
        <v>0</v>
      </c>
      <c r="EA43" s="239">
        <v>-591180</v>
      </c>
      <c r="EB43" s="239">
        <v>-28155</v>
      </c>
      <c r="EC43" s="239">
        <v>0</v>
      </c>
      <c r="ED43" s="239">
        <v>-28155</v>
      </c>
      <c r="EE43" s="239">
        <v>0</v>
      </c>
      <c r="EF43" s="239">
        <v>0</v>
      </c>
      <c r="EG43" s="239">
        <v>0</v>
      </c>
      <c r="EH43" s="239">
        <v>0</v>
      </c>
      <c r="EI43" s="239">
        <v>0</v>
      </c>
      <c r="EJ43" s="239">
        <v>0</v>
      </c>
      <c r="EK43" s="239">
        <v>-834</v>
      </c>
      <c r="EL43" s="239">
        <v>0</v>
      </c>
      <c r="EM43" s="239">
        <v>-834</v>
      </c>
      <c r="EN43" s="239">
        <v>-641495</v>
      </c>
      <c r="EO43" s="239">
        <v>0</v>
      </c>
      <c r="EP43" s="239">
        <v>-641495</v>
      </c>
      <c r="EQ43" s="239">
        <v>0</v>
      </c>
      <c r="ER43" s="239">
        <v>0</v>
      </c>
      <c r="ES43" s="239">
        <v>0</v>
      </c>
      <c r="ET43" s="239">
        <v>0</v>
      </c>
      <c r="EU43" s="239">
        <v>0</v>
      </c>
      <c r="EV43" s="239">
        <v>0</v>
      </c>
      <c r="EW43" s="239">
        <v>0</v>
      </c>
      <c r="EX43" s="239">
        <v>0</v>
      </c>
      <c r="EY43" s="239">
        <v>0</v>
      </c>
      <c r="EZ43" s="239">
        <v>43807387</v>
      </c>
      <c r="FA43" s="239">
        <v>0</v>
      </c>
      <c r="FB43" s="239">
        <v>43807387</v>
      </c>
      <c r="FC43" s="239">
        <v>-78973</v>
      </c>
      <c r="FD43" s="239">
        <v>0</v>
      </c>
      <c r="FE43" s="239">
        <v>-78973</v>
      </c>
      <c r="FF43" s="239">
        <v>-2545664</v>
      </c>
      <c r="FG43" s="239">
        <v>0</v>
      </c>
      <c r="FH43" s="239">
        <v>-2545664</v>
      </c>
      <c r="FI43" s="239">
        <v>-711307</v>
      </c>
      <c r="FJ43" s="239">
        <v>0</v>
      </c>
      <c r="FK43" s="239">
        <v>-711307</v>
      </c>
      <c r="FL43" s="239">
        <v>-104783</v>
      </c>
      <c r="FM43" s="239">
        <v>0</v>
      </c>
      <c r="FN43" s="239">
        <v>-104783</v>
      </c>
      <c r="FO43" s="239">
        <v>-641495</v>
      </c>
      <c r="FP43" s="239">
        <v>0</v>
      </c>
      <c r="FQ43" s="239">
        <v>-641495</v>
      </c>
      <c r="FR43" s="239">
        <v>0</v>
      </c>
      <c r="FS43" s="239">
        <v>0</v>
      </c>
      <c r="FT43" s="239">
        <v>0</v>
      </c>
      <c r="FU43" s="239">
        <v>-4082222</v>
      </c>
      <c r="FV43" s="239">
        <v>0</v>
      </c>
      <c r="FW43" s="239">
        <v>-4082222</v>
      </c>
      <c r="FX43" s="239">
        <v>39725165</v>
      </c>
      <c r="FY43" s="239">
        <v>0</v>
      </c>
      <c r="FZ43" s="239">
        <v>39725165</v>
      </c>
      <c r="GA43" s="214" t="s">
        <v>1294</v>
      </c>
    </row>
    <row r="44" spans="1:183" s="214" customFormat="1" x14ac:dyDescent="0.2">
      <c r="A44" s="215" t="s">
        <v>1321</v>
      </c>
      <c r="B44" s="610" t="s">
        <v>171</v>
      </c>
      <c r="C44" s="610" t="s">
        <v>170</v>
      </c>
      <c r="D44" s="239">
        <v>0</v>
      </c>
      <c r="E44" s="239">
        <v>0</v>
      </c>
      <c r="F44" s="239">
        <v>0</v>
      </c>
      <c r="G44" s="239">
        <v>67188</v>
      </c>
      <c r="H44" s="239">
        <v>0</v>
      </c>
      <c r="I44" s="239">
        <v>67188</v>
      </c>
      <c r="J44" s="239">
        <v>0</v>
      </c>
      <c r="K44" s="239">
        <v>0</v>
      </c>
      <c r="L44" s="239">
        <v>0</v>
      </c>
      <c r="M44" s="239">
        <v>-171690</v>
      </c>
      <c r="N44" s="239">
        <v>0</v>
      </c>
      <c r="O44" s="239">
        <v>-171690</v>
      </c>
      <c r="P44" s="239">
        <v>-104502</v>
      </c>
      <c r="Q44" s="239">
        <v>0</v>
      </c>
      <c r="R44" s="239">
        <v>-104502</v>
      </c>
      <c r="S44" s="239">
        <v>-1676278</v>
      </c>
      <c r="T44" s="239">
        <v>-12854</v>
      </c>
      <c r="U44" s="239">
        <v>-1689132</v>
      </c>
      <c r="V44" s="239">
        <v>-3545</v>
      </c>
      <c r="W44" s="239">
        <v>0</v>
      </c>
      <c r="X44" s="239">
        <v>-3545</v>
      </c>
      <c r="Y44" s="239">
        <v>-117610</v>
      </c>
      <c r="Z44" s="239">
        <v>-5112</v>
      </c>
      <c r="AA44" s="239">
        <v>-122722</v>
      </c>
      <c r="AB44" s="239">
        <v>68203</v>
      </c>
      <c r="AC44" s="239">
        <v>0</v>
      </c>
      <c r="AD44" s="239">
        <v>68203</v>
      </c>
      <c r="AE44" s="239">
        <v>0</v>
      </c>
      <c r="AF44" s="239">
        <v>0</v>
      </c>
      <c r="AG44" s="239">
        <v>0</v>
      </c>
      <c r="AH44" s="239">
        <v>633460</v>
      </c>
      <c r="AI44" s="239">
        <v>22985</v>
      </c>
      <c r="AJ44" s="239">
        <v>656445</v>
      </c>
      <c r="AK44" s="239">
        <v>-9556</v>
      </c>
      <c r="AL44" s="239">
        <v>385</v>
      </c>
      <c r="AM44" s="239">
        <v>-9171</v>
      </c>
      <c r="AN44" s="239">
        <v>-1121995</v>
      </c>
      <c r="AO44" s="239">
        <v>0</v>
      </c>
      <c r="AP44" s="239">
        <v>-1121995</v>
      </c>
      <c r="AQ44" s="239">
        <v>78107</v>
      </c>
      <c r="AR44" s="239">
        <v>0</v>
      </c>
      <c r="AS44" s="239">
        <v>78107</v>
      </c>
      <c r="AT44" s="239">
        <v>0</v>
      </c>
      <c r="AU44" s="239">
        <v>0</v>
      </c>
      <c r="AV44" s="239">
        <v>0</v>
      </c>
      <c r="AW44" s="239">
        <v>0</v>
      </c>
      <c r="AX44" s="239">
        <v>0</v>
      </c>
      <c r="AY44" s="239">
        <v>0</v>
      </c>
      <c r="AZ44" s="239">
        <v>-1954</v>
      </c>
      <c r="BA44" s="239">
        <v>0</v>
      </c>
      <c r="BB44" s="239">
        <v>-1954</v>
      </c>
      <c r="BC44" s="239">
        <v>1</v>
      </c>
      <c r="BD44" s="239">
        <v>0</v>
      </c>
      <c r="BE44" s="239">
        <v>1</v>
      </c>
      <c r="BF44" s="239">
        <v>-2215825</v>
      </c>
      <c r="BG44" s="239">
        <v>5404</v>
      </c>
      <c r="BH44" s="239">
        <v>-2210421</v>
      </c>
      <c r="BI44" s="239">
        <v>0</v>
      </c>
      <c r="BJ44" s="239">
        <v>0</v>
      </c>
      <c r="BK44" s="239">
        <v>0</v>
      </c>
      <c r="BL44" s="239">
        <v>-49692</v>
      </c>
      <c r="BM44" s="239">
        <v>0</v>
      </c>
      <c r="BN44" s="239">
        <v>-49692</v>
      </c>
      <c r="BO44" s="239">
        <v>-556308</v>
      </c>
      <c r="BP44" s="239">
        <v>-277726</v>
      </c>
      <c r="BQ44" s="239">
        <v>-834034</v>
      </c>
      <c r="BR44" s="239">
        <v>184032</v>
      </c>
      <c r="BS44" s="239">
        <v>-55092</v>
      </c>
      <c r="BT44" s="239">
        <v>128940</v>
      </c>
      <c r="BU44" s="239">
        <v>-421968</v>
      </c>
      <c r="BV44" s="239">
        <v>-332818</v>
      </c>
      <c r="BW44" s="239">
        <v>-754786</v>
      </c>
      <c r="BX44" s="239">
        <v>-91269</v>
      </c>
      <c r="BY44" s="239">
        <v>0</v>
      </c>
      <c r="BZ44" s="239">
        <v>-91269</v>
      </c>
      <c r="CA44" s="239">
        <v>-773</v>
      </c>
      <c r="CB44" s="239">
        <v>0</v>
      </c>
      <c r="CC44" s="239">
        <v>-773</v>
      </c>
      <c r="CD44" s="239">
        <v>-12696</v>
      </c>
      <c r="CE44" s="239">
        <v>0</v>
      </c>
      <c r="CF44" s="239">
        <v>-12696</v>
      </c>
      <c r="CG44" s="239">
        <v>0</v>
      </c>
      <c r="CH44" s="239">
        <v>0</v>
      </c>
      <c r="CI44" s="239">
        <v>0</v>
      </c>
      <c r="CJ44" s="239">
        <v>0</v>
      </c>
      <c r="CK44" s="239">
        <v>0</v>
      </c>
      <c r="CL44" s="239">
        <v>0</v>
      </c>
      <c r="CM44" s="239">
        <v>0</v>
      </c>
      <c r="CN44" s="239">
        <v>0</v>
      </c>
      <c r="CO44" s="239">
        <v>0</v>
      </c>
      <c r="CP44" s="239">
        <v>-1954</v>
      </c>
      <c r="CQ44" s="239">
        <v>0</v>
      </c>
      <c r="CR44" s="239">
        <v>-1954</v>
      </c>
      <c r="CS44" s="239">
        <v>1</v>
      </c>
      <c r="CT44" s="239">
        <v>0</v>
      </c>
      <c r="CU44" s="239">
        <v>1</v>
      </c>
      <c r="CV44" s="239">
        <v>0</v>
      </c>
      <c r="CW44" s="239">
        <v>0</v>
      </c>
      <c r="CX44" s="239">
        <v>0</v>
      </c>
      <c r="CY44" s="239">
        <v>0</v>
      </c>
      <c r="CZ44" s="239">
        <v>0</v>
      </c>
      <c r="DA44" s="239">
        <v>0</v>
      </c>
      <c r="DB44" s="239">
        <v>0</v>
      </c>
      <c r="DC44" s="239">
        <v>-38611</v>
      </c>
      <c r="DD44" s="239">
        <v>-38611</v>
      </c>
      <c r="DE44" s="239">
        <v>0</v>
      </c>
      <c r="DF44" s="239">
        <v>0</v>
      </c>
      <c r="DG44" s="239">
        <v>0</v>
      </c>
      <c r="DH44" s="239">
        <v>-38611</v>
      </c>
      <c r="DI44" s="239">
        <v>0</v>
      </c>
      <c r="DJ44" s="239">
        <v>-106691</v>
      </c>
      <c r="DK44" s="239">
        <v>-38611</v>
      </c>
      <c r="DL44" s="239">
        <v>-145302</v>
      </c>
      <c r="DM44" s="239">
        <v>-3110</v>
      </c>
      <c r="DN44" s="239">
        <v>0</v>
      </c>
      <c r="DO44" s="239">
        <v>-3110</v>
      </c>
      <c r="DP44" s="239">
        <v>0</v>
      </c>
      <c r="DQ44" s="239">
        <v>0</v>
      </c>
      <c r="DR44" s="239">
        <v>0</v>
      </c>
      <c r="DS44" s="239">
        <v>0</v>
      </c>
      <c r="DT44" s="239">
        <v>0</v>
      </c>
      <c r="DU44" s="239">
        <v>0</v>
      </c>
      <c r="DV44" s="239">
        <v>0</v>
      </c>
      <c r="DW44" s="239">
        <v>0</v>
      </c>
      <c r="DX44" s="239">
        <v>0</v>
      </c>
      <c r="DY44" s="239">
        <v>-217652</v>
      </c>
      <c r="DZ44" s="239">
        <v>0</v>
      </c>
      <c r="EA44" s="239">
        <v>-217652</v>
      </c>
      <c r="EB44" s="239">
        <v>-23553</v>
      </c>
      <c r="EC44" s="239">
        <v>0</v>
      </c>
      <c r="ED44" s="239">
        <v>-23553</v>
      </c>
      <c r="EE44" s="239">
        <v>0</v>
      </c>
      <c r="EF44" s="239">
        <v>0</v>
      </c>
      <c r="EG44" s="239">
        <v>0</v>
      </c>
      <c r="EH44" s="239">
        <v>0</v>
      </c>
      <c r="EI44" s="239">
        <v>0</v>
      </c>
      <c r="EJ44" s="239">
        <v>0</v>
      </c>
      <c r="EK44" s="239">
        <v>0</v>
      </c>
      <c r="EL44" s="239">
        <v>0</v>
      </c>
      <c r="EM44" s="239">
        <v>0</v>
      </c>
      <c r="EN44" s="239">
        <v>-244315</v>
      </c>
      <c r="EO44" s="239">
        <v>0</v>
      </c>
      <c r="EP44" s="239">
        <v>-244315</v>
      </c>
      <c r="EQ44" s="239">
        <v>0</v>
      </c>
      <c r="ER44" s="239">
        <v>0</v>
      </c>
      <c r="ES44" s="239">
        <v>0</v>
      </c>
      <c r="ET44" s="239">
        <v>0</v>
      </c>
      <c r="EU44" s="239">
        <v>0</v>
      </c>
      <c r="EV44" s="239">
        <v>0</v>
      </c>
      <c r="EW44" s="239">
        <v>0</v>
      </c>
      <c r="EX44" s="239">
        <v>0</v>
      </c>
      <c r="EY44" s="239">
        <v>0</v>
      </c>
      <c r="EZ44" s="239">
        <v>27766861</v>
      </c>
      <c r="FA44" s="239">
        <v>926846</v>
      </c>
      <c r="FB44" s="239">
        <v>28693707</v>
      </c>
      <c r="FC44" s="239">
        <v>-104502</v>
      </c>
      <c r="FD44" s="239">
        <v>0</v>
      </c>
      <c r="FE44" s="239">
        <v>-104502</v>
      </c>
      <c r="FF44" s="239">
        <v>-2215825</v>
      </c>
      <c r="FG44" s="239">
        <v>5404</v>
      </c>
      <c r="FH44" s="239">
        <v>-2210421</v>
      </c>
      <c r="FI44" s="239">
        <v>-421968</v>
      </c>
      <c r="FJ44" s="239">
        <v>-332818</v>
      </c>
      <c r="FK44" s="239">
        <v>-754786</v>
      </c>
      <c r="FL44" s="239">
        <v>-106691</v>
      </c>
      <c r="FM44" s="239">
        <v>-38611</v>
      </c>
      <c r="FN44" s="239">
        <v>-145302</v>
      </c>
      <c r="FO44" s="239">
        <v>-244315</v>
      </c>
      <c r="FP44" s="239">
        <v>0</v>
      </c>
      <c r="FQ44" s="239">
        <v>-244315</v>
      </c>
      <c r="FR44" s="239">
        <v>0</v>
      </c>
      <c r="FS44" s="239">
        <v>0</v>
      </c>
      <c r="FT44" s="239">
        <v>0</v>
      </c>
      <c r="FU44" s="239">
        <v>-3093301</v>
      </c>
      <c r="FV44" s="239">
        <v>-366025</v>
      </c>
      <c r="FW44" s="239">
        <v>-3459326</v>
      </c>
      <c r="FX44" s="239">
        <v>24673560</v>
      </c>
      <c r="FY44" s="239">
        <v>560821</v>
      </c>
      <c r="FZ44" s="239">
        <v>25234381</v>
      </c>
      <c r="GA44" s="214" t="s">
        <v>1294</v>
      </c>
    </row>
    <row r="45" spans="1:183" s="214" customFormat="1" x14ac:dyDescent="0.2">
      <c r="B45" s="610" t="s">
        <v>173</v>
      </c>
      <c r="C45" s="610" t="s">
        <v>172</v>
      </c>
      <c r="D45" s="239">
        <v>0</v>
      </c>
      <c r="E45" s="239">
        <v>0</v>
      </c>
      <c r="F45" s="239">
        <v>0</v>
      </c>
      <c r="G45" s="239">
        <v>70554</v>
      </c>
      <c r="H45" s="239">
        <v>0</v>
      </c>
      <c r="I45" s="239">
        <v>70554</v>
      </c>
      <c r="J45" s="239">
        <v>0</v>
      </c>
      <c r="K45" s="239">
        <v>0</v>
      </c>
      <c r="L45" s="239">
        <v>0</v>
      </c>
      <c r="M45" s="239">
        <v>16526</v>
      </c>
      <c r="N45" s="239">
        <v>0</v>
      </c>
      <c r="O45" s="239">
        <v>16526</v>
      </c>
      <c r="P45" s="239">
        <v>87080</v>
      </c>
      <c r="Q45" s="239">
        <v>0</v>
      </c>
      <c r="R45" s="239">
        <v>87080</v>
      </c>
      <c r="S45" s="239">
        <v>-2742128</v>
      </c>
      <c r="T45" s="239">
        <v>0</v>
      </c>
      <c r="U45" s="239">
        <v>-2742128</v>
      </c>
      <c r="V45" s="239">
        <v>-12961</v>
      </c>
      <c r="W45" s="239">
        <v>0</v>
      </c>
      <c r="X45" s="239">
        <v>-12961</v>
      </c>
      <c r="Y45" s="239">
        <v>-65854</v>
      </c>
      <c r="Z45" s="239">
        <v>0</v>
      </c>
      <c r="AA45" s="239">
        <v>-65854</v>
      </c>
      <c r="AB45" s="239">
        <v>-44191</v>
      </c>
      <c r="AC45" s="239">
        <v>0</v>
      </c>
      <c r="AD45" s="239">
        <v>-44191</v>
      </c>
      <c r="AE45" s="239">
        <v>2749</v>
      </c>
      <c r="AF45" s="239">
        <v>0</v>
      </c>
      <c r="AG45" s="239">
        <v>2749</v>
      </c>
      <c r="AH45" s="239">
        <v>788270</v>
      </c>
      <c r="AI45" s="239">
        <v>0</v>
      </c>
      <c r="AJ45" s="239">
        <v>788270</v>
      </c>
      <c r="AK45" s="239">
        <v>49346</v>
      </c>
      <c r="AL45" s="239">
        <v>0</v>
      </c>
      <c r="AM45" s="239">
        <v>49346</v>
      </c>
      <c r="AN45" s="239">
        <v>-2253671</v>
      </c>
      <c r="AO45" s="239">
        <v>0</v>
      </c>
      <c r="AP45" s="239">
        <v>-2253671</v>
      </c>
      <c r="AQ45" s="239">
        <v>-4046</v>
      </c>
      <c r="AR45" s="239">
        <v>0</v>
      </c>
      <c r="AS45" s="239">
        <v>-4046</v>
      </c>
      <c r="AT45" s="239">
        <v>-27647</v>
      </c>
      <c r="AU45" s="239">
        <v>0</v>
      </c>
      <c r="AV45" s="239">
        <v>-27647</v>
      </c>
      <c r="AW45" s="239">
        <v>0</v>
      </c>
      <c r="AX45" s="239">
        <v>0</v>
      </c>
      <c r="AY45" s="239">
        <v>0</v>
      </c>
      <c r="AZ45" s="239">
        <v>-3175</v>
      </c>
      <c r="BA45" s="239">
        <v>0</v>
      </c>
      <c r="BB45" s="239">
        <v>-3175</v>
      </c>
      <c r="BC45" s="239">
        <v>0</v>
      </c>
      <c r="BD45" s="239">
        <v>0</v>
      </c>
      <c r="BE45" s="239">
        <v>0</v>
      </c>
      <c r="BF45" s="239">
        <v>-4258905</v>
      </c>
      <c r="BG45" s="239">
        <v>0</v>
      </c>
      <c r="BH45" s="239">
        <v>-4258905</v>
      </c>
      <c r="BI45" s="239">
        <v>-11130</v>
      </c>
      <c r="BJ45" s="239">
        <v>0</v>
      </c>
      <c r="BK45" s="239">
        <v>-11130</v>
      </c>
      <c r="BL45" s="239">
        <v>-40231</v>
      </c>
      <c r="BM45" s="239">
        <v>0</v>
      </c>
      <c r="BN45" s="239">
        <v>-40231</v>
      </c>
      <c r="BO45" s="239">
        <v>-1360071</v>
      </c>
      <c r="BP45" s="239">
        <v>0</v>
      </c>
      <c r="BQ45" s="239">
        <v>-1360071</v>
      </c>
      <c r="BR45" s="239">
        <v>-165801</v>
      </c>
      <c r="BS45" s="239">
        <v>0</v>
      </c>
      <c r="BT45" s="239">
        <v>-165801</v>
      </c>
      <c r="BU45" s="239">
        <v>-1577233</v>
      </c>
      <c r="BV45" s="239">
        <v>0</v>
      </c>
      <c r="BW45" s="239">
        <v>-1577233</v>
      </c>
      <c r="BX45" s="239">
        <v>-85052</v>
      </c>
      <c r="BY45" s="239">
        <v>0</v>
      </c>
      <c r="BZ45" s="239">
        <v>-85052</v>
      </c>
      <c r="CA45" s="239">
        <v>-1162</v>
      </c>
      <c r="CB45" s="239">
        <v>0</v>
      </c>
      <c r="CC45" s="239">
        <v>-1162</v>
      </c>
      <c r="CD45" s="239">
        <v>-75361</v>
      </c>
      <c r="CE45" s="239">
        <v>0</v>
      </c>
      <c r="CF45" s="239">
        <v>-75361</v>
      </c>
      <c r="CG45" s="239">
        <v>942</v>
      </c>
      <c r="CH45" s="239">
        <v>0</v>
      </c>
      <c r="CI45" s="239">
        <v>942</v>
      </c>
      <c r="CJ45" s="239">
        <v>0</v>
      </c>
      <c r="CK45" s="239">
        <v>0</v>
      </c>
      <c r="CL45" s="239">
        <v>0</v>
      </c>
      <c r="CM45" s="239">
        <v>0</v>
      </c>
      <c r="CN45" s="239">
        <v>0</v>
      </c>
      <c r="CO45" s="239">
        <v>0</v>
      </c>
      <c r="CP45" s="239">
        <v>0</v>
      </c>
      <c r="CQ45" s="239">
        <v>0</v>
      </c>
      <c r="CR45" s="239">
        <v>0</v>
      </c>
      <c r="CS45" s="239">
        <v>0</v>
      </c>
      <c r="CT45" s="239">
        <v>0</v>
      </c>
      <c r="CU45" s="239">
        <v>0</v>
      </c>
      <c r="CV45" s="239">
        <v>0</v>
      </c>
      <c r="CW45" s="239">
        <v>0</v>
      </c>
      <c r="CX45" s="239">
        <v>0</v>
      </c>
      <c r="CY45" s="239">
        <v>0</v>
      </c>
      <c r="CZ45" s="239">
        <v>0</v>
      </c>
      <c r="DA45" s="239">
        <v>0</v>
      </c>
      <c r="DB45" s="239">
        <v>-62837</v>
      </c>
      <c r="DC45" s="239">
        <v>0</v>
      </c>
      <c r="DD45" s="239">
        <v>-62837</v>
      </c>
      <c r="DE45" s="239">
        <v>215</v>
      </c>
      <c r="DF45" s="239">
        <v>0</v>
      </c>
      <c r="DG45" s="239">
        <v>215</v>
      </c>
      <c r="DH45" s="239">
        <v>0</v>
      </c>
      <c r="DI45" s="239">
        <v>0</v>
      </c>
      <c r="DJ45" s="239">
        <v>-223255</v>
      </c>
      <c r="DK45" s="239">
        <v>0</v>
      </c>
      <c r="DL45" s="239">
        <v>-223255</v>
      </c>
      <c r="DM45" s="239">
        <v>0</v>
      </c>
      <c r="DN45" s="239">
        <v>0</v>
      </c>
      <c r="DO45" s="239">
        <v>0</v>
      </c>
      <c r="DP45" s="239">
        <v>0</v>
      </c>
      <c r="DQ45" s="239">
        <v>0</v>
      </c>
      <c r="DR45" s="239">
        <v>0</v>
      </c>
      <c r="DS45" s="239">
        <v>-20034</v>
      </c>
      <c r="DT45" s="239">
        <v>0</v>
      </c>
      <c r="DU45" s="239">
        <v>-20034</v>
      </c>
      <c r="DV45" s="239">
        <v>945</v>
      </c>
      <c r="DW45" s="239">
        <v>0</v>
      </c>
      <c r="DX45" s="239">
        <v>945</v>
      </c>
      <c r="DY45" s="239">
        <v>-493678</v>
      </c>
      <c r="DZ45" s="239">
        <v>0</v>
      </c>
      <c r="EA45" s="239">
        <v>-493678</v>
      </c>
      <c r="EB45" s="239">
        <v>-13670</v>
      </c>
      <c r="EC45" s="239">
        <v>0</v>
      </c>
      <c r="ED45" s="239">
        <v>-13670</v>
      </c>
      <c r="EE45" s="239">
        <v>-55788</v>
      </c>
      <c r="EF45" s="239">
        <v>0</v>
      </c>
      <c r="EG45" s="239">
        <v>-55788</v>
      </c>
      <c r="EH45" s="239">
        <v>0</v>
      </c>
      <c r="EI45" s="239">
        <v>0</v>
      </c>
      <c r="EJ45" s="239">
        <v>0</v>
      </c>
      <c r="EK45" s="239">
        <v>0</v>
      </c>
      <c r="EL45" s="239">
        <v>0</v>
      </c>
      <c r="EM45" s="239">
        <v>0</v>
      </c>
      <c r="EN45" s="239">
        <v>-582225</v>
      </c>
      <c r="EO45" s="239">
        <v>0</v>
      </c>
      <c r="EP45" s="239">
        <v>-582225</v>
      </c>
      <c r="EQ45" s="239">
        <v>0</v>
      </c>
      <c r="ER45" s="239">
        <v>0</v>
      </c>
      <c r="ES45" s="239">
        <v>0</v>
      </c>
      <c r="ET45" s="239">
        <v>0</v>
      </c>
      <c r="EU45" s="239">
        <v>0</v>
      </c>
      <c r="EV45" s="239">
        <v>0</v>
      </c>
      <c r="EW45" s="239">
        <v>0</v>
      </c>
      <c r="EX45" s="239">
        <v>0</v>
      </c>
      <c r="EY45" s="239">
        <v>0</v>
      </c>
      <c r="EZ45" s="239">
        <v>34707102</v>
      </c>
      <c r="FA45" s="239">
        <v>0</v>
      </c>
      <c r="FB45" s="239">
        <v>34707102</v>
      </c>
      <c r="FC45" s="239">
        <v>87080</v>
      </c>
      <c r="FD45" s="239">
        <v>0</v>
      </c>
      <c r="FE45" s="239">
        <v>87080</v>
      </c>
      <c r="FF45" s="239">
        <v>-4258905</v>
      </c>
      <c r="FG45" s="239">
        <v>0</v>
      </c>
      <c r="FH45" s="239">
        <v>-4258905</v>
      </c>
      <c r="FI45" s="239">
        <v>-1577233</v>
      </c>
      <c r="FJ45" s="239">
        <v>0</v>
      </c>
      <c r="FK45" s="239">
        <v>-1577233</v>
      </c>
      <c r="FL45" s="239">
        <v>-223255</v>
      </c>
      <c r="FM45" s="239">
        <v>0</v>
      </c>
      <c r="FN45" s="239">
        <v>-223255</v>
      </c>
      <c r="FO45" s="239">
        <v>-582225</v>
      </c>
      <c r="FP45" s="239">
        <v>0</v>
      </c>
      <c r="FQ45" s="239">
        <v>-582225</v>
      </c>
      <c r="FR45" s="239">
        <v>0</v>
      </c>
      <c r="FS45" s="239">
        <v>0</v>
      </c>
      <c r="FT45" s="239">
        <v>0</v>
      </c>
      <c r="FU45" s="239">
        <v>-6554538</v>
      </c>
      <c r="FV45" s="239">
        <v>0</v>
      </c>
      <c r="FW45" s="239">
        <v>-6554538</v>
      </c>
      <c r="FX45" s="239">
        <v>28152564</v>
      </c>
      <c r="FY45" s="239">
        <v>0</v>
      </c>
      <c r="FZ45" s="239">
        <v>28152564</v>
      </c>
      <c r="GA45" s="214" t="s">
        <v>1294</v>
      </c>
    </row>
    <row r="46" spans="1:183" s="214" customFormat="1" x14ac:dyDescent="0.2">
      <c r="B46" s="610" t="s">
        <v>175</v>
      </c>
      <c r="C46" s="610" t="s">
        <v>174</v>
      </c>
      <c r="D46" s="239">
        <v>0</v>
      </c>
      <c r="E46" s="239">
        <v>0</v>
      </c>
      <c r="F46" s="239">
        <v>0</v>
      </c>
      <c r="G46" s="239">
        <v>-75864</v>
      </c>
      <c r="H46" s="239">
        <v>0</v>
      </c>
      <c r="I46" s="239">
        <v>-75864</v>
      </c>
      <c r="J46" s="239">
        <v>0</v>
      </c>
      <c r="K46" s="239">
        <v>0</v>
      </c>
      <c r="L46" s="239">
        <v>0</v>
      </c>
      <c r="M46" s="239">
        <v>-419542</v>
      </c>
      <c r="N46" s="239">
        <v>0</v>
      </c>
      <c r="O46" s="239">
        <v>-419542</v>
      </c>
      <c r="P46" s="239">
        <v>-495406</v>
      </c>
      <c r="Q46" s="239">
        <v>0</v>
      </c>
      <c r="R46" s="239">
        <v>-495406</v>
      </c>
      <c r="S46" s="239">
        <v>-4954864</v>
      </c>
      <c r="T46" s="239">
        <v>0</v>
      </c>
      <c r="U46" s="239">
        <v>-4954864</v>
      </c>
      <c r="V46" s="239">
        <v>-22621</v>
      </c>
      <c r="W46" s="239">
        <v>0</v>
      </c>
      <c r="X46" s="239">
        <v>-22621</v>
      </c>
      <c r="Y46" s="239">
        <v>-198050</v>
      </c>
      <c r="Z46" s="239">
        <v>0</v>
      </c>
      <c r="AA46" s="239">
        <v>-198050</v>
      </c>
      <c r="AB46" s="239">
        <v>-152536</v>
      </c>
      <c r="AC46" s="239">
        <v>0</v>
      </c>
      <c r="AD46" s="239">
        <v>-152536</v>
      </c>
      <c r="AE46" s="239">
        <v>0</v>
      </c>
      <c r="AF46" s="239">
        <v>0</v>
      </c>
      <c r="AG46" s="239">
        <v>0</v>
      </c>
      <c r="AH46" s="239">
        <v>1347512</v>
      </c>
      <c r="AI46" s="239">
        <v>0</v>
      </c>
      <c r="AJ46" s="239">
        <v>1347512</v>
      </c>
      <c r="AK46" s="239">
        <v>-54168</v>
      </c>
      <c r="AL46" s="239">
        <v>0</v>
      </c>
      <c r="AM46" s="239">
        <v>-54168</v>
      </c>
      <c r="AN46" s="239">
        <v>-2319425</v>
      </c>
      <c r="AO46" s="239">
        <v>0</v>
      </c>
      <c r="AP46" s="239">
        <v>-2319425</v>
      </c>
      <c r="AQ46" s="239">
        <v>-20077</v>
      </c>
      <c r="AR46" s="239">
        <v>0</v>
      </c>
      <c r="AS46" s="239">
        <v>-20077</v>
      </c>
      <c r="AT46" s="239">
        <v>-91440</v>
      </c>
      <c r="AU46" s="239">
        <v>0</v>
      </c>
      <c r="AV46" s="239">
        <v>-91440</v>
      </c>
      <c r="AW46" s="239">
        <v>0</v>
      </c>
      <c r="AX46" s="239">
        <v>0</v>
      </c>
      <c r="AY46" s="239">
        <v>0</v>
      </c>
      <c r="AZ46" s="239">
        <v>-1553</v>
      </c>
      <c r="BA46" s="239">
        <v>0</v>
      </c>
      <c r="BB46" s="239">
        <v>-1553</v>
      </c>
      <c r="BC46" s="239">
        <v>0</v>
      </c>
      <c r="BD46" s="239">
        <v>0</v>
      </c>
      <c r="BE46" s="239">
        <v>0</v>
      </c>
      <c r="BF46" s="239">
        <v>-6292065</v>
      </c>
      <c r="BG46" s="239">
        <v>0</v>
      </c>
      <c r="BH46" s="239">
        <v>-6292065</v>
      </c>
      <c r="BI46" s="239">
        <v>-1736</v>
      </c>
      <c r="BJ46" s="239">
        <v>0</v>
      </c>
      <c r="BK46" s="239">
        <v>-1736</v>
      </c>
      <c r="BL46" s="239">
        <v>-54863</v>
      </c>
      <c r="BM46" s="239">
        <v>0</v>
      </c>
      <c r="BN46" s="239">
        <v>-54863</v>
      </c>
      <c r="BO46" s="239">
        <v>-1700816</v>
      </c>
      <c r="BP46" s="239">
        <v>0</v>
      </c>
      <c r="BQ46" s="239">
        <v>-1700816</v>
      </c>
      <c r="BR46" s="239">
        <v>-102228</v>
      </c>
      <c r="BS46" s="239">
        <v>0</v>
      </c>
      <c r="BT46" s="239">
        <v>-102228</v>
      </c>
      <c r="BU46" s="239">
        <v>-1859643</v>
      </c>
      <c r="BV46" s="239">
        <v>0</v>
      </c>
      <c r="BW46" s="239">
        <v>-1859643</v>
      </c>
      <c r="BX46" s="239">
        <v>-323203</v>
      </c>
      <c r="BY46" s="239">
        <v>0</v>
      </c>
      <c r="BZ46" s="239">
        <v>-323203</v>
      </c>
      <c r="CA46" s="239">
        <v>9884</v>
      </c>
      <c r="CB46" s="239">
        <v>0</v>
      </c>
      <c r="CC46" s="239">
        <v>9884</v>
      </c>
      <c r="CD46" s="239">
        <v>-76317</v>
      </c>
      <c r="CE46" s="239">
        <v>0</v>
      </c>
      <c r="CF46" s="239">
        <v>-76317</v>
      </c>
      <c r="CG46" s="239">
        <v>-13838</v>
      </c>
      <c r="CH46" s="239">
        <v>0</v>
      </c>
      <c r="CI46" s="239">
        <v>-13838</v>
      </c>
      <c r="CJ46" s="239">
        <v>-22860</v>
      </c>
      <c r="CK46" s="239">
        <v>0</v>
      </c>
      <c r="CL46" s="239">
        <v>-22860</v>
      </c>
      <c r="CM46" s="239">
        <v>0</v>
      </c>
      <c r="CN46" s="239">
        <v>0</v>
      </c>
      <c r="CO46" s="239">
        <v>0</v>
      </c>
      <c r="CP46" s="239">
        <v>-1553</v>
      </c>
      <c r="CQ46" s="239">
        <v>0</v>
      </c>
      <c r="CR46" s="239">
        <v>-1553</v>
      </c>
      <c r="CS46" s="239">
        <v>0</v>
      </c>
      <c r="CT46" s="239">
        <v>0</v>
      </c>
      <c r="CU46" s="239">
        <v>0</v>
      </c>
      <c r="CV46" s="239">
        <v>0</v>
      </c>
      <c r="CW46" s="239">
        <v>0</v>
      </c>
      <c r="CX46" s="239">
        <v>0</v>
      </c>
      <c r="CY46" s="239">
        <v>0</v>
      </c>
      <c r="CZ46" s="239">
        <v>0</v>
      </c>
      <c r="DA46" s="239">
        <v>0</v>
      </c>
      <c r="DB46" s="239">
        <v>0</v>
      </c>
      <c r="DC46" s="239">
        <v>0</v>
      </c>
      <c r="DD46" s="239">
        <v>0</v>
      </c>
      <c r="DE46" s="239">
        <v>0</v>
      </c>
      <c r="DF46" s="239">
        <v>0</v>
      </c>
      <c r="DG46" s="239">
        <v>0</v>
      </c>
      <c r="DH46" s="239">
        <v>0</v>
      </c>
      <c r="DI46" s="239">
        <v>0</v>
      </c>
      <c r="DJ46" s="239">
        <v>-427887</v>
      </c>
      <c r="DK46" s="239">
        <v>0</v>
      </c>
      <c r="DL46" s="239">
        <v>-427887</v>
      </c>
      <c r="DM46" s="239">
        <v>0</v>
      </c>
      <c r="DN46" s="239">
        <v>0</v>
      </c>
      <c r="DO46" s="239">
        <v>0</v>
      </c>
      <c r="DP46" s="239">
        <v>0</v>
      </c>
      <c r="DQ46" s="239">
        <v>0</v>
      </c>
      <c r="DR46" s="239">
        <v>0</v>
      </c>
      <c r="DS46" s="239">
        <v>-27157</v>
      </c>
      <c r="DT46" s="239">
        <v>0</v>
      </c>
      <c r="DU46" s="239">
        <v>-27157</v>
      </c>
      <c r="DV46" s="239">
        <v>-8097</v>
      </c>
      <c r="DW46" s="239">
        <v>0</v>
      </c>
      <c r="DX46" s="239">
        <v>-8097</v>
      </c>
      <c r="DY46" s="239">
        <v>-1081305</v>
      </c>
      <c r="DZ46" s="239">
        <v>0</v>
      </c>
      <c r="EA46" s="239">
        <v>-1081305</v>
      </c>
      <c r="EB46" s="239">
        <v>-4109</v>
      </c>
      <c r="EC46" s="239">
        <v>0</v>
      </c>
      <c r="ED46" s="239">
        <v>-4109</v>
      </c>
      <c r="EE46" s="239">
        <v>-64338</v>
      </c>
      <c r="EF46" s="239">
        <v>0</v>
      </c>
      <c r="EG46" s="239">
        <v>-64338</v>
      </c>
      <c r="EH46" s="239">
        <v>0</v>
      </c>
      <c r="EI46" s="239">
        <v>0</v>
      </c>
      <c r="EJ46" s="239">
        <v>0</v>
      </c>
      <c r="EK46" s="239">
        <v>-22110</v>
      </c>
      <c r="EL46" s="239">
        <v>0</v>
      </c>
      <c r="EM46" s="239">
        <v>-22110</v>
      </c>
      <c r="EN46" s="239">
        <v>-1207116</v>
      </c>
      <c r="EO46" s="239">
        <v>0</v>
      </c>
      <c r="EP46" s="239">
        <v>-1207116</v>
      </c>
      <c r="EQ46" s="239">
        <v>0</v>
      </c>
      <c r="ER46" s="239">
        <v>0</v>
      </c>
      <c r="ES46" s="239">
        <v>0</v>
      </c>
      <c r="ET46" s="239">
        <v>0</v>
      </c>
      <c r="EU46" s="239">
        <v>0</v>
      </c>
      <c r="EV46" s="239">
        <v>0</v>
      </c>
      <c r="EW46" s="239">
        <v>0</v>
      </c>
      <c r="EX46" s="239">
        <v>0</v>
      </c>
      <c r="EY46" s="239">
        <v>0</v>
      </c>
      <c r="EZ46" s="239">
        <v>59746204</v>
      </c>
      <c r="FA46" s="239">
        <v>0</v>
      </c>
      <c r="FB46" s="239">
        <v>59746204</v>
      </c>
      <c r="FC46" s="239">
        <v>-495406</v>
      </c>
      <c r="FD46" s="239">
        <v>0</v>
      </c>
      <c r="FE46" s="239">
        <v>-495406</v>
      </c>
      <c r="FF46" s="239">
        <v>-6292065</v>
      </c>
      <c r="FG46" s="239">
        <v>0</v>
      </c>
      <c r="FH46" s="239">
        <v>-6292065</v>
      </c>
      <c r="FI46" s="239">
        <v>-1859643</v>
      </c>
      <c r="FJ46" s="239">
        <v>0</v>
      </c>
      <c r="FK46" s="239">
        <v>-1859643</v>
      </c>
      <c r="FL46" s="239">
        <v>-427887</v>
      </c>
      <c r="FM46" s="239">
        <v>0</v>
      </c>
      <c r="FN46" s="239">
        <v>-427887</v>
      </c>
      <c r="FO46" s="239">
        <v>-1207116</v>
      </c>
      <c r="FP46" s="239">
        <v>0</v>
      </c>
      <c r="FQ46" s="239">
        <v>-1207116</v>
      </c>
      <c r="FR46" s="239">
        <v>0</v>
      </c>
      <c r="FS46" s="239">
        <v>0</v>
      </c>
      <c r="FT46" s="239">
        <v>0</v>
      </c>
      <c r="FU46" s="239">
        <v>-10282117</v>
      </c>
      <c r="FV46" s="239">
        <v>0</v>
      </c>
      <c r="FW46" s="239">
        <v>-10282117</v>
      </c>
      <c r="FX46" s="239">
        <v>49464087</v>
      </c>
      <c r="FY46" s="239">
        <v>0</v>
      </c>
      <c r="FZ46" s="239">
        <v>49464087</v>
      </c>
      <c r="GA46" s="214" t="s">
        <v>1296</v>
      </c>
    </row>
    <row r="47" spans="1:183" s="214" customFormat="1" x14ac:dyDescent="0.2">
      <c r="B47" s="610" t="s">
        <v>177</v>
      </c>
      <c r="C47" s="610" t="s">
        <v>176</v>
      </c>
      <c r="D47" s="239">
        <v>0</v>
      </c>
      <c r="E47" s="239">
        <v>0</v>
      </c>
      <c r="F47" s="239">
        <v>0</v>
      </c>
      <c r="G47" s="239">
        <v>-488113</v>
      </c>
      <c r="H47" s="239">
        <v>0</v>
      </c>
      <c r="I47" s="239">
        <v>-488113</v>
      </c>
      <c r="J47" s="239">
        <v>0</v>
      </c>
      <c r="K47" s="239">
        <v>0</v>
      </c>
      <c r="L47" s="239">
        <v>0</v>
      </c>
      <c r="M47" s="239">
        <v>-6923</v>
      </c>
      <c r="N47" s="239">
        <v>0</v>
      </c>
      <c r="O47" s="239">
        <v>-6923</v>
      </c>
      <c r="P47" s="239">
        <v>-495036</v>
      </c>
      <c r="Q47" s="239">
        <v>0</v>
      </c>
      <c r="R47" s="239">
        <v>-495036</v>
      </c>
      <c r="S47" s="239">
        <v>-6712528</v>
      </c>
      <c r="T47" s="239">
        <v>0</v>
      </c>
      <c r="U47" s="239">
        <v>-6712528</v>
      </c>
      <c r="V47" s="239">
        <v>0</v>
      </c>
      <c r="W47" s="239">
        <v>0</v>
      </c>
      <c r="X47" s="239">
        <v>0</v>
      </c>
      <c r="Y47" s="239">
        <v>-391619</v>
      </c>
      <c r="Z47" s="239">
        <v>0</v>
      </c>
      <c r="AA47" s="239">
        <v>-391619</v>
      </c>
      <c r="AB47" s="239">
        <v>-297288</v>
      </c>
      <c r="AC47" s="239">
        <v>0</v>
      </c>
      <c r="AD47" s="239">
        <v>-297288</v>
      </c>
      <c r="AE47" s="239">
        <v>0</v>
      </c>
      <c r="AF47" s="239">
        <v>0</v>
      </c>
      <c r="AG47" s="239">
        <v>0</v>
      </c>
      <c r="AH47" s="239">
        <v>1552605</v>
      </c>
      <c r="AI47" s="239">
        <v>0</v>
      </c>
      <c r="AJ47" s="239">
        <v>1552605</v>
      </c>
      <c r="AK47" s="239">
        <v>-32651</v>
      </c>
      <c r="AL47" s="239">
        <v>0</v>
      </c>
      <c r="AM47" s="239">
        <v>-32651</v>
      </c>
      <c r="AN47" s="239">
        <v>-3819980</v>
      </c>
      <c r="AO47" s="239">
        <v>0</v>
      </c>
      <c r="AP47" s="239">
        <v>-3819980</v>
      </c>
      <c r="AQ47" s="239">
        <v>-46819</v>
      </c>
      <c r="AR47" s="239">
        <v>0</v>
      </c>
      <c r="AS47" s="239">
        <v>-46819</v>
      </c>
      <c r="AT47" s="239">
        <v>-178975</v>
      </c>
      <c r="AU47" s="239">
        <v>0</v>
      </c>
      <c r="AV47" s="239">
        <v>-178975</v>
      </c>
      <c r="AW47" s="239">
        <v>-638</v>
      </c>
      <c r="AX47" s="239">
        <v>0</v>
      </c>
      <c r="AY47" s="239">
        <v>-638</v>
      </c>
      <c r="AZ47" s="239">
        <v>-9102</v>
      </c>
      <c r="BA47" s="239">
        <v>0</v>
      </c>
      <c r="BB47" s="239">
        <v>-9102</v>
      </c>
      <c r="BC47" s="239">
        <v>0</v>
      </c>
      <c r="BD47" s="239">
        <v>0</v>
      </c>
      <c r="BE47" s="239">
        <v>0</v>
      </c>
      <c r="BF47" s="239">
        <v>-9639707</v>
      </c>
      <c r="BG47" s="239">
        <v>0</v>
      </c>
      <c r="BH47" s="239">
        <v>-9639707</v>
      </c>
      <c r="BI47" s="239">
        <v>-14748</v>
      </c>
      <c r="BJ47" s="239">
        <v>0</v>
      </c>
      <c r="BK47" s="239">
        <v>-14748</v>
      </c>
      <c r="BL47" s="239">
        <v>-8745</v>
      </c>
      <c r="BM47" s="239">
        <v>0</v>
      </c>
      <c r="BN47" s="239">
        <v>-8745</v>
      </c>
      <c r="BO47" s="239">
        <v>-3108747</v>
      </c>
      <c r="BP47" s="239">
        <v>0</v>
      </c>
      <c r="BQ47" s="239">
        <v>-3108747</v>
      </c>
      <c r="BR47" s="239">
        <v>-247722</v>
      </c>
      <c r="BS47" s="239">
        <v>0</v>
      </c>
      <c r="BT47" s="239">
        <v>-247722</v>
      </c>
      <c r="BU47" s="239">
        <v>-3379962</v>
      </c>
      <c r="BV47" s="239">
        <v>0</v>
      </c>
      <c r="BW47" s="239">
        <v>-3379962</v>
      </c>
      <c r="BX47" s="239">
        <v>-192438</v>
      </c>
      <c r="BY47" s="239">
        <v>0</v>
      </c>
      <c r="BZ47" s="239">
        <v>-192438</v>
      </c>
      <c r="CA47" s="239">
        <v>-6826</v>
      </c>
      <c r="CB47" s="239">
        <v>0</v>
      </c>
      <c r="CC47" s="239">
        <v>-6826</v>
      </c>
      <c r="CD47" s="239">
        <v>-245845</v>
      </c>
      <c r="CE47" s="239">
        <v>0</v>
      </c>
      <c r="CF47" s="239">
        <v>-245845</v>
      </c>
      <c r="CG47" s="239">
        <v>21687</v>
      </c>
      <c r="CH47" s="239">
        <v>0</v>
      </c>
      <c r="CI47" s="239">
        <v>21687</v>
      </c>
      <c r="CJ47" s="239">
        <v>0</v>
      </c>
      <c r="CK47" s="239">
        <v>0</v>
      </c>
      <c r="CL47" s="239">
        <v>0</v>
      </c>
      <c r="CM47" s="239">
        <v>0</v>
      </c>
      <c r="CN47" s="239">
        <v>0</v>
      </c>
      <c r="CO47" s="239">
        <v>0</v>
      </c>
      <c r="CP47" s="239">
        <v>-5349</v>
      </c>
      <c r="CQ47" s="239">
        <v>0</v>
      </c>
      <c r="CR47" s="239">
        <v>-5349</v>
      </c>
      <c r="CS47" s="239">
        <v>-2809</v>
      </c>
      <c r="CT47" s="239">
        <v>0</v>
      </c>
      <c r="CU47" s="239">
        <v>-2809</v>
      </c>
      <c r="CV47" s="239">
        <v>0</v>
      </c>
      <c r="CW47" s="239">
        <v>0</v>
      </c>
      <c r="CX47" s="239">
        <v>0</v>
      </c>
      <c r="CY47" s="239">
        <v>0</v>
      </c>
      <c r="CZ47" s="239">
        <v>0</v>
      </c>
      <c r="DA47" s="239">
        <v>0</v>
      </c>
      <c r="DB47" s="239">
        <v>0</v>
      </c>
      <c r="DC47" s="239">
        <v>0</v>
      </c>
      <c r="DD47" s="239">
        <v>0</v>
      </c>
      <c r="DE47" s="239">
        <v>0</v>
      </c>
      <c r="DF47" s="239">
        <v>0</v>
      </c>
      <c r="DG47" s="239">
        <v>0</v>
      </c>
      <c r="DH47" s="239">
        <v>0</v>
      </c>
      <c r="DI47" s="239">
        <v>0</v>
      </c>
      <c r="DJ47" s="239">
        <v>-431580</v>
      </c>
      <c r="DK47" s="239">
        <v>0</v>
      </c>
      <c r="DL47" s="239">
        <v>-431580</v>
      </c>
      <c r="DM47" s="239">
        <v>0</v>
      </c>
      <c r="DN47" s="239">
        <v>0</v>
      </c>
      <c r="DO47" s="239">
        <v>0</v>
      </c>
      <c r="DP47" s="239">
        <v>0</v>
      </c>
      <c r="DQ47" s="239">
        <v>0</v>
      </c>
      <c r="DR47" s="239">
        <v>0</v>
      </c>
      <c r="DS47" s="239">
        <v>-11748</v>
      </c>
      <c r="DT47" s="239">
        <v>0</v>
      </c>
      <c r="DU47" s="239">
        <v>-11748</v>
      </c>
      <c r="DV47" s="239">
        <v>-2499</v>
      </c>
      <c r="DW47" s="239">
        <v>0</v>
      </c>
      <c r="DX47" s="239">
        <v>-2499</v>
      </c>
      <c r="DY47" s="239">
        <v>-1047652</v>
      </c>
      <c r="DZ47" s="239">
        <v>0</v>
      </c>
      <c r="EA47" s="239">
        <v>-1047652</v>
      </c>
      <c r="EB47" s="239">
        <v>-74523</v>
      </c>
      <c r="EC47" s="239">
        <v>0</v>
      </c>
      <c r="ED47" s="239">
        <v>-74523</v>
      </c>
      <c r="EE47" s="239">
        <v>-826685</v>
      </c>
      <c r="EF47" s="239">
        <v>0</v>
      </c>
      <c r="EG47" s="239">
        <v>-826685</v>
      </c>
      <c r="EH47" s="239">
        <v>0</v>
      </c>
      <c r="EI47" s="239">
        <v>0</v>
      </c>
      <c r="EJ47" s="239">
        <v>0</v>
      </c>
      <c r="EK47" s="239">
        <v>-13993</v>
      </c>
      <c r="EL47" s="239">
        <v>0</v>
      </c>
      <c r="EM47" s="239">
        <v>-13993</v>
      </c>
      <c r="EN47" s="239">
        <v>-1977100</v>
      </c>
      <c r="EO47" s="239">
        <v>0</v>
      </c>
      <c r="EP47" s="239">
        <v>-1977100</v>
      </c>
      <c r="EQ47" s="239">
        <v>0</v>
      </c>
      <c r="ER47" s="239">
        <v>0</v>
      </c>
      <c r="ES47" s="239">
        <v>0</v>
      </c>
      <c r="ET47" s="239">
        <v>0</v>
      </c>
      <c r="EU47" s="239">
        <v>0</v>
      </c>
      <c r="EV47" s="239">
        <v>0</v>
      </c>
      <c r="EW47" s="239">
        <v>0</v>
      </c>
      <c r="EX47" s="239">
        <v>0</v>
      </c>
      <c r="EY47" s="239">
        <v>0</v>
      </c>
      <c r="EZ47" s="239">
        <v>73896776</v>
      </c>
      <c r="FA47" s="239">
        <v>0</v>
      </c>
      <c r="FB47" s="239">
        <v>73896776</v>
      </c>
      <c r="FC47" s="239">
        <v>-495036</v>
      </c>
      <c r="FD47" s="239">
        <v>0</v>
      </c>
      <c r="FE47" s="239">
        <v>-495036</v>
      </c>
      <c r="FF47" s="239">
        <v>-9639707</v>
      </c>
      <c r="FG47" s="239">
        <v>0</v>
      </c>
      <c r="FH47" s="239">
        <v>-9639707</v>
      </c>
      <c r="FI47" s="239">
        <v>-3379962</v>
      </c>
      <c r="FJ47" s="239">
        <v>0</v>
      </c>
      <c r="FK47" s="239">
        <v>-3379962</v>
      </c>
      <c r="FL47" s="239">
        <v>-431580</v>
      </c>
      <c r="FM47" s="239">
        <v>0</v>
      </c>
      <c r="FN47" s="239">
        <v>-431580</v>
      </c>
      <c r="FO47" s="239">
        <v>-1977100</v>
      </c>
      <c r="FP47" s="239">
        <v>0</v>
      </c>
      <c r="FQ47" s="239">
        <v>-1977100</v>
      </c>
      <c r="FR47" s="239">
        <v>0</v>
      </c>
      <c r="FS47" s="239">
        <v>0</v>
      </c>
      <c r="FT47" s="239">
        <v>0</v>
      </c>
      <c r="FU47" s="239">
        <v>-15923385</v>
      </c>
      <c r="FV47" s="239">
        <v>0</v>
      </c>
      <c r="FW47" s="239">
        <v>-15923385</v>
      </c>
      <c r="FX47" s="239">
        <v>57973391</v>
      </c>
      <c r="FY47" s="239">
        <v>0</v>
      </c>
      <c r="FZ47" s="239">
        <v>57973391</v>
      </c>
      <c r="GA47" s="214" t="s">
        <v>1296</v>
      </c>
    </row>
    <row r="48" spans="1:183" s="214" customFormat="1" x14ac:dyDescent="0.2">
      <c r="B48" s="610" t="s">
        <v>179</v>
      </c>
      <c r="C48" s="610" t="s">
        <v>178</v>
      </c>
      <c r="D48" s="239">
        <v>0</v>
      </c>
      <c r="E48" s="239">
        <v>0</v>
      </c>
      <c r="F48" s="239">
        <v>0</v>
      </c>
      <c r="G48" s="239">
        <v>-258355</v>
      </c>
      <c r="H48" s="239">
        <v>0</v>
      </c>
      <c r="I48" s="239">
        <v>-258355</v>
      </c>
      <c r="J48" s="239">
        <v>0</v>
      </c>
      <c r="K48" s="239">
        <v>0</v>
      </c>
      <c r="L48" s="239">
        <v>0</v>
      </c>
      <c r="M48" s="239">
        <v>48843</v>
      </c>
      <c r="N48" s="239">
        <v>0</v>
      </c>
      <c r="O48" s="239">
        <v>48843</v>
      </c>
      <c r="P48" s="239">
        <v>-209512</v>
      </c>
      <c r="Q48" s="239">
        <v>0</v>
      </c>
      <c r="R48" s="239">
        <v>-209512</v>
      </c>
      <c r="S48" s="239">
        <v>-1456632</v>
      </c>
      <c r="T48" s="239">
        <v>0</v>
      </c>
      <c r="U48" s="239">
        <v>-1456632</v>
      </c>
      <c r="V48" s="239">
        <v>-13210</v>
      </c>
      <c r="W48" s="239">
        <v>0</v>
      </c>
      <c r="X48" s="239">
        <v>-13210</v>
      </c>
      <c r="Y48" s="239">
        <v>-62739</v>
      </c>
      <c r="Z48" s="239">
        <v>0</v>
      </c>
      <c r="AA48" s="239">
        <v>-62739</v>
      </c>
      <c r="AB48" s="239">
        <v>-38888</v>
      </c>
      <c r="AC48" s="239">
        <v>0</v>
      </c>
      <c r="AD48" s="239">
        <v>-38888</v>
      </c>
      <c r="AE48" s="239">
        <v>-1073</v>
      </c>
      <c r="AF48" s="239">
        <v>0</v>
      </c>
      <c r="AG48" s="239">
        <v>-1073</v>
      </c>
      <c r="AH48" s="239">
        <v>3120545</v>
      </c>
      <c r="AI48" s="239">
        <v>0</v>
      </c>
      <c r="AJ48" s="239">
        <v>3120545</v>
      </c>
      <c r="AK48" s="239">
        <v>44567</v>
      </c>
      <c r="AL48" s="239">
        <v>0</v>
      </c>
      <c r="AM48" s="239">
        <v>44567</v>
      </c>
      <c r="AN48" s="239">
        <v>-22115969</v>
      </c>
      <c r="AO48" s="239">
        <v>0</v>
      </c>
      <c r="AP48" s="239">
        <v>-22115969</v>
      </c>
      <c r="AQ48" s="239">
        <v>-433600</v>
      </c>
      <c r="AR48" s="239">
        <v>0</v>
      </c>
      <c r="AS48" s="239">
        <v>-433600</v>
      </c>
      <c r="AT48" s="239">
        <v>-15066</v>
      </c>
      <c r="AU48" s="239">
        <v>0</v>
      </c>
      <c r="AV48" s="239">
        <v>-15066</v>
      </c>
      <c r="AW48" s="239">
        <v>0</v>
      </c>
      <c r="AX48" s="239">
        <v>0</v>
      </c>
      <c r="AY48" s="239">
        <v>0</v>
      </c>
      <c r="AZ48" s="239">
        <v>0</v>
      </c>
      <c r="BA48" s="239">
        <v>0</v>
      </c>
      <c r="BB48" s="239">
        <v>0</v>
      </c>
      <c r="BC48" s="239">
        <v>0</v>
      </c>
      <c r="BD48" s="239">
        <v>0</v>
      </c>
      <c r="BE48" s="239">
        <v>0</v>
      </c>
      <c r="BF48" s="239">
        <v>-20918894</v>
      </c>
      <c r="BG48" s="239">
        <v>0</v>
      </c>
      <c r="BH48" s="239">
        <v>-20918894</v>
      </c>
      <c r="BI48" s="239">
        <v>-64062</v>
      </c>
      <c r="BJ48" s="239">
        <v>0</v>
      </c>
      <c r="BK48" s="239">
        <v>-64062</v>
      </c>
      <c r="BL48" s="239">
        <v>-17910</v>
      </c>
      <c r="BM48" s="239">
        <v>0</v>
      </c>
      <c r="BN48" s="239">
        <v>-17910</v>
      </c>
      <c r="BO48" s="239">
        <v>-2448645</v>
      </c>
      <c r="BP48" s="239">
        <v>0</v>
      </c>
      <c r="BQ48" s="239">
        <v>-2448645</v>
      </c>
      <c r="BR48" s="239">
        <v>-98625</v>
      </c>
      <c r="BS48" s="239">
        <v>0</v>
      </c>
      <c r="BT48" s="239">
        <v>-98625</v>
      </c>
      <c r="BU48" s="239">
        <v>-2629242</v>
      </c>
      <c r="BV48" s="239">
        <v>0</v>
      </c>
      <c r="BW48" s="239">
        <v>-2629242</v>
      </c>
      <c r="BX48" s="239">
        <v>-137403</v>
      </c>
      <c r="BY48" s="239">
        <v>0</v>
      </c>
      <c r="BZ48" s="239">
        <v>-137403</v>
      </c>
      <c r="CA48" s="239">
        <v>112</v>
      </c>
      <c r="CB48" s="239">
        <v>0</v>
      </c>
      <c r="CC48" s="239">
        <v>112</v>
      </c>
      <c r="CD48" s="239">
        <v>-3192</v>
      </c>
      <c r="CE48" s="239">
        <v>0</v>
      </c>
      <c r="CF48" s="239">
        <v>-3192</v>
      </c>
      <c r="CG48" s="239">
        <v>0</v>
      </c>
      <c r="CH48" s="239">
        <v>0</v>
      </c>
      <c r="CI48" s="239">
        <v>0</v>
      </c>
      <c r="CJ48" s="239">
        <v>-734</v>
      </c>
      <c r="CK48" s="239">
        <v>0</v>
      </c>
      <c r="CL48" s="239">
        <v>-734</v>
      </c>
      <c r="CM48" s="239">
        <v>0</v>
      </c>
      <c r="CN48" s="239">
        <v>0</v>
      </c>
      <c r="CO48" s="239">
        <v>0</v>
      </c>
      <c r="CP48" s="239">
        <v>0</v>
      </c>
      <c r="CQ48" s="239">
        <v>0</v>
      </c>
      <c r="CR48" s="239">
        <v>0</v>
      </c>
      <c r="CS48" s="239">
        <v>0</v>
      </c>
      <c r="CT48" s="239">
        <v>0</v>
      </c>
      <c r="CU48" s="239">
        <v>0</v>
      </c>
      <c r="CV48" s="239">
        <v>0</v>
      </c>
      <c r="CW48" s="239">
        <v>0</v>
      </c>
      <c r="CX48" s="239">
        <v>0</v>
      </c>
      <c r="CY48" s="239">
        <v>0</v>
      </c>
      <c r="CZ48" s="239">
        <v>0</v>
      </c>
      <c r="DA48" s="239">
        <v>0</v>
      </c>
      <c r="DB48" s="239">
        <v>0</v>
      </c>
      <c r="DC48" s="239">
        <v>0</v>
      </c>
      <c r="DD48" s="239">
        <v>0</v>
      </c>
      <c r="DE48" s="239">
        <v>0</v>
      </c>
      <c r="DF48" s="239">
        <v>0</v>
      </c>
      <c r="DG48" s="239">
        <v>0</v>
      </c>
      <c r="DH48" s="239">
        <v>0</v>
      </c>
      <c r="DI48" s="239">
        <v>0</v>
      </c>
      <c r="DJ48" s="239">
        <v>-141217</v>
      </c>
      <c r="DK48" s="239">
        <v>0</v>
      </c>
      <c r="DL48" s="239">
        <v>-141217</v>
      </c>
      <c r="DM48" s="239">
        <v>-299490</v>
      </c>
      <c r="DN48" s="239">
        <v>0</v>
      </c>
      <c r="DO48" s="239">
        <v>-299490</v>
      </c>
      <c r="DP48" s="239">
        <v>0</v>
      </c>
      <c r="DQ48" s="239">
        <v>0</v>
      </c>
      <c r="DR48" s="239">
        <v>0</v>
      </c>
      <c r="DS48" s="239">
        <v>-107813</v>
      </c>
      <c r="DT48" s="239">
        <v>0</v>
      </c>
      <c r="DU48" s="239">
        <v>-107813</v>
      </c>
      <c r="DV48" s="239">
        <v>0</v>
      </c>
      <c r="DW48" s="239">
        <v>0</v>
      </c>
      <c r="DX48" s="239">
        <v>0</v>
      </c>
      <c r="DY48" s="239">
        <v>-1054778</v>
      </c>
      <c r="DZ48" s="239">
        <v>0</v>
      </c>
      <c r="EA48" s="239">
        <v>-1054778</v>
      </c>
      <c r="EB48" s="239">
        <v>-8015</v>
      </c>
      <c r="EC48" s="239">
        <v>0</v>
      </c>
      <c r="ED48" s="239">
        <v>-8015</v>
      </c>
      <c r="EE48" s="239">
        <v>0</v>
      </c>
      <c r="EF48" s="239">
        <v>0</v>
      </c>
      <c r="EG48" s="239">
        <v>0</v>
      </c>
      <c r="EH48" s="239">
        <v>0</v>
      </c>
      <c r="EI48" s="239">
        <v>0</v>
      </c>
      <c r="EJ48" s="239">
        <v>0</v>
      </c>
      <c r="EK48" s="239">
        <v>0</v>
      </c>
      <c r="EL48" s="239">
        <v>0</v>
      </c>
      <c r="EM48" s="239">
        <v>0</v>
      </c>
      <c r="EN48" s="239">
        <v>-1470096</v>
      </c>
      <c r="EO48" s="239">
        <v>0</v>
      </c>
      <c r="EP48" s="239">
        <v>-1470096</v>
      </c>
      <c r="EQ48" s="239">
        <v>0</v>
      </c>
      <c r="ER48" s="239">
        <v>0</v>
      </c>
      <c r="ES48" s="239">
        <v>0</v>
      </c>
      <c r="ET48" s="239">
        <v>0</v>
      </c>
      <c r="EU48" s="239">
        <v>0</v>
      </c>
      <c r="EV48" s="239">
        <v>0</v>
      </c>
      <c r="EW48" s="239">
        <v>0</v>
      </c>
      <c r="EX48" s="239">
        <v>0</v>
      </c>
      <c r="EY48" s="239">
        <v>0</v>
      </c>
      <c r="EZ48" s="239">
        <v>121930591</v>
      </c>
      <c r="FA48" s="239">
        <v>0</v>
      </c>
      <c r="FB48" s="239">
        <v>121930591</v>
      </c>
      <c r="FC48" s="239">
        <v>-209512</v>
      </c>
      <c r="FD48" s="239">
        <v>0</v>
      </c>
      <c r="FE48" s="239">
        <v>-209512</v>
      </c>
      <c r="FF48" s="239">
        <v>-20918894</v>
      </c>
      <c r="FG48" s="239">
        <v>0</v>
      </c>
      <c r="FH48" s="239">
        <v>-20918894</v>
      </c>
      <c r="FI48" s="239">
        <v>-2629242</v>
      </c>
      <c r="FJ48" s="239">
        <v>0</v>
      </c>
      <c r="FK48" s="239">
        <v>-2629242</v>
      </c>
      <c r="FL48" s="239">
        <v>-141217</v>
      </c>
      <c r="FM48" s="239">
        <v>0</v>
      </c>
      <c r="FN48" s="239">
        <v>-141217</v>
      </c>
      <c r="FO48" s="239">
        <v>-1470096</v>
      </c>
      <c r="FP48" s="239">
        <v>0</v>
      </c>
      <c r="FQ48" s="239">
        <v>-1470096</v>
      </c>
      <c r="FR48" s="239">
        <v>0</v>
      </c>
      <c r="FS48" s="239">
        <v>0</v>
      </c>
      <c r="FT48" s="239">
        <v>0</v>
      </c>
      <c r="FU48" s="239">
        <v>-25368961</v>
      </c>
      <c r="FV48" s="239">
        <v>0</v>
      </c>
      <c r="FW48" s="239">
        <v>-25368961</v>
      </c>
      <c r="FX48" s="239">
        <v>96561630</v>
      </c>
      <c r="FY48" s="239">
        <v>0</v>
      </c>
      <c r="FZ48" s="239">
        <v>96561630</v>
      </c>
      <c r="GA48" s="214" t="s">
        <v>1294</v>
      </c>
    </row>
    <row r="49" spans="2:183" s="214" customFormat="1" x14ac:dyDescent="0.2">
      <c r="B49" s="610" t="s">
        <v>181</v>
      </c>
      <c r="C49" s="610" t="s">
        <v>180</v>
      </c>
      <c r="D49" s="239">
        <v>0</v>
      </c>
      <c r="E49" s="239">
        <v>0</v>
      </c>
      <c r="F49" s="239">
        <v>0</v>
      </c>
      <c r="G49" s="239">
        <v>3744870</v>
      </c>
      <c r="H49" s="239">
        <v>0</v>
      </c>
      <c r="I49" s="239">
        <v>3744870</v>
      </c>
      <c r="J49" s="239">
        <v>0</v>
      </c>
      <c r="K49" s="239">
        <v>0</v>
      </c>
      <c r="L49" s="239">
        <v>0</v>
      </c>
      <c r="M49" s="239">
        <v>260949</v>
      </c>
      <c r="N49" s="239">
        <v>0</v>
      </c>
      <c r="O49" s="239">
        <v>260949</v>
      </c>
      <c r="P49" s="239">
        <v>4005819</v>
      </c>
      <c r="Q49" s="239">
        <v>0</v>
      </c>
      <c r="R49" s="239">
        <v>4005819</v>
      </c>
      <c r="S49" s="239">
        <v>-3000000</v>
      </c>
      <c r="T49" s="239">
        <v>0</v>
      </c>
      <c r="U49" s="239">
        <v>-3000000</v>
      </c>
      <c r="V49" s="239">
        <v>0</v>
      </c>
      <c r="W49" s="239">
        <v>0</v>
      </c>
      <c r="X49" s="239">
        <v>0</v>
      </c>
      <c r="Y49" s="239">
        <v>-145579</v>
      </c>
      <c r="Z49" s="239">
        <v>0</v>
      </c>
      <c r="AA49" s="239">
        <v>-145579</v>
      </c>
      <c r="AB49" s="239">
        <v>-91012</v>
      </c>
      <c r="AC49" s="239">
        <v>0</v>
      </c>
      <c r="AD49" s="239">
        <v>-91012</v>
      </c>
      <c r="AE49" s="239">
        <v>0</v>
      </c>
      <c r="AF49" s="239">
        <v>0</v>
      </c>
      <c r="AG49" s="239">
        <v>0</v>
      </c>
      <c r="AH49" s="239">
        <v>14938621</v>
      </c>
      <c r="AI49" s="239">
        <v>0</v>
      </c>
      <c r="AJ49" s="239">
        <v>14938621</v>
      </c>
      <c r="AK49" s="239">
        <v>-423518</v>
      </c>
      <c r="AL49" s="239">
        <v>0</v>
      </c>
      <c r="AM49" s="239">
        <v>-423518</v>
      </c>
      <c r="AN49" s="239">
        <v>-58132642</v>
      </c>
      <c r="AO49" s="239">
        <v>0</v>
      </c>
      <c r="AP49" s="239">
        <v>-58132642</v>
      </c>
      <c r="AQ49" s="239">
        <v>1393492</v>
      </c>
      <c r="AR49" s="239">
        <v>0</v>
      </c>
      <c r="AS49" s="239">
        <v>1393492</v>
      </c>
      <c r="AT49" s="239">
        <v>-14100</v>
      </c>
      <c r="AU49" s="239">
        <v>0</v>
      </c>
      <c r="AV49" s="239">
        <v>-14100</v>
      </c>
      <c r="AW49" s="239">
        <v>0</v>
      </c>
      <c r="AX49" s="239">
        <v>0</v>
      </c>
      <c r="AY49" s="239">
        <v>0</v>
      </c>
      <c r="AZ49" s="239">
        <v>0</v>
      </c>
      <c r="BA49" s="239">
        <v>0</v>
      </c>
      <c r="BB49" s="239">
        <v>0</v>
      </c>
      <c r="BC49" s="239">
        <v>0</v>
      </c>
      <c r="BD49" s="239">
        <v>0</v>
      </c>
      <c r="BE49" s="239">
        <v>0</v>
      </c>
      <c r="BF49" s="239">
        <v>-45383726</v>
      </c>
      <c r="BG49" s="239">
        <v>0</v>
      </c>
      <c r="BH49" s="239">
        <v>-45383726</v>
      </c>
      <c r="BI49" s="239">
        <v>-1067205</v>
      </c>
      <c r="BJ49" s="239">
        <v>0</v>
      </c>
      <c r="BK49" s="239">
        <v>-1067205</v>
      </c>
      <c r="BL49" s="239">
        <v>-843857</v>
      </c>
      <c r="BM49" s="239">
        <v>0</v>
      </c>
      <c r="BN49" s="239">
        <v>-843857</v>
      </c>
      <c r="BO49" s="239">
        <v>-20672910</v>
      </c>
      <c r="BP49" s="239">
        <v>0</v>
      </c>
      <c r="BQ49" s="239">
        <v>-20672910</v>
      </c>
      <c r="BR49" s="239">
        <v>899008</v>
      </c>
      <c r="BS49" s="239">
        <v>0</v>
      </c>
      <c r="BT49" s="239">
        <v>899008</v>
      </c>
      <c r="BU49" s="239">
        <v>-21684964</v>
      </c>
      <c r="BV49" s="239">
        <v>0</v>
      </c>
      <c r="BW49" s="239">
        <v>-21684964</v>
      </c>
      <c r="BX49" s="239">
        <v>-195410</v>
      </c>
      <c r="BY49" s="239">
        <v>0</v>
      </c>
      <c r="BZ49" s="239">
        <v>-195410</v>
      </c>
      <c r="CA49" s="239">
        <v>32564</v>
      </c>
      <c r="CB49" s="239">
        <v>0</v>
      </c>
      <c r="CC49" s="239">
        <v>32564</v>
      </c>
      <c r="CD49" s="239">
        <v>-2000</v>
      </c>
      <c r="CE49" s="239">
        <v>0</v>
      </c>
      <c r="CF49" s="239">
        <v>-2000</v>
      </c>
      <c r="CG49" s="239">
        <v>0</v>
      </c>
      <c r="CH49" s="239">
        <v>0</v>
      </c>
      <c r="CI49" s="239">
        <v>0</v>
      </c>
      <c r="CJ49" s="239">
        <v>0</v>
      </c>
      <c r="CK49" s="239">
        <v>0</v>
      </c>
      <c r="CL49" s="239">
        <v>0</v>
      </c>
      <c r="CM49" s="239">
        <v>0</v>
      </c>
      <c r="CN49" s="239">
        <v>0</v>
      </c>
      <c r="CO49" s="239">
        <v>0</v>
      </c>
      <c r="CP49" s="239">
        <v>0</v>
      </c>
      <c r="CQ49" s="239">
        <v>0</v>
      </c>
      <c r="CR49" s="239">
        <v>0</v>
      </c>
      <c r="CS49" s="239">
        <v>0</v>
      </c>
      <c r="CT49" s="239">
        <v>0</v>
      </c>
      <c r="CU49" s="239">
        <v>0</v>
      </c>
      <c r="CV49" s="239">
        <v>0</v>
      </c>
      <c r="CW49" s="239">
        <v>0</v>
      </c>
      <c r="CX49" s="239">
        <v>0</v>
      </c>
      <c r="CY49" s="239">
        <v>0</v>
      </c>
      <c r="CZ49" s="239">
        <v>0</v>
      </c>
      <c r="DA49" s="239">
        <v>0</v>
      </c>
      <c r="DB49" s="239">
        <v>0</v>
      </c>
      <c r="DC49" s="239">
        <v>0</v>
      </c>
      <c r="DD49" s="239">
        <v>0</v>
      </c>
      <c r="DE49" s="239">
        <v>0</v>
      </c>
      <c r="DF49" s="239">
        <v>0</v>
      </c>
      <c r="DG49" s="239">
        <v>0</v>
      </c>
      <c r="DH49" s="239">
        <v>0</v>
      </c>
      <c r="DI49" s="239">
        <v>0</v>
      </c>
      <c r="DJ49" s="239">
        <v>-164846</v>
      </c>
      <c r="DK49" s="239">
        <v>0</v>
      </c>
      <c r="DL49" s="239">
        <v>-164846</v>
      </c>
      <c r="DM49" s="239">
        <v>0</v>
      </c>
      <c r="DN49" s="239">
        <v>0</v>
      </c>
      <c r="DO49" s="239">
        <v>0</v>
      </c>
      <c r="DP49" s="239">
        <v>0</v>
      </c>
      <c r="DQ49" s="239">
        <v>0</v>
      </c>
      <c r="DR49" s="239">
        <v>0</v>
      </c>
      <c r="DS49" s="239">
        <v>-101315</v>
      </c>
      <c r="DT49" s="239">
        <v>0</v>
      </c>
      <c r="DU49" s="239">
        <v>-101315</v>
      </c>
      <c r="DV49" s="239">
        <v>-1074</v>
      </c>
      <c r="DW49" s="239">
        <v>0</v>
      </c>
      <c r="DX49" s="239">
        <v>-1074</v>
      </c>
      <c r="DY49" s="239">
        <v>-3702121</v>
      </c>
      <c r="DZ49" s="239">
        <v>0</v>
      </c>
      <c r="EA49" s="239">
        <v>-3702121</v>
      </c>
      <c r="EB49" s="239">
        <v>-21027</v>
      </c>
      <c r="EC49" s="239">
        <v>0</v>
      </c>
      <c r="ED49" s="239">
        <v>-21027</v>
      </c>
      <c r="EE49" s="239">
        <v>0</v>
      </c>
      <c r="EF49" s="239">
        <v>0</v>
      </c>
      <c r="EG49" s="239">
        <v>0</v>
      </c>
      <c r="EH49" s="239">
        <v>0</v>
      </c>
      <c r="EI49" s="239">
        <v>0</v>
      </c>
      <c r="EJ49" s="239">
        <v>0</v>
      </c>
      <c r="EK49" s="239">
        <v>-92696</v>
      </c>
      <c r="EL49" s="239">
        <v>0</v>
      </c>
      <c r="EM49" s="239">
        <v>-92696</v>
      </c>
      <c r="EN49" s="239">
        <v>-3918233</v>
      </c>
      <c r="EO49" s="239">
        <v>0</v>
      </c>
      <c r="EP49" s="239">
        <v>-3918233</v>
      </c>
      <c r="EQ49" s="239">
        <v>0</v>
      </c>
      <c r="ER49" s="239">
        <v>0</v>
      </c>
      <c r="ES49" s="239">
        <v>0</v>
      </c>
      <c r="ET49" s="239">
        <v>0</v>
      </c>
      <c r="EU49" s="239">
        <v>0</v>
      </c>
      <c r="EV49" s="239">
        <v>0</v>
      </c>
      <c r="EW49" s="239">
        <v>0</v>
      </c>
      <c r="EX49" s="239">
        <v>0</v>
      </c>
      <c r="EY49" s="239">
        <v>0</v>
      </c>
      <c r="EZ49" s="239">
        <v>570040285</v>
      </c>
      <c r="FA49" s="239">
        <v>0</v>
      </c>
      <c r="FB49" s="239">
        <v>570040285</v>
      </c>
      <c r="FC49" s="239">
        <v>4005819</v>
      </c>
      <c r="FD49" s="239">
        <v>0</v>
      </c>
      <c r="FE49" s="239">
        <v>4005819</v>
      </c>
      <c r="FF49" s="239">
        <v>-45383726</v>
      </c>
      <c r="FG49" s="239">
        <v>0</v>
      </c>
      <c r="FH49" s="239">
        <v>-45383726</v>
      </c>
      <c r="FI49" s="239">
        <v>-21684964</v>
      </c>
      <c r="FJ49" s="239">
        <v>0</v>
      </c>
      <c r="FK49" s="239">
        <v>-21684964</v>
      </c>
      <c r="FL49" s="239">
        <v>-164846</v>
      </c>
      <c r="FM49" s="239">
        <v>0</v>
      </c>
      <c r="FN49" s="239">
        <v>-164846</v>
      </c>
      <c r="FO49" s="239">
        <v>-3918233</v>
      </c>
      <c r="FP49" s="239">
        <v>0</v>
      </c>
      <c r="FQ49" s="239">
        <v>-3918233</v>
      </c>
      <c r="FR49" s="239">
        <v>0</v>
      </c>
      <c r="FS49" s="239">
        <v>0</v>
      </c>
      <c r="FT49" s="239">
        <v>0</v>
      </c>
      <c r="FU49" s="239">
        <v>-67145950</v>
      </c>
      <c r="FV49" s="239">
        <v>0</v>
      </c>
      <c r="FW49" s="239">
        <v>-67145950</v>
      </c>
      <c r="FX49" s="239">
        <v>502894335</v>
      </c>
      <c r="FY49" s="239">
        <v>0</v>
      </c>
      <c r="FZ49" s="239">
        <v>502894335</v>
      </c>
      <c r="GA49" s="214" t="s">
        <v>1297</v>
      </c>
    </row>
    <row r="50" spans="2:183" s="214" customFormat="1" x14ac:dyDescent="0.2">
      <c r="B50" s="610" t="s">
        <v>183</v>
      </c>
      <c r="C50" s="610" t="s">
        <v>182</v>
      </c>
      <c r="D50" s="239">
        <v>0</v>
      </c>
      <c r="E50" s="239">
        <v>0</v>
      </c>
      <c r="F50" s="239">
        <v>0</v>
      </c>
      <c r="G50" s="239">
        <v>-124126</v>
      </c>
      <c r="H50" s="239">
        <v>0</v>
      </c>
      <c r="I50" s="239">
        <v>-124126</v>
      </c>
      <c r="J50" s="239">
        <v>0</v>
      </c>
      <c r="K50" s="239">
        <v>0</v>
      </c>
      <c r="L50" s="239">
        <v>0</v>
      </c>
      <c r="M50" s="239">
        <v>22059</v>
      </c>
      <c r="N50" s="239">
        <v>0</v>
      </c>
      <c r="O50" s="239">
        <v>22059</v>
      </c>
      <c r="P50" s="239">
        <v>-102067</v>
      </c>
      <c r="Q50" s="239">
        <v>0</v>
      </c>
      <c r="R50" s="239">
        <v>-102067</v>
      </c>
      <c r="S50" s="239">
        <v>-2586812</v>
      </c>
      <c r="T50" s="239">
        <v>0</v>
      </c>
      <c r="U50" s="239">
        <v>-2586812</v>
      </c>
      <c r="V50" s="239">
        <v>0</v>
      </c>
      <c r="W50" s="239">
        <v>0</v>
      </c>
      <c r="X50" s="239">
        <v>0</v>
      </c>
      <c r="Y50" s="239">
        <v>-84768</v>
      </c>
      <c r="Z50" s="239">
        <v>0</v>
      </c>
      <c r="AA50" s="239">
        <v>-84768</v>
      </c>
      <c r="AB50" s="239">
        <v>0</v>
      </c>
      <c r="AC50" s="239">
        <v>0</v>
      </c>
      <c r="AD50" s="239">
        <v>0</v>
      </c>
      <c r="AE50" s="239">
        <v>0</v>
      </c>
      <c r="AF50" s="239">
        <v>0</v>
      </c>
      <c r="AG50" s="239">
        <v>0</v>
      </c>
      <c r="AH50" s="239">
        <v>962800</v>
      </c>
      <c r="AI50" s="239">
        <v>0</v>
      </c>
      <c r="AJ50" s="239">
        <v>962800</v>
      </c>
      <c r="AK50" s="239">
        <v>-22933</v>
      </c>
      <c r="AL50" s="239">
        <v>0</v>
      </c>
      <c r="AM50" s="239">
        <v>-22933</v>
      </c>
      <c r="AN50" s="239">
        <v>-1812809</v>
      </c>
      <c r="AO50" s="239">
        <v>0</v>
      </c>
      <c r="AP50" s="239">
        <v>-1812809</v>
      </c>
      <c r="AQ50" s="239">
        <v>13740</v>
      </c>
      <c r="AR50" s="239">
        <v>0</v>
      </c>
      <c r="AS50" s="239">
        <v>13740</v>
      </c>
      <c r="AT50" s="239">
        <v>-5168</v>
      </c>
      <c r="AU50" s="239">
        <v>0</v>
      </c>
      <c r="AV50" s="239">
        <v>-5168</v>
      </c>
      <c r="AW50" s="239">
        <v>0</v>
      </c>
      <c r="AX50" s="239">
        <v>0</v>
      </c>
      <c r="AY50" s="239">
        <v>0</v>
      </c>
      <c r="AZ50" s="239">
        <v>0</v>
      </c>
      <c r="BA50" s="239">
        <v>0</v>
      </c>
      <c r="BB50" s="239">
        <v>0</v>
      </c>
      <c r="BC50" s="239">
        <v>0</v>
      </c>
      <c r="BD50" s="239">
        <v>0</v>
      </c>
      <c r="BE50" s="239">
        <v>0</v>
      </c>
      <c r="BF50" s="239">
        <v>-3535950</v>
      </c>
      <c r="BG50" s="239">
        <v>0</v>
      </c>
      <c r="BH50" s="239">
        <v>-3535950</v>
      </c>
      <c r="BI50" s="239">
        <v>0</v>
      </c>
      <c r="BJ50" s="239">
        <v>0</v>
      </c>
      <c r="BK50" s="239">
        <v>0</v>
      </c>
      <c r="BL50" s="239">
        <v>0</v>
      </c>
      <c r="BM50" s="239">
        <v>0</v>
      </c>
      <c r="BN50" s="239">
        <v>0</v>
      </c>
      <c r="BO50" s="239">
        <v>-735353</v>
      </c>
      <c r="BP50" s="239">
        <v>0</v>
      </c>
      <c r="BQ50" s="239">
        <v>-735353</v>
      </c>
      <c r="BR50" s="239">
        <v>-31273</v>
      </c>
      <c r="BS50" s="239">
        <v>0</v>
      </c>
      <c r="BT50" s="239">
        <v>-31273</v>
      </c>
      <c r="BU50" s="239">
        <v>-766626</v>
      </c>
      <c r="BV50" s="239">
        <v>0</v>
      </c>
      <c r="BW50" s="239">
        <v>-766626</v>
      </c>
      <c r="BX50" s="239">
        <v>-69324</v>
      </c>
      <c r="BY50" s="239">
        <v>0</v>
      </c>
      <c r="BZ50" s="239">
        <v>-69324</v>
      </c>
      <c r="CA50" s="239">
        <v>658</v>
      </c>
      <c r="CB50" s="239">
        <v>0</v>
      </c>
      <c r="CC50" s="239">
        <v>658</v>
      </c>
      <c r="CD50" s="239">
        <v>-10807</v>
      </c>
      <c r="CE50" s="239">
        <v>0</v>
      </c>
      <c r="CF50" s="239">
        <v>-10807</v>
      </c>
      <c r="CG50" s="239">
        <v>-1440</v>
      </c>
      <c r="CH50" s="239">
        <v>0</v>
      </c>
      <c r="CI50" s="239">
        <v>-1440</v>
      </c>
      <c r="CJ50" s="239">
        <v>-323</v>
      </c>
      <c r="CK50" s="239">
        <v>0</v>
      </c>
      <c r="CL50" s="239">
        <v>-323</v>
      </c>
      <c r="CM50" s="239">
        <v>0</v>
      </c>
      <c r="CN50" s="239">
        <v>0</v>
      </c>
      <c r="CO50" s="239">
        <v>0</v>
      </c>
      <c r="CP50" s="239">
        <v>0</v>
      </c>
      <c r="CQ50" s="239">
        <v>0</v>
      </c>
      <c r="CR50" s="239">
        <v>0</v>
      </c>
      <c r="CS50" s="239">
        <v>0</v>
      </c>
      <c r="CT50" s="239">
        <v>0</v>
      </c>
      <c r="CU50" s="239">
        <v>0</v>
      </c>
      <c r="CV50" s="239">
        <v>0</v>
      </c>
      <c r="CW50" s="239">
        <v>0</v>
      </c>
      <c r="CX50" s="239">
        <v>0</v>
      </c>
      <c r="CY50" s="239">
        <v>0</v>
      </c>
      <c r="CZ50" s="239">
        <v>0</v>
      </c>
      <c r="DA50" s="239">
        <v>0</v>
      </c>
      <c r="DB50" s="239">
        <v>-19683</v>
      </c>
      <c r="DC50" s="239">
        <v>0</v>
      </c>
      <c r="DD50" s="239">
        <v>-19683</v>
      </c>
      <c r="DE50" s="239">
        <v>0</v>
      </c>
      <c r="DF50" s="239">
        <v>0</v>
      </c>
      <c r="DG50" s="239">
        <v>0</v>
      </c>
      <c r="DH50" s="239">
        <v>0</v>
      </c>
      <c r="DI50" s="239">
        <v>0</v>
      </c>
      <c r="DJ50" s="239">
        <v>-100919</v>
      </c>
      <c r="DK50" s="239">
        <v>0</v>
      </c>
      <c r="DL50" s="239">
        <v>-100919</v>
      </c>
      <c r="DM50" s="239">
        <v>0</v>
      </c>
      <c r="DN50" s="239">
        <v>0</v>
      </c>
      <c r="DO50" s="239">
        <v>0</v>
      </c>
      <c r="DP50" s="239">
        <v>0</v>
      </c>
      <c r="DQ50" s="239">
        <v>0</v>
      </c>
      <c r="DR50" s="239">
        <v>0</v>
      </c>
      <c r="DS50" s="239">
        <v>-18492</v>
      </c>
      <c r="DT50" s="239">
        <v>0</v>
      </c>
      <c r="DU50" s="239">
        <v>-18492</v>
      </c>
      <c r="DV50" s="239">
        <v>0</v>
      </c>
      <c r="DW50" s="239">
        <v>0</v>
      </c>
      <c r="DX50" s="239">
        <v>0</v>
      </c>
      <c r="DY50" s="239">
        <v>-347271</v>
      </c>
      <c r="DZ50" s="239">
        <v>0</v>
      </c>
      <c r="EA50" s="239">
        <v>-347271</v>
      </c>
      <c r="EB50" s="239">
        <v>-39932</v>
      </c>
      <c r="EC50" s="239">
        <v>0</v>
      </c>
      <c r="ED50" s="239">
        <v>-39932</v>
      </c>
      <c r="EE50" s="239">
        <v>0</v>
      </c>
      <c r="EF50" s="239">
        <v>0</v>
      </c>
      <c r="EG50" s="239">
        <v>0</v>
      </c>
      <c r="EH50" s="239">
        <v>0</v>
      </c>
      <c r="EI50" s="239">
        <v>0</v>
      </c>
      <c r="EJ50" s="239">
        <v>0</v>
      </c>
      <c r="EK50" s="239">
        <v>-442</v>
      </c>
      <c r="EL50" s="239">
        <v>0</v>
      </c>
      <c r="EM50" s="239">
        <v>-442</v>
      </c>
      <c r="EN50" s="239">
        <v>-406137</v>
      </c>
      <c r="EO50" s="239">
        <v>0</v>
      </c>
      <c r="EP50" s="239">
        <v>-406137</v>
      </c>
      <c r="EQ50" s="239">
        <v>0</v>
      </c>
      <c r="ER50" s="239">
        <v>0</v>
      </c>
      <c r="ES50" s="239">
        <v>0</v>
      </c>
      <c r="ET50" s="239">
        <v>0</v>
      </c>
      <c r="EU50" s="239">
        <v>0</v>
      </c>
      <c r="EV50" s="239">
        <v>0</v>
      </c>
      <c r="EW50" s="239">
        <v>0</v>
      </c>
      <c r="EX50" s="239">
        <v>0</v>
      </c>
      <c r="EY50" s="239">
        <v>0</v>
      </c>
      <c r="EZ50" s="239">
        <v>41174282</v>
      </c>
      <c r="FA50" s="239">
        <v>0</v>
      </c>
      <c r="FB50" s="239">
        <v>41174282</v>
      </c>
      <c r="FC50" s="239">
        <v>-102067</v>
      </c>
      <c r="FD50" s="239">
        <v>0</v>
      </c>
      <c r="FE50" s="239">
        <v>-102067</v>
      </c>
      <c r="FF50" s="239">
        <v>-3535950</v>
      </c>
      <c r="FG50" s="239">
        <v>0</v>
      </c>
      <c r="FH50" s="239">
        <v>-3535950</v>
      </c>
      <c r="FI50" s="239">
        <v>-766626</v>
      </c>
      <c r="FJ50" s="239">
        <v>0</v>
      </c>
      <c r="FK50" s="239">
        <v>-766626</v>
      </c>
      <c r="FL50" s="239">
        <v>-100919</v>
      </c>
      <c r="FM50" s="239">
        <v>0</v>
      </c>
      <c r="FN50" s="239">
        <v>-100919</v>
      </c>
      <c r="FO50" s="239">
        <v>-406137</v>
      </c>
      <c r="FP50" s="239">
        <v>0</v>
      </c>
      <c r="FQ50" s="239">
        <v>-406137</v>
      </c>
      <c r="FR50" s="239">
        <v>0</v>
      </c>
      <c r="FS50" s="239">
        <v>0</v>
      </c>
      <c r="FT50" s="239">
        <v>0</v>
      </c>
      <c r="FU50" s="239">
        <v>-4911699</v>
      </c>
      <c r="FV50" s="239">
        <v>0</v>
      </c>
      <c r="FW50" s="239">
        <v>-4911699</v>
      </c>
      <c r="FX50" s="239">
        <v>36262583</v>
      </c>
      <c r="FY50" s="239">
        <v>0</v>
      </c>
      <c r="FZ50" s="239">
        <v>36262583</v>
      </c>
      <c r="GA50" s="214" t="s">
        <v>1294</v>
      </c>
    </row>
    <row r="51" spans="2:183" s="214" customFormat="1" x14ac:dyDescent="0.2">
      <c r="B51" s="610" t="s">
        <v>185</v>
      </c>
      <c r="C51" s="610" t="s">
        <v>184</v>
      </c>
      <c r="D51" s="239">
        <v>0</v>
      </c>
      <c r="E51" s="239">
        <v>0</v>
      </c>
      <c r="F51" s="239">
        <v>0</v>
      </c>
      <c r="G51" s="239">
        <v>-942</v>
      </c>
      <c r="H51" s="239">
        <v>0</v>
      </c>
      <c r="I51" s="239">
        <v>-942</v>
      </c>
      <c r="J51" s="239">
        <v>0</v>
      </c>
      <c r="K51" s="239">
        <v>0</v>
      </c>
      <c r="L51" s="239">
        <v>0</v>
      </c>
      <c r="M51" s="239">
        <v>251762</v>
      </c>
      <c r="N51" s="239">
        <v>0</v>
      </c>
      <c r="O51" s="239">
        <v>251762</v>
      </c>
      <c r="P51" s="239">
        <v>250820</v>
      </c>
      <c r="Q51" s="239">
        <v>0</v>
      </c>
      <c r="R51" s="239">
        <v>250820</v>
      </c>
      <c r="S51" s="239">
        <v>-3511483</v>
      </c>
      <c r="T51" s="239">
        <v>0</v>
      </c>
      <c r="U51" s="239">
        <v>-3511483</v>
      </c>
      <c r="V51" s="239">
        <v>-5244</v>
      </c>
      <c r="W51" s="239">
        <v>0</v>
      </c>
      <c r="X51" s="239">
        <v>-5244</v>
      </c>
      <c r="Y51" s="239">
        <v>-175462</v>
      </c>
      <c r="Z51" s="239">
        <v>0</v>
      </c>
      <c r="AA51" s="239">
        <v>-175462</v>
      </c>
      <c r="AB51" s="239">
        <v>-105719</v>
      </c>
      <c r="AC51" s="239">
        <v>0</v>
      </c>
      <c r="AD51" s="239">
        <v>-105719</v>
      </c>
      <c r="AE51" s="239">
        <v>0</v>
      </c>
      <c r="AF51" s="239">
        <v>0</v>
      </c>
      <c r="AG51" s="239">
        <v>0</v>
      </c>
      <c r="AH51" s="239">
        <v>1523001</v>
      </c>
      <c r="AI51" s="239">
        <v>0</v>
      </c>
      <c r="AJ51" s="239">
        <v>1523001</v>
      </c>
      <c r="AK51" s="239">
        <v>30981</v>
      </c>
      <c r="AL51" s="239">
        <v>0</v>
      </c>
      <c r="AM51" s="239">
        <v>30981</v>
      </c>
      <c r="AN51" s="239">
        <v>-7079964</v>
      </c>
      <c r="AO51" s="239">
        <v>0</v>
      </c>
      <c r="AP51" s="239">
        <v>-7079964</v>
      </c>
      <c r="AQ51" s="239">
        <v>-2063</v>
      </c>
      <c r="AR51" s="239">
        <v>0</v>
      </c>
      <c r="AS51" s="239">
        <v>-2063</v>
      </c>
      <c r="AT51" s="239">
        <v>-102252</v>
      </c>
      <c r="AU51" s="239">
        <v>0</v>
      </c>
      <c r="AV51" s="239">
        <v>-102252</v>
      </c>
      <c r="AW51" s="239">
        <v>0</v>
      </c>
      <c r="AX51" s="239">
        <v>0</v>
      </c>
      <c r="AY51" s="239">
        <v>0</v>
      </c>
      <c r="AZ51" s="239">
        <v>-24705</v>
      </c>
      <c r="BA51" s="239">
        <v>0</v>
      </c>
      <c r="BB51" s="239">
        <v>-24705</v>
      </c>
      <c r="BC51" s="239">
        <v>0</v>
      </c>
      <c r="BD51" s="239">
        <v>0</v>
      </c>
      <c r="BE51" s="239">
        <v>0</v>
      </c>
      <c r="BF51" s="239">
        <v>-9341947</v>
      </c>
      <c r="BG51" s="239">
        <v>0</v>
      </c>
      <c r="BH51" s="239">
        <v>-9341947</v>
      </c>
      <c r="BI51" s="239">
        <v>0</v>
      </c>
      <c r="BJ51" s="239">
        <v>0</v>
      </c>
      <c r="BK51" s="239">
        <v>0</v>
      </c>
      <c r="BL51" s="239">
        <v>-2390</v>
      </c>
      <c r="BM51" s="239">
        <v>0</v>
      </c>
      <c r="BN51" s="239">
        <v>-2390</v>
      </c>
      <c r="BO51" s="239">
        <v>-1277866</v>
      </c>
      <c r="BP51" s="239">
        <v>0</v>
      </c>
      <c r="BQ51" s="239">
        <v>-1277866</v>
      </c>
      <c r="BR51" s="239">
        <v>-121008</v>
      </c>
      <c r="BS51" s="239">
        <v>0</v>
      </c>
      <c r="BT51" s="239">
        <v>-121008</v>
      </c>
      <c r="BU51" s="239">
        <v>-1401264</v>
      </c>
      <c r="BV51" s="239">
        <v>0</v>
      </c>
      <c r="BW51" s="239">
        <v>-1401264</v>
      </c>
      <c r="BX51" s="239">
        <v>-228024</v>
      </c>
      <c r="BY51" s="239">
        <v>0</v>
      </c>
      <c r="BZ51" s="239">
        <v>-228024</v>
      </c>
      <c r="CA51" s="239">
        <v>6109</v>
      </c>
      <c r="CB51" s="239">
        <v>0</v>
      </c>
      <c r="CC51" s="239">
        <v>6109</v>
      </c>
      <c r="CD51" s="239">
        <v>-56839</v>
      </c>
      <c r="CE51" s="239">
        <v>0</v>
      </c>
      <c r="CF51" s="239">
        <v>-56839</v>
      </c>
      <c r="CG51" s="239">
        <v>-1078</v>
      </c>
      <c r="CH51" s="239">
        <v>0</v>
      </c>
      <c r="CI51" s="239">
        <v>-1078</v>
      </c>
      <c r="CJ51" s="239">
        <v>-4649</v>
      </c>
      <c r="CK51" s="239">
        <v>0</v>
      </c>
      <c r="CL51" s="239">
        <v>-4649</v>
      </c>
      <c r="CM51" s="239">
        <v>0</v>
      </c>
      <c r="CN51" s="239">
        <v>0</v>
      </c>
      <c r="CO51" s="239">
        <v>0</v>
      </c>
      <c r="CP51" s="239">
        <v>-9305</v>
      </c>
      <c r="CQ51" s="239">
        <v>0</v>
      </c>
      <c r="CR51" s="239">
        <v>-9305</v>
      </c>
      <c r="CS51" s="239">
        <v>0</v>
      </c>
      <c r="CT51" s="239">
        <v>0</v>
      </c>
      <c r="CU51" s="239">
        <v>0</v>
      </c>
      <c r="CV51" s="239">
        <v>0</v>
      </c>
      <c r="CW51" s="239">
        <v>0</v>
      </c>
      <c r="CX51" s="239">
        <v>0</v>
      </c>
      <c r="CY51" s="239">
        <v>0</v>
      </c>
      <c r="CZ51" s="239">
        <v>0</v>
      </c>
      <c r="DA51" s="239">
        <v>0</v>
      </c>
      <c r="DB51" s="239">
        <v>0</v>
      </c>
      <c r="DC51" s="239">
        <v>0</v>
      </c>
      <c r="DD51" s="239">
        <v>0</v>
      </c>
      <c r="DE51" s="239">
        <v>0</v>
      </c>
      <c r="DF51" s="239">
        <v>0</v>
      </c>
      <c r="DG51" s="239">
        <v>0</v>
      </c>
      <c r="DH51" s="239">
        <v>0</v>
      </c>
      <c r="DI51" s="239">
        <v>0</v>
      </c>
      <c r="DJ51" s="239">
        <v>-293786</v>
      </c>
      <c r="DK51" s="239">
        <v>0</v>
      </c>
      <c r="DL51" s="239">
        <v>-293786</v>
      </c>
      <c r="DM51" s="239">
        <v>0</v>
      </c>
      <c r="DN51" s="239">
        <v>0</v>
      </c>
      <c r="DO51" s="239">
        <v>0</v>
      </c>
      <c r="DP51" s="239">
        <v>0</v>
      </c>
      <c r="DQ51" s="239">
        <v>0</v>
      </c>
      <c r="DR51" s="239">
        <v>0</v>
      </c>
      <c r="DS51" s="239">
        <v>-72896</v>
      </c>
      <c r="DT51" s="239">
        <v>0</v>
      </c>
      <c r="DU51" s="239">
        <v>-72896</v>
      </c>
      <c r="DV51" s="239">
        <v>-49853</v>
      </c>
      <c r="DW51" s="239">
        <v>0</v>
      </c>
      <c r="DX51" s="239">
        <v>-49853</v>
      </c>
      <c r="DY51" s="239">
        <v>-1038276</v>
      </c>
      <c r="DZ51" s="239">
        <v>0</v>
      </c>
      <c r="EA51" s="239">
        <v>-1038276</v>
      </c>
      <c r="EB51" s="239">
        <v>-3272</v>
      </c>
      <c r="EC51" s="239">
        <v>0</v>
      </c>
      <c r="ED51" s="239">
        <v>-3272</v>
      </c>
      <c r="EE51" s="239">
        <v>0</v>
      </c>
      <c r="EF51" s="239">
        <v>0</v>
      </c>
      <c r="EG51" s="239">
        <v>0</v>
      </c>
      <c r="EH51" s="239">
        <v>0</v>
      </c>
      <c r="EI51" s="239">
        <v>0</v>
      </c>
      <c r="EJ51" s="239">
        <v>0</v>
      </c>
      <c r="EK51" s="239">
        <v>-15577</v>
      </c>
      <c r="EL51" s="239">
        <v>0</v>
      </c>
      <c r="EM51" s="239">
        <v>-15577</v>
      </c>
      <c r="EN51" s="239">
        <v>-1179874</v>
      </c>
      <c r="EO51" s="239">
        <v>0</v>
      </c>
      <c r="EP51" s="239">
        <v>-1179874</v>
      </c>
      <c r="EQ51" s="239">
        <v>0</v>
      </c>
      <c r="ER51" s="239">
        <v>0</v>
      </c>
      <c r="ES51" s="239">
        <v>0</v>
      </c>
      <c r="ET51" s="239">
        <v>0</v>
      </c>
      <c r="EU51" s="239">
        <v>0</v>
      </c>
      <c r="EV51" s="239">
        <v>0</v>
      </c>
      <c r="EW51" s="239">
        <v>0</v>
      </c>
      <c r="EX51" s="239">
        <v>0</v>
      </c>
      <c r="EY51" s="239">
        <v>0</v>
      </c>
      <c r="EZ51" s="239">
        <v>63806667</v>
      </c>
      <c r="FA51" s="239">
        <v>0</v>
      </c>
      <c r="FB51" s="239">
        <v>63806667</v>
      </c>
      <c r="FC51" s="239">
        <v>250820</v>
      </c>
      <c r="FD51" s="239">
        <v>0</v>
      </c>
      <c r="FE51" s="239">
        <v>250820</v>
      </c>
      <c r="FF51" s="239">
        <v>-9341947</v>
      </c>
      <c r="FG51" s="239">
        <v>0</v>
      </c>
      <c r="FH51" s="239">
        <v>-9341947</v>
      </c>
      <c r="FI51" s="239">
        <v>-1401264</v>
      </c>
      <c r="FJ51" s="239">
        <v>0</v>
      </c>
      <c r="FK51" s="239">
        <v>-1401264</v>
      </c>
      <c r="FL51" s="239">
        <v>-293786</v>
      </c>
      <c r="FM51" s="239">
        <v>0</v>
      </c>
      <c r="FN51" s="239">
        <v>-293786</v>
      </c>
      <c r="FO51" s="239">
        <v>-1179874</v>
      </c>
      <c r="FP51" s="239">
        <v>0</v>
      </c>
      <c r="FQ51" s="239">
        <v>-1179874</v>
      </c>
      <c r="FR51" s="239">
        <v>0</v>
      </c>
      <c r="FS51" s="239">
        <v>0</v>
      </c>
      <c r="FT51" s="239">
        <v>0</v>
      </c>
      <c r="FU51" s="239">
        <v>-11966051</v>
      </c>
      <c r="FV51" s="239">
        <v>0</v>
      </c>
      <c r="FW51" s="239">
        <v>-11966051</v>
      </c>
      <c r="FX51" s="239">
        <v>51840616</v>
      </c>
      <c r="FY51" s="239">
        <v>0</v>
      </c>
      <c r="FZ51" s="239">
        <v>51840616</v>
      </c>
      <c r="GA51" s="214" t="s">
        <v>1294</v>
      </c>
    </row>
    <row r="52" spans="2:183" s="214" customFormat="1" x14ac:dyDescent="0.2">
      <c r="B52" s="610" t="s">
        <v>187</v>
      </c>
      <c r="C52" s="610" t="s">
        <v>186</v>
      </c>
      <c r="D52" s="239">
        <v>0</v>
      </c>
      <c r="E52" s="239">
        <v>0</v>
      </c>
      <c r="F52" s="239">
        <v>0</v>
      </c>
      <c r="G52" s="239">
        <v>11569</v>
      </c>
      <c r="H52" s="239">
        <v>0</v>
      </c>
      <c r="I52" s="239">
        <v>11569</v>
      </c>
      <c r="J52" s="239">
        <v>0</v>
      </c>
      <c r="K52" s="239">
        <v>0</v>
      </c>
      <c r="L52" s="239">
        <v>0</v>
      </c>
      <c r="M52" s="239">
        <v>25475</v>
      </c>
      <c r="N52" s="239">
        <v>0</v>
      </c>
      <c r="O52" s="239">
        <v>25475</v>
      </c>
      <c r="P52" s="239">
        <v>37044</v>
      </c>
      <c r="Q52" s="239">
        <v>0</v>
      </c>
      <c r="R52" s="239">
        <v>37044</v>
      </c>
      <c r="S52" s="239">
        <v>-2576857</v>
      </c>
      <c r="T52" s="239">
        <v>0</v>
      </c>
      <c r="U52" s="239">
        <v>-2576857</v>
      </c>
      <c r="V52" s="239">
        <v>-10728</v>
      </c>
      <c r="W52" s="239">
        <v>0</v>
      </c>
      <c r="X52" s="239">
        <v>-10728</v>
      </c>
      <c r="Y52" s="239">
        <v>-94736</v>
      </c>
      <c r="Z52" s="239">
        <v>0</v>
      </c>
      <c r="AA52" s="239">
        <v>-94736</v>
      </c>
      <c r="AB52" s="239">
        <v>-49185</v>
      </c>
      <c r="AC52" s="239">
        <v>0</v>
      </c>
      <c r="AD52" s="239">
        <v>-49185</v>
      </c>
      <c r="AE52" s="239">
        <v>-523</v>
      </c>
      <c r="AF52" s="239">
        <v>0</v>
      </c>
      <c r="AG52" s="239">
        <v>-523</v>
      </c>
      <c r="AH52" s="239">
        <v>1180742</v>
      </c>
      <c r="AI52" s="239">
        <v>0</v>
      </c>
      <c r="AJ52" s="239">
        <v>1180742</v>
      </c>
      <c r="AK52" s="239">
        <v>-10027</v>
      </c>
      <c r="AL52" s="239">
        <v>0</v>
      </c>
      <c r="AM52" s="239">
        <v>-10027</v>
      </c>
      <c r="AN52" s="239">
        <v>-3228615</v>
      </c>
      <c r="AO52" s="239">
        <v>0</v>
      </c>
      <c r="AP52" s="239">
        <v>-3228615</v>
      </c>
      <c r="AQ52" s="239">
        <v>6102</v>
      </c>
      <c r="AR52" s="239">
        <v>0</v>
      </c>
      <c r="AS52" s="239">
        <v>6102</v>
      </c>
      <c r="AT52" s="239">
        <v>-89322</v>
      </c>
      <c r="AU52" s="239">
        <v>0</v>
      </c>
      <c r="AV52" s="239">
        <v>-89322</v>
      </c>
      <c r="AW52" s="239">
        <v>0</v>
      </c>
      <c r="AX52" s="239">
        <v>0</v>
      </c>
      <c r="AY52" s="239">
        <v>0</v>
      </c>
      <c r="AZ52" s="239">
        <v>-27109</v>
      </c>
      <c r="BA52" s="239">
        <v>0</v>
      </c>
      <c r="BB52" s="239">
        <v>-27109</v>
      </c>
      <c r="BC52" s="239">
        <v>0</v>
      </c>
      <c r="BD52" s="239">
        <v>0</v>
      </c>
      <c r="BE52" s="239">
        <v>0</v>
      </c>
      <c r="BF52" s="239">
        <v>-4839822</v>
      </c>
      <c r="BG52" s="239">
        <v>0</v>
      </c>
      <c r="BH52" s="239">
        <v>-4839822</v>
      </c>
      <c r="BI52" s="239">
        <v>-21343</v>
      </c>
      <c r="BJ52" s="239">
        <v>0</v>
      </c>
      <c r="BK52" s="239">
        <v>-21343</v>
      </c>
      <c r="BL52" s="239">
        <v>0</v>
      </c>
      <c r="BM52" s="239">
        <v>0</v>
      </c>
      <c r="BN52" s="239">
        <v>0</v>
      </c>
      <c r="BO52" s="239">
        <v>-1521407</v>
      </c>
      <c r="BP52" s="239">
        <v>0</v>
      </c>
      <c r="BQ52" s="239">
        <v>-1521407</v>
      </c>
      <c r="BR52" s="239">
        <v>-66776</v>
      </c>
      <c r="BS52" s="239">
        <v>0</v>
      </c>
      <c r="BT52" s="239">
        <v>-66776</v>
      </c>
      <c r="BU52" s="239">
        <v>-1609526</v>
      </c>
      <c r="BV52" s="239">
        <v>0</v>
      </c>
      <c r="BW52" s="239">
        <v>-1609526</v>
      </c>
      <c r="BX52" s="239">
        <v>-57346</v>
      </c>
      <c r="BY52" s="239">
        <v>0</v>
      </c>
      <c r="BZ52" s="239">
        <v>-57346</v>
      </c>
      <c r="CA52" s="239">
        <v>381</v>
      </c>
      <c r="CB52" s="239">
        <v>0</v>
      </c>
      <c r="CC52" s="239">
        <v>381</v>
      </c>
      <c r="CD52" s="239">
        <v>-51952</v>
      </c>
      <c r="CE52" s="239">
        <v>0</v>
      </c>
      <c r="CF52" s="239">
        <v>-51952</v>
      </c>
      <c r="CG52" s="239">
        <v>-14147</v>
      </c>
      <c r="CH52" s="239">
        <v>0</v>
      </c>
      <c r="CI52" s="239">
        <v>-14147</v>
      </c>
      <c r="CJ52" s="239">
        <v>-2882</v>
      </c>
      <c r="CK52" s="239">
        <v>0</v>
      </c>
      <c r="CL52" s="239">
        <v>-2882</v>
      </c>
      <c r="CM52" s="239">
        <v>0</v>
      </c>
      <c r="CN52" s="239">
        <v>0</v>
      </c>
      <c r="CO52" s="239">
        <v>0</v>
      </c>
      <c r="CP52" s="239">
        <v>0</v>
      </c>
      <c r="CQ52" s="239">
        <v>0</v>
      </c>
      <c r="CR52" s="239">
        <v>0</v>
      </c>
      <c r="CS52" s="239">
        <v>0</v>
      </c>
      <c r="CT52" s="239">
        <v>0</v>
      </c>
      <c r="CU52" s="239">
        <v>0</v>
      </c>
      <c r="CV52" s="239">
        <v>-2588</v>
      </c>
      <c r="CW52" s="239">
        <v>0</v>
      </c>
      <c r="CX52" s="239">
        <v>-2588</v>
      </c>
      <c r="CY52" s="239">
        <v>0</v>
      </c>
      <c r="CZ52" s="239">
        <v>0</v>
      </c>
      <c r="DA52" s="239">
        <v>0</v>
      </c>
      <c r="DB52" s="239">
        <v>0</v>
      </c>
      <c r="DC52" s="239">
        <v>0</v>
      </c>
      <c r="DD52" s="239">
        <v>0</v>
      </c>
      <c r="DE52" s="239">
        <v>0</v>
      </c>
      <c r="DF52" s="239">
        <v>0</v>
      </c>
      <c r="DG52" s="239">
        <v>0</v>
      </c>
      <c r="DH52" s="239">
        <v>0</v>
      </c>
      <c r="DI52" s="239">
        <v>0</v>
      </c>
      <c r="DJ52" s="239">
        <v>-128534</v>
      </c>
      <c r="DK52" s="239">
        <v>0</v>
      </c>
      <c r="DL52" s="239">
        <v>-128534</v>
      </c>
      <c r="DM52" s="239">
        <v>-3540</v>
      </c>
      <c r="DN52" s="239">
        <v>0</v>
      </c>
      <c r="DO52" s="239">
        <v>-3540</v>
      </c>
      <c r="DP52" s="239">
        <v>0</v>
      </c>
      <c r="DQ52" s="239">
        <v>0</v>
      </c>
      <c r="DR52" s="239">
        <v>0</v>
      </c>
      <c r="DS52" s="239">
        <v>-71567</v>
      </c>
      <c r="DT52" s="239">
        <v>0</v>
      </c>
      <c r="DU52" s="239">
        <v>-71567</v>
      </c>
      <c r="DV52" s="239">
        <v>-26040</v>
      </c>
      <c r="DW52" s="239">
        <v>0</v>
      </c>
      <c r="DX52" s="239">
        <v>-26040</v>
      </c>
      <c r="DY52" s="239">
        <v>-668662</v>
      </c>
      <c r="DZ52" s="239">
        <v>0</v>
      </c>
      <c r="EA52" s="239">
        <v>-668662</v>
      </c>
      <c r="EB52" s="239">
        <v>-7481</v>
      </c>
      <c r="EC52" s="239">
        <v>0</v>
      </c>
      <c r="ED52" s="239">
        <v>-7481</v>
      </c>
      <c r="EE52" s="239">
        <v>-280926</v>
      </c>
      <c r="EF52" s="239">
        <v>0</v>
      </c>
      <c r="EG52" s="239">
        <v>-280926</v>
      </c>
      <c r="EH52" s="239">
        <v>0</v>
      </c>
      <c r="EI52" s="239">
        <v>0</v>
      </c>
      <c r="EJ52" s="239">
        <v>0</v>
      </c>
      <c r="EK52" s="239">
        <v>-11345</v>
      </c>
      <c r="EL52" s="239">
        <v>0</v>
      </c>
      <c r="EM52" s="239">
        <v>-11345</v>
      </c>
      <c r="EN52" s="239">
        <v>-1069561</v>
      </c>
      <c r="EO52" s="239">
        <v>0</v>
      </c>
      <c r="EP52" s="239">
        <v>-1069561</v>
      </c>
      <c r="EQ52" s="239">
        <v>0</v>
      </c>
      <c r="ER52" s="239">
        <v>0</v>
      </c>
      <c r="ES52" s="239">
        <v>0</v>
      </c>
      <c r="ET52" s="239">
        <v>0</v>
      </c>
      <c r="EU52" s="239">
        <v>0</v>
      </c>
      <c r="EV52" s="239">
        <v>0</v>
      </c>
      <c r="EW52" s="239">
        <v>0</v>
      </c>
      <c r="EX52" s="239">
        <v>0</v>
      </c>
      <c r="EY52" s="239">
        <v>0</v>
      </c>
      <c r="EZ52" s="239">
        <v>50546586</v>
      </c>
      <c r="FA52" s="239">
        <v>0</v>
      </c>
      <c r="FB52" s="239">
        <v>50546586</v>
      </c>
      <c r="FC52" s="239">
        <v>37044</v>
      </c>
      <c r="FD52" s="239">
        <v>0</v>
      </c>
      <c r="FE52" s="239">
        <v>37044</v>
      </c>
      <c r="FF52" s="239">
        <v>-4839822</v>
      </c>
      <c r="FG52" s="239">
        <v>0</v>
      </c>
      <c r="FH52" s="239">
        <v>-4839822</v>
      </c>
      <c r="FI52" s="239">
        <v>-1609526</v>
      </c>
      <c r="FJ52" s="239">
        <v>0</v>
      </c>
      <c r="FK52" s="239">
        <v>-1609526</v>
      </c>
      <c r="FL52" s="239">
        <v>-128534</v>
      </c>
      <c r="FM52" s="239">
        <v>0</v>
      </c>
      <c r="FN52" s="239">
        <v>-128534</v>
      </c>
      <c r="FO52" s="239">
        <v>-1069561</v>
      </c>
      <c r="FP52" s="239">
        <v>0</v>
      </c>
      <c r="FQ52" s="239">
        <v>-1069561</v>
      </c>
      <c r="FR52" s="239">
        <v>0</v>
      </c>
      <c r="FS52" s="239">
        <v>0</v>
      </c>
      <c r="FT52" s="239">
        <v>0</v>
      </c>
      <c r="FU52" s="239">
        <v>-7610399</v>
      </c>
      <c r="FV52" s="239">
        <v>0</v>
      </c>
      <c r="FW52" s="239">
        <v>-7610399</v>
      </c>
      <c r="FX52" s="239">
        <v>42936187</v>
      </c>
      <c r="FY52" s="239">
        <v>0</v>
      </c>
      <c r="FZ52" s="239">
        <v>42936187</v>
      </c>
      <c r="GA52" s="214" t="s">
        <v>1294</v>
      </c>
    </row>
    <row r="53" spans="2:183" s="214" customFormat="1" x14ac:dyDescent="0.2">
      <c r="B53" s="610" t="s">
        <v>189</v>
      </c>
      <c r="C53" s="610" t="s">
        <v>188</v>
      </c>
      <c r="D53" s="239">
        <v>0</v>
      </c>
      <c r="E53" s="239">
        <v>0</v>
      </c>
      <c r="F53" s="239">
        <v>0</v>
      </c>
      <c r="G53" s="239">
        <v>707</v>
      </c>
      <c r="H53" s="239">
        <v>0</v>
      </c>
      <c r="I53" s="239">
        <v>707</v>
      </c>
      <c r="J53" s="239">
        <v>0</v>
      </c>
      <c r="K53" s="239">
        <v>0</v>
      </c>
      <c r="L53" s="239">
        <v>0</v>
      </c>
      <c r="M53" s="239">
        <v>-3657</v>
      </c>
      <c r="N53" s="239">
        <v>0</v>
      </c>
      <c r="O53" s="239">
        <v>-3657</v>
      </c>
      <c r="P53" s="239">
        <v>-2950</v>
      </c>
      <c r="Q53" s="239">
        <v>0</v>
      </c>
      <c r="R53" s="239">
        <v>-2950</v>
      </c>
      <c r="S53" s="239">
        <v>-1821618</v>
      </c>
      <c r="T53" s="239">
        <v>0</v>
      </c>
      <c r="U53" s="239">
        <v>-1821618</v>
      </c>
      <c r="V53" s="239">
        <v>-9105</v>
      </c>
      <c r="W53" s="239">
        <v>0</v>
      </c>
      <c r="X53" s="239">
        <v>-9105</v>
      </c>
      <c r="Y53" s="239">
        <v>-80489</v>
      </c>
      <c r="Z53" s="239">
        <v>0</v>
      </c>
      <c r="AA53" s="239">
        <v>-80489</v>
      </c>
      <c r="AB53" s="239">
        <v>-50303</v>
      </c>
      <c r="AC53" s="239">
        <v>0</v>
      </c>
      <c r="AD53" s="239">
        <v>-50303</v>
      </c>
      <c r="AE53" s="239">
        <v>0</v>
      </c>
      <c r="AF53" s="239">
        <v>0</v>
      </c>
      <c r="AG53" s="239">
        <v>0</v>
      </c>
      <c r="AH53" s="239">
        <v>393713</v>
      </c>
      <c r="AI53" s="239">
        <v>0</v>
      </c>
      <c r="AJ53" s="239">
        <v>393713</v>
      </c>
      <c r="AK53" s="239">
        <v>-1694</v>
      </c>
      <c r="AL53" s="239">
        <v>0</v>
      </c>
      <c r="AM53" s="239">
        <v>-1694</v>
      </c>
      <c r="AN53" s="239">
        <v>-1566004</v>
      </c>
      <c r="AO53" s="239">
        <v>0</v>
      </c>
      <c r="AP53" s="239">
        <v>-1566004</v>
      </c>
      <c r="AQ53" s="239">
        <v>14310</v>
      </c>
      <c r="AR53" s="239">
        <v>0</v>
      </c>
      <c r="AS53" s="239">
        <v>14310</v>
      </c>
      <c r="AT53" s="239">
        <v>-9347</v>
      </c>
      <c r="AU53" s="239">
        <v>0</v>
      </c>
      <c r="AV53" s="239">
        <v>-9347</v>
      </c>
      <c r="AW53" s="239">
        <v>0</v>
      </c>
      <c r="AX53" s="239">
        <v>0</v>
      </c>
      <c r="AY53" s="239">
        <v>0</v>
      </c>
      <c r="AZ53" s="239">
        <v>0</v>
      </c>
      <c r="BA53" s="239">
        <v>0</v>
      </c>
      <c r="BB53" s="239">
        <v>0</v>
      </c>
      <c r="BC53" s="239">
        <v>0</v>
      </c>
      <c r="BD53" s="239">
        <v>0</v>
      </c>
      <c r="BE53" s="239">
        <v>0</v>
      </c>
      <c r="BF53" s="239">
        <v>-3071129</v>
      </c>
      <c r="BG53" s="239">
        <v>0</v>
      </c>
      <c r="BH53" s="239">
        <v>-3071129</v>
      </c>
      <c r="BI53" s="239">
        <v>-1722</v>
      </c>
      <c r="BJ53" s="239">
        <v>0</v>
      </c>
      <c r="BK53" s="239">
        <v>-1722</v>
      </c>
      <c r="BL53" s="239">
        <v>-819</v>
      </c>
      <c r="BM53" s="239">
        <v>0</v>
      </c>
      <c r="BN53" s="239">
        <v>-819</v>
      </c>
      <c r="BO53" s="239">
        <v>-287348</v>
      </c>
      <c r="BP53" s="239">
        <v>0</v>
      </c>
      <c r="BQ53" s="239">
        <v>-287348</v>
      </c>
      <c r="BR53" s="239">
        <v>-4328</v>
      </c>
      <c r="BS53" s="239">
        <v>0</v>
      </c>
      <c r="BT53" s="239">
        <v>-4328</v>
      </c>
      <c r="BU53" s="239">
        <v>-294217</v>
      </c>
      <c r="BV53" s="239">
        <v>0</v>
      </c>
      <c r="BW53" s="239">
        <v>-294217</v>
      </c>
      <c r="BX53" s="239">
        <v>-59630</v>
      </c>
      <c r="BY53" s="239">
        <v>0</v>
      </c>
      <c r="BZ53" s="239">
        <v>-59630</v>
      </c>
      <c r="CA53" s="239">
        <v>-287</v>
      </c>
      <c r="CB53" s="239">
        <v>0</v>
      </c>
      <c r="CC53" s="239">
        <v>-287</v>
      </c>
      <c r="CD53" s="239">
        <v>-38704</v>
      </c>
      <c r="CE53" s="239">
        <v>0</v>
      </c>
      <c r="CF53" s="239">
        <v>-38704</v>
      </c>
      <c r="CG53" s="239">
        <v>-2229</v>
      </c>
      <c r="CH53" s="239">
        <v>0</v>
      </c>
      <c r="CI53" s="239">
        <v>-2229</v>
      </c>
      <c r="CJ53" s="239">
        <v>-2337</v>
      </c>
      <c r="CK53" s="239">
        <v>0</v>
      </c>
      <c r="CL53" s="239">
        <v>-2337</v>
      </c>
      <c r="CM53" s="239">
        <v>0</v>
      </c>
      <c r="CN53" s="239">
        <v>0</v>
      </c>
      <c r="CO53" s="239">
        <v>0</v>
      </c>
      <c r="CP53" s="239">
        <v>0</v>
      </c>
      <c r="CQ53" s="239">
        <v>0</v>
      </c>
      <c r="CR53" s="239">
        <v>0</v>
      </c>
      <c r="CS53" s="239">
        <v>0</v>
      </c>
      <c r="CT53" s="239">
        <v>0</v>
      </c>
      <c r="CU53" s="239">
        <v>0</v>
      </c>
      <c r="CV53" s="239">
        <v>0</v>
      </c>
      <c r="CW53" s="239">
        <v>0</v>
      </c>
      <c r="CX53" s="239">
        <v>0</v>
      </c>
      <c r="CY53" s="239">
        <v>0</v>
      </c>
      <c r="CZ53" s="239">
        <v>0</v>
      </c>
      <c r="DA53" s="239">
        <v>0</v>
      </c>
      <c r="DB53" s="239">
        <v>0</v>
      </c>
      <c r="DC53" s="239">
        <v>0</v>
      </c>
      <c r="DD53" s="239">
        <v>0</v>
      </c>
      <c r="DE53" s="239">
        <v>0</v>
      </c>
      <c r="DF53" s="239">
        <v>0</v>
      </c>
      <c r="DG53" s="239">
        <v>0</v>
      </c>
      <c r="DH53" s="239">
        <v>0</v>
      </c>
      <c r="DI53" s="239">
        <v>0</v>
      </c>
      <c r="DJ53" s="239">
        <v>-103187</v>
      </c>
      <c r="DK53" s="239">
        <v>0</v>
      </c>
      <c r="DL53" s="239">
        <v>-103187</v>
      </c>
      <c r="DM53" s="239">
        <v>0</v>
      </c>
      <c r="DN53" s="239">
        <v>0</v>
      </c>
      <c r="DO53" s="239">
        <v>0</v>
      </c>
      <c r="DP53" s="239">
        <v>0</v>
      </c>
      <c r="DQ53" s="239">
        <v>0</v>
      </c>
      <c r="DR53" s="239">
        <v>0</v>
      </c>
      <c r="DS53" s="239">
        <v>-9717</v>
      </c>
      <c r="DT53" s="239">
        <v>0</v>
      </c>
      <c r="DU53" s="239">
        <v>-9717</v>
      </c>
      <c r="DV53" s="239">
        <v>0</v>
      </c>
      <c r="DW53" s="239">
        <v>0</v>
      </c>
      <c r="DX53" s="239">
        <v>0</v>
      </c>
      <c r="DY53" s="239">
        <v>-459018</v>
      </c>
      <c r="DZ53" s="239">
        <v>0</v>
      </c>
      <c r="EA53" s="239">
        <v>-459018</v>
      </c>
      <c r="EB53" s="239">
        <v>-3915</v>
      </c>
      <c r="EC53" s="239">
        <v>0</v>
      </c>
      <c r="ED53" s="239">
        <v>-3915</v>
      </c>
      <c r="EE53" s="239">
        <v>0</v>
      </c>
      <c r="EF53" s="239">
        <v>0</v>
      </c>
      <c r="EG53" s="239">
        <v>0</v>
      </c>
      <c r="EH53" s="239">
        <v>0</v>
      </c>
      <c r="EI53" s="239">
        <v>0</v>
      </c>
      <c r="EJ53" s="239">
        <v>0</v>
      </c>
      <c r="EK53" s="239">
        <v>-5717</v>
      </c>
      <c r="EL53" s="239">
        <v>0</v>
      </c>
      <c r="EM53" s="239">
        <v>-5717</v>
      </c>
      <c r="EN53" s="239">
        <v>-478367</v>
      </c>
      <c r="EO53" s="239">
        <v>0</v>
      </c>
      <c r="EP53" s="239">
        <v>-478367</v>
      </c>
      <c r="EQ53" s="239">
        <v>0</v>
      </c>
      <c r="ER53" s="239">
        <v>0</v>
      </c>
      <c r="ES53" s="239">
        <v>0</v>
      </c>
      <c r="ET53" s="239">
        <v>0</v>
      </c>
      <c r="EU53" s="239">
        <v>0</v>
      </c>
      <c r="EV53" s="239">
        <v>0</v>
      </c>
      <c r="EW53" s="239">
        <v>0</v>
      </c>
      <c r="EX53" s="239">
        <v>0</v>
      </c>
      <c r="EY53" s="239">
        <v>0</v>
      </c>
      <c r="EZ53" s="239">
        <v>19061007</v>
      </c>
      <c r="FA53" s="239">
        <v>0</v>
      </c>
      <c r="FB53" s="239">
        <v>19061007</v>
      </c>
      <c r="FC53" s="239">
        <v>-2950</v>
      </c>
      <c r="FD53" s="239">
        <v>0</v>
      </c>
      <c r="FE53" s="239">
        <v>-2950</v>
      </c>
      <c r="FF53" s="239">
        <v>-3071129</v>
      </c>
      <c r="FG53" s="239">
        <v>0</v>
      </c>
      <c r="FH53" s="239">
        <v>-3071129</v>
      </c>
      <c r="FI53" s="239">
        <v>-294217</v>
      </c>
      <c r="FJ53" s="239">
        <v>0</v>
      </c>
      <c r="FK53" s="239">
        <v>-294217</v>
      </c>
      <c r="FL53" s="239">
        <v>-103187</v>
      </c>
      <c r="FM53" s="239">
        <v>0</v>
      </c>
      <c r="FN53" s="239">
        <v>-103187</v>
      </c>
      <c r="FO53" s="239">
        <v>-478367</v>
      </c>
      <c r="FP53" s="239">
        <v>0</v>
      </c>
      <c r="FQ53" s="239">
        <v>-478367</v>
      </c>
      <c r="FR53" s="239">
        <v>0</v>
      </c>
      <c r="FS53" s="239">
        <v>0</v>
      </c>
      <c r="FT53" s="239">
        <v>0</v>
      </c>
      <c r="FU53" s="239">
        <v>-3949850</v>
      </c>
      <c r="FV53" s="239">
        <v>0</v>
      </c>
      <c r="FW53" s="239">
        <v>-3949850</v>
      </c>
      <c r="FX53" s="239">
        <v>15111157</v>
      </c>
      <c r="FY53" s="239">
        <v>0</v>
      </c>
      <c r="FZ53" s="239">
        <v>15111157</v>
      </c>
      <c r="GA53" s="214" t="s">
        <v>1294</v>
      </c>
    </row>
    <row r="54" spans="2:183" s="214" customFormat="1" x14ac:dyDescent="0.2">
      <c r="B54" s="610" t="s">
        <v>191</v>
      </c>
      <c r="C54" s="610" t="s">
        <v>190</v>
      </c>
      <c r="D54" s="239">
        <v>0</v>
      </c>
      <c r="E54" s="239">
        <v>0</v>
      </c>
      <c r="F54" s="239">
        <v>0</v>
      </c>
      <c r="G54" s="239">
        <v>138664</v>
      </c>
      <c r="H54" s="239">
        <v>0</v>
      </c>
      <c r="I54" s="239">
        <v>138664</v>
      </c>
      <c r="J54" s="239">
        <v>0</v>
      </c>
      <c r="K54" s="239">
        <v>0</v>
      </c>
      <c r="L54" s="239">
        <v>0</v>
      </c>
      <c r="M54" s="239">
        <v>88091</v>
      </c>
      <c r="N54" s="239">
        <v>0</v>
      </c>
      <c r="O54" s="239">
        <v>88091</v>
      </c>
      <c r="P54" s="239">
        <v>226755</v>
      </c>
      <c r="Q54" s="239">
        <v>0</v>
      </c>
      <c r="R54" s="239">
        <v>226755</v>
      </c>
      <c r="S54" s="239">
        <v>-4853716</v>
      </c>
      <c r="T54" s="239">
        <v>0</v>
      </c>
      <c r="U54" s="239">
        <v>-4853716</v>
      </c>
      <c r="V54" s="239">
        <v>0</v>
      </c>
      <c r="W54" s="239">
        <v>0</v>
      </c>
      <c r="X54" s="239">
        <v>0</v>
      </c>
      <c r="Y54" s="239">
        <v>-476849</v>
      </c>
      <c r="Z54" s="239">
        <v>0</v>
      </c>
      <c r="AA54" s="239">
        <v>-476849</v>
      </c>
      <c r="AB54" s="239">
        <v>-273022</v>
      </c>
      <c r="AC54" s="239">
        <v>0</v>
      </c>
      <c r="AD54" s="239">
        <v>-273022</v>
      </c>
      <c r="AE54" s="239">
        <v>0</v>
      </c>
      <c r="AF54" s="239">
        <v>0</v>
      </c>
      <c r="AG54" s="239">
        <v>0</v>
      </c>
      <c r="AH54" s="239">
        <v>2231269</v>
      </c>
      <c r="AI54" s="239">
        <v>0</v>
      </c>
      <c r="AJ54" s="239">
        <v>2231269</v>
      </c>
      <c r="AK54" s="239">
        <v>-101208</v>
      </c>
      <c r="AL54" s="239">
        <v>0</v>
      </c>
      <c r="AM54" s="239">
        <v>-101208</v>
      </c>
      <c r="AN54" s="239">
        <v>-6345676</v>
      </c>
      <c r="AO54" s="239">
        <v>0</v>
      </c>
      <c r="AP54" s="239">
        <v>-6345676</v>
      </c>
      <c r="AQ54" s="239">
        <v>-710352</v>
      </c>
      <c r="AR54" s="239">
        <v>0</v>
      </c>
      <c r="AS54" s="239">
        <v>-710352</v>
      </c>
      <c r="AT54" s="239">
        <v>-110609</v>
      </c>
      <c r="AU54" s="239">
        <v>0</v>
      </c>
      <c r="AV54" s="239">
        <v>-110609</v>
      </c>
      <c r="AW54" s="239">
        <v>0</v>
      </c>
      <c r="AX54" s="239">
        <v>0</v>
      </c>
      <c r="AY54" s="239">
        <v>0</v>
      </c>
      <c r="AZ54" s="239">
        <v>-36545</v>
      </c>
      <c r="BA54" s="239">
        <v>0</v>
      </c>
      <c r="BB54" s="239">
        <v>-36545</v>
      </c>
      <c r="BC54" s="239">
        <v>-3199</v>
      </c>
      <c r="BD54" s="239">
        <v>0</v>
      </c>
      <c r="BE54" s="239">
        <v>-3199</v>
      </c>
      <c r="BF54" s="239">
        <v>-10406885</v>
      </c>
      <c r="BG54" s="239">
        <v>0</v>
      </c>
      <c r="BH54" s="239">
        <v>-10406885</v>
      </c>
      <c r="BI54" s="239">
        <v>-108695</v>
      </c>
      <c r="BJ54" s="239">
        <v>0</v>
      </c>
      <c r="BK54" s="239">
        <v>-108695</v>
      </c>
      <c r="BL54" s="239">
        <v>43465</v>
      </c>
      <c r="BM54" s="239">
        <v>0</v>
      </c>
      <c r="BN54" s="239">
        <v>43465</v>
      </c>
      <c r="BO54" s="239">
        <v>-3302441</v>
      </c>
      <c r="BP54" s="239">
        <v>0</v>
      </c>
      <c r="BQ54" s="239">
        <v>-3302441</v>
      </c>
      <c r="BR54" s="239">
        <v>48644</v>
      </c>
      <c r="BS54" s="239">
        <v>0</v>
      </c>
      <c r="BT54" s="239">
        <v>48644</v>
      </c>
      <c r="BU54" s="239">
        <v>-3319027</v>
      </c>
      <c r="BV54" s="239">
        <v>0</v>
      </c>
      <c r="BW54" s="239">
        <v>-3319027</v>
      </c>
      <c r="BX54" s="239">
        <v>-377187</v>
      </c>
      <c r="BY54" s="239">
        <v>0</v>
      </c>
      <c r="BZ54" s="239">
        <v>-377187</v>
      </c>
      <c r="CA54" s="239">
        <v>-5025</v>
      </c>
      <c r="CB54" s="239">
        <v>0</v>
      </c>
      <c r="CC54" s="239">
        <v>-5025</v>
      </c>
      <c r="CD54" s="239">
        <v>-509793</v>
      </c>
      <c r="CE54" s="239">
        <v>0</v>
      </c>
      <c r="CF54" s="239">
        <v>-509793</v>
      </c>
      <c r="CG54" s="239">
        <v>-4386</v>
      </c>
      <c r="CH54" s="239">
        <v>0</v>
      </c>
      <c r="CI54" s="239">
        <v>-4386</v>
      </c>
      <c r="CJ54" s="239">
        <v>-1632</v>
      </c>
      <c r="CK54" s="239">
        <v>0</v>
      </c>
      <c r="CL54" s="239">
        <v>-1632</v>
      </c>
      <c r="CM54" s="239">
        <v>0</v>
      </c>
      <c r="CN54" s="239">
        <v>0</v>
      </c>
      <c r="CO54" s="239">
        <v>0</v>
      </c>
      <c r="CP54" s="239">
        <v>-18568</v>
      </c>
      <c r="CQ54" s="239">
        <v>0</v>
      </c>
      <c r="CR54" s="239">
        <v>-18568</v>
      </c>
      <c r="CS54" s="239">
        <v>-2559</v>
      </c>
      <c r="CT54" s="239">
        <v>0</v>
      </c>
      <c r="CU54" s="239">
        <v>-2559</v>
      </c>
      <c r="CV54" s="239">
        <v>-10770</v>
      </c>
      <c r="CW54" s="239">
        <v>0</v>
      </c>
      <c r="CX54" s="239">
        <v>-10770</v>
      </c>
      <c r="CY54" s="239">
        <v>4805</v>
      </c>
      <c r="CZ54" s="239">
        <v>0</v>
      </c>
      <c r="DA54" s="239">
        <v>4805</v>
      </c>
      <c r="DB54" s="239">
        <v>0</v>
      </c>
      <c r="DC54" s="239">
        <v>0</v>
      </c>
      <c r="DD54" s="239">
        <v>0</v>
      </c>
      <c r="DE54" s="239">
        <v>0</v>
      </c>
      <c r="DF54" s="239">
        <v>0</v>
      </c>
      <c r="DG54" s="239">
        <v>0</v>
      </c>
      <c r="DH54" s="239">
        <v>0</v>
      </c>
      <c r="DI54" s="239">
        <v>0</v>
      </c>
      <c r="DJ54" s="239">
        <v>-925115</v>
      </c>
      <c r="DK54" s="239">
        <v>0</v>
      </c>
      <c r="DL54" s="239">
        <v>-925115</v>
      </c>
      <c r="DM54" s="239">
        <v>-168125</v>
      </c>
      <c r="DN54" s="239">
        <v>0</v>
      </c>
      <c r="DO54" s="239">
        <v>-168125</v>
      </c>
      <c r="DP54" s="239">
        <v>-5872</v>
      </c>
      <c r="DQ54" s="239">
        <v>0</v>
      </c>
      <c r="DR54" s="239">
        <v>-5872</v>
      </c>
      <c r="DS54" s="239">
        <v>-38515</v>
      </c>
      <c r="DT54" s="239">
        <v>0</v>
      </c>
      <c r="DU54" s="239">
        <v>-38515</v>
      </c>
      <c r="DV54" s="239">
        <v>-2167</v>
      </c>
      <c r="DW54" s="239">
        <v>0</v>
      </c>
      <c r="DX54" s="239">
        <v>-2167</v>
      </c>
      <c r="DY54" s="239">
        <v>-1496933</v>
      </c>
      <c r="DZ54" s="239">
        <v>0</v>
      </c>
      <c r="EA54" s="239">
        <v>-1496933</v>
      </c>
      <c r="EB54" s="239">
        <v>-6450</v>
      </c>
      <c r="EC54" s="239">
        <v>0</v>
      </c>
      <c r="ED54" s="239">
        <v>-6450</v>
      </c>
      <c r="EE54" s="239">
        <v>0</v>
      </c>
      <c r="EF54" s="239">
        <v>0</v>
      </c>
      <c r="EG54" s="239">
        <v>0</v>
      </c>
      <c r="EH54" s="239">
        <v>0</v>
      </c>
      <c r="EI54" s="239">
        <v>0</v>
      </c>
      <c r="EJ54" s="239">
        <v>0</v>
      </c>
      <c r="EK54" s="239">
        <v>-42345</v>
      </c>
      <c r="EL54" s="239">
        <v>0</v>
      </c>
      <c r="EM54" s="239">
        <v>-42345</v>
      </c>
      <c r="EN54" s="239">
        <v>-1760407</v>
      </c>
      <c r="EO54" s="239">
        <v>0</v>
      </c>
      <c r="EP54" s="239">
        <v>-1760407</v>
      </c>
      <c r="EQ54" s="239">
        <v>0</v>
      </c>
      <c r="ER54" s="239">
        <v>0</v>
      </c>
      <c r="ES54" s="239">
        <v>0</v>
      </c>
      <c r="ET54" s="239">
        <v>-18600</v>
      </c>
      <c r="EU54" s="239">
        <v>0</v>
      </c>
      <c r="EV54" s="239">
        <v>-18600</v>
      </c>
      <c r="EW54" s="239">
        <v>-18600</v>
      </c>
      <c r="EX54" s="239">
        <v>0</v>
      </c>
      <c r="EY54" s="239">
        <v>-18600</v>
      </c>
      <c r="EZ54" s="239">
        <v>91927909</v>
      </c>
      <c r="FA54" s="239">
        <v>0</v>
      </c>
      <c r="FB54" s="239">
        <v>91927909</v>
      </c>
      <c r="FC54" s="239">
        <v>226755</v>
      </c>
      <c r="FD54" s="239">
        <v>0</v>
      </c>
      <c r="FE54" s="239">
        <v>226755</v>
      </c>
      <c r="FF54" s="239">
        <v>-10406885</v>
      </c>
      <c r="FG54" s="239">
        <v>0</v>
      </c>
      <c r="FH54" s="239">
        <v>-10406885</v>
      </c>
      <c r="FI54" s="239">
        <v>-3319027</v>
      </c>
      <c r="FJ54" s="239">
        <v>0</v>
      </c>
      <c r="FK54" s="239">
        <v>-3319027</v>
      </c>
      <c r="FL54" s="239">
        <v>-925115</v>
      </c>
      <c r="FM54" s="239">
        <v>0</v>
      </c>
      <c r="FN54" s="239">
        <v>-925115</v>
      </c>
      <c r="FO54" s="239">
        <v>-1760407</v>
      </c>
      <c r="FP54" s="239">
        <v>0</v>
      </c>
      <c r="FQ54" s="239">
        <v>-1760407</v>
      </c>
      <c r="FR54" s="239">
        <v>-18600</v>
      </c>
      <c r="FS54" s="239">
        <v>0</v>
      </c>
      <c r="FT54" s="239">
        <v>-18600</v>
      </c>
      <c r="FU54" s="239">
        <v>-16203279</v>
      </c>
      <c r="FV54" s="239">
        <v>0</v>
      </c>
      <c r="FW54" s="239">
        <v>-16203279</v>
      </c>
      <c r="FX54" s="239">
        <v>75724630</v>
      </c>
      <c r="FY54" s="239">
        <v>0</v>
      </c>
      <c r="FZ54" s="239">
        <v>75724630</v>
      </c>
      <c r="GA54" s="214" t="s">
        <v>748</v>
      </c>
    </row>
    <row r="55" spans="2:183" s="214" customFormat="1" x14ac:dyDescent="0.2">
      <c r="B55" s="610" t="s">
        <v>193</v>
      </c>
      <c r="C55" s="610" t="s">
        <v>192</v>
      </c>
      <c r="D55" s="239">
        <v>0</v>
      </c>
      <c r="E55" s="239">
        <v>0</v>
      </c>
      <c r="F55" s="239">
        <v>0</v>
      </c>
      <c r="G55" s="239">
        <v>61756</v>
      </c>
      <c r="H55" s="239">
        <v>0</v>
      </c>
      <c r="I55" s="239">
        <v>61756</v>
      </c>
      <c r="J55" s="239">
        <v>0</v>
      </c>
      <c r="K55" s="239">
        <v>0</v>
      </c>
      <c r="L55" s="239">
        <v>0</v>
      </c>
      <c r="M55" s="239">
        <v>37664</v>
      </c>
      <c r="N55" s="239">
        <v>0</v>
      </c>
      <c r="O55" s="239">
        <v>37664</v>
      </c>
      <c r="P55" s="239">
        <v>99420</v>
      </c>
      <c r="Q55" s="239">
        <v>0</v>
      </c>
      <c r="R55" s="239">
        <v>99420</v>
      </c>
      <c r="S55" s="239">
        <v>-3243354</v>
      </c>
      <c r="T55" s="239">
        <v>0</v>
      </c>
      <c r="U55" s="239">
        <v>-3243354</v>
      </c>
      <c r="V55" s="239">
        <v>-11232</v>
      </c>
      <c r="W55" s="239">
        <v>0</v>
      </c>
      <c r="X55" s="239">
        <v>-11232</v>
      </c>
      <c r="Y55" s="239">
        <v>-123873</v>
      </c>
      <c r="Z55" s="239">
        <v>0</v>
      </c>
      <c r="AA55" s="239">
        <v>-123873</v>
      </c>
      <c r="AB55" s="239">
        <v>69839</v>
      </c>
      <c r="AC55" s="239">
        <v>0</v>
      </c>
      <c r="AD55" s="239">
        <v>69839</v>
      </c>
      <c r="AE55" s="239">
        <v>0</v>
      </c>
      <c r="AF55" s="239">
        <v>0</v>
      </c>
      <c r="AG55" s="239">
        <v>0</v>
      </c>
      <c r="AH55" s="239">
        <v>1239106</v>
      </c>
      <c r="AI55" s="239">
        <v>0</v>
      </c>
      <c r="AJ55" s="239">
        <v>1239106</v>
      </c>
      <c r="AK55" s="239">
        <v>-6051</v>
      </c>
      <c r="AL55" s="239">
        <v>0</v>
      </c>
      <c r="AM55" s="239">
        <v>-6051</v>
      </c>
      <c r="AN55" s="239">
        <v>-6028607</v>
      </c>
      <c r="AO55" s="239">
        <v>0</v>
      </c>
      <c r="AP55" s="239">
        <v>-6028607</v>
      </c>
      <c r="AQ55" s="239">
        <v>-51945</v>
      </c>
      <c r="AR55" s="239">
        <v>0</v>
      </c>
      <c r="AS55" s="239">
        <v>-51945</v>
      </c>
      <c r="AT55" s="239">
        <v>-20906</v>
      </c>
      <c r="AU55" s="239">
        <v>0</v>
      </c>
      <c r="AV55" s="239">
        <v>-20906</v>
      </c>
      <c r="AW55" s="239">
        <v>0</v>
      </c>
      <c r="AX55" s="239">
        <v>0</v>
      </c>
      <c r="AY55" s="239">
        <v>0</v>
      </c>
      <c r="AZ55" s="239">
        <v>-1651</v>
      </c>
      <c r="BA55" s="239">
        <v>0</v>
      </c>
      <c r="BB55" s="239">
        <v>-1651</v>
      </c>
      <c r="BC55" s="239">
        <v>8</v>
      </c>
      <c r="BD55" s="239">
        <v>0</v>
      </c>
      <c r="BE55" s="239">
        <v>8</v>
      </c>
      <c r="BF55" s="239">
        <v>-8237273</v>
      </c>
      <c r="BG55" s="239">
        <v>0</v>
      </c>
      <c r="BH55" s="239">
        <v>-8237273</v>
      </c>
      <c r="BI55" s="239">
        <v>-4159</v>
      </c>
      <c r="BJ55" s="239">
        <v>0</v>
      </c>
      <c r="BK55" s="239">
        <v>-4159</v>
      </c>
      <c r="BL55" s="239">
        <v>9243</v>
      </c>
      <c r="BM55" s="239">
        <v>0</v>
      </c>
      <c r="BN55" s="239">
        <v>9243</v>
      </c>
      <c r="BO55" s="239">
        <v>-1081608</v>
      </c>
      <c r="BP55" s="239">
        <v>0</v>
      </c>
      <c r="BQ55" s="239">
        <v>-1081608</v>
      </c>
      <c r="BR55" s="239">
        <v>-87007.05</v>
      </c>
      <c r="BS55" s="239">
        <v>0</v>
      </c>
      <c r="BT55" s="239">
        <v>-87007.05</v>
      </c>
      <c r="BU55" s="239">
        <v>-1163531</v>
      </c>
      <c r="BV55" s="239">
        <v>0</v>
      </c>
      <c r="BW55" s="239">
        <v>-1163531</v>
      </c>
      <c r="BX55" s="239">
        <v>-65205</v>
      </c>
      <c r="BY55" s="239">
        <v>0</v>
      </c>
      <c r="BZ55" s="239">
        <v>-65205</v>
      </c>
      <c r="CA55" s="239">
        <v>226</v>
      </c>
      <c r="CB55" s="239">
        <v>0</v>
      </c>
      <c r="CC55" s="239">
        <v>226</v>
      </c>
      <c r="CD55" s="239">
        <v>-177503</v>
      </c>
      <c r="CE55" s="239">
        <v>0</v>
      </c>
      <c r="CF55" s="239">
        <v>-177503</v>
      </c>
      <c r="CG55" s="239">
        <v>10119</v>
      </c>
      <c r="CH55" s="239">
        <v>0</v>
      </c>
      <c r="CI55" s="239">
        <v>10119</v>
      </c>
      <c r="CJ55" s="239">
        <v>-422</v>
      </c>
      <c r="CK55" s="239">
        <v>0</v>
      </c>
      <c r="CL55" s="239">
        <v>-422</v>
      </c>
      <c r="CM55" s="239">
        <v>0</v>
      </c>
      <c r="CN55" s="239">
        <v>0</v>
      </c>
      <c r="CO55" s="239">
        <v>0</v>
      </c>
      <c r="CP55" s="239">
        <v>0</v>
      </c>
      <c r="CQ55" s="239">
        <v>0</v>
      </c>
      <c r="CR55" s="239">
        <v>0</v>
      </c>
      <c r="CS55" s="239">
        <v>0</v>
      </c>
      <c r="CT55" s="239">
        <v>0</v>
      </c>
      <c r="CU55" s="239">
        <v>0</v>
      </c>
      <c r="CV55" s="239">
        <v>0</v>
      </c>
      <c r="CW55" s="239">
        <v>0</v>
      </c>
      <c r="CX55" s="239">
        <v>0</v>
      </c>
      <c r="CY55" s="239">
        <v>0</v>
      </c>
      <c r="CZ55" s="239">
        <v>0</v>
      </c>
      <c r="DA55" s="239">
        <v>0</v>
      </c>
      <c r="DB55" s="239">
        <v>-35890</v>
      </c>
      <c r="DC55" s="239">
        <v>0</v>
      </c>
      <c r="DD55" s="239">
        <v>-35890</v>
      </c>
      <c r="DE55" s="239">
        <v>0</v>
      </c>
      <c r="DF55" s="239">
        <v>0</v>
      </c>
      <c r="DG55" s="239">
        <v>0</v>
      </c>
      <c r="DH55" s="239">
        <v>0</v>
      </c>
      <c r="DI55" s="239">
        <v>0</v>
      </c>
      <c r="DJ55" s="239">
        <v>-268675</v>
      </c>
      <c r="DK55" s="239">
        <v>0</v>
      </c>
      <c r="DL55" s="239">
        <v>-268675</v>
      </c>
      <c r="DM55" s="239">
        <v>-30493</v>
      </c>
      <c r="DN55" s="239">
        <v>0</v>
      </c>
      <c r="DO55" s="239">
        <v>-30493</v>
      </c>
      <c r="DP55" s="239">
        <v>0</v>
      </c>
      <c r="DQ55" s="239">
        <v>0</v>
      </c>
      <c r="DR55" s="239">
        <v>0</v>
      </c>
      <c r="DS55" s="239">
        <v>-42158</v>
      </c>
      <c r="DT55" s="239">
        <v>0</v>
      </c>
      <c r="DU55" s="239">
        <v>-42158</v>
      </c>
      <c r="DV55" s="239">
        <v>-77</v>
      </c>
      <c r="DW55" s="239">
        <v>0</v>
      </c>
      <c r="DX55" s="239">
        <v>-77</v>
      </c>
      <c r="DY55" s="239">
        <v>-738869</v>
      </c>
      <c r="DZ55" s="239">
        <v>0</v>
      </c>
      <c r="EA55" s="239">
        <v>-738869</v>
      </c>
      <c r="EB55" s="239">
        <v>-18013</v>
      </c>
      <c r="EC55" s="239">
        <v>0</v>
      </c>
      <c r="ED55" s="239">
        <v>-18013</v>
      </c>
      <c r="EE55" s="239">
        <v>0</v>
      </c>
      <c r="EF55" s="239">
        <v>0</v>
      </c>
      <c r="EG55" s="239">
        <v>0</v>
      </c>
      <c r="EH55" s="239">
        <v>0</v>
      </c>
      <c r="EI55" s="239">
        <v>0</v>
      </c>
      <c r="EJ55" s="239">
        <v>0</v>
      </c>
      <c r="EK55" s="239">
        <v>-7778</v>
      </c>
      <c r="EL55" s="239">
        <v>0</v>
      </c>
      <c r="EM55" s="239">
        <v>-7778</v>
      </c>
      <c r="EN55" s="239">
        <v>-837388</v>
      </c>
      <c r="EO55" s="239">
        <v>0</v>
      </c>
      <c r="EP55" s="239">
        <v>-837388</v>
      </c>
      <c r="EQ55" s="239">
        <v>-38220</v>
      </c>
      <c r="ER55" s="239">
        <v>0</v>
      </c>
      <c r="ES55" s="239">
        <v>-38220</v>
      </c>
      <c r="ET55" s="239">
        <v>0</v>
      </c>
      <c r="EU55" s="239">
        <v>0</v>
      </c>
      <c r="EV55" s="239">
        <v>0</v>
      </c>
      <c r="EW55" s="239">
        <v>-38220</v>
      </c>
      <c r="EX55" s="239">
        <v>0</v>
      </c>
      <c r="EY55" s="239">
        <v>-38220</v>
      </c>
      <c r="EZ55" s="239">
        <v>54611697</v>
      </c>
      <c r="FA55" s="239">
        <v>0</v>
      </c>
      <c r="FB55" s="239">
        <v>54611697</v>
      </c>
      <c r="FC55" s="239">
        <v>99420</v>
      </c>
      <c r="FD55" s="239">
        <v>0</v>
      </c>
      <c r="FE55" s="239">
        <v>99420</v>
      </c>
      <c r="FF55" s="239">
        <v>-8237273</v>
      </c>
      <c r="FG55" s="239">
        <v>0</v>
      </c>
      <c r="FH55" s="239">
        <v>-8237273</v>
      </c>
      <c r="FI55" s="239">
        <v>-1163531</v>
      </c>
      <c r="FJ55" s="239">
        <v>0</v>
      </c>
      <c r="FK55" s="239">
        <v>-1163531</v>
      </c>
      <c r="FL55" s="239">
        <v>-268675</v>
      </c>
      <c r="FM55" s="239">
        <v>0</v>
      </c>
      <c r="FN55" s="239">
        <v>-268675</v>
      </c>
      <c r="FO55" s="239">
        <v>-837388</v>
      </c>
      <c r="FP55" s="239">
        <v>0</v>
      </c>
      <c r="FQ55" s="239">
        <v>-837388</v>
      </c>
      <c r="FR55" s="239">
        <v>-38220</v>
      </c>
      <c r="FS55" s="239">
        <v>0</v>
      </c>
      <c r="FT55" s="239">
        <v>-38220</v>
      </c>
      <c r="FU55" s="239">
        <v>-10445667</v>
      </c>
      <c r="FV55" s="239">
        <v>0</v>
      </c>
      <c r="FW55" s="239">
        <v>-10445667</v>
      </c>
      <c r="FX55" s="239">
        <v>44166030</v>
      </c>
      <c r="FY55" s="239">
        <v>0</v>
      </c>
      <c r="FZ55" s="239">
        <v>44166030</v>
      </c>
      <c r="GA55" s="214" t="s">
        <v>1294</v>
      </c>
    </row>
    <row r="56" spans="2:183" s="214" customFormat="1" x14ac:dyDescent="0.2">
      <c r="B56" s="610" t="s">
        <v>195</v>
      </c>
      <c r="C56" s="610" t="s">
        <v>194</v>
      </c>
      <c r="D56" s="239">
        <v>0</v>
      </c>
      <c r="E56" s="239">
        <v>0</v>
      </c>
      <c r="F56" s="239">
        <v>0</v>
      </c>
      <c r="G56" s="239">
        <v>-170886</v>
      </c>
      <c r="H56" s="239">
        <v>0</v>
      </c>
      <c r="I56" s="239">
        <v>-170886</v>
      </c>
      <c r="J56" s="239">
        <v>0</v>
      </c>
      <c r="K56" s="239">
        <v>0</v>
      </c>
      <c r="L56" s="239">
        <v>0</v>
      </c>
      <c r="M56" s="239">
        <v>62983</v>
      </c>
      <c r="N56" s="239">
        <v>0</v>
      </c>
      <c r="O56" s="239">
        <v>62983</v>
      </c>
      <c r="P56" s="239">
        <v>-107903</v>
      </c>
      <c r="Q56" s="239">
        <v>0</v>
      </c>
      <c r="R56" s="239">
        <v>-107903</v>
      </c>
      <c r="S56" s="239">
        <v>-2784881</v>
      </c>
      <c r="T56" s="239">
        <v>0</v>
      </c>
      <c r="U56" s="239">
        <v>-2784881</v>
      </c>
      <c r="V56" s="239">
        <v>-142715</v>
      </c>
      <c r="W56" s="239">
        <v>0</v>
      </c>
      <c r="X56" s="239">
        <v>-142715</v>
      </c>
      <c r="Y56" s="239">
        <v>-186911</v>
      </c>
      <c r="Z56" s="239">
        <v>0</v>
      </c>
      <c r="AA56" s="239">
        <v>-186911</v>
      </c>
      <c r="AB56" s="239">
        <v>-132478</v>
      </c>
      <c r="AC56" s="239">
        <v>0</v>
      </c>
      <c r="AD56" s="239">
        <v>-132478</v>
      </c>
      <c r="AE56" s="239">
        <v>-36554</v>
      </c>
      <c r="AF56" s="239">
        <v>0</v>
      </c>
      <c r="AG56" s="239">
        <v>-36554</v>
      </c>
      <c r="AH56" s="239">
        <v>2175826</v>
      </c>
      <c r="AI56" s="239">
        <v>0</v>
      </c>
      <c r="AJ56" s="239">
        <v>2175826</v>
      </c>
      <c r="AK56" s="239">
        <v>-35149</v>
      </c>
      <c r="AL56" s="239">
        <v>0</v>
      </c>
      <c r="AM56" s="239">
        <v>-35149</v>
      </c>
      <c r="AN56" s="239">
        <v>-4656435</v>
      </c>
      <c r="AO56" s="239">
        <v>0</v>
      </c>
      <c r="AP56" s="239">
        <v>-4656435</v>
      </c>
      <c r="AQ56" s="239">
        <v>-535487</v>
      </c>
      <c r="AR56" s="239">
        <v>0</v>
      </c>
      <c r="AS56" s="239">
        <v>-535487</v>
      </c>
      <c r="AT56" s="239">
        <v>-33524</v>
      </c>
      <c r="AU56" s="239">
        <v>0</v>
      </c>
      <c r="AV56" s="239">
        <v>-33524</v>
      </c>
      <c r="AW56" s="239">
        <v>0</v>
      </c>
      <c r="AX56" s="239">
        <v>0</v>
      </c>
      <c r="AY56" s="239">
        <v>0</v>
      </c>
      <c r="AZ56" s="239">
        <v>-8639</v>
      </c>
      <c r="BA56" s="239">
        <v>0</v>
      </c>
      <c r="BB56" s="239">
        <v>-8639</v>
      </c>
      <c r="BC56" s="239">
        <v>0</v>
      </c>
      <c r="BD56" s="239">
        <v>0</v>
      </c>
      <c r="BE56" s="239">
        <v>0</v>
      </c>
      <c r="BF56" s="239">
        <v>-6065200</v>
      </c>
      <c r="BG56" s="239">
        <v>0</v>
      </c>
      <c r="BH56" s="239">
        <v>-6065200</v>
      </c>
      <c r="BI56" s="239">
        <v>0</v>
      </c>
      <c r="BJ56" s="239">
        <v>0</v>
      </c>
      <c r="BK56" s="239">
        <v>0</v>
      </c>
      <c r="BL56" s="239">
        <v>0</v>
      </c>
      <c r="BM56" s="239">
        <v>0</v>
      </c>
      <c r="BN56" s="239">
        <v>0</v>
      </c>
      <c r="BO56" s="239">
        <v>-3195082</v>
      </c>
      <c r="BP56" s="239">
        <v>0</v>
      </c>
      <c r="BQ56" s="239">
        <v>-3195082</v>
      </c>
      <c r="BR56" s="239">
        <v>-82518</v>
      </c>
      <c r="BS56" s="239">
        <v>0</v>
      </c>
      <c r="BT56" s="239">
        <v>-82518</v>
      </c>
      <c r="BU56" s="239">
        <v>-3277600</v>
      </c>
      <c r="BV56" s="239">
        <v>0</v>
      </c>
      <c r="BW56" s="239">
        <v>-3277600</v>
      </c>
      <c r="BX56" s="239">
        <v>-7716</v>
      </c>
      <c r="BY56" s="239">
        <v>0</v>
      </c>
      <c r="BZ56" s="239">
        <v>-7716</v>
      </c>
      <c r="CA56" s="239">
        <v>-190</v>
      </c>
      <c r="CB56" s="239">
        <v>0</v>
      </c>
      <c r="CC56" s="239">
        <v>-190</v>
      </c>
      <c r="CD56" s="239">
        <v>-102199</v>
      </c>
      <c r="CE56" s="239">
        <v>0</v>
      </c>
      <c r="CF56" s="239">
        <v>-102199</v>
      </c>
      <c r="CG56" s="239">
        <v>0</v>
      </c>
      <c r="CH56" s="239">
        <v>0</v>
      </c>
      <c r="CI56" s="239">
        <v>0</v>
      </c>
      <c r="CJ56" s="239">
        <v>0</v>
      </c>
      <c r="CK56" s="239">
        <v>0</v>
      </c>
      <c r="CL56" s="239">
        <v>0</v>
      </c>
      <c r="CM56" s="239">
        <v>0</v>
      </c>
      <c r="CN56" s="239">
        <v>0</v>
      </c>
      <c r="CO56" s="239">
        <v>0</v>
      </c>
      <c r="CP56" s="239">
        <v>-1575</v>
      </c>
      <c r="CQ56" s="239">
        <v>0</v>
      </c>
      <c r="CR56" s="239">
        <v>-1575</v>
      </c>
      <c r="CS56" s="239">
        <v>0</v>
      </c>
      <c r="CT56" s="239">
        <v>0</v>
      </c>
      <c r="CU56" s="239">
        <v>0</v>
      </c>
      <c r="CV56" s="239">
        <v>-8239</v>
      </c>
      <c r="CW56" s="239">
        <v>0</v>
      </c>
      <c r="CX56" s="239">
        <v>-8239</v>
      </c>
      <c r="CY56" s="239">
        <v>0</v>
      </c>
      <c r="CZ56" s="239">
        <v>0</v>
      </c>
      <c r="DA56" s="239">
        <v>0</v>
      </c>
      <c r="DB56" s="239">
        <v>0</v>
      </c>
      <c r="DC56" s="239">
        <v>0</v>
      </c>
      <c r="DD56" s="239">
        <v>0</v>
      </c>
      <c r="DE56" s="239">
        <v>0</v>
      </c>
      <c r="DF56" s="239">
        <v>0</v>
      </c>
      <c r="DG56" s="239">
        <v>0</v>
      </c>
      <c r="DH56" s="239">
        <v>0</v>
      </c>
      <c r="DI56" s="239">
        <v>0</v>
      </c>
      <c r="DJ56" s="239">
        <v>-119919</v>
      </c>
      <c r="DK56" s="239">
        <v>0</v>
      </c>
      <c r="DL56" s="239">
        <v>-119919</v>
      </c>
      <c r="DM56" s="239">
        <v>-2734</v>
      </c>
      <c r="DN56" s="239">
        <v>0</v>
      </c>
      <c r="DO56" s="239">
        <v>-2734</v>
      </c>
      <c r="DP56" s="239">
        <v>-3911</v>
      </c>
      <c r="DQ56" s="239">
        <v>0</v>
      </c>
      <c r="DR56" s="239">
        <v>-3911</v>
      </c>
      <c r="DS56" s="239">
        <v>-64592</v>
      </c>
      <c r="DT56" s="239">
        <v>0</v>
      </c>
      <c r="DU56" s="239">
        <v>-64592</v>
      </c>
      <c r="DV56" s="239">
        <v>-21797</v>
      </c>
      <c r="DW56" s="239">
        <v>0</v>
      </c>
      <c r="DX56" s="239">
        <v>-21797</v>
      </c>
      <c r="DY56" s="239">
        <v>-1009301</v>
      </c>
      <c r="DZ56" s="239">
        <v>0</v>
      </c>
      <c r="EA56" s="239">
        <v>-1009301</v>
      </c>
      <c r="EB56" s="239">
        <v>-31185</v>
      </c>
      <c r="EC56" s="239">
        <v>0</v>
      </c>
      <c r="ED56" s="239">
        <v>-31185</v>
      </c>
      <c r="EE56" s="239">
        <v>0</v>
      </c>
      <c r="EF56" s="239">
        <v>0</v>
      </c>
      <c r="EG56" s="239">
        <v>0</v>
      </c>
      <c r="EH56" s="239">
        <v>0</v>
      </c>
      <c r="EI56" s="239">
        <v>0</v>
      </c>
      <c r="EJ56" s="239">
        <v>0</v>
      </c>
      <c r="EK56" s="239">
        <v>-21968</v>
      </c>
      <c r="EL56" s="239">
        <v>0</v>
      </c>
      <c r="EM56" s="239">
        <v>-21968</v>
      </c>
      <c r="EN56" s="239">
        <v>-1155488</v>
      </c>
      <c r="EO56" s="239">
        <v>0</v>
      </c>
      <c r="EP56" s="239">
        <v>-1155488</v>
      </c>
      <c r="EQ56" s="239">
        <v>0</v>
      </c>
      <c r="ER56" s="239">
        <v>0</v>
      </c>
      <c r="ES56" s="239">
        <v>0</v>
      </c>
      <c r="ET56" s="239">
        <v>0</v>
      </c>
      <c r="EU56" s="239">
        <v>0</v>
      </c>
      <c r="EV56" s="239">
        <v>0</v>
      </c>
      <c r="EW56" s="239">
        <v>0</v>
      </c>
      <c r="EX56" s="239">
        <v>0</v>
      </c>
      <c r="EY56" s="239">
        <v>0</v>
      </c>
      <c r="EZ56" s="239">
        <v>87734996</v>
      </c>
      <c r="FA56" s="239">
        <v>0</v>
      </c>
      <c r="FB56" s="239">
        <v>87734996</v>
      </c>
      <c r="FC56" s="239">
        <v>-107903</v>
      </c>
      <c r="FD56" s="239">
        <v>0</v>
      </c>
      <c r="FE56" s="239">
        <v>-107903</v>
      </c>
      <c r="FF56" s="239">
        <v>-6065200</v>
      </c>
      <c r="FG56" s="239">
        <v>0</v>
      </c>
      <c r="FH56" s="239">
        <v>-6065200</v>
      </c>
      <c r="FI56" s="239">
        <v>-3277600</v>
      </c>
      <c r="FJ56" s="239">
        <v>0</v>
      </c>
      <c r="FK56" s="239">
        <v>-3277600</v>
      </c>
      <c r="FL56" s="239">
        <v>-119919</v>
      </c>
      <c r="FM56" s="239">
        <v>0</v>
      </c>
      <c r="FN56" s="239">
        <v>-119919</v>
      </c>
      <c r="FO56" s="239">
        <v>-1155488</v>
      </c>
      <c r="FP56" s="239">
        <v>0</v>
      </c>
      <c r="FQ56" s="239">
        <v>-1155488</v>
      </c>
      <c r="FR56" s="239">
        <v>0</v>
      </c>
      <c r="FS56" s="239">
        <v>0</v>
      </c>
      <c r="FT56" s="239">
        <v>0</v>
      </c>
      <c r="FU56" s="239">
        <v>-10726110</v>
      </c>
      <c r="FV56" s="239">
        <v>0</v>
      </c>
      <c r="FW56" s="239">
        <v>-10726110</v>
      </c>
      <c r="FX56" s="239">
        <v>77008886</v>
      </c>
      <c r="FY56" s="239">
        <v>0</v>
      </c>
      <c r="FZ56" s="239">
        <v>77008886</v>
      </c>
      <c r="GA56" s="214" t="s">
        <v>1294</v>
      </c>
    </row>
    <row r="57" spans="2:183" s="214" customFormat="1" x14ac:dyDescent="0.2">
      <c r="B57" s="610" t="s">
        <v>197</v>
      </c>
      <c r="C57" s="610" t="s">
        <v>196</v>
      </c>
      <c r="D57" s="239">
        <v>0</v>
      </c>
      <c r="E57" s="239">
        <v>0</v>
      </c>
      <c r="F57" s="239">
        <v>0</v>
      </c>
      <c r="G57" s="239">
        <v>3004</v>
      </c>
      <c r="H57" s="239">
        <v>0</v>
      </c>
      <c r="I57" s="239">
        <v>3004</v>
      </c>
      <c r="J57" s="239">
        <v>0</v>
      </c>
      <c r="K57" s="239">
        <v>0</v>
      </c>
      <c r="L57" s="239">
        <v>0</v>
      </c>
      <c r="M57" s="239">
        <v>84580</v>
      </c>
      <c r="N57" s="239">
        <v>0</v>
      </c>
      <c r="O57" s="239">
        <v>84580</v>
      </c>
      <c r="P57" s="239">
        <v>87584</v>
      </c>
      <c r="Q57" s="239">
        <v>0</v>
      </c>
      <c r="R57" s="239">
        <v>87584</v>
      </c>
      <c r="S57" s="239">
        <v>-2399205</v>
      </c>
      <c r="T57" s="239">
        <v>0</v>
      </c>
      <c r="U57" s="239">
        <v>-2399205</v>
      </c>
      <c r="V57" s="239">
        <v>-2256</v>
      </c>
      <c r="W57" s="239">
        <v>0</v>
      </c>
      <c r="X57" s="239">
        <v>-2256</v>
      </c>
      <c r="Y57" s="239">
        <v>-102323</v>
      </c>
      <c r="Z57" s="239">
        <v>0</v>
      </c>
      <c r="AA57" s="239">
        <v>-102323</v>
      </c>
      <c r="AB57" s="239">
        <v>-71289</v>
      </c>
      <c r="AC57" s="239">
        <v>0</v>
      </c>
      <c r="AD57" s="239">
        <v>-71289</v>
      </c>
      <c r="AE57" s="239">
        <v>0</v>
      </c>
      <c r="AF57" s="239">
        <v>0</v>
      </c>
      <c r="AG57" s="239">
        <v>0</v>
      </c>
      <c r="AH57" s="239">
        <v>1545151</v>
      </c>
      <c r="AI57" s="239">
        <v>0</v>
      </c>
      <c r="AJ57" s="239">
        <v>1545151</v>
      </c>
      <c r="AK57" s="239">
        <v>-15723</v>
      </c>
      <c r="AL57" s="239">
        <v>0</v>
      </c>
      <c r="AM57" s="239">
        <v>-15723</v>
      </c>
      <c r="AN57" s="239">
        <v>-4107725</v>
      </c>
      <c r="AO57" s="239">
        <v>0</v>
      </c>
      <c r="AP57" s="239">
        <v>-4107725</v>
      </c>
      <c r="AQ57" s="239">
        <v>-4060</v>
      </c>
      <c r="AR57" s="239">
        <v>0</v>
      </c>
      <c r="AS57" s="239">
        <v>-4060</v>
      </c>
      <c r="AT57" s="239">
        <v>-29698</v>
      </c>
      <c r="AU57" s="239">
        <v>0</v>
      </c>
      <c r="AV57" s="239">
        <v>-29698</v>
      </c>
      <c r="AW57" s="239">
        <v>0</v>
      </c>
      <c r="AX57" s="239">
        <v>0</v>
      </c>
      <c r="AY57" s="239">
        <v>0</v>
      </c>
      <c r="AZ57" s="239">
        <v>0</v>
      </c>
      <c r="BA57" s="239">
        <v>0</v>
      </c>
      <c r="BB57" s="239">
        <v>0</v>
      </c>
      <c r="BC57" s="239">
        <v>0</v>
      </c>
      <c r="BD57" s="239">
        <v>0</v>
      </c>
      <c r="BE57" s="239">
        <v>0</v>
      </c>
      <c r="BF57" s="239">
        <v>-5113583</v>
      </c>
      <c r="BG57" s="239">
        <v>0</v>
      </c>
      <c r="BH57" s="239">
        <v>-5113583</v>
      </c>
      <c r="BI57" s="239">
        <v>-18629</v>
      </c>
      <c r="BJ57" s="239">
        <v>0</v>
      </c>
      <c r="BK57" s="239">
        <v>-18629</v>
      </c>
      <c r="BL57" s="239">
        <v>-29105</v>
      </c>
      <c r="BM57" s="239">
        <v>0</v>
      </c>
      <c r="BN57" s="239">
        <v>-29105</v>
      </c>
      <c r="BO57" s="239">
        <v>-2263146</v>
      </c>
      <c r="BP57" s="239">
        <v>0</v>
      </c>
      <c r="BQ57" s="239">
        <v>-2263146</v>
      </c>
      <c r="BR57" s="239">
        <v>-116162</v>
      </c>
      <c r="BS57" s="239">
        <v>0</v>
      </c>
      <c r="BT57" s="239">
        <v>-116162</v>
      </c>
      <c r="BU57" s="239">
        <v>-2427042</v>
      </c>
      <c r="BV57" s="239">
        <v>0</v>
      </c>
      <c r="BW57" s="239">
        <v>-2427042</v>
      </c>
      <c r="BX57" s="239">
        <v>-13816</v>
      </c>
      <c r="BY57" s="239">
        <v>0</v>
      </c>
      <c r="BZ57" s="239">
        <v>-13816</v>
      </c>
      <c r="CA57" s="239">
        <v>0</v>
      </c>
      <c r="CB57" s="239">
        <v>0</v>
      </c>
      <c r="CC57" s="239">
        <v>0</v>
      </c>
      <c r="CD57" s="239">
        <v>-13056</v>
      </c>
      <c r="CE57" s="239">
        <v>0</v>
      </c>
      <c r="CF57" s="239">
        <v>-13056</v>
      </c>
      <c r="CG57" s="239">
        <v>0</v>
      </c>
      <c r="CH57" s="239">
        <v>0</v>
      </c>
      <c r="CI57" s="239">
        <v>0</v>
      </c>
      <c r="CJ57" s="239">
        <v>0</v>
      </c>
      <c r="CK57" s="239">
        <v>0</v>
      </c>
      <c r="CL57" s="239">
        <v>0</v>
      </c>
      <c r="CM57" s="239">
        <v>0</v>
      </c>
      <c r="CN57" s="239">
        <v>0</v>
      </c>
      <c r="CO57" s="239">
        <v>0</v>
      </c>
      <c r="CP57" s="239">
        <v>0</v>
      </c>
      <c r="CQ57" s="239">
        <v>0</v>
      </c>
      <c r="CR57" s="239">
        <v>0</v>
      </c>
      <c r="CS57" s="239">
        <v>0</v>
      </c>
      <c r="CT57" s="239">
        <v>0</v>
      </c>
      <c r="CU57" s="239">
        <v>0</v>
      </c>
      <c r="CV57" s="239">
        <v>0</v>
      </c>
      <c r="CW57" s="239">
        <v>0</v>
      </c>
      <c r="CX57" s="239">
        <v>0</v>
      </c>
      <c r="CY57" s="239">
        <v>0</v>
      </c>
      <c r="CZ57" s="239">
        <v>0</v>
      </c>
      <c r="DA57" s="239">
        <v>0</v>
      </c>
      <c r="DB57" s="239">
        <v>0</v>
      </c>
      <c r="DC57" s="239">
        <v>0</v>
      </c>
      <c r="DD57" s="239">
        <v>0</v>
      </c>
      <c r="DE57" s="239">
        <v>0</v>
      </c>
      <c r="DF57" s="239">
        <v>0</v>
      </c>
      <c r="DG57" s="239">
        <v>0</v>
      </c>
      <c r="DH57" s="239">
        <v>0</v>
      </c>
      <c r="DI57" s="239">
        <v>0</v>
      </c>
      <c r="DJ57" s="239">
        <v>-26872</v>
      </c>
      <c r="DK57" s="239">
        <v>0</v>
      </c>
      <c r="DL57" s="239">
        <v>-26872</v>
      </c>
      <c r="DM57" s="239">
        <v>0</v>
      </c>
      <c r="DN57" s="239">
        <v>0</v>
      </c>
      <c r="DO57" s="239">
        <v>0</v>
      </c>
      <c r="DP57" s="239">
        <v>0</v>
      </c>
      <c r="DQ57" s="239">
        <v>0</v>
      </c>
      <c r="DR57" s="239">
        <v>0</v>
      </c>
      <c r="DS57" s="239">
        <v>-46653</v>
      </c>
      <c r="DT57" s="239">
        <v>0</v>
      </c>
      <c r="DU57" s="239">
        <v>-46653</v>
      </c>
      <c r="DV57" s="239">
        <v>0</v>
      </c>
      <c r="DW57" s="239">
        <v>0</v>
      </c>
      <c r="DX57" s="239">
        <v>0</v>
      </c>
      <c r="DY57" s="239">
        <v>-628294</v>
      </c>
      <c r="DZ57" s="239">
        <v>0</v>
      </c>
      <c r="EA57" s="239">
        <v>-628294</v>
      </c>
      <c r="EB57" s="239">
        <v>-19058</v>
      </c>
      <c r="EC57" s="239">
        <v>0</v>
      </c>
      <c r="ED57" s="239">
        <v>-19058</v>
      </c>
      <c r="EE57" s="239">
        <v>0</v>
      </c>
      <c r="EF57" s="239">
        <v>0</v>
      </c>
      <c r="EG57" s="239">
        <v>0</v>
      </c>
      <c r="EH57" s="239">
        <v>0</v>
      </c>
      <c r="EI57" s="239">
        <v>0</v>
      </c>
      <c r="EJ57" s="239">
        <v>0</v>
      </c>
      <c r="EK57" s="239">
        <v>-1680</v>
      </c>
      <c r="EL57" s="239">
        <v>0</v>
      </c>
      <c r="EM57" s="239">
        <v>-1680</v>
      </c>
      <c r="EN57" s="239">
        <v>-695685</v>
      </c>
      <c r="EO57" s="239">
        <v>0</v>
      </c>
      <c r="EP57" s="239">
        <v>-695685</v>
      </c>
      <c r="EQ57" s="239">
        <v>0</v>
      </c>
      <c r="ER57" s="239">
        <v>0</v>
      </c>
      <c r="ES57" s="239">
        <v>0</v>
      </c>
      <c r="ET57" s="239">
        <v>1600</v>
      </c>
      <c r="EU57" s="239">
        <v>0</v>
      </c>
      <c r="EV57" s="239">
        <v>1600</v>
      </c>
      <c r="EW57" s="239">
        <v>1600</v>
      </c>
      <c r="EX57" s="239">
        <v>0</v>
      </c>
      <c r="EY57" s="239">
        <v>1600</v>
      </c>
      <c r="EZ57" s="239">
        <v>63110264</v>
      </c>
      <c r="FA57" s="239">
        <v>0</v>
      </c>
      <c r="FB57" s="239">
        <v>63110264</v>
      </c>
      <c r="FC57" s="239">
        <v>87584</v>
      </c>
      <c r="FD57" s="239">
        <v>0</v>
      </c>
      <c r="FE57" s="239">
        <v>87584</v>
      </c>
      <c r="FF57" s="239">
        <v>-5113583</v>
      </c>
      <c r="FG57" s="239">
        <v>0</v>
      </c>
      <c r="FH57" s="239">
        <v>-5113583</v>
      </c>
      <c r="FI57" s="239">
        <v>-2427042</v>
      </c>
      <c r="FJ57" s="239">
        <v>0</v>
      </c>
      <c r="FK57" s="239">
        <v>-2427042</v>
      </c>
      <c r="FL57" s="239">
        <v>-26872</v>
      </c>
      <c r="FM57" s="239">
        <v>0</v>
      </c>
      <c r="FN57" s="239">
        <v>-26872</v>
      </c>
      <c r="FO57" s="239">
        <v>-695685</v>
      </c>
      <c r="FP57" s="239">
        <v>0</v>
      </c>
      <c r="FQ57" s="239">
        <v>-695685</v>
      </c>
      <c r="FR57" s="239">
        <v>1600</v>
      </c>
      <c r="FS57" s="239">
        <v>0</v>
      </c>
      <c r="FT57" s="239">
        <v>1600</v>
      </c>
      <c r="FU57" s="239">
        <v>-8173998</v>
      </c>
      <c r="FV57" s="239">
        <v>0</v>
      </c>
      <c r="FW57" s="239">
        <v>-8173998</v>
      </c>
      <c r="FX57" s="239">
        <v>54936266</v>
      </c>
      <c r="FY57" s="239">
        <v>0</v>
      </c>
      <c r="FZ57" s="239">
        <v>54936266</v>
      </c>
      <c r="GA57" s="214" t="s">
        <v>1294</v>
      </c>
    </row>
    <row r="58" spans="2:183" s="214" customFormat="1" x14ac:dyDescent="0.2">
      <c r="B58" s="610" t="s">
        <v>199</v>
      </c>
      <c r="C58" s="610" t="s">
        <v>198</v>
      </c>
      <c r="D58" s="239">
        <v>0</v>
      </c>
      <c r="E58" s="239">
        <v>0</v>
      </c>
      <c r="F58" s="239">
        <v>0</v>
      </c>
      <c r="G58" s="239">
        <v>1961</v>
      </c>
      <c r="H58" s="239">
        <v>0</v>
      </c>
      <c r="I58" s="239">
        <v>1961</v>
      </c>
      <c r="J58" s="239">
        <v>0</v>
      </c>
      <c r="K58" s="239">
        <v>0</v>
      </c>
      <c r="L58" s="239">
        <v>0</v>
      </c>
      <c r="M58" s="239">
        <v>94580</v>
      </c>
      <c r="N58" s="239">
        <v>0</v>
      </c>
      <c r="O58" s="239">
        <v>94580</v>
      </c>
      <c r="P58" s="239">
        <v>96541</v>
      </c>
      <c r="Q58" s="239">
        <v>0</v>
      </c>
      <c r="R58" s="239">
        <v>96541</v>
      </c>
      <c r="S58" s="239">
        <v>-2286764</v>
      </c>
      <c r="T58" s="239">
        <v>0</v>
      </c>
      <c r="U58" s="239">
        <v>-2286764</v>
      </c>
      <c r="V58" s="239">
        <v>-14256</v>
      </c>
      <c r="W58" s="239">
        <v>0</v>
      </c>
      <c r="X58" s="239">
        <v>-14256</v>
      </c>
      <c r="Y58" s="239">
        <v>-177542</v>
      </c>
      <c r="Z58" s="239">
        <v>0</v>
      </c>
      <c r="AA58" s="239">
        <v>-177542</v>
      </c>
      <c r="AB58" s="239">
        <v>-176072</v>
      </c>
      <c r="AC58" s="239">
        <v>0</v>
      </c>
      <c r="AD58" s="239">
        <v>-176072</v>
      </c>
      <c r="AE58" s="239">
        <v>-1470</v>
      </c>
      <c r="AF58" s="239">
        <v>0</v>
      </c>
      <c r="AG58" s="239">
        <v>-1470</v>
      </c>
      <c r="AH58" s="239">
        <v>2006001</v>
      </c>
      <c r="AI58" s="239">
        <v>0</v>
      </c>
      <c r="AJ58" s="239">
        <v>2006001</v>
      </c>
      <c r="AK58" s="239">
        <v>40096</v>
      </c>
      <c r="AL58" s="239">
        <v>0</v>
      </c>
      <c r="AM58" s="239">
        <v>40096</v>
      </c>
      <c r="AN58" s="239">
        <v>-2910258</v>
      </c>
      <c r="AO58" s="239">
        <v>0</v>
      </c>
      <c r="AP58" s="239">
        <v>-2910258</v>
      </c>
      <c r="AQ58" s="239">
        <v>-15169</v>
      </c>
      <c r="AR58" s="239">
        <v>0</v>
      </c>
      <c r="AS58" s="239">
        <v>-15169</v>
      </c>
      <c r="AT58" s="239">
        <v>-60540</v>
      </c>
      <c r="AU58" s="239">
        <v>0</v>
      </c>
      <c r="AV58" s="239">
        <v>-60540</v>
      </c>
      <c r="AW58" s="239">
        <v>12255</v>
      </c>
      <c r="AX58" s="239">
        <v>0</v>
      </c>
      <c r="AY58" s="239">
        <v>12255</v>
      </c>
      <c r="AZ58" s="239">
        <v>-45878</v>
      </c>
      <c r="BA58" s="239">
        <v>0</v>
      </c>
      <c r="BB58" s="239">
        <v>-45878</v>
      </c>
      <c r="BC58" s="239">
        <v>2583</v>
      </c>
      <c r="BD58" s="239">
        <v>0</v>
      </c>
      <c r="BE58" s="239">
        <v>2583</v>
      </c>
      <c r="BF58" s="239">
        <v>-3435216</v>
      </c>
      <c r="BG58" s="239">
        <v>0</v>
      </c>
      <c r="BH58" s="239">
        <v>-3435216</v>
      </c>
      <c r="BI58" s="239">
        <v>-221607</v>
      </c>
      <c r="BJ58" s="239">
        <v>0</v>
      </c>
      <c r="BK58" s="239">
        <v>-221607</v>
      </c>
      <c r="BL58" s="239">
        <v>-13644</v>
      </c>
      <c r="BM58" s="239">
        <v>0</v>
      </c>
      <c r="BN58" s="239">
        <v>-13644</v>
      </c>
      <c r="BO58" s="239">
        <v>-2322291</v>
      </c>
      <c r="BP58" s="239">
        <v>0</v>
      </c>
      <c r="BQ58" s="239">
        <v>-2322291</v>
      </c>
      <c r="BR58" s="239">
        <v>110107</v>
      </c>
      <c r="BS58" s="239">
        <v>0</v>
      </c>
      <c r="BT58" s="239">
        <v>110107</v>
      </c>
      <c r="BU58" s="239">
        <v>-2447435</v>
      </c>
      <c r="BV58" s="239">
        <v>0</v>
      </c>
      <c r="BW58" s="239">
        <v>-2447435</v>
      </c>
      <c r="BX58" s="239">
        <v>-30865</v>
      </c>
      <c r="BY58" s="239">
        <v>0</v>
      </c>
      <c r="BZ58" s="239">
        <v>-30865</v>
      </c>
      <c r="CA58" s="239">
        <v>1188</v>
      </c>
      <c r="CB58" s="239">
        <v>0</v>
      </c>
      <c r="CC58" s="239">
        <v>1188</v>
      </c>
      <c r="CD58" s="239">
        <v>-137107</v>
      </c>
      <c r="CE58" s="239">
        <v>0</v>
      </c>
      <c r="CF58" s="239">
        <v>-137107</v>
      </c>
      <c r="CG58" s="239">
        <v>99820</v>
      </c>
      <c r="CH58" s="239">
        <v>0</v>
      </c>
      <c r="CI58" s="239">
        <v>99820</v>
      </c>
      <c r="CJ58" s="239">
        <v>0</v>
      </c>
      <c r="CK58" s="239">
        <v>0</v>
      </c>
      <c r="CL58" s="239">
        <v>0</v>
      </c>
      <c r="CM58" s="239">
        <v>0</v>
      </c>
      <c r="CN58" s="239">
        <v>0</v>
      </c>
      <c r="CO58" s="239">
        <v>0</v>
      </c>
      <c r="CP58" s="239">
        <v>-4215</v>
      </c>
      <c r="CQ58" s="239">
        <v>0</v>
      </c>
      <c r="CR58" s="239">
        <v>-4215</v>
      </c>
      <c r="CS58" s="239">
        <v>7733</v>
      </c>
      <c r="CT58" s="239">
        <v>0</v>
      </c>
      <c r="CU58" s="239">
        <v>7733</v>
      </c>
      <c r="CV58" s="239">
        <v>-5395</v>
      </c>
      <c r="CW58" s="239">
        <v>0</v>
      </c>
      <c r="CX58" s="239">
        <v>-5395</v>
      </c>
      <c r="CY58" s="239">
        <v>10294</v>
      </c>
      <c r="CZ58" s="239">
        <v>0</v>
      </c>
      <c r="DA58" s="239">
        <v>10294</v>
      </c>
      <c r="DB58" s="239">
        <v>0</v>
      </c>
      <c r="DC58" s="239">
        <v>0</v>
      </c>
      <c r="DD58" s="239">
        <v>0</v>
      </c>
      <c r="DE58" s="239">
        <v>0</v>
      </c>
      <c r="DF58" s="239">
        <v>0</v>
      </c>
      <c r="DG58" s="239">
        <v>0</v>
      </c>
      <c r="DH58" s="239">
        <v>0</v>
      </c>
      <c r="DI58" s="239">
        <v>0</v>
      </c>
      <c r="DJ58" s="239">
        <v>-58547</v>
      </c>
      <c r="DK58" s="239">
        <v>0</v>
      </c>
      <c r="DL58" s="239">
        <v>-58547</v>
      </c>
      <c r="DM58" s="239">
        <v>0</v>
      </c>
      <c r="DN58" s="239">
        <v>0</v>
      </c>
      <c r="DO58" s="239">
        <v>0</v>
      </c>
      <c r="DP58" s="239">
        <v>0</v>
      </c>
      <c r="DQ58" s="239">
        <v>0</v>
      </c>
      <c r="DR58" s="239">
        <v>0</v>
      </c>
      <c r="DS58" s="239">
        <v>-53695</v>
      </c>
      <c r="DT58" s="239">
        <v>0</v>
      </c>
      <c r="DU58" s="239">
        <v>-53695</v>
      </c>
      <c r="DV58" s="239">
        <v>-14845</v>
      </c>
      <c r="DW58" s="239">
        <v>0</v>
      </c>
      <c r="DX58" s="239">
        <v>-14845</v>
      </c>
      <c r="DY58" s="239">
        <v>-828352</v>
      </c>
      <c r="DZ58" s="239">
        <v>0</v>
      </c>
      <c r="EA58" s="239">
        <v>-828352</v>
      </c>
      <c r="EB58" s="239">
        <v>-18824</v>
      </c>
      <c r="EC58" s="239">
        <v>0</v>
      </c>
      <c r="ED58" s="239">
        <v>-18824</v>
      </c>
      <c r="EE58" s="239">
        <v>0</v>
      </c>
      <c r="EF58" s="239">
        <v>0</v>
      </c>
      <c r="EG58" s="239">
        <v>0</v>
      </c>
      <c r="EH58" s="239">
        <v>0</v>
      </c>
      <c r="EI58" s="239">
        <v>0</v>
      </c>
      <c r="EJ58" s="239">
        <v>0</v>
      </c>
      <c r="EK58" s="239">
        <v>-2707</v>
      </c>
      <c r="EL58" s="239">
        <v>0</v>
      </c>
      <c r="EM58" s="239">
        <v>-2707</v>
      </c>
      <c r="EN58" s="239">
        <v>-918423</v>
      </c>
      <c r="EO58" s="239">
        <v>0</v>
      </c>
      <c r="EP58" s="239">
        <v>-918423</v>
      </c>
      <c r="EQ58" s="239">
        <v>0</v>
      </c>
      <c r="ER58" s="239">
        <v>0</v>
      </c>
      <c r="ES58" s="239">
        <v>0</v>
      </c>
      <c r="ET58" s="239">
        <v>0</v>
      </c>
      <c r="EU58" s="239">
        <v>0</v>
      </c>
      <c r="EV58" s="239">
        <v>0</v>
      </c>
      <c r="EW58" s="239">
        <v>0</v>
      </c>
      <c r="EX58" s="239">
        <v>0</v>
      </c>
      <c r="EY58" s="239">
        <v>0</v>
      </c>
      <c r="EZ58" s="239">
        <v>82253965</v>
      </c>
      <c r="FA58" s="239">
        <v>0</v>
      </c>
      <c r="FB58" s="239">
        <v>82253965</v>
      </c>
      <c r="FC58" s="239">
        <v>96541</v>
      </c>
      <c r="FD58" s="239">
        <v>0</v>
      </c>
      <c r="FE58" s="239">
        <v>96541</v>
      </c>
      <c r="FF58" s="239">
        <v>-3435216</v>
      </c>
      <c r="FG58" s="239">
        <v>0</v>
      </c>
      <c r="FH58" s="239">
        <v>-3435216</v>
      </c>
      <c r="FI58" s="239">
        <v>-2447435</v>
      </c>
      <c r="FJ58" s="239">
        <v>0</v>
      </c>
      <c r="FK58" s="239">
        <v>-2447435</v>
      </c>
      <c r="FL58" s="239">
        <v>-58547</v>
      </c>
      <c r="FM58" s="239">
        <v>0</v>
      </c>
      <c r="FN58" s="239">
        <v>-58547</v>
      </c>
      <c r="FO58" s="239">
        <v>-918423</v>
      </c>
      <c r="FP58" s="239">
        <v>0</v>
      </c>
      <c r="FQ58" s="239">
        <v>-918423</v>
      </c>
      <c r="FR58" s="239">
        <v>0</v>
      </c>
      <c r="FS58" s="239">
        <v>0</v>
      </c>
      <c r="FT58" s="239">
        <v>0</v>
      </c>
      <c r="FU58" s="239">
        <v>-6763080</v>
      </c>
      <c r="FV58" s="239">
        <v>0</v>
      </c>
      <c r="FW58" s="239">
        <v>-6763080</v>
      </c>
      <c r="FX58" s="239">
        <v>75490885</v>
      </c>
      <c r="FY58" s="239">
        <v>0</v>
      </c>
      <c r="FZ58" s="239">
        <v>75490885</v>
      </c>
      <c r="GA58" s="214" t="s">
        <v>1294</v>
      </c>
    </row>
    <row r="59" spans="2:183" s="214" customFormat="1" x14ac:dyDescent="0.2">
      <c r="B59" s="610" t="s">
        <v>201</v>
      </c>
      <c r="C59" s="610" t="s">
        <v>200</v>
      </c>
      <c r="D59" s="239">
        <v>0</v>
      </c>
      <c r="E59" s="239">
        <v>0</v>
      </c>
      <c r="F59" s="239">
        <v>0</v>
      </c>
      <c r="G59" s="239">
        <v>63943</v>
      </c>
      <c r="H59" s="239">
        <v>0</v>
      </c>
      <c r="I59" s="239">
        <v>63943</v>
      </c>
      <c r="J59" s="239">
        <v>0</v>
      </c>
      <c r="K59" s="239">
        <v>0</v>
      </c>
      <c r="L59" s="239">
        <v>0</v>
      </c>
      <c r="M59" s="239">
        <v>576342</v>
      </c>
      <c r="N59" s="239">
        <v>0</v>
      </c>
      <c r="O59" s="239">
        <v>576342</v>
      </c>
      <c r="P59" s="239">
        <v>640285</v>
      </c>
      <c r="Q59" s="239">
        <v>0</v>
      </c>
      <c r="R59" s="239">
        <v>640285</v>
      </c>
      <c r="S59" s="239">
        <v>-8709420</v>
      </c>
      <c r="T59" s="239">
        <v>0</v>
      </c>
      <c r="U59" s="239">
        <v>-8709420</v>
      </c>
      <c r="V59" s="239">
        <v>-41710</v>
      </c>
      <c r="W59" s="239">
        <v>0</v>
      </c>
      <c r="X59" s="239">
        <v>-41710</v>
      </c>
      <c r="Y59" s="239">
        <v>-337284</v>
      </c>
      <c r="Z59" s="239">
        <v>0</v>
      </c>
      <c r="AA59" s="239">
        <v>-337284</v>
      </c>
      <c r="AB59" s="239">
        <v>-476050</v>
      </c>
      <c r="AC59" s="239">
        <v>0</v>
      </c>
      <c r="AD59" s="239">
        <v>-476050</v>
      </c>
      <c r="AE59" s="239">
        <v>-6899</v>
      </c>
      <c r="AF59" s="239">
        <v>0</v>
      </c>
      <c r="AG59" s="239">
        <v>-6899</v>
      </c>
      <c r="AH59" s="239">
        <v>3755603</v>
      </c>
      <c r="AI59" s="239">
        <v>0</v>
      </c>
      <c r="AJ59" s="239">
        <v>3755603</v>
      </c>
      <c r="AK59" s="239">
        <v>41099</v>
      </c>
      <c r="AL59" s="239">
        <v>0</v>
      </c>
      <c r="AM59" s="239">
        <v>41099</v>
      </c>
      <c r="AN59" s="239">
        <v>-7211821</v>
      </c>
      <c r="AO59" s="239">
        <v>0</v>
      </c>
      <c r="AP59" s="239">
        <v>-7211821</v>
      </c>
      <c r="AQ59" s="239">
        <v>508014</v>
      </c>
      <c r="AR59" s="239">
        <v>0</v>
      </c>
      <c r="AS59" s="239">
        <v>508014</v>
      </c>
      <c r="AT59" s="239">
        <v>-95287</v>
      </c>
      <c r="AU59" s="239">
        <v>0</v>
      </c>
      <c r="AV59" s="239">
        <v>-95287</v>
      </c>
      <c r="AW59" s="239">
        <v>-7792</v>
      </c>
      <c r="AX59" s="239">
        <v>0</v>
      </c>
      <c r="AY59" s="239">
        <v>-7792</v>
      </c>
      <c r="AZ59" s="239">
        <v>-23367</v>
      </c>
      <c r="BA59" s="239">
        <v>0</v>
      </c>
      <c r="BB59" s="239">
        <v>-23367</v>
      </c>
      <c r="BC59" s="239">
        <v>-1129</v>
      </c>
      <c r="BD59" s="239">
        <v>0</v>
      </c>
      <c r="BE59" s="239">
        <v>-1129</v>
      </c>
      <c r="BF59" s="239">
        <v>-12081384</v>
      </c>
      <c r="BG59" s="239">
        <v>0</v>
      </c>
      <c r="BH59" s="239">
        <v>-12081384</v>
      </c>
      <c r="BI59" s="239">
        <v>-192350</v>
      </c>
      <c r="BJ59" s="239">
        <v>0</v>
      </c>
      <c r="BK59" s="239">
        <v>-192350</v>
      </c>
      <c r="BL59" s="239">
        <v>-30196</v>
      </c>
      <c r="BM59" s="239">
        <v>0</v>
      </c>
      <c r="BN59" s="239">
        <v>-30196</v>
      </c>
      <c r="BO59" s="239">
        <v>-3888228</v>
      </c>
      <c r="BP59" s="239">
        <v>0</v>
      </c>
      <c r="BQ59" s="239">
        <v>-3888228</v>
      </c>
      <c r="BR59" s="239">
        <v>-106487</v>
      </c>
      <c r="BS59" s="239">
        <v>0</v>
      </c>
      <c r="BT59" s="239">
        <v>-106487</v>
      </c>
      <c r="BU59" s="239">
        <v>-4217261</v>
      </c>
      <c r="BV59" s="239">
        <v>0</v>
      </c>
      <c r="BW59" s="239">
        <v>-4217261</v>
      </c>
      <c r="BX59" s="239">
        <v>-210868</v>
      </c>
      <c r="BY59" s="239">
        <v>0</v>
      </c>
      <c r="BZ59" s="239">
        <v>-210868</v>
      </c>
      <c r="CA59" s="239">
        <v>-23006</v>
      </c>
      <c r="CB59" s="239">
        <v>0</v>
      </c>
      <c r="CC59" s="239">
        <v>-23006</v>
      </c>
      <c r="CD59" s="239">
        <v>-71301</v>
      </c>
      <c r="CE59" s="239">
        <v>0</v>
      </c>
      <c r="CF59" s="239">
        <v>-71301</v>
      </c>
      <c r="CG59" s="239">
        <v>-1205</v>
      </c>
      <c r="CH59" s="239">
        <v>0</v>
      </c>
      <c r="CI59" s="239">
        <v>-1205</v>
      </c>
      <c r="CJ59" s="239">
        <v>-8372</v>
      </c>
      <c r="CK59" s="239">
        <v>0</v>
      </c>
      <c r="CL59" s="239">
        <v>-8372</v>
      </c>
      <c r="CM59" s="239">
        <v>1114</v>
      </c>
      <c r="CN59" s="239">
        <v>0</v>
      </c>
      <c r="CO59" s="239">
        <v>1114</v>
      </c>
      <c r="CP59" s="239">
        <v>-23367</v>
      </c>
      <c r="CQ59" s="239">
        <v>0</v>
      </c>
      <c r="CR59" s="239">
        <v>-23367</v>
      </c>
      <c r="CS59" s="239">
        <v>-1129</v>
      </c>
      <c r="CT59" s="239">
        <v>0</v>
      </c>
      <c r="CU59" s="239">
        <v>-1129</v>
      </c>
      <c r="CV59" s="239">
        <v>-12423</v>
      </c>
      <c r="CW59" s="239">
        <v>0</v>
      </c>
      <c r="CX59" s="239">
        <v>-12423</v>
      </c>
      <c r="CY59" s="239">
        <v>0</v>
      </c>
      <c r="CZ59" s="239">
        <v>0</v>
      </c>
      <c r="DA59" s="239">
        <v>0</v>
      </c>
      <c r="DB59" s="239">
        <v>0</v>
      </c>
      <c r="DC59" s="239">
        <v>0</v>
      </c>
      <c r="DD59" s="239">
        <v>0</v>
      </c>
      <c r="DE59" s="239">
        <v>-11328</v>
      </c>
      <c r="DF59" s="239">
        <v>0</v>
      </c>
      <c r="DG59" s="239">
        <v>-11328</v>
      </c>
      <c r="DH59" s="239">
        <v>0</v>
      </c>
      <c r="DI59" s="239">
        <v>0</v>
      </c>
      <c r="DJ59" s="239">
        <v>-361885</v>
      </c>
      <c r="DK59" s="239">
        <v>0</v>
      </c>
      <c r="DL59" s="239">
        <v>-361885</v>
      </c>
      <c r="DM59" s="239">
        <v>0</v>
      </c>
      <c r="DN59" s="239">
        <v>0</v>
      </c>
      <c r="DO59" s="239">
        <v>0</v>
      </c>
      <c r="DP59" s="239">
        <v>0</v>
      </c>
      <c r="DQ59" s="239">
        <v>0</v>
      </c>
      <c r="DR59" s="239">
        <v>0</v>
      </c>
      <c r="DS59" s="239">
        <v>-104503</v>
      </c>
      <c r="DT59" s="239">
        <v>0</v>
      </c>
      <c r="DU59" s="239">
        <v>-104503</v>
      </c>
      <c r="DV59" s="239">
        <v>-5406</v>
      </c>
      <c r="DW59" s="239">
        <v>0</v>
      </c>
      <c r="DX59" s="239">
        <v>-5406</v>
      </c>
      <c r="DY59" s="239">
        <v>-2263812</v>
      </c>
      <c r="DZ59" s="239">
        <v>0</v>
      </c>
      <c r="EA59" s="239">
        <v>-2263812</v>
      </c>
      <c r="EB59" s="239">
        <v>-70453</v>
      </c>
      <c r="EC59" s="239">
        <v>0</v>
      </c>
      <c r="ED59" s="239">
        <v>-70453</v>
      </c>
      <c r="EE59" s="239">
        <v>0</v>
      </c>
      <c r="EF59" s="239">
        <v>0</v>
      </c>
      <c r="EG59" s="239">
        <v>0</v>
      </c>
      <c r="EH59" s="239">
        <v>0</v>
      </c>
      <c r="EI59" s="239">
        <v>0</v>
      </c>
      <c r="EJ59" s="239">
        <v>0</v>
      </c>
      <c r="EK59" s="239">
        <v>-18807</v>
      </c>
      <c r="EL59" s="239">
        <v>0</v>
      </c>
      <c r="EM59" s="239">
        <v>-18807</v>
      </c>
      <c r="EN59" s="239">
        <v>-2462981</v>
      </c>
      <c r="EO59" s="239">
        <v>0</v>
      </c>
      <c r="EP59" s="239">
        <v>-2462981</v>
      </c>
      <c r="EQ59" s="239">
        <v>-2783</v>
      </c>
      <c r="ER59" s="239">
        <v>0</v>
      </c>
      <c r="ES59" s="239">
        <v>-2783</v>
      </c>
      <c r="ET59" s="239">
        <v>-4182</v>
      </c>
      <c r="EU59" s="239">
        <v>0</v>
      </c>
      <c r="EV59" s="239">
        <v>-4182</v>
      </c>
      <c r="EW59" s="239">
        <v>-6965</v>
      </c>
      <c r="EX59" s="239">
        <v>0</v>
      </c>
      <c r="EY59" s="239">
        <v>-6965</v>
      </c>
      <c r="EZ59" s="239">
        <v>155393065</v>
      </c>
      <c r="FA59" s="239">
        <v>0</v>
      </c>
      <c r="FB59" s="239">
        <v>155393065</v>
      </c>
      <c r="FC59" s="239">
        <v>640285</v>
      </c>
      <c r="FD59" s="239">
        <v>0</v>
      </c>
      <c r="FE59" s="239">
        <v>640285</v>
      </c>
      <c r="FF59" s="239">
        <v>-12081384</v>
      </c>
      <c r="FG59" s="239">
        <v>0</v>
      </c>
      <c r="FH59" s="239">
        <v>-12081384</v>
      </c>
      <c r="FI59" s="239">
        <v>-4217261</v>
      </c>
      <c r="FJ59" s="239">
        <v>0</v>
      </c>
      <c r="FK59" s="239">
        <v>-4217261</v>
      </c>
      <c r="FL59" s="239">
        <v>-361885</v>
      </c>
      <c r="FM59" s="239">
        <v>0</v>
      </c>
      <c r="FN59" s="239">
        <v>-361885</v>
      </c>
      <c r="FO59" s="239">
        <v>-2462981</v>
      </c>
      <c r="FP59" s="239">
        <v>0</v>
      </c>
      <c r="FQ59" s="239">
        <v>-2462981</v>
      </c>
      <c r="FR59" s="239">
        <v>-6965</v>
      </c>
      <c r="FS59" s="239">
        <v>0</v>
      </c>
      <c r="FT59" s="239">
        <v>-6965</v>
      </c>
      <c r="FU59" s="239">
        <v>-18490191</v>
      </c>
      <c r="FV59" s="239">
        <v>0</v>
      </c>
      <c r="FW59" s="239">
        <v>-18490191</v>
      </c>
      <c r="FX59" s="239">
        <v>136902874</v>
      </c>
      <c r="FY59" s="239">
        <v>0</v>
      </c>
      <c r="FZ59" s="239">
        <v>136902874</v>
      </c>
      <c r="GA59" s="214" t="s">
        <v>748</v>
      </c>
    </row>
    <row r="60" spans="2:183" s="214" customFormat="1" x14ac:dyDescent="0.2">
      <c r="B60" s="610" t="s">
        <v>203</v>
      </c>
      <c r="C60" s="610" t="s">
        <v>919</v>
      </c>
      <c r="D60" s="239">
        <v>0</v>
      </c>
      <c r="E60" s="239">
        <v>0</v>
      </c>
      <c r="F60" s="239">
        <v>0</v>
      </c>
      <c r="G60" s="239">
        <v>-392777</v>
      </c>
      <c r="H60" s="239">
        <v>0</v>
      </c>
      <c r="I60" s="239">
        <v>-392777</v>
      </c>
      <c r="J60" s="239">
        <v>0</v>
      </c>
      <c r="K60" s="239">
        <v>0</v>
      </c>
      <c r="L60" s="239">
        <v>0</v>
      </c>
      <c r="M60" s="239">
        <v>594952</v>
      </c>
      <c r="N60" s="239">
        <v>0</v>
      </c>
      <c r="O60" s="239">
        <v>594952</v>
      </c>
      <c r="P60" s="239">
        <v>202175</v>
      </c>
      <c r="Q60" s="239">
        <v>0</v>
      </c>
      <c r="R60" s="239">
        <v>202175</v>
      </c>
      <c r="S60" s="239">
        <v>-6431953</v>
      </c>
      <c r="T60" s="239">
        <v>0</v>
      </c>
      <c r="U60" s="239">
        <v>-6431953</v>
      </c>
      <c r="V60" s="239">
        <v>-23131</v>
      </c>
      <c r="W60" s="239">
        <v>0</v>
      </c>
      <c r="X60" s="239">
        <v>-23131</v>
      </c>
      <c r="Y60" s="239">
        <v>-195862</v>
      </c>
      <c r="Z60" s="239">
        <v>0</v>
      </c>
      <c r="AA60" s="239">
        <v>-195862</v>
      </c>
      <c r="AB60" s="239">
        <v>-84530</v>
      </c>
      <c r="AC60" s="239">
        <v>0</v>
      </c>
      <c r="AD60" s="239">
        <v>-84530</v>
      </c>
      <c r="AE60" s="239">
        <v>6183</v>
      </c>
      <c r="AF60" s="239">
        <v>0</v>
      </c>
      <c r="AG60" s="239">
        <v>6183</v>
      </c>
      <c r="AH60" s="239">
        <v>4490059</v>
      </c>
      <c r="AI60" s="239">
        <v>0</v>
      </c>
      <c r="AJ60" s="239">
        <v>4490059</v>
      </c>
      <c r="AK60" s="239">
        <v>-146988</v>
      </c>
      <c r="AL60" s="239">
        <v>0</v>
      </c>
      <c r="AM60" s="239">
        <v>-146988</v>
      </c>
      <c r="AN60" s="239">
        <v>-8385892</v>
      </c>
      <c r="AO60" s="239">
        <v>0</v>
      </c>
      <c r="AP60" s="239">
        <v>-8385892</v>
      </c>
      <c r="AQ60" s="239">
        <v>-69915</v>
      </c>
      <c r="AR60" s="239">
        <v>0</v>
      </c>
      <c r="AS60" s="239">
        <v>-69915</v>
      </c>
      <c r="AT60" s="239">
        <v>-62888</v>
      </c>
      <c r="AU60" s="239">
        <v>0</v>
      </c>
      <c r="AV60" s="239">
        <v>-62888</v>
      </c>
      <c r="AW60" s="239">
        <v>0</v>
      </c>
      <c r="AX60" s="239">
        <v>0</v>
      </c>
      <c r="AY60" s="239">
        <v>0</v>
      </c>
      <c r="AZ60" s="239">
        <v>-60108</v>
      </c>
      <c r="BA60" s="239">
        <v>0</v>
      </c>
      <c r="BB60" s="239">
        <v>-60108</v>
      </c>
      <c r="BC60" s="239">
        <v>2532</v>
      </c>
      <c r="BD60" s="239">
        <v>0</v>
      </c>
      <c r="BE60" s="239">
        <v>2532</v>
      </c>
      <c r="BF60" s="239">
        <v>-10861015</v>
      </c>
      <c r="BG60" s="239">
        <v>0</v>
      </c>
      <c r="BH60" s="239">
        <v>-10861015</v>
      </c>
      <c r="BI60" s="239">
        <v>-84679</v>
      </c>
      <c r="BJ60" s="239">
        <v>0</v>
      </c>
      <c r="BK60" s="239">
        <v>-84679</v>
      </c>
      <c r="BL60" s="239">
        <v>78558</v>
      </c>
      <c r="BM60" s="239">
        <v>0</v>
      </c>
      <c r="BN60" s="239">
        <v>78558</v>
      </c>
      <c r="BO60" s="239">
        <v>-5990340</v>
      </c>
      <c r="BP60" s="239">
        <v>0</v>
      </c>
      <c r="BQ60" s="239">
        <v>-5990340</v>
      </c>
      <c r="BR60" s="239">
        <v>-16732</v>
      </c>
      <c r="BS60" s="239">
        <v>0</v>
      </c>
      <c r="BT60" s="239">
        <v>-16732</v>
      </c>
      <c r="BU60" s="239">
        <v>-6013193</v>
      </c>
      <c r="BV60" s="239">
        <v>0</v>
      </c>
      <c r="BW60" s="239">
        <v>-6013193</v>
      </c>
      <c r="BX60" s="239">
        <v>-817747</v>
      </c>
      <c r="BY60" s="239">
        <v>0</v>
      </c>
      <c r="BZ60" s="239">
        <v>-817747</v>
      </c>
      <c r="CA60" s="239">
        <v>15425</v>
      </c>
      <c r="CB60" s="239">
        <v>0</v>
      </c>
      <c r="CC60" s="239">
        <v>15425</v>
      </c>
      <c r="CD60" s="239">
        <v>-1214566</v>
      </c>
      <c r="CE60" s="239">
        <v>0</v>
      </c>
      <c r="CF60" s="239">
        <v>-1214566</v>
      </c>
      <c r="CG60" s="239">
        <v>-34674</v>
      </c>
      <c r="CH60" s="239">
        <v>0</v>
      </c>
      <c r="CI60" s="239">
        <v>-34674</v>
      </c>
      <c r="CJ60" s="239">
        <v>-13817</v>
      </c>
      <c r="CK60" s="239">
        <v>0</v>
      </c>
      <c r="CL60" s="239">
        <v>-13817</v>
      </c>
      <c r="CM60" s="239">
        <v>0</v>
      </c>
      <c r="CN60" s="239">
        <v>0</v>
      </c>
      <c r="CO60" s="239">
        <v>0</v>
      </c>
      <c r="CP60" s="239">
        <v>-60108</v>
      </c>
      <c r="CQ60" s="239">
        <v>0</v>
      </c>
      <c r="CR60" s="239">
        <v>-60108</v>
      </c>
      <c r="CS60" s="239">
        <v>2532</v>
      </c>
      <c r="CT60" s="239">
        <v>0</v>
      </c>
      <c r="CU60" s="239">
        <v>2532</v>
      </c>
      <c r="CV60" s="239">
        <v>-24878</v>
      </c>
      <c r="CW60" s="239">
        <v>0</v>
      </c>
      <c r="CX60" s="239">
        <v>-24878</v>
      </c>
      <c r="CY60" s="239">
        <v>0</v>
      </c>
      <c r="CZ60" s="239">
        <v>0</v>
      </c>
      <c r="DA60" s="239">
        <v>0</v>
      </c>
      <c r="DB60" s="239">
        <v>-49300</v>
      </c>
      <c r="DC60" s="239">
        <v>0</v>
      </c>
      <c r="DD60" s="239">
        <v>-49300</v>
      </c>
      <c r="DE60" s="239">
        <v>0</v>
      </c>
      <c r="DF60" s="239">
        <v>0</v>
      </c>
      <c r="DG60" s="239">
        <v>0</v>
      </c>
      <c r="DH60" s="239">
        <v>0</v>
      </c>
      <c r="DI60" s="239">
        <v>0</v>
      </c>
      <c r="DJ60" s="239">
        <v>-2197133</v>
      </c>
      <c r="DK60" s="239">
        <v>0</v>
      </c>
      <c r="DL60" s="239">
        <v>-2197133</v>
      </c>
      <c r="DM60" s="239">
        <v>-9370</v>
      </c>
      <c r="DN60" s="239">
        <v>0</v>
      </c>
      <c r="DO60" s="239">
        <v>-9370</v>
      </c>
      <c r="DP60" s="239">
        <v>8796</v>
      </c>
      <c r="DQ60" s="239">
        <v>0</v>
      </c>
      <c r="DR60" s="239">
        <v>8796</v>
      </c>
      <c r="DS60" s="239">
        <v>-98509</v>
      </c>
      <c r="DT60" s="239">
        <v>0</v>
      </c>
      <c r="DU60" s="239">
        <v>-98509</v>
      </c>
      <c r="DV60" s="239">
        <v>-2099</v>
      </c>
      <c r="DW60" s="239">
        <v>0</v>
      </c>
      <c r="DX60" s="239">
        <v>-2099</v>
      </c>
      <c r="DY60" s="239">
        <v>-1938525</v>
      </c>
      <c r="DZ60" s="239">
        <v>0</v>
      </c>
      <c r="EA60" s="239">
        <v>-1938525</v>
      </c>
      <c r="EB60" s="239">
        <v>-42847</v>
      </c>
      <c r="EC60" s="239">
        <v>0</v>
      </c>
      <c r="ED60" s="239">
        <v>-42847</v>
      </c>
      <c r="EE60" s="239">
        <v>0</v>
      </c>
      <c r="EF60" s="239">
        <v>0</v>
      </c>
      <c r="EG60" s="239">
        <v>0</v>
      </c>
      <c r="EH60" s="239">
        <v>0</v>
      </c>
      <c r="EI60" s="239">
        <v>0</v>
      </c>
      <c r="EJ60" s="239">
        <v>0</v>
      </c>
      <c r="EK60" s="239">
        <v>-19225</v>
      </c>
      <c r="EL60" s="239">
        <v>0</v>
      </c>
      <c r="EM60" s="239">
        <v>-19225</v>
      </c>
      <c r="EN60" s="239">
        <v>-2101779</v>
      </c>
      <c r="EO60" s="239">
        <v>0</v>
      </c>
      <c r="EP60" s="239">
        <v>-2101779</v>
      </c>
      <c r="EQ60" s="239">
        <v>0</v>
      </c>
      <c r="ER60" s="239">
        <v>0</v>
      </c>
      <c r="ES60" s="239">
        <v>0</v>
      </c>
      <c r="ET60" s="239">
        <v>0</v>
      </c>
      <c r="EU60" s="239">
        <v>0</v>
      </c>
      <c r="EV60" s="239">
        <v>0</v>
      </c>
      <c r="EW60" s="239">
        <v>0</v>
      </c>
      <c r="EX60" s="239">
        <v>0</v>
      </c>
      <c r="EY60" s="239">
        <v>0</v>
      </c>
      <c r="EZ60" s="239">
        <v>177762140</v>
      </c>
      <c r="FA60" s="239">
        <v>0</v>
      </c>
      <c r="FB60" s="239">
        <v>177762140</v>
      </c>
      <c r="FC60" s="239">
        <v>202175</v>
      </c>
      <c r="FD60" s="239">
        <v>0</v>
      </c>
      <c r="FE60" s="239">
        <v>202175</v>
      </c>
      <c r="FF60" s="239">
        <v>-10861015</v>
      </c>
      <c r="FG60" s="239">
        <v>0</v>
      </c>
      <c r="FH60" s="239">
        <v>-10861015</v>
      </c>
      <c r="FI60" s="239">
        <v>-6013193</v>
      </c>
      <c r="FJ60" s="239">
        <v>0</v>
      </c>
      <c r="FK60" s="239">
        <v>-6013193</v>
      </c>
      <c r="FL60" s="239">
        <v>-2197133</v>
      </c>
      <c r="FM60" s="239">
        <v>0</v>
      </c>
      <c r="FN60" s="239">
        <v>-2197133</v>
      </c>
      <c r="FO60" s="239">
        <v>-2101779</v>
      </c>
      <c r="FP60" s="239">
        <v>0</v>
      </c>
      <c r="FQ60" s="239">
        <v>-2101779</v>
      </c>
      <c r="FR60" s="239">
        <v>0</v>
      </c>
      <c r="FS60" s="239">
        <v>0</v>
      </c>
      <c r="FT60" s="239">
        <v>0</v>
      </c>
      <c r="FU60" s="239">
        <v>-20970945</v>
      </c>
      <c r="FV60" s="239">
        <v>0</v>
      </c>
      <c r="FW60" s="239">
        <v>-20970945</v>
      </c>
      <c r="FX60" s="239">
        <v>156791195</v>
      </c>
      <c r="FY60" s="239">
        <v>0</v>
      </c>
      <c r="FZ60" s="239">
        <v>156791195</v>
      </c>
      <c r="GA60" s="214" t="s">
        <v>748</v>
      </c>
    </row>
    <row r="61" spans="2:183" s="214" customFormat="1" x14ac:dyDescent="0.2">
      <c r="B61" s="610" t="s">
        <v>205</v>
      </c>
      <c r="C61" s="610" t="s">
        <v>204</v>
      </c>
      <c r="D61" s="239">
        <v>0</v>
      </c>
      <c r="E61" s="239">
        <v>0</v>
      </c>
      <c r="F61" s="239">
        <v>0</v>
      </c>
      <c r="G61" s="239">
        <v>339374</v>
      </c>
      <c r="H61" s="239">
        <v>0</v>
      </c>
      <c r="I61" s="239">
        <v>339374</v>
      </c>
      <c r="J61" s="239">
        <v>0</v>
      </c>
      <c r="K61" s="239">
        <v>0</v>
      </c>
      <c r="L61" s="239">
        <v>0</v>
      </c>
      <c r="M61" s="239">
        <v>172991</v>
      </c>
      <c r="N61" s="239">
        <v>0</v>
      </c>
      <c r="O61" s="239">
        <v>172991</v>
      </c>
      <c r="P61" s="239">
        <v>512365</v>
      </c>
      <c r="Q61" s="239">
        <v>0</v>
      </c>
      <c r="R61" s="239">
        <v>512365</v>
      </c>
      <c r="S61" s="239">
        <v>-2858738</v>
      </c>
      <c r="T61" s="239">
        <v>0</v>
      </c>
      <c r="U61" s="239">
        <v>-2858738</v>
      </c>
      <c r="V61" s="239">
        <v>-7887</v>
      </c>
      <c r="W61" s="239">
        <v>0</v>
      </c>
      <c r="X61" s="239">
        <v>-7887</v>
      </c>
      <c r="Y61" s="239">
        <v>-150553</v>
      </c>
      <c r="Z61" s="239">
        <v>0</v>
      </c>
      <c r="AA61" s="239">
        <v>-150553</v>
      </c>
      <c r="AB61" s="239">
        <v>-86681</v>
      </c>
      <c r="AC61" s="239">
        <v>0</v>
      </c>
      <c r="AD61" s="239">
        <v>-86681</v>
      </c>
      <c r="AE61" s="239">
        <v>0</v>
      </c>
      <c r="AF61" s="239">
        <v>0</v>
      </c>
      <c r="AG61" s="239">
        <v>0</v>
      </c>
      <c r="AH61" s="239">
        <v>954268</v>
      </c>
      <c r="AI61" s="239">
        <v>0</v>
      </c>
      <c r="AJ61" s="239">
        <v>954268</v>
      </c>
      <c r="AK61" s="239">
        <v>-7278</v>
      </c>
      <c r="AL61" s="239">
        <v>0</v>
      </c>
      <c r="AM61" s="239">
        <v>-7278</v>
      </c>
      <c r="AN61" s="239">
        <v>-1636983</v>
      </c>
      <c r="AO61" s="239">
        <v>0</v>
      </c>
      <c r="AP61" s="239">
        <v>-1636983</v>
      </c>
      <c r="AQ61" s="239">
        <v>-48372</v>
      </c>
      <c r="AR61" s="239">
        <v>0</v>
      </c>
      <c r="AS61" s="239">
        <v>-48372</v>
      </c>
      <c r="AT61" s="239">
        <v>-30951</v>
      </c>
      <c r="AU61" s="239">
        <v>0</v>
      </c>
      <c r="AV61" s="239">
        <v>-30951</v>
      </c>
      <c r="AW61" s="239">
        <v>0</v>
      </c>
      <c r="AX61" s="239">
        <v>0</v>
      </c>
      <c r="AY61" s="239">
        <v>0</v>
      </c>
      <c r="AZ61" s="239">
        <v>-3295</v>
      </c>
      <c r="BA61" s="239">
        <v>0</v>
      </c>
      <c r="BB61" s="239">
        <v>-3295</v>
      </c>
      <c r="BC61" s="239">
        <v>4</v>
      </c>
      <c r="BD61" s="239">
        <v>0</v>
      </c>
      <c r="BE61" s="239">
        <v>4</v>
      </c>
      <c r="BF61" s="239">
        <v>-3781898</v>
      </c>
      <c r="BG61" s="239">
        <v>0</v>
      </c>
      <c r="BH61" s="239">
        <v>-3781898</v>
      </c>
      <c r="BI61" s="239">
        <v>0</v>
      </c>
      <c r="BJ61" s="239">
        <v>0</v>
      </c>
      <c r="BK61" s="239">
        <v>0</v>
      </c>
      <c r="BL61" s="239">
        <v>5</v>
      </c>
      <c r="BM61" s="239">
        <v>0</v>
      </c>
      <c r="BN61" s="239">
        <v>5</v>
      </c>
      <c r="BO61" s="239">
        <v>-1408585</v>
      </c>
      <c r="BP61" s="239">
        <v>0</v>
      </c>
      <c r="BQ61" s="239">
        <v>-1408585</v>
      </c>
      <c r="BR61" s="239">
        <v>-76934</v>
      </c>
      <c r="BS61" s="239">
        <v>0</v>
      </c>
      <c r="BT61" s="239">
        <v>-76934</v>
      </c>
      <c r="BU61" s="239">
        <v>-1485514</v>
      </c>
      <c r="BV61" s="239">
        <v>0</v>
      </c>
      <c r="BW61" s="239">
        <v>-1485514</v>
      </c>
      <c r="BX61" s="239">
        <v>-39404</v>
      </c>
      <c r="BY61" s="239">
        <v>0</v>
      </c>
      <c r="BZ61" s="239">
        <v>-39404</v>
      </c>
      <c r="CA61" s="239">
        <v>0</v>
      </c>
      <c r="CB61" s="239">
        <v>0</v>
      </c>
      <c r="CC61" s="239">
        <v>0</v>
      </c>
      <c r="CD61" s="239">
        <v>-36383</v>
      </c>
      <c r="CE61" s="239">
        <v>0</v>
      </c>
      <c r="CF61" s="239">
        <v>-36383</v>
      </c>
      <c r="CG61" s="239">
        <v>210</v>
      </c>
      <c r="CH61" s="239">
        <v>0</v>
      </c>
      <c r="CI61" s="239">
        <v>210</v>
      </c>
      <c r="CJ61" s="239">
        <v>-1257</v>
      </c>
      <c r="CK61" s="239">
        <v>0</v>
      </c>
      <c r="CL61" s="239">
        <v>-1257</v>
      </c>
      <c r="CM61" s="239">
        <v>0</v>
      </c>
      <c r="CN61" s="239">
        <v>0</v>
      </c>
      <c r="CO61" s="239">
        <v>0</v>
      </c>
      <c r="CP61" s="239">
        <v>0</v>
      </c>
      <c r="CQ61" s="239">
        <v>0</v>
      </c>
      <c r="CR61" s="239">
        <v>0</v>
      </c>
      <c r="CS61" s="239">
        <v>0</v>
      </c>
      <c r="CT61" s="239">
        <v>0</v>
      </c>
      <c r="CU61" s="239">
        <v>0</v>
      </c>
      <c r="CV61" s="239">
        <v>0</v>
      </c>
      <c r="CW61" s="239">
        <v>0</v>
      </c>
      <c r="CX61" s="239">
        <v>0</v>
      </c>
      <c r="CY61" s="239">
        <v>0</v>
      </c>
      <c r="CZ61" s="239">
        <v>0</v>
      </c>
      <c r="DA61" s="239">
        <v>0</v>
      </c>
      <c r="DB61" s="239">
        <v>0</v>
      </c>
      <c r="DC61" s="239">
        <v>0</v>
      </c>
      <c r="DD61" s="239">
        <v>0</v>
      </c>
      <c r="DE61" s="239">
        <v>0</v>
      </c>
      <c r="DF61" s="239">
        <v>0</v>
      </c>
      <c r="DG61" s="239">
        <v>0</v>
      </c>
      <c r="DH61" s="239">
        <v>0</v>
      </c>
      <c r="DI61" s="239">
        <v>0</v>
      </c>
      <c r="DJ61" s="239">
        <v>-76834</v>
      </c>
      <c r="DK61" s="239">
        <v>0</v>
      </c>
      <c r="DL61" s="239">
        <v>-76834</v>
      </c>
      <c r="DM61" s="239">
        <v>0</v>
      </c>
      <c r="DN61" s="239">
        <v>0</v>
      </c>
      <c r="DO61" s="239">
        <v>0</v>
      </c>
      <c r="DP61" s="239">
        <v>0</v>
      </c>
      <c r="DQ61" s="239">
        <v>0</v>
      </c>
      <c r="DR61" s="239">
        <v>0</v>
      </c>
      <c r="DS61" s="239">
        <v>-31158</v>
      </c>
      <c r="DT61" s="239">
        <v>0</v>
      </c>
      <c r="DU61" s="239">
        <v>-31158</v>
      </c>
      <c r="DV61" s="239">
        <v>0</v>
      </c>
      <c r="DW61" s="239">
        <v>0</v>
      </c>
      <c r="DX61" s="239">
        <v>0</v>
      </c>
      <c r="DY61" s="239">
        <v>-717707</v>
      </c>
      <c r="DZ61" s="239">
        <v>0</v>
      </c>
      <c r="EA61" s="239">
        <v>-717707</v>
      </c>
      <c r="EB61" s="239">
        <v>-9859</v>
      </c>
      <c r="EC61" s="239">
        <v>0</v>
      </c>
      <c r="ED61" s="239">
        <v>-9859</v>
      </c>
      <c r="EE61" s="239">
        <v>0</v>
      </c>
      <c r="EF61" s="239">
        <v>0</v>
      </c>
      <c r="EG61" s="239">
        <v>0</v>
      </c>
      <c r="EH61" s="239">
        <v>0</v>
      </c>
      <c r="EI61" s="239">
        <v>0</v>
      </c>
      <c r="EJ61" s="239">
        <v>0</v>
      </c>
      <c r="EK61" s="239">
        <v>-10248</v>
      </c>
      <c r="EL61" s="239">
        <v>0</v>
      </c>
      <c r="EM61" s="239">
        <v>-10248</v>
      </c>
      <c r="EN61" s="239">
        <v>-768972</v>
      </c>
      <c r="EO61" s="239">
        <v>0</v>
      </c>
      <c r="EP61" s="239">
        <v>-768972</v>
      </c>
      <c r="EQ61" s="239">
        <v>0</v>
      </c>
      <c r="ER61" s="239">
        <v>0</v>
      </c>
      <c r="ES61" s="239">
        <v>0</v>
      </c>
      <c r="ET61" s="239">
        <v>0</v>
      </c>
      <c r="EU61" s="239">
        <v>0</v>
      </c>
      <c r="EV61" s="239">
        <v>0</v>
      </c>
      <c r="EW61" s="239">
        <v>0</v>
      </c>
      <c r="EX61" s="239">
        <v>0</v>
      </c>
      <c r="EY61" s="239">
        <v>0</v>
      </c>
      <c r="EZ61" s="239">
        <v>42477727</v>
      </c>
      <c r="FA61" s="239">
        <v>38008</v>
      </c>
      <c r="FB61" s="239">
        <v>42515735</v>
      </c>
      <c r="FC61" s="239">
        <v>512365</v>
      </c>
      <c r="FD61" s="239">
        <v>0</v>
      </c>
      <c r="FE61" s="239">
        <v>512365</v>
      </c>
      <c r="FF61" s="239">
        <v>-3781898</v>
      </c>
      <c r="FG61" s="239">
        <v>0</v>
      </c>
      <c r="FH61" s="239">
        <v>-3781898</v>
      </c>
      <c r="FI61" s="239">
        <v>-1485514</v>
      </c>
      <c r="FJ61" s="239">
        <v>0</v>
      </c>
      <c r="FK61" s="239">
        <v>-1485514</v>
      </c>
      <c r="FL61" s="239">
        <v>-76834</v>
      </c>
      <c r="FM61" s="239">
        <v>0</v>
      </c>
      <c r="FN61" s="239">
        <v>-76834</v>
      </c>
      <c r="FO61" s="239">
        <v>-768972</v>
      </c>
      <c r="FP61" s="239">
        <v>0</v>
      </c>
      <c r="FQ61" s="239">
        <v>-768972</v>
      </c>
      <c r="FR61" s="239">
        <v>0</v>
      </c>
      <c r="FS61" s="239">
        <v>0</v>
      </c>
      <c r="FT61" s="239">
        <v>0</v>
      </c>
      <c r="FU61" s="239">
        <v>-5600853</v>
      </c>
      <c r="FV61" s="239">
        <v>0</v>
      </c>
      <c r="FW61" s="239">
        <v>-5600853</v>
      </c>
      <c r="FX61" s="239">
        <v>36876874</v>
      </c>
      <c r="FY61" s="239">
        <v>38008</v>
      </c>
      <c r="FZ61" s="239">
        <v>36914882</v>
      </c>
      <c r="GA61" s="214" t="s">
        <v>1294</v>
      </c>
    </row>
    <row r="62" spans="2:183" s="214" customFormat="1" x14ac:dyDescent="0.2">
      <c r="B62" s="610" t="s">
        <v>207</v>
      </c>
      <c r="C62" s="610" t="s">
        <v>206</v>
      </c>
      <c r="D62" s="239">
        <v>0</v>
      </c>
      <c r="E62" s="239">
        <v>0</v>
      </c>
      <c r="F62" s="239">
        <v>0</v>
      </c>
      <c r="G62" s="239">
        <v>47493</v>
      </c>
      <c r="H62" s="239">
        <v>0</v>
      </c>
      <c r="I62" s="239">
        <v>47493</v>
      </c>
      <c r="J62" s="239">
        <v>0</v>
      </c>
      <c r="K62" s="239">
        <v>0</v>
      </c>
      <c r="L62" s="239">
        <v>0</v>
      </c>
      <c r="M62" s="239">
        <v>7994</v>
      </c>
      <c r="N62" s="239">
        <v>0</v>
      </c>
      <c r="O62" s="239">
        <v>7994</v>
      </c>
      <c r="P62" s="239">
        <v>55487</v>
      </c>
      <c r="Q62" s="239">
        <v>0</v>
      </c>
      <c r="R62" s="239">
        <v>55487</v>
      </c>
      <c r="S62" s="239">
        <v>-3276795</v>
      </c>
      <c r="T62" s="239">
        <v>0</v>
      </c>
      <c r="U62" s="239">
        <v>-3276795</v>
      </c>
      <c r="V62" s="239">
        <v>-18962</v>
      </c>
      <c r="W62" s="239">
        <v>0</v>
      </c>
      <c r="X62" s="239">
        <v>-18962</v>
      </c>
      <c r="Y62" s="239">
        <v>-116566</v>
      </c>
      <c r="Z62" s="239">
        <v>0</v>
      </c>
      <c r="AA62" s="239">
        <v>-116566</v>
      </c>
      <c r="AB62" s="239">
        <v>-70595</v>
      </c>
      <c r="AC62" s="239">
        <v>0</v>
      </c>
      <c r="AD62" s="239">
        <v>-70595</v>
      </c>
      <c r="AE62" s="239">
        <v>2862</v>
      </c>
      <c r="AF62" s="239">
        <v>0</v>
      </c>
      <c r="AG62" s="239">
        <v>2862</v>
      </c>
      <c r="AH62" s="239">
        <v>1194652</v>
      </c>
      <c r="AI62" s="239">
        <v>0</v>
      </c>
      <c r="AJ62" s="239">
        <v>1194652</v>
      </c>
      <c r="AK62" s="239">
        <v>-2145.7399999999998</v>
      </c>
      <c r="AL62" s="239">
        <v>0</v>
      </c>
      <c r="AM62" s="239">
        <v>-2145.7399999999998</v>
      </c>
      <c r="AN62" s="239">
        <v>-3736957</v>
      </c>
      <c r="AO62" s="239">
        <v>0</v>
      </c>
      <c r="AP62" s="239">
        <v>-3736957</v>
      </c>
      <c r="AQ62" s="239">
        <v>-122682</v>
      </c>
      <c r="AR62" s="239">
        <v>0</v>
      </c>
      <c r="AS62" s="239">
        <v>-122682</v>
      </c>
      <c r="AT62" s="239">
        <v>-38045</v>
      </c>
      <c r="AU62" s="239">
        <v>0</v>
      </c>
      <c r="AV62" s="239">
        <v>-38045</v>
      </c>
      <c r="AW62" s="239">
        <v>0</v>
      </c>
      <c r="AX62" s="239">
        <v>0</v>
      </c>
      <c r="AY62" s="239">
        <v>0</v>
      </c>
      <c r="AZ62" s="239">
        <v>-43667</v>
      </c>
      <c r="BA62" s="239">
        <v>0</v>
      </c>
      <c r="BB62" s="239">
        <v>-43667</v>
      </c>
      <c r="BC62" s="239">
        <v>-847</v>
      </c>
      <c r="BD62" s="239">
        <v>0</v>
      </c>
      <c r="BE62" s="239">
        <v>-847</v>
      </c>
      <c r="BF62" s="239">
        <v>-6143053</v>
      </c>
      <c r="BG62" s="239">
        <v>0</v>
      </c>
      <c r="BH62" s="239">
        <v>-6143053</v>
      </c>
      <c r="BI62" s="239">
        <v>-7768</v>
      </c>
      <c r="BJ62" s="239">
        <v>0</v>
      </c>
      <c r="BK62" s="239">
        <v>-7768</v>
      </c>
      <c r="BL62" s="239">
        <v>-38334</v>
      </c>
      <c r="BM62" s="239">
        <v>0</v>
      </c>
      <c r="BN62" s="239">
        <v>-38334</v>
      </c>
      <c r="BO62" s="239">
        <v>-1069858</v>
      </c>
      <c r="BP62" s="239">
        <v>0</v>
      </c>
      <c r="BQ62" s="239">
        <v>-1069858</v>
      </c>
      <c r="BR62" s="239">
        <v>-144698</v>
      </c>
      <c r="BS62" s="239">
        <v>0</v>
      </c>
      <c r="BT62" s="239">
        <v>-144698</v>
      </c>
      <c r="BU62" s="239">
        <v>-1260658</v>
      </c>
      <c r="BV62" s="239">
        <v>0</v>
      </c>
      <c r="BW62" s="239">
        <v>-1260658</v>
      </c>
      <c r="BX62" s="239">
        <v>0</v>
      </c>
      <c r="BY62" s="239">
        <v>0</v>
      </c>
      <c r="BZ62" s="239">
        <v>0</v>
      </c>
      <c r="CA62" s="239">
        <v>0</v>
      </c>
      <c r="CB62" s="239">
        <v>0</v>
      </c>
      <c r="CC62" s="239">
        <v>0</v>
      </c>
      <c r="CD62" s="239">
        <v>-6300</v>
      </c>
      <c r="CE62" s="239">
        <v>0</v>
      </c>
      <c r="CF62" s="239">
        <v>-6300</v>
      </c>
      <c r="CG62" s="239">
        <v>-2178</v>
      </c>
      <c r="CH62" s="239">
        <v>0</v>
      </c>
      <c r="CI62" s="239">
        <v>-2178</v>
      </c>
      <c r="CJ62" s="239">
        <v>0</v>
      </c>
      <c r="CK62" s="239">
        <v>0</v>
      </c>
      <c r="CL62" s="239">
        <v>0</v>
      </c>
      <c r="CM62" s="239">
        <v>0</v>
      </c>
      <c r="CN62" s="239">
        <v>0</v>
      </c>
      <c r="CO62" s="239">
        <v>0</v>
      </c>
      <c r="CP62" s="239">
        <v>-42775</v>
      </c>
      <c r="CQ62" s="239">
        <v>0</v>
      </c>
      <c r="CR62" s="239">
        <v>-42775</v>
      </c>
      <c r="CS62" s="239">
        <v>-206</v>
      </c>
      <c r="CT62" s="239">
        <v>0</v>
      </c>
      <c r="CU62" s="239">
        <v>-206</v>
      </c>
      <c r="CV62" s="239">
        <v>-12654</v>
      </c>
      <c r="CW62" s="239">
        <v>0</v>
      </c>
      <c r="CX62" s="239">
        <v>-12654</v>
      </c>
      <c r="CY62" s="239">
        <v>0</v>
      </c>
      <c r="CZ62" s="239">
        <v>0</v>
      </c>
      <c r="DA62" s="239">
        <v>0</v>
      </c>
      <c r="DB62" s="239">
        <v>0</v>
      </c>
      <c r="DC62" s="239">
        <v>0</v>
      </c>
      <c r="DD62" s="239">
        <v>0</v>
      </c>
      <c r="DE62" s="239">
        <v>0</v>
      </c>
      <c r="DF62" s="239">
        <v>0</v>
      </c>
      <c r="DG62" s="239">
        <v>0</v>
      </c>
      <c r="DH62" s="239">
        <v>0</v>
      </c>
      <c r="DI62" s="239">
        <v>0</v>
      </c>
      <c r="DJ62" s="239">
        <v>-64113</v>
      </c>
      <c r="DK62" s="239">
        <v>0</v>
      </c>
      <c r="DL62" s="239">
        <v>-64113</v>
      </c>
      <c r="DM62" s="239">
        <v>0</v>
      </c>
      <c r="DN62" s="239">
        <v>0</v>
      </c>
      <c r="DO62" s="239">
        <v>0</v>
      </c>
      <c r="DP62" s="239">
        <v>0</v>
      </c>
      <c r="DQ62" s="239">
        <v>0</v>
      </c>
      <c r="DR62" s="239">
        <v>0</v>
      </c>
      <c r="DS62" s="239">
        <v>-7776</v>
      </c>
      <c r="DT62" s="239">
        <v>0</v>
      </c>
      <c r="DU62" s="239">
        <v>-7776</v>
      </c>
      <c r="DV62" s="239">
        <v>0</v>
      </c>
      <c r="DW62" s="239">
        <v>0</v>
      </c>
      <c r="DX62" s="239">
        <v>0</v>
      </c>
      <c r="DY62" s="239">
        <v>-782076</v>
      </c>
      <c r="DZ62" s="239">
        <v>0</v>
      </c>
      <c r="EA62" s="239">
        <v>-782076</v>
      </c>
      <c r="EB62" s="239">
        <v>-12755</v>
      </c>
      <c r="EC62" s="239">
        <v>0</v>
      </c>
      <c r="ED62" s="239">
        <v>-12755</v>
      </c>
      <c r="EE62" s="239">
        <v>0</v>
      </c>
      <c r="EF62" s="239">
        <v>0</v>
      </c>
      <c r="EG62" s="239">
        <v>0</v>
      </c>
      <c r="EH62" s="239">
        <v>0</v>
      </c>
      <c r="EI62" s="239">
        <v>0</v>
      </c>
      <c r="EJ62" s="239">
        <v>0</v>
      </c>
      <c r="EK62" s="239">
        <v>-3523</v>
      </c>
      <c r="EL62" s="239">
        <v>0</v>
      </c>
      <c r="EM62" s="239">
        <v>-3523</v>
      </c>
      <c r="EN62" s="239">
        <v>-806130</v>
      </c>
      <c r="EO62" s="239">
        <v>0</v>
      </c>
      <c r="EP62" s="239">
        <v>-806130</v>
      </c>
      <c r="EQ62" s="239">
        <v>0</v>
      </c>
      <c r="ER62" s="239">
        <v>0</v>
      </c>
      <c r="ES62" s="239">
        <v>0</v>
      </c>
      <c r="ET62" s="239">
        <v>0</v>
      </c>
      <c r="EU62" s="239">
        <v>0</v>
      </c>
      <c r="EV62" s="239">
        <v>0</v>
      </c>
      <c r="EW62" s="239">
        <v>0</v>
      </c>
      <c r="EX62" s="239">
        <v>0</v>
      </c>
      <c r="EY62" s="239">
        <v>0</v>
      </c>
      <c r="EZ62" s="239">
        <v>52341538</v>
      </c>
      <c r="FA62" s="239">
        <v>0</v>
      </c>
      <c r="FB62" s="239">
        <v>52341538</v>
      </c>
      <c r="FC62" s="239">
        <v>55487</v>
      </c>
      <c r="FD62" s="239">
        <v>0</v>
      </c>
      <c r="FE62" s="239">
        <v>55487</v>
      </c>
      <c r="FF62" s="239">
        <v>-6143053</v>
      </c>
      <c r="FG62" s="239">
        <v>0</v>
      </c>
      <c r="FH62" s="239">
        <v>-6143053</v>
      </c>
      <c r="FI62" s="239">
        <v>-1260658</v>
      </c>
      <c r="FJ62" s="239">
        <v>0</v>
      </c>
      <c r="FK62" s="239">
        <v>-1260658</v>
      </c>
      <c r="FL62" s="239">
        <v>-64113</v>
      </c>
      <c r="FM62" s="239">
        <v>0</v>
      </c>
      <c r="FN62" s="239">
        <v>-64113</v>
      </c>
      <c r="FO62" s="239">
        <v>-806130</v>
      </c>
      <c r="FP62" s="239">
        <v>0</v>
      </c>
      <c r="FQ62" s="239">
        <v>-806130</v>
      </c>
      <c r="FR62" s="239">
        <v>0</v>
      </c>
      <c r="FS62" s="239">
        <v>0</v>
      </c>
      <c r="FT62" s="239">
        <v>0</v>
      </c>
      <c r="FU62" s="239">
        <v>-8218467</v>
      </c>
      <c r="FV62" s="239">
        <v>0</v>
      </c>
      <c r="FW62" s="239">
        <v>-8218467</v>
      </c>
      <c r="FX62" s="239">
        <v>44123071</v>
      </c>
      <c r="FY62" s="239">
        <v>0</v>
      </c>
      <c r="FZ62" s="239">
        <v>44123071</v>
      </c>
      <c r="GA62" s="214" t="s">
        <v>1294</v>
      </c>
    </row>
    <row r="63" spans="2:183" s="214" customFormat="1" x14ac:dyDescent="0.2">
      <c r="B63" s="610" t="s">
        <v>209</v>
      </c>
      <c r="C63" s="610" t="s">
        <v>208</v>
      </c>
      <c r="D63" s="239">
        <v>0</v>
      </c>
      <c r="E63" s="239">
        <v>0</v>
      </c>
      <c r="F63" s="239">
        <v>0</v>
      </c>
      <c r="G63" s="239">
        <v>10575</v>
      </c>
      <c r="H63" s="239">
        <v>0</v>
      </c>
      <c r="I63" s="239">
        <v>10575</v>
      </c>
      <c r="J63" s="239">
        <v>0</v>
      </c>
      <c r="K63" s="239">
        <v>0</v>
      </c>
      <c r="L63" s="239">
        <v>0</v>
      </c>
      <c r="M63" s="239">
        <v>-6502</v>
      </c>
      <c r="N63" s="239">
        <v>0</v>
      </c>
      <c r="O63" s="239">
        <v>-6502</v>
      </c>
      <c r="P63" s="239">
        <v>4073</v>
      </c>
      <c r="Q63" s="239">
        <v>0</v>
      </c>
      <c r="R63" s="239">
        <v>4073</v>
      </c>
      <c r="S63" s="239">
        <v>-1535191</v>
      </c>
      <c r="T63" s="239">
        <v>0</v>
      </c>
      <c r="U63" s="239">
        <v>-1535191</v>
      </c>
      <c r="V63" s="239">
        <v>0</v>
      </c>
      <c r="W63" s="239">
        <v>0</v>
      </c>
      <c r="X63" s="239">
        <v>0</v>
      </c>
      <c r="Y63" s="239">
        <v>-154610</v>
      </c>
      <c r="Z63" s="239">
        <v>0</v>
      </c>
      <c r="AA63" s="239">
        <v>-154610</v>
      </c>
      <c r="AB63" s="239">
        <v>0</v>
      </c>
      <c r="AC63" s="239">
        <v>0</v>
      </c>
      <c r="AD63" s="239">
        <v>0</v>
      </c>
      <c r="AE63" s="239">
        <v>0</v>
      </c>
      <c r="AF63" s="239">
        <v>0</v>
      </c>
      <c r="AG63" s="239">
        <v>0</v>
      </c>
      <c r="AH63" s="239">
        <v>550030</v>
      </c>
      <c r="AI63" s="239">
        <v>0</v>
      </c>
      <c r="AJ63" s="239">
        <v>550030</v>
      </c>
      <c r="AK63" s="239">
        <v>-4290</v>
      </c>
      <c r="AL63" s="239">
        <v>0</v>
      </c>
      <c r="AM63" s="239">
        <v>-4290</v>
      </c>
      <c r="AN63" s="239">
        <v>-2331126</v>
      </c>
      <c r="AO63" s="239">
        <v>0</v>
      </c>
      <c r="AP63" s="239">
        <v>-2331126</v>
      </c>
      <c r="AQ63" s="239">
        <v>41948</v>
      </c>
      <c r="AR63" s="239">
        <v>0</v>
      </c>
      <c r="AS63" s="239">
        <v>41948</v>
      </c>
      <c r="AT63" s="239">
        <v>-37498</v>
      </c>
      <c r="AU63" s="239">
        <v>0</v>
      </c>
      <c r="AV63" s="239">
        <v>-37498</v>
      </c>
      <c r="AW63" s="239">
        <v>-6</v>
      </c>
      <c r="AX63" s="239">
        <v>0</v>
      </c>
      <c r="AY63" s="239">
        <v>-6</v>
      </c>
      <c r="AZ63" s="239">
        <v>-16623</v>
      </c>
      <c r="BA63" s="239">
        <v>0</v>
      </c>
      <c r="BB63" s="239">
        <v>-16623</v>
      </c>
      <c r="BC63" s="239">
        <v>0</v>
      </c>
      <c r="BD63" s="239">
        <v>0</v>
      </c>
      <c r="BE63" s="239">
        <v>0</v>
      </c>
      <c r="BF63" s="239">
        <v>-3487366</v>
      </c>
      <c r="BG63" s="239">
        <v>0</v>
      </c>
      <c r="BH63" s="239">
        <v>-3487366</v>
      </c>
      <c r="BI63" s="239">
        <v>-11608</v>
      </c>
      <c r="BJ63" s="239">
        <v>0</v>
      </c>
      <c r="BK63" s="239">
        <v>-11608</v>
      </c>
      <c r="BL63" s="239">
        <v>-10457</v>
      </c>
      <c r="BM63" s="239">
        <v>0</v>
      </c>
      <c r="BN63" s="239">
        <v>-10457</v>
      </c>
      <c r="BO63" s="239">
        <v>-543984</v>
      </c>
      <c r="BP63" s="239">
        <v>0</v>
      </c>
      <c r="BQ63" s="239">
        <v>-543984</v>
      </c>
      <c r="BR63" s="239">
        <v>20416</v>
      </c>
      <c r="BS63" s="239">
        <v>0</v>
      </c>
      <c r="BT63" s="239">
        <v>20416</v>
      </c>
      <c r="BU63" s="239">
        <v>-545633</v>
      </c>
      <c r="BV63" s="239">
        <v>0</v>
      </c>
      <c r="BW63" s="239">
        <v>-545633</v>
      </c>
      <c r="BX63" s="239">
        <v>-116534</v>
      </c>
      <c r="BY63" s="239">
        <v>0</v>
      </c>
      <c r="BZ63" s="239">
        <v>-116534</v>
      </c>
      <c r="CA63" s="239">
        <v>-2195</v>
      </c>
      <c r="CB63" s="239">
        <v>0</v>
      </c>
      <c r="CC63" s="239">
        <v>-2195</v>
      </c>
      <c r="CD63" s="239">
        <v>-29911</v>
      </c>
      <c r="CE63" s="239">
        <v>0</v>
      </c>
      <c r="CF63" s="239">
        <v>-29911</v>
      </c>
      <c r="CG63" s="239">
        <v>6158</v>
      </c>
      <c r="CH63" s="239">
        <v>0</v>
      </c>
      <c r="CI63" s="239">
        <v>6158</v>
      </c>
      <c r="CJ63" s="239">
        <v>-1427</v>
      </c>
      <c r="CK63" s="239">
        <v>0</v>
      </c>
      <c r="CL63" s="239">
        <v>-1427</v>
      </c>
      <c r="CM63" s="239">
        <v>1036</v>
      </c>
      <c r="CN63" s="239">
        <v>0</v>
      </c>
      <c r="CO63" s="239">
        <v>1036</v>
      </c>
      <c r="CP63" s="239">
        <v>-5800</v>
      </c>
      <c r="CQ63" s="239">
        <v>0</v>
      </c>
      <c r="CR63" s="239">
        <v>-5800</v>
      </c>
      <c r="CS63" s="239">
        <v>0</v>
      </c>
      <c r="CT63" s="239">
        <v>0</v>
      </c>
      <c r="CU63" s="239">
        <v>0</v>
      </c>
      <c r="CV63" s="239">
        <v>0</v>
      </c>
      <c r="CW63" s="239">
        <v>0</v>
      </c>
      <c r="CX63" s="239">
        <v>0</v>
      </c>
      <c r="CY63" s="239">
        <v>0</v>
      </c>
      <c r="CZ63" s="239">
        <v>0</v>
      </c>
      <c r="DA63" s="239">
        <v>0</v>
      </c>
      <c r="DB63" s="239">
        <v>0</v>
      </c>
      <c r="DC63" s="239">
        <v>0</v>
      </c>
      <c r="DD63" s="239">
        <v>0</v>
      </c>
      <c r="DE63" s="239">
        <v>0</v>
      </c>
      <c r="DF63" s="239">
        <v>0</v>
      </c>
      <c r="DG63" s="239">
        <v>0</v>
      </c>
      <c r="DH63" s="239">
        <v>0</v>
      </c>
      <c r="DI63" s="239">
        <v>0</v>
      </c>
      <c r="DJ63" s="239">
        <v>-148673</v>
      </c>
      <c r="DK63" s="239">
        <v>0</v>
      </c>
      <c r="DL63" s="239">
        <v>-148673</v>
      </c>
      <c r="DM63" s="239">
        <v>0</v>
      </c>
      <c r="DN63" s="239">
        <v>0</v>
      </c>
      <c r="DO63" s="239">
        <v>0</v>
      </c>
      <c r="DP63" s="239">
        <v>0</v>
      </c>
      <c r="DQ63" s="239">
        <v>0</v>
      </c>
      <c r="DR63" s="239">
        <v>0</v>
      </c>
      <c r="DS63" s="239">
        <v>-3750</v>
      </c>
      <c r="DT63" s="239">
        <v>0</v>
      </c>
      <c r="DU63" s="239">
        <v>-3750</v>
      </c>
      <c r="DV63" s="239">
        <v>0</v>
      </c>
      <c r="DW63" s="239">
        <v>0</v>
      </c>
      <c r="DX63" s="239">
        <v>0</v>
      </c>
      <c r="DY63" s="239">
        <v>-525660</v>
      </c>
      <c r="DZ63" s="239">
        <v>0</v>
      </c>
      <c r="EA63" s="239">
        <v>-525660</v>
      </c>
      <c r="EB63" s="239">
        <v>-11281</v>
      </c>
      <c r="EC63" s="239">
        <v>0</v>
      </c>
      <c r="ED63" s="239">
        <v>-11281</v>
      </c>
      <c r="EE63" s="239">
        <v>0</v>
      </c>
      <c r="EF63" s="239">
        <v>0</v>
      </c>
      <c r="EG63" s="239">
        <v>0</v>
      </c>
      <c r="EH63" s="239">
        <v>618</v>
      </c>
      <c r="EI63" s="239">
        <v>0</v>
      </c>
      <c r="EJ63" s="239">
        <v>618</v>
      </c>
      <c r="EK63" s="239">
        <v>-1933</v>
      </c>
      <c r="EL63" s="239">
        <v>0</v>
      </c>
      <c r="EM63" s="239">
        <v>-1933</v>
      </c>
      <c r="EN63" s="239">
        <v>-542006</v>
      </c>
      <c r="EO63" s="239">
        <v>0</v>
      </c>
      <c r="EP63" s="239">
        <v>-542006</v>
      </c>
      <c r="EQ63" s="239">
        <v>0</v>
      </c>
      <c r="ER63" s="239">
        <v>0</v>
      </c>
      <c r="ES63" s="239">
        <v>0</v>
      </c>
      <c r="ET63" s="239">
        <v>0</v>
      </c>
      <c r="EU63" s="239">
        <v>0</v>
      </c>
      <c r="EV63" s="239">
        <v>0</v>
      </c>
      <c r="EW63" s="239">
        <v>0</v>
      </c>
      <c r="EX63" s="239">
        <v>0</v>
      </c>
      <c r="EY63" s="239">
        <v>0</v>
      </c>
      <c r="EZ63" s="239">
        <v>25980549</v>
      </c>
      <c r="FA63" s="239">
        <v>0</v>
      </c>
      <c r="FB63" s="239">
        <v>25980549</v>
      </c>
      <c r="FC63" s="239">
        <v>4073</v>
      </c>
      <c r="FD63" s="239">
        <v>0</v>
      </c>
      <c r="FE63" s="239">
        <v>4073</v>
      </c>
      <c r="FF63" s="239">
        <v>-3487366</v>
      </c>
      <c r="FG63" s="239">
        <v>0</v>
      </c>
      <c r="FH63" s="239">
        <v>-3487366</v>
      </c>
      <c r="FI63" s="239">
        <v>-545633</v>
      </c>
      <c r="FJ63" s="239">
        <v>0</v>
      </c>
      <c r="FK63" s="239">
        <v>-545633</v>
      </c>
      <c r="FL63" s="239">
        <v>-148673</v>
      </c>
      <c r="FM63" s="239">
        <v>0</v>
      </c>
      <c r="FN63" s="239">
        <v>-148673</v>
      </c>
      <c r="FO63" s="239">
        <v>-542006</v>
      </c>
      <c r="FP63" s="239">
        <v>0</v>
      </c>
      <c r="FQ63" s="239">
        <v>-542006</v>
      </c>
      <c r="FR63" s="239">
        <v>0</v>
      </c>
      <c r="FS63" s="239">
        <v>0</v>
      </c>
      <c r="FT63" s="239">
        <v>0</v>
      </c>
      <c r="FU63" s="239">
        <v>-4719605</v>
      </c>
      <c r="FV63" s="239">
        <v>0</v>
      </c>
      <c r="FW63" s="239">
        <v>-4719605</v>
      </c>
      <c r="FX63" s="239">
        <v>21260944</v>
      </c>
      <c r="FY63" s="239">
        <v>0</v>
      </c>
      <c r="FZ63" s="239">
        <v>21260944</v>
      </c>
      <c r="GA63" s="214" t="s">
        <v>1294</v>
      </c>
    </row>
    <row r="64" spans="2:183" s="214" customFormat="1" x14ac:dyDescent="0.2">
      <c r="B64" s="610" t="s">
        <v>211</v>
      </c>
      <c r="C64" s="610" t="s">
        <v>210</v>
      </c>
      <c r="D64" s="239">
        <v>0</v>
      </c>
      <c r="E64" s="239">
        <v>0</v>
      </c>
      <c r="F64" s="239">
        <v>0</v>
      </c>
      <c r="G64" s="239">
        <v>39159</v>
      </c>
      <c r="H64" s="239">
        <v>0</v>
      </c>
      <c r="I64" s="239">
        <v>39159</v>
      </c>
      <c r="J64" s="239">
        <v>0</v>
      </c>
      <c r="K64" s="239">
        <v>0</v>
      </c>
      <c r="L64" s="239">
        <v>0</v>
      </c>
      <c r="M64" s="239">
        <v>51621</v>
      </c>
      <c r="N64" s="239">
        <v>0</v>
      </c>
      <c r="O64" s="239">
        <v>51621</v>
      </c>
      <c r="P64" s="239">
        <v>90780</v>
      </c>
      <c r="Q64" s="239">
        <v>0</v>
      </c>
      <c r="R64" s="239">
        <v>90780</v>
      </c>
      <c r="S64" s="239">
        <v>-2544110</v>
      </c>
      <c r="T64" s="239">
        <v>0</v>
      </c>
      <c r="U64" s="239">
        <v>-2544110</v>
      </c>
      <c r="V64" s="239">
        <v>0</v>
      </c>
      <c r="W64" s="239">
        <v>0</v>
      </c>
      <c r="X64" s="239">
        <v>0</v>
      </c>
      <c r="Y64" s="239">
        <v>-66563</v>
      </c>
      <c r="Z64" s="239">
        <v>0</v>
      </c>
      <c r="AA64" s="239">
        <v>-66563</v>
      </c>
      <c r="AB64" s="239">
        <v>-51105</v>
      </c>
      <c r="AC64" s="239">
        <v>0</v>
      </c>
      <c r="AD64" s="239">
        <v>-51105</v>
      </c>
      <c r="AE64" s="239">
        <v>640</v>
      </c>
      <c r="AF64" s="239">
        <v>0</v>
      </c>
      <c r="AG64" s="239">
        <v>640</v>
      </c>
      <c r="AH64" s="239">
        <v>756966</v>
      </c>
      <c r="AI64" s="239">
        <v>0</v>
      </c>
      <c r="AJ64" s="239">
        <v>756966</v>
      </c>
      <c r="AK64" s="239">
        <v>-20513</v>
      </c>
      <c r="AL64" s="239">
        <v>0</v>
      </c>
      <c r="AM64" s="239">
        <v>-20513</v>
      </c>
      <c r="AN64" s="239">
        <v>-1972382</v>
      </c>
      <c r="AO64" s="239">
        <v>0</v>
      </c>
      <c r="AP64" s="239">
        <v>-1972382</v>
      </c>
      <c r="AQ64" s="239">
        <v>-47352</v>
      </c>
      <c r="AR64" s="239">
        <v>0</v>
      </c>
      <c r="AS64" s="239">
        <v>-47352</v>
      </c>
      <c r="AT64" s="239">
        <v>-31822</v>
      </c>
      <c r="AU64" s="239">
        <v>0</v>
      </c>
      <c r="AV64" s="239">
        <v>-31822</v>
      </c>
      <c r="AW64" s="239">
        <v>0</v>
      </c>
      <c r="AX64" s="239">
        <v>0</v>
      </c>
      <c r="AY64" s="239">
        <v>0</v>
      </c>
      <c r="AZ64" s="239">
        <v>-5515</v>
      </c>
      <c r="BA64" s="239">
        <v>0</v>
      </c>
      <c r="BB64" s="239">
        <v>-5515</v>
      </c>
      <c r="BC64" s="239">
        <v>0</v>
      </c>
      <c r="BD64" s="239">
        <v>0</v>
      </c>
      <c r="BE64" s="239">
        <v>0</v>
      </c>
      <c r="BF64" s="239">
        <v>-3931291</v>
      </c>
      <c r="BG64" s="239">
        <v>0</v>
      </c>
      <c r="BH64" s="239">
        <v>-3931291</v>
      </c>
      <c r="BI64" s="239">
        <v>0</v>
      </c>
      <c r="BJ64" s="239">
        <v>0</v>
      </c>
      <c r="BK64" s="239">
        <v>0</v>
      </c>
      <c r="BL64" s="239">
        <v>-4415</v>
      </c>
      <c r="BM64" s="239">
        <v>0</v>
      </c>
      <c r="BN64" s="239">
        <v>-4415</v>
      </c>
      <c r="BO64" s="239">
        <v>-669020</v>
      </c>
      <c r="BP64" s="239">
        <v>0</v>
      </c>
      <c r="BQ64" s="239">
        <v>-669020</v>
      </c>
      <c r="BR64" s="239">
        <v>-22032</v>
      </c>
      <c r="BS64" s="239">
        <v>0</v>
      </c>
      <c r="BT64" s="239">
        <v>-22032</v>
      </c>
      <c r="BU64" s="239">
        <v>-695467</v>
      </c>
      <c r="BV64" s="239">
        <v>0</v>
      </c>
      <c r="BW64" s="239">
        <v>-695467</v>
      </c>
      <c r="BX64" s="239">
        <v>-11699</v>
      </c>
      <c r="BY64" s="239">
        <v>0</v>
      </c>
      <c r="BZ64" s="239">
        <v>-11699</v>
      </c>
      <c r="CA64" s="239">
        <v>-7163</v>
      </c>
      <c r="CB64" s="239">
        <v>0</v>
      </c>
      <c r="CC64" s="239">
        <v>-7163</v>
      </c>
      <c r="CD64" s="239">
        <v>0</v>
      </c>
      <c r="CE64" s="239">
        <v>0</v>
      </c>
      <c r="CF64" s="239">
        <v>0</v>
      </c>
      <c r="CG64" s="239">
        <v>3283</v>
      </c>
      <c r="CH64" s="239">
        <v>0</v>
      </c>
      <c r="CI64" s="239">
        <v>3283</v>
      </c>
      <c r="CJ64" s="239">
        <v>0</v>
      </c>
      <c r="CK64" s="239">
        <v>0</v>
      </c>
      <c r="CL64" s="239">
        <v>0</v>
      </c>
      <c r="CM64" s="239">
        <v>0</v>
      </c>
      <c r="CN64" s="239">
        <v>0</v>
      </c>
      <c r="CO64" s="239">
        <v>0</v>
      </c>
      <c r="CP64" s="239">
        <v>0</v>
      </c>
      <c r="CQ64" s="239">
        <v>0</v>
      </c>
      <c r="CR64" s="239">
        <v>0</v>
      </c>
      <c r="CS64" s="239">
        <v>0</v>
      </c>
      <c r="CT64" s="239">
        <v>0</v>
      </c>
      <c r="CU64" s="239">
        <v>0</v>
      </c>
      <c r="CV64" s="239">
        <v>0</v>
      </c>
      <c r="CW64" s="239">
        <v>0</v>
      </c>
      <c r="CX64" s="239">
        <v>0</v>
      </c>
      <c r="CY64" s="239">
        <v>0</v>
      </c>
      <c r="CZ64" s="239">
        <v>0</v>
      </c>
      <c r="DA64" s="239">
        <v>0</v>
      </c>
      <c r="DB64" s="239">
        <v>0</v>
      </c>
      <c r="DC64" s="239">
        <v>0</v>
      </c>
      <c r="DD64" s="239">
        <v>0</v>
      </c>
      <c r="DE64" s="239">
        <v>0</v>
      </c>
      <c r="DF64" s="239">
        <v>0</v>
      </c>
      <c r="DG64" s="239">
        <v>0</v>
      </c>
      <c r="DH64" s="239">
        <v>0</v>
      </c>
      <c r="DI64" s="239">
        <v>0</v>
      </c>
      <c r="DJ64" s="239">
        <v>-15579</v>
      </c>
      <c r="DK64" s="239">
        <v>0</v>
      </c>
      <c r="DL64" s="239">
        <v>-15579</v>
      </c>
      <c r="DM64" s="239">
        <v>0</v>
      </c>
      <c r="DN64" s="239">
        <v>0</v>
      </c>
      <c r="DO64" s="239">
        <v>0</v>
      </c>
      <c r="DP64" s="239">
        <v>0</v>
      </c>
      <c r="DQ64" s="239">
        <v>0</v>
      </c>
      <c r="DR64" s="239">
        <v>0</v>
      </c>
      <c r="DS64" s="239">
        <v>-9922</v>
      </c>
      <c r="DT64" s="239">
        <v>0</v>
      </c>
      <c r="DU64" s="239">
        <v>-9922</v>
      </c>
      <c r="DV64" s="239">
        <v>196</v>
      </c>
      <c r="DW64" s="239">
        <v>0</v>
      </c>
      <c r="DX64" s="239">
        <v>196</v>
      </c>
      <c r="DY64" s="239">
        <v>-412814</v>
      </c>
      <c r="DZ64" s="239">
        <v>0</v>
      </c>
      <c r="EA64" s="239">
        <v>-412814</v>
      </c>
      <c r="EB64" s="239">
        <v>-29880</v>
      </c>
      <c r="EC64" s="239">
        <v>0</v>
      </c>
      <c r="ED64" s="239">
        <v>-29880</v>
      </c>
      <c r="EE64" s="239">
        <v>-17621</v>
      </c>
      <c r="EF64" s="239">
        <v>0</v>
      </c>
      <c r="EG64" s="239">
        <v>-17621</v>
      </c>
      <c r="EH64" s="239">
        <v>0</v>
      </c>
      <c r="EI64" s="239">
        <v>0</v>
      </c>
      <c r="EJ64" s="239">
        <v>0</v>
      </c>
      <c r="EK64" s="239">
        <v>-16360</v>
      </c>
      <c r="EL64" s="239">
        <v>0</v>
      </c>
      <c r="EM64" s="239">
        <v>-16360</v>
      </c>
      <c r="EN64" s="239">
        <v>-486401</v>
      </c>
      <c r="EO64" s="239">
        <v>0</v>
      </c>
      <c r="EP64" s="239">
        <v>-486401</v>
      </c>
      <c r="EQ64" s="239">
        <v>0</v>
      </c>
      <c r="ER64" s="239">
        <v>0</v>
      </c>
      <c r="ES64" s="239">
        <v>0</v>
      </c>
      <c r="ET64" s="239">
        <v>0</v>
      </c>
      <c r="EU64" s="239">
        <v>0</v>
      </c>
      <c r="EV64" s="239">
        <v>0</v>
      </c>
      <c r="EW64" s="239">
        <v>0</v>
      </c>
      <c r="EX64" s="239">
        <v>0</v>
      </c>
      <c r="EY64" s="239">
        <v>0</v>
      </c>
      <c r="EZ64" s="239">
        <v>32983421</v>
      </c>
      <c r="FA64" s="239">
        <v>0</v>
      </c>
      <c r="FB64" s="239">
        <v>32983421</v>
      </c>
      <c r="FC64" s="239">
        <v>90780</v>
      </c>
      <c r="FD64" s="239">
        <v>0</v>
      </c>
      <c r="FE64" s="239">
        <v>90780</v>
      </c>
      <c r="FF64" s="239">
        <v>-3931291</v>
      </c>
      <c r="FG64" s="239">
        <v>0</v>
      </c>
      <c r="FH64" s="239">
        <v>-3931291</v>
      </c>
      <c r="FI64" s="239">
        <v>-695467</v>
      </c>
      <c r="FJ64" s="239">
        <v>0</v>
      </c>
      <c r="FK64" s="239">
        <v>-695467</v>
      </c>
      <c r="FL64" s="239">
        <v>-15579</v>
      </c>
      <c r="FM64" s="239">
        <v>0</v>
      </c>
      <c r="FN64" s="239">
        <v>-15579</v>
      </c>
      <c r="FO64" s="239">
        <v>-486401</v>
      </c>
      <c r="FP64" s="239">
        <v>0</v>
      </c>
      <c r="FQ64" s="239">
        <v>-486401</v>
      </c>
      <c r="FR64" s="239">
        <v>0</v>
      </c>
      <c r="FS64" s="239">
        <v>0</v>
      </c>
      <c r="FT64" s="239">
        <v>0</v>
      </c>
      <c r="FU64" s="239">
        <v>-5037958</v>
      </c>
      <c r="FV64" s="239">
        <v>0</v>
      </c>
      <c r="FW64" s="239">
        <v>-5037958</v>
      </c>
      <c r="FX64" s="239">
        <v>27945463</v>
      </c>
      <c r="FY64" s="239">
        <v>0</v>
      </c>
      <c r="FZ64" s="239">
        <v>27945463</v>
      </c>
      <c r="GA64" s="214" t="s">
        <v>1294</v>
      </c>
    </row>
    <row r="65" spans="1:183" s="214" customFormat="1" x14ac:dyDescent="0.2">
      <c r="B65" s="610" t="s">
        <v>213</v>
      </c>
      <c r="C65" s="610" t="s">
        <v>212</v>
      </c>
      <c r="D65" s="239">
        <v>0</v>
      </c>
      <c r="E65" s="239">
        <v>0</v>
      </c>
      <c r="F65" s="239">
        <v>0</v>
      </c>
      <c r="G65" s="239">
        <v>3888</v>
      </c>
      <c r="H65" s="239">
        <v>0</v>
      </c>
      <c r="I65" s="239">
        <v>3888</v>
      </c>
      <c r="J65" s="239">
        <v>0</v>
      </c>
      <c r="K65" s="239">
        <v>0</v>
      </c>
      <c r="L65" s="239">
        <v>0</v>
      </c>
      <c r="M65" s="239">
        <v>24990</v>
      </c>
      <c r="N65" s="239">
        <v>0</v>
      </c>
      <c r="O65" s="239">
        <v>24990</v>
      </c>
      <c r="P65" s="239">
        <v>28878</v>
      </c>
      <c r="Q65" s="239">
        <v>0</v>
      </c>
      <c r="R65" s="239">
        <v>28878</v>
      </c>
      <c r="S65" s="239">
        <v>-1257142</v>
      </c>
      <c r="T65" s="239">
        <v>0</v>
      </c>
      <c r="U65" s="239">
        <v>-1257142</v>
      </c>
      <c r="V65" s="239">
        <v>-507</v>
      </c>
      <c r="W65" s="239">
        <v>0</v>
      </c>
      <c r="X65" s="239">
        <v>-507</v>
      </c>
      <c r="Y65" s="239">
        <v>-53787</v>
      </c>
      <c r="Z65" s="239">
        <v>0</v>
      </c>
      <c r="AA65" s="239">
        <v>-53787</v>
      </c>
      <c r="AB65" s="239">
        <v>-40508</v>
      </c>
      <c r="AC65" s="239">
        <v>0</v>
      </c>
      <c r="AD65" s="239">
        <v>-40508</v>
      </c>
      <c r="AE65" s="239">
        <v>0</v>
      </c>
      <c r="AF65" s="239">
        <v>0</v>
      </c>
      <c r="AG65" s="239">
        <v>0</v>
      </c>
      <c r="AH65" s="239">
        <v>488818</v>
      </c>
      <c r="AI65" s="239">
        <v>0</v>
      </c>
      <c r="AJ65" s="239">
        <v>488818</v>
      </c>
      <c r="AK65" s="239">
        <v>-4046</v>
      </c>
      <c r="AL65" s="239">
        <v>0</v>
      </c>
      <c r="AM65" s="239">
        <v>-4046</v>
      </c>
      <c r="AN65" s="239">
        <v>-766946</v>
      </c>
      <c r="AO65" s="239">
        <v>0</v>
      </c>
      <c r="AP65" s="239">
        <v>-766946</v>
      </c>
      <c r="AQ65" s="239">
        <v>-6709</v>
      </c>
      <c r="AR65" s="239">
        <v>0</v>
      </c>
      <c r="AS65" s="239">
        <v>-6709</v>
      </c>
      <c r="AT65" s="239">
        <v>-37290</v>
      </c>
      <c r="AU65" s="239">
        <v>0</v>
      </c>
      <c r="AV65" s="239">
        <v>-37290</v>
      </c>
      <c r="AW65" s="239">
        <v>0</v>
      </c>
      <c r="AX65" s="239">
        <v>0</v>
      </c>
      <c r="AY65" s="239">
        <v>0</v>
      </c>
      <c r="AZ65" s="239">
        <v>-1750</v>
      </c>
      <c r="BA65" s="239">
        <v>0</v>
      </c>
      <c r="BB65" s="239">
        <v>-1750</v>
      </c>
      <c r="BC65" s="239">
        <v>0</v>
      </c>
      <c r="BD65" s="239">
        <v>0</v>
      </c>
      <c r="BE65" s="239">
        <v>0</v>
      </c>
      <c r="BF65" s="239">
        <v>-1638852</v>
      </c>
      <c r="BG65" s="239">
        <v>0</v>
      </c>
      <c r="BH65" s="239">
        <v>-1638852</v>
      </c>
      <c r="BI65" s="239">
        <v>0</v>
      </c>
      <c r="BJ65" s="239">
        <v>0</v>
      </c>
      <c r="BK65" s="239">
        <v>0</v>
      </c>
      <c r="BL65" s="239">
        <v>5637</v>
      </c>
      <c r="BM65" s="239">
        <v>0</v>
      </c>
      <c r="BN65" s="239">
        <v>5637</v>
      </c>
      <c r="BO65" s="239">
        <v>-530349</v>
      </c>
      <c r="BP65" s="239">
        <v>0</v>
      </c>
      <c r="BQ65" s="239">
        <v>-530349</v>
      </c>
      <c r="BR65" s="239">
        <v>-188845</v>
      </c>
      <c r="BS65" s="239">
        <v>0</v>
      </c>
      <c r="BT65" s="239">
        <v>-188845</v>
      </c>
      <c r="BU65" s="239">
        <v>-713557</v>
      </c>
      <c r="BV65" s="239">
        <v>0</v>
      </c>
      <c r="BW65" s="239">
        <v>-713557</v>
      </c>
      <c r="BX65" s="239">
        <v>-4612</v>
      </c>
      <c r="BY65" s="239">
        <v>0</v>
      </c>
      <c r="BZ65" s="239">
        <v>-4612</v>
      </c>
      <c r="CA65" s="239">
        <v>-209</v>
      </c>
      <c r="CB65" s="239">
        <v>0</v>
      </c>
      <c r="CC65" s="239">
        <v>-209</v>
      </c>
      <c r="CD65" s="239">
        <v>-4260</v>
      </c>
      <c r="CE65" s="239">
        <v>0</v>
      </c>
      <c r="CF65" s="239">
        <v>-4260</v>
      </c>
      <c r="CG65" s="239">
        <v>-41037</v>
      </c>
      <c r="CH65" s="239">
        <v>0</v>
      </c>
      <c r="CI65" s="239">
        <v>-41037</v>
      </c>
      <c r="CJ65" s="239">
        <v>-1577</v>
      </c>
      <c r="CK65" s="239">
        <v>0</v>
      </c>
      <c r="CL65" s="239">
        <v>-1577</v>
      </c>
      <c r="CM65" s="239">
        <v>0</v>
      </c>
      <c r="CN65" s="239">
        <v>0</v>
      </c>
      <c r="CO65" s="239">
        <v>0</v>
      </c>
      <c r="CP65" s="239">
        <v>0</v>
      </c>
      <c r="CQ65" s="239">
        <v>0</v>
      </c>
      <c r="CR65" s="239">
        <v>0</v>
      </c>
      <c r="CS65" s="239">
        <v>0</v>
      </c>
      <c r="CT65" s="239">
        <v>0</v>
      </c>
      <c r="CU65" s="239">
        <v>0</v>
      </c>
      <c r="CV65" s="239">
        <v>0</v>
      </c>
      <c r="CW65" s="239">
        <v>0</v>
      </c>
      <c r="CX65" s="239">
        <v>0</v>
      </c>
      <c r="CY65" s="239">
        <v>0</v>
      </c>
      <c r="CZ65" s="239">
        <v>0</v>
      </c>
      <c r="DA65" s="239">
        <v>0</v>
      </c>
      <c r="DB65" s="239">
        <v>0</v>
      </c>
      <c r="DC65" s="239">
        <v>0</v>
      </c>
      <c r="DD65" s="239">
        <v>0</v>
      </c>
      <c r="DE65" s="239">
        <v>0</v>
      </c>
      <c r="DF65" s="239">
        <v>0</v>
      </c>
      <c r="DG65" s="239">
        <v>0</v>
      </c>
      <c r="DH65" s="239">
        <v>0</v>
      </c>
      <c r="DI65" s="239">
        <v>0</v>
      </c>
      <c r="DJ65" s="239">
        <v>-51695</v>
      </c>
      <c r="DK65" s="239">
        <v>0</v>
      </c>
      <c r="DL65" s="239">
        <v>-51695</v>
      </c>
      <c r="DM65" s="239">
        <v>-20703</v>
      </c>
      <c r="DN65" s="239">
        <v>0</v>
      </c>
      <c r="DO65" s="239">
        <v>-20703</v>
      </c>
      <c r="DP65" s="239">
        <v>-2483</v>
      </c>
      <c r="DQ65" s="239">
        <v>0</v>
      </c>
      <c r="DR65" s="239">
        <v>-2483</v>
      </c>
      <c r="DS65" s="239">
        <v>0</v>
      </c>
      <c r="DT65" s="239">
        <v>0</v>
      </c>
      <c r="DU65" s="239">
        <v>0</v>
      </c>
      <c r="DV65" s="239">
        <v>0</v>
      </c>
      <c r="DW65" s="239">
        <v>0</v>
      </c>
      <c r="DX65" s="239">
        <v>0</v>
      </c>
      <c r="DY65" s="239">
        <v>-358114</v>
      </c>
      <c r="DZ65" s="239">
        <v>0</v>
      </c>
      <c r="EA65" s="239">
        <v>-358114</v>
      </c>
      <c r="EB65" s="239">
        <v>138</v>
      </c>
      <c r="EC65" s="239">
        <v>0</v>
      </c>
      <c r="ED65" s="239">
        <v>138</v>
      </c>
      <c r="EE65" s="239">
        <v>0</v>
      </c>
      <c r="EF65" s="239">
        <v>0</v>
      </c>
      <c r="EG65" s="239">
        <v>0</v>
      </c>
      <c r="EH65" s="239">
        <v>0</v>
      </c>
      <c r="EI65" s="239">
        <v>0</v>
      </c>
      <c r="EJ65" s="239">
        <v>0</v>
      </c>
      <c r="EK65" s="239">
        <v>-8875</v>
      </c>
      <c r="EL65" s="239">
        <v>0</v>
      </c>
      <c r="EM65" s="239">
        <v>-8875</v>
      </c>
      <c r="EN65" s="239">
        <v>-390037</v>
      </c>
      <c r="EO65" s="239">
        <v>0</v>
      </c>
      <c r="EP65" s="239">
        <v>-390037</v>
      </c>
      <c r="EQ65" s="239">
        <v>0</v>
      </c>
      <c r="ER65" s="239">
        <v>0</v>
      </c>
      <c r="ES65" s="239">
        <v>0</v>
      </c>
      <c r="ET65" s="239">
        <v>0</v>
      </c>
      <c r="EU65" s="239">
        <v>0</v>
      </c>
      <c r="EV65" s="239">
        <v>0</v>
      </c>
      <c r="EW65" s="239">
        <v>0</v>
      </c>
      <c r="EX65" s="239">
        <v>0</v>
      </c>
      <c r="EY65" s="239">
        <v>0</v>
      </c>
      <c r="EZ65" s="239">
        <v>21300440</v>
      </c>
      <c r="FA65" s="239">
        <v>0</v>
      </c>
      <c r="FB65" s="239">
        <v>21300440</v>
      </c>
      <c r="FC65" s="239">
        <v>28878</v>
      </c>
      <c r="FD65" s="239">
        <v>0</v>
      </c>
      <c r="FE65" s="239">
        <v>28878</v>
      </c>
      <c r="FF65" s="239">
        <v>-1638852</v>
      </c>
      <c r="FG65" s="239">
        <v>0</v>
      </c>
      <c r="FH65" s="239">
        <v>-1638852</v>
      </c>
      <c r="FI65" s="239">
        <v>-713557</v>
      </c>
      <c r="FJ65" s="239">
        <v>0</v>
      </c>
      <c r="FK65" s="239">
        <v>-713557</v>
      </c>
      <c r="FL65" s="239">
        <v>-51695</v>
      </c>
      <c r="FM65" s="239">
        <v>0</v>
      </c>
      <c r="FN65" s="239">
        <v>-51695</v>
      </c>
      <c r="FO65" s="239">
        <v>-390037</v>
      </c>
      <c r="FP65" s="239">
        <v>0</v>
      </c>
      <c r="FQ65" s="239">
        <v>-390037</v>
      </c>
      <c r="FR65" s="239">
        <v>0</v>
      </c>
      <c r="FS65" s="239">
        <v>0</v>
      </c>
      <c r="FT65" s="239">
        <v>0</v>
      </c>
      <c r="FU65" s="239">
        <v>-2765263</v>
      </c>
      <c r="FV65" s="239">
        <v>0</v>
      </c>
      <c r="FW65" s="239">
        <v>-2765263</v>
      </c>
      <c r="FX65" s="239">
        <v>18535177</v>
      </c>
      <c r="FY65" s="239">
        <v>0</v>
      </c>
      <c r="FZ65" s="239">
        <v>18535177</v>
      </c>
      <c r="GA65" s="214" t="s">
        <v>1294</v>
      </c>
    </row>
    <row r="66" spans="1:183" s="214" customFormat="1" x14ac:dyDescent="0.2">
      <c r="B66" s="610" t="s">
        <v>215</v>
      </c>
      <c r="C66" s="610" t="s">
        <v>214</v>
      </c>
      <c r="D66" s="239">
        <v>0</v>
      </c>
      <c r="E66" s="239">
        <v>0</v>
      </c>
      <c r="F66" s="239">
        <v>0</v>
      </c>
      <c r="G66" s="239">
        <v>1227944</v>
      </c>
      <c r="H66" s="239">
        <v>0</v>
      </c>
      <c r="I66" s="239">
        <v>1227944</v>
      </c>
      <c r="J66" s="239">
        <v>0</v>
      </c>
      <c r="K66" s="239">
        <v>0</v>
      </c>
      <c r="L66" s="239">
        <v>0</v>
      </c>
      <c r="M66" s="239">
        <v>220311</v>
      </c>
      <c r="N66" s="239">
        <v>0</v>
      </c>
      <c r="O66" s="239">
        <v>220311</v>
      </c>
      <c r="P66" s="239">
        <v>1448255</v>
      </c>
      <c r="Q66" s="239">
        <v>0</v>
      </c>
      <c r="R66" s="239">
        <v>1448255</v>
      </c>
      <c r="S66" s="239">
        <v>-436577</v>
      </c>
      <c r="T66" s="239">
        <v>0</v>
      </c>
      <c r="U66" s="239">
        <v>-436577</v>
      </c>
      <c r="V66" s="239">
        <v>0</v>
      </c>
      <c r="W66" s="239">
        <v>0</v>
      </c>
      <c r="X66" s="239">
        <v>0</v>
      </c>
      <c r="Y66" s="239">
        <v>-31803</v>
      </c>
      <c r="Z66" s="239">
        <v>0</v>
      </c>
      <c r="AA66" s="239">
        <v>-31803</v>
      </c>
      <c r="AB66" s="239">
        <v>-27990</v>
      </c>
      <c r="AC66" s="239">
        <v>0</v>
      </c>
      <c r="AD66" s="239">
        <v>-27990</v>
      </c>
      <c r="AE66" s="239">
        <v>-64</v>
      </c>
      <c r="AF66" s="239">
        <v>0</v>
      </c>
      <c r="AG66" s="239">
        <v>-64</v>
      </c>
      <c r="AH66" s="239">
        <v>24161127</v>
      </c>
      <c r="AI66" s="239">
        <v>0</v>
      </c>
      <c r="AJ66" s="239">
        <v>24161127</v>
      </c>
      <c r="AK66" s="239">
        <v>-169506</v>
      </c>
      <c r="AL66" s="239">
        <v>0</v>
      </c>
      <c r="AM66" s="239">
        <v>-169506</v>
      </c>
      <c r="AN66" s="239">
        <v>-12036057</v>
      </c>
      <c r="AO66" s="239">
        <v>0</v>
      </c>
      <c r="AP66" s="239">
        <v>-12036057</v>
      </c>
      <c r="AQ66" s="239">
        <v>181202</v>
      </c>
      <c r="AR66" s="239">
        <v>0</v>
      </c>
      <c r="AS66" s="239">
        <v>181202</v>
      </c>
      <c r="AT66" s="239">
        <v>0</v>
      </c>
      <c r="AU66" s="239">
        <v>0</v>
      </c>
      <c r="AV66" s="239">
        <v>0</v>
      </c>
      <c r="AW66" s="239">
        <v>0</v>
      </c>
      <c r="AX66" s="239">
        <v>0</v>
      </c>
      <c r="AY66" s="239">
        <v>0</v>
      </c>
      <c r="AZ66" s="239">
        <v>0</v>
      </c>
      <c r="BA66" s="239">
        <v>0</v>
      </c>
      <c r="BB66" s="239">
        <v>0</v>
      </c>
      <c r="BC66" s="239">
        <v>0</v>
      </c>
      <c r="BD66" s="239">
        <v>0</v>
      </c>
      <c r="BE66" s="239">
        <v>0</v>
      </c>
      <c r="BF66" s="239">
        <v>11668386</v>
      </c>
      <c r="BG66" s="239">
        <v>0</v>
      </c>
      <c r="BH66" s="239">
        <v>11668386</v>
      </c>
      <c r="BI66" s="239">
        <v>-1741217</v>
      </c>
      <c r="BJ66" s="239">
        <v>0</v>
      </c>
      <c r="BK66" s="239">
        <v>-1741217</v>
      </c>
      <c r="BL66" s="239">
        <v>-3016714</v>
      </c>
      <c r="BM66" s="239">
        <v>0</v>
      </c>
      <c r="BN66" s="239">
        <v>-3016714</v>
      </c>
      <c r="BO66" s="239">
        <v>-37629111</v>
      </c>
      <c r="BP66" s="239">
        <v>0</v>
      </c>
      <c r="BQ66" s="239">
        <v>-37629111</v>
      </c>
      <c r="BR66" s="239">
        <v>-2699586</v>
      </c>
      <c r="BS66" s="239">
        <v>0</v>
      </c>
      <c r="BT66" s="239">
        <v>-2699586</v>
      </c>
      <c r="BU66" s="239">
        <v>-45086628</v>
      </c>
      <c r="BV66" s="239">
        <v>0</v>
      </c>
      <c r="BW66" s="239">
        <v>-45086628</v>
      </c>
      <c r="BX66" s="239">
        <v>-147191</v>
      </c>
      <c r="BY66" s="239">
        <v>0</v>
      </c>
      <c r="BZ66" s="239">
        <v>-147191</v>
      </c>
      <c r="CA66" s="239">
        <v>-4693</v>
      </c>
      <c r="CB66" s="239">
        <v>0</v>
      </c>
      <c r="CC66" s="239">
        <v>-4693</v>
      </c>
      <c r="CD66" s="239">
        <v>-204281</v>
      </c>
      <c r="CE66" s="239">
        <v>0</v>
      </c>
      <c r="CF66" s="239">
        <v>-204281</v>
      </c>
      <c r="CG66" s="239">
        <v>-29089</v>
      </c>
      <c r="CH66" s="239">
        <v>0</v>
      </c>
      <c r="CI66" s="239">
        <v>-29089</v>
      </c>
      <c r="CJ66" s="239">
        <v>0</v>
      </c>
      <c r="CK66" s="239">
        <v>0</v>
      </c>
      <c r="CL66" s="239">
        <v>0</v>
      </c>
      <c r="CM66" s="239">
        <v>0</v>
      </c>
      <c r="CN66" s="239">
        <v>0</v>
      </c>
      <c r="CO66" s="239">
        <v>0</v>
      </c>
      <c r="CP66" s="239">
        <v>0</v>
      </c>
      <c r="CQ66" s="239">
        <v>0</v>
      </c>
      <c r="CR66" s="239">
        <v>0</v>
      </c>
      <c r="CS66" s="239">
        <v>0</v>
      </c>
      <c r="CT66" s="239">
        <v>0</v>
      </c>
      <c r="CU66" s="239">
        <v>0</v>
      </c>
      <c r="CV66" s="239">
        <v>0</v>
      </c>
      <c r="CW66" s="239">
        <v>0</v>
      </c>
      <c r="CX66" s="239">
        <v>0</v>
      </c>
      <c r="CY66" s="239">
        <v>0</v>
      </c>
      <c r="CZ66" s="239">
        <v>0</v>
      </c>
      <c r="DA66" s="239">
        <v>0</v>
      </c>
      <c r="DB66" s="239">
        <v>0</v>
      </c>
      <c r="DC66" s="239">
        <v>0</v>
      </c>
      <c r="DD66" s="239">
        <v>0</v>
      </c>
      <c r="DE66" s="239">
        <v>0</v>
      </c>
      <c r="DF66" s="239">
        <v>0</v>
      </c>
      <c r="DG66" s="239">
        <v>0</v>
      </c>
      <c r="DH66" s="239">
        <v>0</v>
      </c>
      <c r="DI66" s="239">
        <v>0</v>
      </c>
      <c r="DJ66" s="239">
        <v>-385254</v>
      </c>
      <c r="DK66" s="239">
        <v>0</v>
      </c>
      <c r="DL66" s="239">
        <v>-385254</v>
      </c>
      <c r="DM66" s="239">
        <v>-161201</v>
      </c>
      <c r="DN66" s="239">
        <v>0</v>
      </c>
      <c r="DO66" s="239">
        <v>-161201</v>
      </c>
      <c r="DP66" s="239">
        <v>-21661</v>
      </c>
      <c r="DQ66" s="239">
        <v>0</v>
      </c>
      <c r="DR66" s="239">
        <v>-21661</v>
      </c>
      <c r="DS66" s="239">
        <v>-89460</v>
      </c>
      <c r="DT66" s="239">
        <v>0</v>
      </c>
      <c r="DU66" s="239">
        <v>-89460</v>
      </c>
      <c r="DV66" s="239">
        <v>-13251</v>
      </c>
      <c r="DW66" s="239">
        <v>0</v>
      </c>
      <c r="DX66" s="239">
        <v>-13251</v>
      </c>
      <c r="DY66" s="239">
        <v>-656349</v>
      </c>
      <c r="DZ66" s="239">
        <v>0</v>
      </c>
      <c r="EA66" s="239">
        <v>-656349</v>
      </c>
      <c r="EB66" s="239">
        <v>-78466</v>
      </c>
      <c r="EC66" s="239">
        <v>0</v>
      </c>
      <c r="ED66" s="239">
        <v>-78466</v>
      </c>
      <c r="EE66" s="239">
        <v>0</v>
      </c>
      <c r="EF66" s="239">
        <v>0</v>
      </c>
      <c r="EG66" s="239">
        <v>0</v>
      </c>
      <c r="EH66" s="239">
        <v>0</v>
      </c>
      <c r="EI66" s="239">
        <v>0</v>
      </c>
      <c r="EJ66" s="239">
        <v>0</v>
      </c>
      <c r="EK66" s="239">
        <v>-13222</v>
      </c>
      <c r="EL66" s="239">
        <v>0</v>
      </c>
      <c r="EM66" s="239">
        <v>-13222</v>
      </c>
      <c r="EN66" s="239">
        <v>-1033610</v>
      </c>
      <c r="EO66" s="239">
        <v>0</v>
      </c>
      <c r="EP66" s="239">
        <v>-1033610</v>
      </c>
      <c r="EQ66" s="239">
        <v>-10863</v>
      </c>
      <c r="ER66" s="239">
        <v>0</v>
      </c>
      <c r="ES66" s="239">
        <v>-10863</v>
      </c>
      <c r="ET66" s="239">
        <v>0</v>
      </c>
      <c r="EU66" s="239">
        <v>0</v>
      </c>
      <c r="EV66" s="239">
        <v>0</v>
      </c>
      <c r="EW66" s="239">
        <v>-10863</v>
      </c>
      <c r="EX66" s="239">
        <v>0</v>
      </c>
      <c r="EY66" s="239">
        <v>-10863</v>
      </c>
      <c r="EZ66" s="239">
        <v>904598886</v>
      </c>
      <c r="FA66" s="239">
        <v>0</v>
      </c>
      <c r="FB66" s="239">
        <v>904598886</v>
      </c>
      <c r="FC66" s="239">
        <v>1448255</v>
      </c>
      <c r="FD66" s="239">
        <v>0</v>
      </c>
      <c r="FE66" s="239">
        <v>1448255</v>
      </c>
      <c r="FF66" s="239">
        <v>11668386</v>
      </c>
      <c r="FG66" s="239">
        <v>0</v>
      </c>
      <c r="FH66" s="239">
        <v>11668386</v>
      </c>
      <c r="FI66" s="239">
        <v>-45086628</v>
      </c>
      <c r="FJ66" s="239">
        <v>0</v>
      </c>
      <c r="FK66" s="239">
        <v>-45086628</v>
      </c>
      <c r="FL66" s="239">
        <v>-385254</v>
      </c>
      <c r="FM66" s="239">
        <v>0</v>
      </c>
      <c r="FN66" s="239">
        <v>-385254</v>
      </c>
      <c r="FO66" s="239">
        <v>-1033610</v>
      </c>
      <c r="FP66" s="239">
        <v>0</v>
      </c>
      <c r="FQ66" s="239">
        <v>-1033610</v>
      </c>
      <c r="FR66" s="239">
        <v>-10863</v>
      </c>
      <c r="FS66" s="239">
        <v>0</v>
      </c>
      <c r="FT66" s="239">
        <v>-10863</v>
      </c>
      <c r="FU66" s="239">
        <v>-33399714</v>
      </c>
      <c r="FV66" s="239">
        <v>0</v>
      </c>
      <c r="FW66" s="239">
        <v>-33399714</v>
      </c>
      <c r="FX66" s="239">
        <v>871199172</v>
      </c>
      <c r="FY66" s="239">
        <v>0</v>
      </c>
      <c r="FZ66" s="239">
        <v>871199172</v>
      </c>
      <c r="GA66" s="214" t="s">
        <v>1297</v>
      </c>
    </row>
    <row r="67" spans="1:183" s="214" customFormat="1" x14ac:dyDescent="0.2">
      <c r="B67" s="610" t="s">
        <v>217</v>
      </c>
      <c r="C67" s="610" t="s">
        <v>216</v>
      </c>
      <c r="D67" s="239">
        <v>0</v>
      </c>
      <c r="E67" s="239">
        <v>0</v>
      </c>
      <c r="F67" s="239">
        <v>0</v>
      </c>
      <c r="G67" s="239">
        <v>123703</v>
      </c>
      <c r="H67" s="239">
        <v>0</v>
      </c>
      <c r="I67" s="239">
        <v>123703</v>
      </c>
      <c r="J67" s="239">
        <v>0</v>
      </c>
      <c r="K67" s="239">
        <v>0</v>
      </c>
      <c r="L67" s="239">
        <v>0</v>
      </c>
      <c r="M67" s="239">
        <v>105639</v>
      </c>
      <c r="N67" s="239">
        <v>0</v>
      </c>
      <c r="O67" s="239">
        <v>105639</v>
      </c>
      <c r="P67" s="239">
        <v>229342</v>
      </c>
      <c r="Q67" s="239">
        <v>0</v>
      </c>
      <c r="R67" s="239">
        <v>229342</v>
      </c>
      <c r="S67" s="239">
        <v>-3175840</v>
      </c>
      <c r="T67" s="239">
        <v>0</v>
      </c>
      <c r="U67" s="239">
        <v>-3175840</v>
      </c>
      <c r="V67" s="239">
        <v>0</v>
      </c>
      <c r="W67" s="239">
        <v>0</v>
      </c>
      <c r="X67" s="239">
        <v>0</v>
      </c>
      <c r="Y67" s="239">
        <v>-217121</v>
      </c>
      <c r="Z67" s="239">
        <v>0</v>
      </c>
      <c r="AA67" s="239">
        <v>-217121</v>
      </c>
      <c r="AB67" s="239">
        <v>-132454</v>
      </c>
      <c r="AC67" s="239">
        <v>0</v>
      </c>
      <c r="AD67" s="239">
        <v>-132454</v>
      </c>
      <c r="AE67" s="239">
        <v>0</v>
      </c>
      <c r="AF67" s="239">
        <v>0</v>
      </c>
      <c r="AG67" s="239">
        <v>0</v>
      </c>
      <c r="AH67" s="239">
        <v>1744588</v>
      </c>
      <c r="AI67" s="239">
        <v>0</v>
      </c>
      <c r="AJ67" s="239">
        <v>1744588</v>
      </c>
      <c r="AK67" s="239">
        <v>-26771</v>
      </c>
      <c r="AL67" s="239">
        <v>0</v>
      </c>
      <c r="AM67" s="239">
        <v>-26771</v>
      </c>
      <c r="AN67" s="239">
        <v>-4824464</v>
      </c>
      <c r="AO67" s="239">
        <v>0</v>
      </c>
      <c r="AP67" s="239">
        <v>-4824464</v>
      </c>
      <c r="AQ67" s="239">
        <v>-196039</v>
      </c>
      <c r="AR67" s="239">
        <v>0</v>
      </c>
      <c r="AS67" s="239">
        <v>-196039</v>
      </c>
      <c r="AT67" s="239">
        <v>-57602</v>
      </c>
      <c r="AU67" s="239">
        <v>0</v>
      </c>
      <c r="AV67" s="239">
        <v>-57602</v>
      </c>
      <c r="AW67" s="239">
        <v>-14</v>
      </c>
      <c r="AX67" s="239">
        <v>0</v>
      </c>
      <c r="AY67" s="239">
        <v>-14</v>
      </c>
      <c r="AZ67" s="239">
        <v>-13521</v>
      </c>
      <c r="BA67" s="239">
        <v>0</v>
      </c>
      <c r="BB67" s="239">
        <v>-13521</v>
      </c>
      <c r="BC67" s="239">
        <v>0</v>
      </c>
      <c r="BD67" s="239">
        <v>0</v>
      </c>
      <c r="BE67" s="239">
        <v>0</v>
      </c>
      <c r="BF67" s="239">
        <v>-6766784</v>
      </c>
      <c r="BG67" s="239">
        <v>0</v>
      </c>
      <c r="BH67" s="239">
        <v>-6766784</v>
      </c>
      <c r="BI67" s="239">
        <v>-77875</v>
      </c>
      <c r="BJ67" s="239">
        <v>0</v>
      </c>
      <c r="BK67" s="239">
        <v>-77875</v>
      </c>
      <c r="BL67" s="239">
        <v>-31490</v>
      </c>
      <c r="BM67" s="239">
        <v>0</v>
      </c>
      <c r="BN67" s="239">
        <v>-31490</v>
      </c>
      <c r="BO67" s="239">
        <v>-2216576</v>
      </c>
      <c r="BP67" s="239">
        <v>0</v>
      </c>
      <c r="BQ67" s="239">
        <v>-2216576</v>
      </c>
      <c r="BR67" s="239">
        <v>104772</v>
      </c>
      <c r="BS67" s="239">
        <v>0</v>
      </c>
      <c r="BT67" s="239">
        <v>104772</v>
      </c>
      <c r="BU67" s="239">
        <v>-2221169</v>
      </c>
      <c r="BV67" s="239">
        <v>0</v>
      </c>
      <c r="BW67" s="239">
        <v>-2221169</v>
      </c>
      <c r="BX67" s="239">
        <v>-173218</v>
      </c>
      <c r="BY67" s="239">
        <v>0</v>
      </c>
      <c r="BZ67" s="239">
        <v>-173218</v>
      </c>
      <c r="CA67" s="239">
        <v>207</v>
      </c>
      <c r="CB67" s="239">
        <v>0</v>
      </c>
      <c r="CC67" s="239">
        <v>207</v>
      </c>
      <c r="CD67" s="239">
        <v>0</v>
      </c>
      <c r="CE67" s="239">
        <v>0</v>
      </c>
      <c r="CF67" s="239">
        <v>0</v>
      </c>
      <c r="CG67" s="239">
        <v>0</v>
      </c>
      <c r="CH67" s="239">
        <v>0</v>
      </c>
      <c r="CI67" s="239">
        <v>0</v>
      </c>
      <c r="CJ67" s="239">
        <v>-13898</v>
      </c>
      <c r="CK67" s="239">
        <v>0</v>
      </c>
      <c r="CL67" s="239">
        <v>-13898</v>
      </c>
      <c r="CM67" s="239">
        <v>-2</v>
      </c>
      <c r="CN67" s="239">
        <v>0</v>
      </c>
      <c r="CO67" s="239">
        <v>-2</v>
      </c>
      <c r="CP67" s="239">
        <v>0</v>
      </c>
      <c r="CQ67" s="239">
        <v>0</v>
      </c>
      <c r="CR67" s="239">
        <v>0</v>
      </c>
      <c r="CS67" s="239">
        <v>0</v>
      </c>
      <c r="CT67" s="239">
        <v>0</v>
      </c>
      <c r="CU67" s="239">
        <v>0</v>
      </c>
      <c r="CV67" s="239">
        <v>0</v>
      </c>
      <c r="CW67" s="239">
        <v>0</v>
      </c>
      <c r="CX67" s="239">
        <v>0</v>
      </c>
      <c r="CY67" s="239">
        <v>0</v>
      </c>
      <c r="CZ67" s="239">
        <v>0</v>
      </c>
      <c r="DA67" s="239">
        <v>0</v>
      </c>
      <c r="DB67" s="239">
        <v>0</v>
      </c>
      <c r="DC67" s="239">
        <v>0</v>
      </c>
      <c r="DD67" s="239">
        <v>0</v>
      </c>
      <c r="DE67" s="239">
        <v>0</v>
      </c>
      <c r="DF67" s="239">
        <v>0</v>
      </c>
      <c r="DG67" s="239">
        <v>0</v>
      </c>
      <c r="DH67" s="239">
        <v>0</v>
      </c>
      <c r="DI67" s="239">
        <v>0</v>
      </c>
      <c r="DJ67" s="239">
        <v>-186911</v>
      </c>
      <c r="DK67" s="239">
        <v>0</v>
      </c>
      <c r="DL67" s="239">
        <v>-186911</v>
      </c>
      <c r="DM67" s="239">
        <v>-60593</v>
      </c>
      <c r="DN67" s="239">
        <v>0</v>
      </c>
      <c r="DO67" s="239">
        <v>-60593</v>
      </c>
      <c r="DP67" s="239">
        <v>-37256</v>
      </c>
      <c r="DQ67" s="239">
        <v>0</v>
      </c>
      <c r="DR67" s="239">
        <v>-37256</v>
      </c>
      <c r="DS67" s="239">
        <v>-32457</v>
      </c>
      <c r="DT67" s="239">
        <v>0</v>
      </c>
      <c r="DU67" s="239">
        <v>-32457</v>
      </c>
      <c r="DV67" s="239">
        <v>-7008</v>
      </c>
      <c r="DW67" s="239">
        <v>0</v>
      </c>
      <c r="DX67" s="239">
        <v>-7008</v>
      </c>
      <c r="DY67" s="239">
        <v>-1084695</v>
      </c>
      <c r="DZ67" s="239">
        <v>0</v>
      </c>
      <c r="EA67" s="239">
        <v>-1084695</v>
      </c>
      <c r="EB67" s="239">
        <v>-7565</v>
      </c>
      <c r="EC67" s="239">
        <v>0</v>
      </c>
      <c r="ED67" s="239">
        <v>-7565</v>
      </c>
      <c r="EE67" s="239">
        <v>0</v>
      </c>
      <c r="EF67" s="239">
        <v>0</v>
      </c>
      <c r="EG67" s="239">
        <v>0</v>
      </c>
      <c r="EH67" s="239">
        <v>0</v>
      </c>
      <c r="EI67" s="239">
        <v>0</v>
      </c>
      <c r="EJ67" s="239">
        <v>0</v>
      </c>
      <c r="EK67" s="239">
        <v>-14291</v>
      </c>
      <c r="EL67" s="239">
        <v>0</v>
      </c>
      <c r="EM67" s="239">
        <v>-14291</v>
      </c>
      <c r="EN67" s="239">
        <v>-1243865</v>
      </c>
      <c r="EO67" s="239">
        <v>0</v>
      </c>
      <c r="EP67" s="239">
        <v>-1243865</v>
      </c>
      <c r="EQ67" s="239">
        <v>-13065</v>
      </c>
      <c r="ER67" s="239">
        <v>0</v>
      </c>
      <c r="ES67" s="239">
        <v>-13065</v>
      </c>
      <c r="ET67" s="239">
        <v>-1610</v>
      </c>
      <c r="EU67" s="239">
        <v>0</v>
      </c>
      <c r="EV67" s="239">
        <v>-1610</v>
      </c>
      <c r="EW67" s="239">
        <v>-14675</v>
      </c>
      <c r="EX67" s="239">
        <v>0</v>
      </c>
      <c r="EY67" s="239">
        <v>-14675</v>
      </c>
      <c r="EZ67" s="239">
        <v>72829208</v>
      </c>
      <c r="FA67" s="239">
        <v>0</v>
      </c>
      <c r="FB67" s="239">
        <v>72829208</v>
      </c>
      <c r="FC67" s="239">
        <v>229342</v>
      </c>
      <c r="FD67" s="239">
        <v>0</v>
      </c>
      <c r="FE67" s="239">
        <v>229342</v>
      </c>
      <c r="FF67" s="239">
        <v>-6766784</v>
      </c>
      <c r="FG67" s="239">
        <v>0</v>
      </c>
      <c r="FH67" s="239">
        <v>-6766784</v>
      </c>
      <c r="FI67" s="239">
        <v>-2221169</v>
      </c>
      <c r="FJ67" s="239">
        <v>0</v>
      </c>
      <c r="FK67" s="239">
        <v>-2221169</v>
      </c>
      <c r="FL67" s="239">
        <v>-186911</v>
      </c>
      <c r="FM67" s="239">
        <v>0</v>
      </c>
      <c r="FN67" s="239">
        <v>-186911</v>
      </c>
      <c r="FO67" s="239">
        <v>-1243865</v>
      </c>
      <c r="FP67" s="239">
        <v>0</v>
      </c>
      <c r="FQ67" s="239">
        <v>-1243865</v>
      </c>
      <c r="FR67" s="239">
        <v>-14675</v>
      </c>
      <c r="FS67" s="239">
        <v>0</v>
      </c>
      <c r="FT67" s="239">
        <v>-14675</v>
      </c>
      <c r="FU67" s="239">
        <v>-10204062</v>
      </c>
      <c r="FV67" s="239">
        <v>0</v>
      </c>
      <c r="FW67" s="239">
        <v>-10204062</v>
      </c>
      <c r="FX67" s="239">
        <v>62625146</v>
      </c>
      <c r="FY67" s="239">
        <v>0</v>
      </c>
      <c r="FZ67" s="239">
        <v>62625146</v>
      </c>
      <c r="GA67" s="214" t="s">
        <v>1294</v>
      </c>
    </row>
    <row r="68" spans="1:183" s="214" customFormat="1" x14ac:dyDescent="0.2">
      <c r="B68" s="610" t="s">
        <v>219</v>
      </c>
      <c r="C68" s="610" t="s">
        <v>218</v>
      </c>
      <c r="D68" s="239">
        <v>0</v>
      </c>
      <c r="E68" s="239">
        <v>0</v>
      </c>
      <c r="F68" s="239">
        <v>0</v>
      </c>
      <c r="G68" s="239">
        <v>127781</v>
      </c>
      <c r="H68" s="239">
        <v>0</v>
      </c>
      <c r="I68" s="239">
        <v>127781</v>
      </c>
      <c r="J68" s="239">
        <v>0</v>
      </c>
      <c r="K68" s="239">
        <v>0</v>
      </c>
      <c r="L68" s="239">
        <v>0</v>
      </c>
      <c r="M68" s="239">
        <v>960644</v>
      </c>
      <c r="N68" s="239">
        <v>0</v>
      </c>
      <c r="O68" s="239">
        <v>960644</v>
      </c>
      <c r="P68" s="239">
        <v>1088425</v>
      </c>
      <c r="Q68" s="239">
        <v>0</v>
      </c>
      <c r="R68" s="239">
        <v>1088425</v>
      </c>
      <c r="S68" s="239">
        <v>-1419374</v>
      </c>
      <c r="T68" s="239">
        <v>0</v>
      </c>
      <c r="U68" s="239">
        <v>-1419374</v>
      </c>
      <c r="V68" s="239">
        <v>-423</v>
      </c>
      <c r="W68" s="239">
        <v>0</v>
      </c>
      <c r="X68" s="239">
        <v>-423</v>
      </c>
      <c r="Y68" s="239">
        <v>-91608</v>
      </c>
      <c r="Z68" s="239">
        <v>0</v>
      </c>
      <c r="AA68" s="239">
        <v>-91608</v>
      </c>
      <c r="AB68" s="239">
        <v>-37243</v>
      </c>
      <c r="AC68" s="239">
        <v>0</v>
      </c>
      <c r="AD68" s="239">
        <v>-37243</v>
      </c>
      <c r="AE68" s="239">
        <v>-447</v>
      </c>
      <c r="AF68" s="239">
        <v>0</v>
      </c>
      <c r="AG68" s="239">
        <v>-447</v>
      </c>
      <c r="AH68" s="239">
        <v>1019944</v>
      </c>
      <c r="AI68" s="239">
        <v>0</v>
      </c>
      <c r="AJ68" s="239">
        <v>1019944</v>
      </c>
      <c r="AK68" s="239">
        <v>-503680</v>
      </c>
      <c r="AL68" s="239">
        <v>0</v>
      </c>
      <c r="AM68" s="239">
        <v>-503680</v>
      </c>
      <c r="AN68" s="239">
        <v>-1302253</v>
      </c>
      <c r="AO68" s="239">
        <v>0</v>
      </c>
      <c r="AP68" s="239">
        <v>-1302253</v>
      </c>
      <c r="AQ68" s="239">
        <v>64779</v>
      </c>
      <c r="AR68" s="239">
        <v>0</v>
      </c>
      <c r="AS68" s="239">
        <v>64779</v>
      </c>
      <c r="AT68" s="239">
        <v>-64761</v>
      </c>
      <c r="AU68" s="239">
        <v>0</v>
      </c>
      <c r="AV68" s="239">
        <v>-64761</v>
      </c>
      <c r="AW68" s="239">
        <v>0</v>
      </c>
      <c r="AX68" s="239">
        <v>0</v>
      </c>
      <c r="AY68" s="239">
        <v>0</v>
      </c>
      <c r="AZ68" s="239">
        <v>-22213</v>
      </c>
      <c r="BA68" s="239">
        <v>0</v>
      </c>
      <c r="BB68" s="239">
        <v>-22213</v>
      </c>
      <c r="BC68" s="239">
        <v>0</v>
      </c>
      <c r="BD68" s="239">
        <v>0</v>
      </c>
      <c r="BE68" s="239">
        <v>0</v>
      </c>
      <c r="BF68" s="239">
        <v>-2319166</v>
      </c>
      <c r="BG68" s="239">
        <v>0</v>
      </c>
      <c r="BH68" s="239">
        <v>-2319166</v>
      </c>
      <c r="BI68" s="239">
        <v>0</v>
      </c>
      <c r="BJ68" s="239">
        <v>0</v>
      </c>
      <c r="BK68" s="239">
        <v>0</v>
      </c>
      <c r="BL68" s="239">
        <v>0</v>
      </c>
      <c r="BM68" s="239">
        <v>0</v>
      </c>
      <c r="BN68" s="239">
        <v>0</v>
      </c>
      <c r="BO68" s="239">
        <v>-305958</v>
      </c>
      <c r="BP68" s="239">
        <v>0</v>
      </c>
      <c r="BQ68" s="239">
        <v>-305958</v>
      </c>
      <c r="BR68" s="239">
        <v>-33076</v>
      </c>
      <c r="BS68" s="239">
        <v>0</v>
      </c>
      <c r="BT68" s="239">
        <v>-33076</v>
      </c>
      <c r="BU68" s="239">
        <v>-339034</v>
      </c>
      <c r="BV68" s="239">
        <v>0</v>
      </c>
      <c r="BW68" s="239">
        <v>-339034</v>
      </c>
      <c r="BX68" s="239">
        <v>0</v>
      </c>
      <c r="BY68" s="239">
        <v>0</v>
      </c>
      <c r="BZ68" s="239">
        <v>0</v>
      </c>
      <c r="CA68" s="239">
        <v>0</v>
      </c>
      <c r="CB68" s="239">
        <v>0</v>
      </c>
      <c r="CC68" s="239">
        <v>0</v>
      </c>
      <c r="CD68" s="239">
        <v>0</v>
      </c>
      <c r="CE68" s="239">
        <v>0</v>
      </c>
      <c r="CF68" s="239">
        <v>0</v>
      </c>
      <c r="CG68" s="239">
        <v>0</v>
      </c>
      <c r="CH68" s="239">
        <v>0</v>
      </c>
      <c r="CI68" s="239">
        <v>0</v>
      </c>
      <c r="CJ68" s="239">
        <v>0</v>
      </c>
      <c r="CK68" s="239">
        <v>0</v>
      </c>
      <c r="CL68" s="239">
        <v>0</v>
      </c>
      <c r="CM68" s="239">
        <v>0</v>
      </c>
      <c r="CN68" s="239">
        <v>0</v>
      </c>
      <c r="CO68" s="239">
        <v>0</v>
      </c>
      <c r="CP68" s="239">
        <v>0</v>
      </c>
      <c r="CQ68" s="239">
        <v>0</v>
      </c>
      <c r="CR68" s="239">
        <v>0</v>
      </c>
      <c r="CS68" s="239">
        <v>0</v>
      </c>
      <c r="CT68" s="239">
        <v>0</v>
      </c>
      <c r="CU68" s="239">
        <v>0</v>
      </c>
      <c r="CV68" s="239">
        <v>0</v>
      </c>
      <c r="CW68" s="239">
        <v>0</v>
      </c>
      <c r="CX68" s="239">
        <v>0</v>
      </c>
      <c r="CY68" s="239">
        <v>0</v>
      </c>
      <c r="CZ68" s="239">
        <v>0</v>
      </c>
      <c r="DA68" s="239">
        <v>0</v>
      </c>
      <c r="DB68" s="239">
        <v>0</v>
      </c>
      <c r="DC68" s="239">
        <v>0</v>
      </c>
      <c r="DD68" s="239">
        <v>0</v>
      </c>
      <c r="DE68" s="239">
        <v>0</v>
      </c>
      <c r="DF68" s="239">
        <v>0</v>
      </c>
      <c r="DG68" s="239">
        <v>0</v>
      </c>
      <c r="DH68" s="239">
        <v>0</v>
      </c>
      <c r="DI68" s="239">
        <v>0</v>
      </c>
      <c r="DJ68" s="239">
        <v>0</v>
      </c>
      <c r="DK68" s="239">
        <v>0</v>
      </c>
      <c r="DL68" s="239">
        <v>0</v>
      </c>
      <c r="DM68" s="239">
        <v>0</v>
      </c>
      <c r="DN68" s="239">
        <v>0</v>
      </c>
      <c r="DO68" s="239">
        <v>0</v>
      </c>
      <c r="DP68" s="239">
        <v>0</v>
      </c>
      <c r="DQ68" s="239">
        <v>0</v>
      </c>
      <c r="DR68" s="239">
        <v>0</v>
      </c>
      <c r="DS68" s="239">
        <v>-2388</v>
      </c>
      <c r="DT68" s="239">
        <v>0</v>
      </c>
      <c r="DU68" s="239">
        <v>-2388</v>
      </c>
      <c r="DV68" s="239">
        <v>0</v>
      </c>
      <c r="DW68" s="239">
        <v>0</v>
      </c>
      <c r="DX68" s="239">
        <v>0</v>
      </c>
      <c r="DY68" s="239">
        <v>-332866</v>
      </c>
      <c r="DZ68" s="239">
        <v>0</v>
      </c>
      <c r="EA68" s="239">
        <v>-332866</v>
      </c>
      <c r="EB68" s="239">
        <v>-3164</v>
      </c>
      <c r="EC68" s="239">
        <v>0</v>
      </c>
      <c r="ED68" s="239">
        <v>-3164</v>
      </c>
      <c r="EE68" s="239">
        <v>0</v>
      </c>
      <c r="EF68" s="239">
        <v>0</v>
      </c>
      <c r="EG68" s="239">
        <v>0</v>
      </c>
      <c r="EH68" s="239">
        <v>0</v>
      </c>
      <c r="EI68" s="239">
        <v>0</v>
      </c>
      <c r="EJ68" s="239">
        <v>0</v>
      </c>
      <c r="EK68" s="239">
        <v>-16020</v>
      </c>
      <c r="EL68" s="239">
        <v>0</v>
      </c>
      <c r="EM68" s="239">
        <v>-16020</v>
      </c>
      <c r="EN68" s="239">
        <v>-354438</v>
      </c>
      <c r="EO68" s="239">
        <v>0</v>
      </c>
      <c r="EP68" s="239">
        <v>-354438</v>
      </c>
      <c r="EQ68" s="239">
        <v>0</v>
      </c>
      <c r="ER68" s="239">
        <v>0</v>
      </c>
      <c r="ES68" s="239">
        <v>0</v>
      </c>
      <c r="ET68" s="239">
        <v>0</v>
      </c>
      <c r="EU68" s="239">
        <v>0</v>
      </c>
      <c r="EV68" s="239">
        <v>0</v>
      </c>
      <c r="EW68" s="239">
        <v>0</v>
      </c>
      <c r="EX68" s="239">
        <v>0</v>
      </c>
      <c r="EY68" s="239">
        <v>0</v>
      </c>
      <c r="EZ68" s="239">
        <v>15073353</v>
      </c>
      <c r="FA68" s="239">
        <v>0</v>
      </c>
      <c r="FB68" s="239">
        <v>15073353</v>
      </c>
      <c r="FC68" s="239">
        <v>1088425</v>
      </c>
      <c r="FD68" s="239">
        <v>0</v>
      </c>
      <c r="FE68" s="239">
        <v>1088425</v>
      </c>
      <c r="FF68" s="239">
        <v>-2319166</v>
      </c>
      <c r="FG68" s="239">
        <v>0</v>
      </c>
      <c r="FH68" s="239">
        <v>-2319166</v>
      </c>
      <c r="FI68" s="239">
        <v>-339034</v>
      </c>
      <c r="FJ68" s="239">
        <v>0</v>
      </c>
      <c r="FK68" s="239">
        <v>-339034</v>
      </c>
      <c r="FL68" s="239">
        <v>0</v>
      </c>
      <c r="FM68" s="239">
        <v>0</v>
      </c>
      <c r="FN68" s="239">
        <v>0</v>
      </c>
      <c r="FO68" s="239">
        <v>-354438</v>
      </c>
      <c r="FP68" s="239">
        <v>0</v>
      </c>
      <c r="FQ68" s="239">
        <v>-354438</v>
      </c>
      <c r="FR68" s="239">
        <v>0</v>
      </c>
      <c r="FS68" s="239">
        <v>0</v>
      </c>
      <c r="FT68" s="239">
        <v>0</v>
      </c>
      <c r="FU68" s="239">
        <v>-1924213</v>
      </c>
      <c r="FV68" s="239">
        <v>0</v>
      </c>
      <c r="FW68" s="239">
        <v>-1924213</v>
      </c>
      <c r="FX68" s="239">
        <v>13149140</v>
      </c>
      <c r="FY68" s="239">
        <v>0</v>
      </c>
      <c r="FZ68" s="239">
        <v>13149140</v>
      </c>
      <c r="GA68" s="214" t="s">
        <v>1294</v>
      </c>
    </row>
    <row r="69" spans="1:183" s="214" customFormat="1" x14ac:dyDescent="0.2">
      <c r="B69" s="610" t="s">
        <v>221</v>
      </c>
      <c r="C69" s="610" t="s">
        <v>220</v>
      </c>
      <c r="D69" s="239">
        <v>0</v>
      </c>
      <c r="E69" s="239">
        <v>0</v>
      </c>
      <c r="F69" s="239">
        <v>0</v>
      </c>
      <c r="G69" s="239">
        <v>-30845</v>
      </c>
      <c r="H69" s="239">
        <v>0</v>
      </c>
      <c r="I69" s="239">
        <v>-30845</v>
      </c>
      <c r="J69" s="239">
        <v>0</v>
      </c>
      <c r="K69" s="239">
        <v>0</v>
      </c>
      <c r="L69" s="239">
        <v>0</v>
      </c>
      <c r="M69" s="239">
        <v>-5087</v>
      </c>
      <c r="N69" s="239">
        <v>0</v>
      </c>
      <c r="O69" s="239">
        <v>-5087</v>
      </c>
      <c r="P69" s="239">
        <v>-35932</v>
      </c>
      <c r="Q69" s="239">
        <v>0</v>
      </c>
      <c r="R69" s="239">
        <v>-35932</v>
      </c>
      <c r="S69" s="239">
        <v>-1166163</v>
      </c>
      <c r="T69" s="239">
        <v>0</v>
      </c>
      <c r="U69" s="239">
        <v>-1166163</v>
      </c>
      <c r="V69" s="239">
        <v>0</v>
      </c>
      <c r="W69" s="239">
        <v>0</v>
      </c>
      <c r="X69" s="239">
        <v>0</v>
      </c>
      <c r="Y69" s="239">
        <v>-44896</v>
      </c>
      <c r="Z69" s="239">
        <v>0</v>
      </c>
      <c r="AA69" s="239">
        <v>-44896</v>
      </c>
      <c r="AB69" s="239">
        <v>0</v>
      </c>
      <c r="AC69" s="239">
        <v>0</v>
      </c>
      <c r="AD69" s="239">
        <v>0</v>
      </c>
      <c r="AE69" s="239">
        <v>0</v>
      </c>
      <c r="AF69" s="239">
        <v>0</v>
      </c>
      <c r="AG69" s="239">
        <v>0</v>
      </c>
      <c r="AH69" s="239">
        <v>975858</v>
      </c>
      <c r="AI69" s="239">
        <v>0</v>
      </c>
      <c r="AJ69" s="239">
        <v>975858</v>
      </c>
      <c r="AK69" s="239">
        <v>2128</v>
      </c>
      <c r="AL69" s="239">
        <v>0</v>
      </c>
      <c r="AM69" s="239">
        <v>2128</v>
      </c>
      <c r="AN69" s="239">
        <v>-1831248</v>
      </c>
      <c r="AO69" s="239">
        <v>0</v>
      </c>
      <c r="AP69" s="239">
        <v>-1831248</v>
      </c>
      <c r="AQ69" s="239">
        <v>1257</v>
      </c>
      <c r="AR69" s="239">
        <v>0</v>
      </c>
      <c r="AS69" s="239">
        <v>1257</v>
      </c>
      <c r="AT69" s="239">
        <v>0</v>
      </c>
      <c r="AU69" s="239">
        <v>0</v>
      </c>
      <c r="AV69" s="239">
        <v>0</v>
      </c>
      <c r="AW69" s="239">
        <v>0</v>
      </c>
      <c r="AX69" s="239">
        <v>0</v>
      </c>
      <c r="AY69" s="239">
        <v>0</v>
      </c>
      <c r="AZ69" s="239">
        <v>0</v>
      </c>
      <c r="BA69" s="239">
        <v>0</v>
      </c>
      <c r="BB69" s="239">
        <v>0</v>
      </c>
      <c r="BC69" s="239">
        <v>0</v>
      </c>
      <c r="BD69" s="239">
        <v>0</v>
      </c>
      <c r="BE69" s="239">
        <v>0</v>
      </c>
      <c r="BF69" s="239">
        <v>-2063064</v>
      </c>
      <c r="BG69" s="239">
        <v>0</v>
      </c>
      <c r="BH69" s="239">
        <v>-2063064</v>
      </c>
      <c r="BI69" s="239">
        <v>-434693</v>
      </c>
      <c r="BJ69" s="239">
        <v>0</v>
      </c>
      <c r="BK69" s="239">
        <v>-434693</v>
      </c>
      <c r="BL69" s="239">
        <v>433</v>
      </c>
      <c r="BM69" s="239">
        <v>0</v>
      </c>
      <c r="BN69" s="239">
        <v>433</v>
      </c>
      <c r="BO69" s="239">
        <v>-1129994</v>
      </c>
      <c r="BP69" s="239">
        <v>0</v>
      </c>
      <c r="BQ69" s="239">
        <v>-1129994</v>
      </c>
      <c r="BR69" s="239">
        <v>46342</v>
      </c>
      <c r="BS69" s="239">
        <v>0</v>
      </c>
      <c r="BT69" s="239">
        <v>46342</v>
      </c>
      <c r="BU69" s="239">
        <v>-1517912</v>
      </c>
      <c r="BV69" s="239">
        <v>0</v>
      </c>
      <c r="BW69" s="239">
        <v>-1517912</v>
      </c>
      <c r="BX69" s="239">
        <v>-33020</v>
      </c>
      <c r="BY69" s="239">
        <v>0</v>
      </c>
      <c r="BZ69" s="239">
        <v>-33020</v>
      </c>
      <c r="CA69" s="239">
        <v>0</v>
      </c>
      <c r="CB69" s="239">
        <v>0</v>
      </c>
      <c r="CC69" s="239">
        <v>0</v>
      </c>
      <c r="CD69" s="239">
        <v>-58135</v>
      </c>
      <c r="CE69" s="239">
        <v>0</v>
      </c>
      <c r="CF69" s="239">
        <v>-58135</v>
      </c>
      <c r="CG69" s="239">
        <v>-241</v>
      </c>
      <c r="CH69" s="239">
        <v>0</v>
      </c>
      <c r="CI69" s="239">
        <v>-241</v>
      </c>
      <c r="CJ69" s="239">
        <v>0</v>
      </c>
      <c r="CK69" s="239">
        <v>0</v>
      </c>
      <c r="CL69" s="239">
        <v>0</v>
      </c>
      <c r="CM69" s="239">
        <v>0</v>
      </c>
      <c r="CN69" s="239">
        <v>0</v>
      </c>
      <c r="CO69" s="239">
        <v>0</v>
      </c>
      <c r="CP69" s="239">
        <v>-542</v>
      </c>
      <c r="CQ69" s="239">
        <v>0</v>
      </c>
      <c r="CR69" s="239">
        <v>-542</v>
      </c>
      <c r="CS69" s="239">
        <v>0</v>
      </c>
      <c r="CT69" s="239">
        <v>0</v>
      </c>
      <c r="CU69" s="239">
        <v>0</v>
      </c>
      <c r="CV69" s="239">
        <v>0</v>
      </c>
      <c r="CW69" s="239">
        <v>0</v>
      </c>
      <c r="CX69" s="239">
        <v>0</v>
      </c>
      <c r="CY69" s="239">
        <v>0</v>
      </c>
      <c r="CZ69" s="239">
        <v>0</v>
      </c>
      <c r="DA69" s="239">
        <v>0</v>
      </c>
      <c r="DB69" s="239">
        <v>0</v>
      </c>
      <c r="DC69" s="239">
        <v>0</v>
      </c>
      <c r="DD69" s="239">
        <v>0</v>
      </c>
      <c r="DE69" s="239">
        <v>0</v>
      </c>
      <c r="DF69" s="239">
        <v>0</v>
      </c>
      <c r="DG69" s="239">
        <v>0</v>
      </c>
      <c r="DH69" s="239">
        <v>0</v>
      </c>
      <c r="DI69" s="239">
        <v>0</v>
      </c>
      <c r="DJ69" s="239">
        <v>-91938</v>
      </c>
      <c r="DK69" s="239">
        <v>0</v>
      </c>
      <c r="DL69" s="239">
        <v>-91938</v>
      </c>
      <c r="DM69" s="239">
        <v>0</v>
      </c>
      <c r="DN69" s="239">
        <v>0</v>
      </c>
      <c r="DO69" s="239">
        <v>0</v>
      </c>
      <c r="DP69" s="239">
        <v>0</v>
      </c>
      <c r="DQ69" s="239">
        <v>0</v>
      </c>
      <c r="DR69" s="239">
        <v>0</v>
      </c>
      <c r="DS69" s="239">
        <v>0</v>
      </c>
      <c r="DT69" s="239">
        <v>0</v>
      </c>
      <c r="DU69" s="239">
        <v>0</v>
      </c>
      <c r="DV69" s="239">
        <v>0</v>
      </c>
      <c r="DW69" s="239">
        <v>0</v>
      </c>
      <c r="DX69" s="239">
        <v>0</v>
      </c>
      <c r="DY69" s="239">
        <v>-34587</v>
      </c>
      <c r="DZ69" s="239">
        <v>0</v>
      </c>
      <c r="EA69" s="239">
        <v>-34587</v>
      </c>
      <c r="EB69" s="239">
        <v>0</v>
      </c>
      <c r="EC69" s="239">
        <v>0</v>
      </c>
      <c r="ED69" s="239">
        <v>0</v>
      </c>
      <c r="EE69" s="239">
        <v>0</v>
      </c>
      <c r="EF69" s="239">
        <v>0</v>
      </c>
      <c r="EG69" s="239">
        <v>0</v>
      </c>
      <c r="EH69" s="239">
        <v>0</v>
      </c>
      <c r="EI69" s="239">
        <v>0</v>
      </c>
      <c r="EJ69" s="239">
        <v>0</v>
      </c>
      <c r="EK69" s="239">
        <v>0</v>
      </c>
      <c r="EL69" s="239">
        <v>0</v>
      </c>
      <c r="EM69" s="239">
        <v>0</v>
      </c>
      <c r="EN69" s="239">
        <v>-34587</v>
      </c>
      <c r="EO69" s="239">
        <v>0</v>
      </c>
      <c r="EP69" s="239">
        <v>-34587</v>
      </c>
      <c r="EQ69" s="239">
        <v>0</v>
      </c>
      <c r="ER69" s="239">
        <v>0</v>
      </c>
      <c r="ES69" s="239">
        <v>0</v>
      </c>
      <c r="ET69" s="239">
        <v>0</v>
      </c>
      <c r="EU69" s="239">
        <v>0</v>
      </c>
      <c r="EV69" s="239">
        <v>0</v>
      </c>
      <c r="EW69" s="239">
        <v>0</v>
      </c>
      <c r="EX69" s="239">
        <v>0</v>
      </c>
      <c r="EY69" s="239">
        <v>0</v>
      </c>
      <c r="EZ69" s="239">
        <v>38559939</v>
      </c>
      <c r="FA69" s="239">
        <v>0</v>
      </c>
      <c r="FB69" s="239">
        <v>38559939</v>
      </c>
      <c r="FC69" s="239">
        <v>-35932</v>
      </c>
      <c r="FD69" s="239">
        <v>0</v>
      </c>
      <c r="FE69" s="239">
        <v>-35932</v>
      </c>
      <c r="FF69" s="239">
        <v>-2063064</v>
      </c>
      <c r="FG69" s="239">
        <v>0</v>
      </c>
      <c r="FH69" s="239">
        <v>-2063064</v>
      </c>
      <c r="FI69" s="239">
        <v>-1517912</v>
      </c>
      <c r="FJ69" s="239">
        <v>0</v>
      </c>
      <c r="FK69" s="239">
        <v>-1517912</v>
      </c>
      <c r="FL69" s="239">
        <v>-91938</v>
      </c>
      <c r="FM69" s="239">
        <v>0</v>
      </c>
      <c r="FN69" s="239">
        <v>-91938</v>
      </c>
      <c r="FO69" s="239">
        <v>-34587</v>
      </c>
      <c r="FP69" s="239">
        <v>0</v>
      </c>
      <c r="FQ69" s="239">
        <v>-34587</v>
      </c>
      <c r="FR69" s="239">
        <v>0</v>
      </c>
      <c r="FS69" s="239">
        <v>0</v>
      </c>
      <c r="FT69" s="239">
        <v>0</v>
      </c>
      <c r="FU69" s="239">
        <v>-3743433</v>
      </c>
      <c r="FV69" s="239">
        <v>0</v>
      </c>
      <c r="FW69" s="239">
        <v>-3743433</v>
      </c>
      <c r="FX69" s="239">
        <v>34816506</v>
      </c>
      <c r="FY69" s="239">
        <v>0</v>
      </c>
      <c r="FZ69" s="239">
        <v>34816506</v>
      </c>
      <c r="GA69" s="214" t="s">
        <v>1294</v>
      </c>
    </row>
    <row r="70" spans="1:183" s="214" customFormat="1" x14ac:dyDescent="0.2">
      <c r="B70" s="610" t="s">
        <v>223</v>
      </c>
      <c r="C70" s="610" t="s">
        <v>222</v>
      </c>
      <c r="D70" s="239">
        <v>0</v>
      </c>
      <c r="E70" s="239">
        <v>0</v>
      </c>
      <c r="F70" s="239">
        <v>0</v>
      </c>
      <c r="G70" s="239">
        <v>424245</v>
      </c>
      <c r="H70" s="239">
        <v>0</v>
      </c>
      <c r="I70" s="239">
        <v>424245</v>
      </c>
      <c r="J70" s="239">
        <v>0</v>
      </c>
      <c r="K70" s="239">
        <v>0</v>
      </c>
      <c r="L70" s="239">
        <v>0</v>
      </c>
      <c r="M70" s="239">
        <v>124671</v>
      </c>
      <c r="N70" s="239">
        <v>0</v>
      </c>
      <c r="O70" s="239">
        <v>124671</v>
      </c>
      <c r="P70" s="239">
        <v>548916</v>
      </c>
      <c r="Q70" s="239">
        <v>0</v>
      </c>
      <c r="R70" s="239">
        <v>548916</v>
      </c>
      <c r="S70" s="239">
        <v>-24237068</v>
      </c>
      <c r="T70" s="239">
        <v>-2496</v>
      </c>
      <c r="U70" s="239">
        <v>-24239564</v>
      </c>
      <c r="V70" s="239">
        <v>-28638</v>
      </c>
      <c r="W70" s="239">
        <v>0</v>
      </c>
      <c r="X70" s="239">
        <v>-28638</v>
      </c>
      <c r="Y70" s="239">
        <v>-2075784</v>
      </c>
      <c r="Z70" s="239">
        <v>-2449</v>
      </c>
      <c r="AA70" s="239">
        <v>-2078233</v>
      </c>
      <c r="AB70" s="239">
        <v>-1243190</v>
      </c>
      <c r="AC70" s="239">
        <v>-2449</v>
      </c>
      <c r="AD70" s="239">
        <v>-1245639</v>
      </c>
      <c r="AE70" s="239">
        <v>1227</v>
      </c>
      <c r="AF70" s="239">
        <v>0</v>
      </c>
      <c r="AG70" s="239">
        <v>1227</v>
      </c>
      <c r="AH70" s="239">
        <v>4057184</v>
      </c>
      <c r="AI70" s="239">
        <v>17230</v>
      </c>
      <c r="AJ70" s="239">
        <v>4074414</v>
      </c>
      <c r="AK70" s="239">
        <v>-78116</v>
      </c>
      <c r="AL70" s="239">
        <v>0</v>
      </c>
      <c r="AM70" s="239">
        <v>-78116</v>
      </c>
      <c r="AN70" s="239">
        <v>-16030927</v>
      </c>
      <c r="AO70" s="239">
        <v>-3011</v>
      </c>
      <c r="AP70" s="239">
        <v>-16033938</v>
      </c>
      <c r="AQ70" s="239">
        <v>-46630</v>
      </c>
      <c r="AR70" s="239">
        <v>8092</v>
      </c>
      <c r="AS70" s="239">
        <v>-38538</v>
      </c>
      <c r="AT70" s="239">
        <v>-236747</v>
      </c>
      <c r="AU70" s="239">
        <v>0</v>
      </c>
      <c r="AV70" s="239">
        <v>-236747</v>
      </c>
      <c r="AW70" s="239">
        <v>-59</v>
      </c>
      <c r="AX70" s="239">
        <v>0</v>
      </c>
      <c r="AY70" s="239">
        <v>-59</v>
      </c>
      <c r="AZ70" s="239">
        <v>-235011</v>
      </c>
      <c r="BA70" s="239">
        <v>0</v>
      </c>
      <c r="BB70" s="239">
        <v>-235011</v>
      </c>
      <c r="BC70" s="239">
        <v>-12843</v>
      </c>
      <c r="BD70" s="239">
        <v>0</v>
      </c>
      <c r="BE70" s="239">
        <v>-12843</v>
      </c>
      <c r="BF70" s="239">
        <v>-38896001</v>
      </c>
      <c r="BG70" s="239">
        <v>17366</v>
      </c>
      <c r="BH70" s="239">
        <v>-38878635</v>
      </c>
      <c r="BI70" s="239">
        <v>-32751</v>
      </c>
      <c r="BJ70" s="239">
        <v>0</v>
      </c>
      <c r="BK70" s="239">
        <v>-32751</v>
      </c>
      <c r="BL70" s="239">
        <v>-22391</v>
      </c>
      <c r="BM70" s="239">
        <v>-8795</v>
      </c>
      <c r="BN70" s="239">
        <v>-31186</v>
      </c>
      <c r="BO70" s="239">
        <v>-3335240</v>
      </c>
      <c r="BP70" s="239">
        <v>-20929</v>
      </c>
      <c r="BQ70" s="239">
        <v>-3356169</v>
      </c>
      <c r="BR70" s="239">
        <v>-166130</v>
      </c>
      <c r="BS70" s="239">
        <v>-1321</v>
      </c>
      <c r="BT70" s="239">
        <v>-167451</v>
      </c>
      <c r="BU70" s="239">
        <v>-3556512</v>
      </c>
      <c r="BV70" s="239">
        <v>-31045</v>
      </c>
      <c r="BW70" s="239">
        <v>-3587557</v>
      </c>
      <c r="BX70" s="239">
        <v>-679177</v>
      </c>
      <c r="BY70" s="239">
        <v>0</v>
      </c>
      <c r="BZ70" s="239">
        <v>-679177</v>
      </c>
      <c r="CA70" s="239">
        <v>8618.3700000000008</v>
      </c>
      <c r="CB70" s="239">
        <v>0</v>
      </c>
      <c r="CC70" s="239">
        <v>8618.3700000000008</v>
      </c>
      <c r="CD70" s="239">
        <v>-315973</v>
      </c>
      <c r="CE70" s="239">
        <v>0</v>
      </c>
      <c r="CF70" s="239">
        <v>-315973</v>
      </c>
      <c r="CG70" s="239">
        <v>2321</v>
      </c>
      <c r="CH70" s="239">
        <v>0</v>
      </c>
      <c r="CI70" s="239">
        <v>2321</v>
      </c>
      <c r="CJ70" s="239">
        <v>-5797</v>
      </c>
      <c r="CK70" s="239">
        <v>0</v>
      </c>
      <c r="CL70" s="239">
        <v>-5797</v>
      </c>
      <c r="CM70" s="239">
        <v>0</v>
      </c>
      <c r="CN70" s="239">
        <v>0</v>
      </c>
      <c r="CO70" s="239">
        <v>0</v>
      </c>
      <c r="CP70" s="239">
        <v>-105441</v>
      </c>
      <c r="CQ70" s="239">
        <v>0</v>
      </c>
      <c r="CR70" s="239">
        <v>-105441</v>
      </c>
      <c r="CS70" s="239">
        <v>316</v>
      </c>
      <c r="CT70" s="239">
        <v>0</v>
      </c>
      <c r="CU70" s="239">
        <v>316</v>
      </c>
      <c r="CV70" s="239">
        <v>-16782</v>
      </c>
      <c r="CW70" s="239">
        <v>0</v>
      </c>
      <c r="CX70" s="239">
        <v>-16782</v>
      </c>
      <c r="CY70" s="239">
        <v>-683</v>
      </c>
      <c r="CZ70" s="239">
        <v>0</v>
      </c>
      <c r="DA70" s="239">
        <v>-683</v>
      </c>
      <c r="DB70" s="239">
        <v>0</v>
      </c>
      <c r="DC70" s="239">
        <v>-156604</v>
      </c>
      <c r="DD70" s="239">
        <v>-156604</v>
      </c>
      <c r="DE70" s="239">
        <v>0</v>
      </c>
      <c r="DF70" s="239">
        <v>-13508</v>
      </c>
      <c r="DG70" s="239">
        <v>-13508</v>
      </c>
      <c r="DH70" s="239">
        <v>-170112</v>
      </c>
      <c r="DI70" s="239">
        <v>0</v>
      </c>
      <c r="DJ70" s="239">
        <v>-1112598</v>
      </c>
      <c r="DK70" s="239">
        <v>-170112</v>
      </c>
      <c r="DL70" s="239">
        <v>-1282710</v>
      </c>
      <c r="DM70" s="239">
        <v>-14976</v>
      </c>
      <c r="DN70" s="239">
        <v>0</v>
      </c>
      <c r="DO70" s="239">
        <v>-14976</v>
      </c>
      <c r="DP70" s="239">
        <v>3443</v>
      </c>
      <c r="DQ70" s="239">
        <v>0</v>
      </c>
      <c r="DR70" s="239">
        <v>3443</v>
      </c>
      <c r="DS70" s="239">
        <v>-45342</v>
      </c>
      <c r="DT70" s="239">
        <v>0</v>
      </c>
      <c r="DU70" s="239">
        <v>-45342</v>
      </c>
      <c r="DV70" s="239">
        <v>-3349</v>
      </c>
      <c r="DW70" s="239">
        <v>0</v>
      </c>
      <c r="DX70" s="239">
        <v>-3349</v>
      </c>
      <c r="DY70" s="239">
        <v>-4359978</v>
      </c>
      <c r="DZ70" s="239">
        <v>0</v>
      </c>
      <c r="EA70" s="239">
        <v>-4359978</v>
      </c>
      <c r="EB70" s="239">
        <v>-41342</v>
      </c>
      <c r="EC70" s="239">
        <v>0</v>
      </c>
      <c r="ED70" s="239">
        <v>-41342</v>
      </c>
      <c r="EE70" s="239">
        <v>0</v>
      </c>
      <c r="EF70" s="239">
        <v>0</v>
      </c>
      <c r="EG70" s="239">
        <v>0</v>
      </c>
      <c r="EH70" s="239">
        <v>-1942</v>
      </c>
      <c r="EI70" s="239">
        <v>0</v>
      </c>
      <c r="EJ70" s="239">
        <v>-1942</v>
      </c>
      <c r="EK70" s="239">
        <v>-164084</v>
      </c>
      <c r="EL70" s="239">
        <v>0</v>
      </c>
      <c r="EM70" s="239">
        <v>-164084</v>
      </c>
      <c r="EN70" s="239">
        <v>-4627570</v>
      </c>
      <c r="EO70" s="239">
        <v>0</v>
      </c>
      <c r="EP70" s="239">
        <v>-4627570</v>
      </c>
      <c r="EQ70" s="239">
        <v>0</v>
      </c>
      <c r="ER70" s="239">
        <v>0</v>
      </c>
      <c r="ES70" s="239">
        <v>0</v>
      </c>
      <c r="ET70" s="239">
        <v>0</v>
      </c>
      <c r="EU70" s="239">
        <v>0</v>
      </c>
      <c r="EV70" s="239">
        <v>0</v>
      </c>
      <c r="EW70" s="239">
        <v>0</v>
      </c>
      <c r="EX70" s="239">
        <v>0</v>
      </c>
      <c r="EY70" s="239">
        <v>0</v>
      </c>
      <c r="EZ70" s="239">
        <v>202089781</v>
      </c>
      <c r="FA70" s="239">
        <v>647803</v>
      </c>
      <c r="FB70" s="239">
        <v>202737584</v>
      </c>
      <c r="FC70" s="239">
        <v>548916</v>
      </c>
      <c r="FD70" s="239">
        <v>0</v>
      </c>
      <c r="FE70" s="239">
        <v>548916</v>
      </c>
      <c r="FF70" s="239">
        <v>-38896001</v>
      </c>
      <c r="FG70" s="239">
        <v>17366</v>
      </c>
      <c r="FH70" s="239">
        <v>-38878635</v>
      </c>
      <c r="FI70" s="239">
        <v>-3556512</v>
      </c>
      <c r="FJ70" s="239">
        <v>-31045</v>
      </c>
      <c r="FK70" s="239">
        <v>-3587557</v>
      </c>
      <c r="FL70" s="239">
        <v>-1112598</v>
      </c>
      <c r="FM70" s="239">
        <v>-170112</v>
      </c>
      <c r="FN70" s="239">
        <v>-1282710</v>
      </c>
      <c r="FO70" s="239">
        <v>-4627570</v>
      </c>
      <c r="FP70" s="239">
        <v>0</v>
      </c>
      <c r="FQ70" s="239">
        <v>-4627570</v>
      </c>
      <c r="FR70" s="239">
        <v>0</v>
      </c>
      <c r="FS70" s="239">
        <v>0</v>
      </c>
      <c r="FT70" s="239">
        <v>0</v>
      </c>
      <c r="FU70" s="239">
        <v>-47643765</v>
      </c>
      <c r="FV70" s="239">
        <v>-183791</v>
      </c>
      <c r="FW70" s="239">
        <v>-47827556</v>
      </c>
      <c r="FX70" s="239">
        <v>154446016</v>
      </c>
      <c r="FY70" s="239">
        <v>464012</v>
      </c>
      <c r="FZ70" s="239">
        <v>154910028</v>
      </c>
      <c r="GA70" s="214" t="s">
        <v>748</v>
      </c>
    </row>
    <row r="71" spans="1:183" s="214" customFormat="1" x14ac:dyDescent="0.2">
      <c r="B71" s="610" t="s">
        <v>225</v>
      </c>
      <c r="C71" s="610" t="s">
        <v>224</v>
      </c>
      <c r="D71" s="239">
        <v>0</v>
      </c>
      <c r="E71" s="239">
        <v>0</v>
      </c>
      <c r="F71" s="239">
        <v>0</v>
      </c>
      <c r="G71" s="239">
        <v>-232311</v>
      </c>
      <c r="H71" s="239">
        <v>0</v>
      </c>
      <c r="I71" s="239">
        <v>-232311</v>
      </c>
      <c r="J71" s="239">
        <v>0</v>
      </c>
      <c r="K71" s="239">
        <v>0</v>
      </c>
      <c r="L71" s="239">
        <v>0</v>
      </c>
      <c r="M71" s="239">
        <v>9885</v>
      </c>
      <c r="N71" s="239">
        <v>0</v>
      </c>
      <c r="O71" s="239">
        <v>9885</v>
      </c>
      <c r="P71" s="239">
        <v>-222426</v>
      </c>
      <c r="Q71" s="239">
        <v>0</v>
      </c>
      <c r="R71" s="239">
        <v>-222426</v>
      </c>
      <c r="S71" s="239">
        <v>-3016686</v>
      </c>
      <c r="T71" s="239">
        <v>0</v>
      </c>
      <c r="U71" s="239">
        <v>-3016686</v>
      </c>
      <c r="V71" s="239">
        <v>-9947</v>
      </c>
      <c r="W71" s="239">
        <v>0</v>
      </c>
      <c r="X71" s="239">
        <v>-9947</v>
      </c>
      <c r="Y71" s="239">
        <v>-303923</v>
      </c>
      <c r="Z71" s="239">
        <v>0</v>
      </c>
      <c r="AA71" s="239">
        <v>-303923</v>
      </c>
      <c r="AB71" s="239">
        <v>-303937</v>
      </c>
      <c r="AC71" s="239">
        <v>0</v>
      </c>
      <c r="AD71" s="239">
        <v>-303937</v>
      </c>
      <c r="AE71" s="239">
        <v>14</v>
      </c>
      <c r="AF71" s="239">
        <v>0</v>
      </c>
      <c r="AG71" s="239">
        <v>14</v>
      </c>
      <c r="AH71" s="239">
        <v>754284</v>
      </c>
      <c r="AI71" s="239">
        <v>0</v>
      </c>
      <c r="AJ71" s="239">
        <v>754284</v>
      </c>
      <c r="AK71" s="239">
        <v>39033</v>
      </c>
      <c r="AL71" s="239">
        <v>0</v>
      </c>
      <c r="AM71" s="239">
        <v>39033</v>
      </c>
      <c r="AN71" s="239">
        <v>-2072422</v>
      </c>
      <c r="AO71" s="239">
        <v>0</v>
      </c>
      <c r="AP71" s="239">
        <v>-2072422</v>
      </c>
      <c r="AQ71" s="239">
        <v>-49436</v>
      </c>
      <c r="AR71" s="239">
        <v>0</v>
      </c>
      <c r="AS71" s="239">
        <v>-49436</v>
      </c>
      <c r="AT71" s="239">
        <v>-114565</v>
      </c>
      <c r="AU71" s="239">
        <v>0</v>
      </c>
      <c r="AV71" s="239">
        <v>-114565</v>
      </c>
      <c r="AW71" s="239">
        <v>6212</v>
      </c>
      <c r="AX71" s="239">
        <v>0</v>
      </c>
      <c r="AY71" s="239">
        <v>6212</v>
      </c>
      <c r="AZ71" s="239">
        <v>-29072</v>
      </c>
      <c r="BA71" s="239">
        <v>0</v>
      </c>
      <c r="BB71" s="239">
        <v>-29072</v>
      </c>
      <c r="BC71" s="239">
        <v>4288</v>
      </c>
      <c r="BD71" s="239">
        <v>0</v>
      </c>
      <c r="BE71" s="239">
        <v>4288</v>
      </c>
      <c r="BF71" s="239">
        <v>-4782287</v>
      </c>
      <c r="BG71" s="239">
        <v>0</v>
      </c>
      <c r="BH71" s="239">
        <v>-4782287</v>
      </c>
      <c r="BI71" s="239">
        <v>0</v>
      </c>
      <c r="BJ71" s="239">
        <v>0</v>
      </c>
      <c r="BK71" s="239">
        <v>0</v>
      </c>
      <c r="BL71" s="239">
        <v>0</v>
      </c>
      <c r="BM71" s="239">
        <v>0</v>
      </c>
      <c r="BN71" s="239">
        <v>0</v>
      </c>
      <c r="BO71" s="239">
        <v>-1001054</v>
      </c>
      <c r="BP71" s="239">
        <v>0</v>
      </c>
      <c r="BQ71" s="239">
        <v>-1001054</v>
      </c>
      <c r="BR71" s="239">
        <v>52878</v>
      </c>
      <c r="BS71" s="239">
        <v>0</v>
      </c>
      <c r="BT71" s="239">
        <v>52878</v>
      </c>
      <c r="BU71" s="239">
        <v>-948176</v>
      </c>
      <c r="BV71" s="239">
        <v>0</v>
      </c>
      <c r="BW71" s="239">
        <v>-948176</v>
      </c>
      <c r="BX71" s="239">
        <v>-92337</v>
      </c>
      <c r="BY71" s="239">
        <v>0</v>
      </c>
      <c r="BZ71" s="239">
        <v>-92337</v>
      </c>
      <c r="CA71" s="239">
        <v>-1193</v>
      </c>
      <c r="CB71" s="239">
        <v>0</v>
      </c>
      <c r="CC71" s="239">
        <v>-1193</v>
      </c>
      <c r="CD71" s="239">
        <v>-8397</v>
      </c>
      <c r="CE71" s="239">
        <v>0</v>
      </c>
      <c r="CF71" s="239">
        <v>-8397</v>
      </c>
      <c r="CG71" s="239">
        <v>0</v>
      </c>
      <c r="CH71" s="239">
        <v>0</v>
      </c>
      <c r="CI71" s="239">
        <v>0</v>
      </c>
      <c r="CJ71" s="239">
        <v>-78</v>
      </c>
      <c r="CK71" s="239">
        <v>0</v>
      </c>
      <c r="CL71" s="239">
        <v>-78</v>
      </c>
      <c r="CM71" s="239">
        <v>0</v>
      </c>
      <c r="CN71" s="239">
        <v>0</v>
      </c>
      <c r="CO71" s="239">
        <v>0</v>
      </c>
      <c r="CP71" s="239">
        <v>-6267</v>
      </c>
      <c r="CQ71" s="239">
        <v>0</v>
      </c>
      <c r="CR71" s="239">
        <v>-6267</v>
      </c>
      <c r="CS71" s="239">
        <v>-377</v>
      </c>
      <c r="CT71" s="239">
        <v>0</v>
      </c>
      <c r="CU71" s="239">
        <v>-377</v>
      </c>
      <c r="CV71" s="239">
        <v>0</v>
      </c>
      <c r="CW71" s="239">
        <v>0</v>
      </c>
      <c r="CX71" s="239">
        <v>0</v>
      </c>
      <c r="CY71" s="239">
        <v>0</v>
      </c>
      <c r="CZ71" s="239">
        <v>0</v>
      </c>
      <c r="DA71" s="239">
        <v>0</v>
      </c>
      <c r="DB71" s="239">
        <v>0</v>
      </c>
      <c r="DC71" s="239">
        <v>0</v>
      </c>
      <c r="DD71" s="239">
        <v>0</v>
      </c>
      <c r="DE71" s="239">
        <v>0</v>
      </c>
      <c r="DF71" s="239">
        <v>0</v>
      </c>
      <c r="DG71" s="239">
        <v>0</v>
      </c>
      <c r="DH71" s="239">
        <v>0</v>
      </c>
      <c r="DI71" s="239">
        <v>0</v>
      </c>
      <c r="DJ71" s="239">
        <v>-108649</v>
      </c>
      <c r="DK71" s="239">
        <v>0</v>
      </c>
      <c r="DL71" s="239">
        <v>-108649</v>
      </c>
      <c r="DM71" s="239">
        <v>-15784</v>
      </c>
      <c r="DN71" s="239">
        <v>0</v>
      </c>
      <c r="DO71" s="239">
        <v>-15784</v>
      </c>
      <c r="DP71" s="239">
        <v>-27</v>
      </c>
      <c r="DQ71" s="239">
        <v>0</v>
      </c>
      <c r="DR71" s="239">
        <v>-27</v>
      </c>
      <c r="DS71" s="239">
        <v>-5978</v>
      </c>
      <c r="DT71" s="239">
        <v>0</v>
      </c>
      <c r="DU71" s="239">
        <v>-5978</v>
      </c>
      <c r="DV71" s="239">
        <v>-112</v>
      </c>
      <c r="DW71" s="239">
        <v>0</v>
      </c>
      <c r="DX71" s="239">
        <v>-112</v>
      </c>
      <c r="DY71" s="239">
        <v>-853478</v>
      </c>
      <c r="DZ71" s="239">
        <v>0</v>
      </c>
      <c r="EA71" s="239">
        <v>-853478</v>
      </c>
      <c r="EB71" s="239">
        <v>-46213</v>
      </c>
      <c r="EC71" s="239">
        <v>0</v>
      </c>
      <c r="ED71" s="239">
        <v>-46213</v>
      </c>
      <c r="EE71" s="239">
        <v>0</v>
      </c>
      <c r="EF71" s="239">
        <v>0</v>
      </c>
      <c r="EG71" s="239">
        <v>0</v>
      </c>
      <c r="EH71" s="239">
        <v>0</v>
      </c>
      <c r="EI71" s="239">
        <v>0</v>
      </c>
      <c r="EJ71" s="239">
        <v>0</v>
      </c>
      <c r="EK71" s="239">
        <v>-32272</v>
      </c>
      <c r="EL71" s="239">
        <v>0</v>
      </c>
      <c r="EM71" s="239">
        <v>-32272</v>
      </c>
      <c r="EN71" s="239">
        <v>-953864</v>
      </c>
      <c r="EO71" s="239">
        <v>0</v>
      </c>
      <c r="EP71" s="239">
        <v>-953864</v>
      </c>
      <c r="EQ71" s="239">
        <v>0</v>
      </c>
      <c r="ER71" s="239">
        <v>0</v>
      </c>
      <c r="ES71" s="239">
        <v>0</v>
      </c>
      <c r="ET71" s="239">
        <v>0</v>
      </c>
      <c r="EU71" s="239">
        <v>0</v>
      </c>
      <c r="EV71" s="239">
        <v>0</v>
      </c>
      <c r="EW71" s="239">
        <v>0</v>
      </c>
      <c r="EX71" s="239">
        <v>0</v>
      </c>
      <c r="EY71" s="239">
        <v>0</v>
      </c>
      <c r="EZ71" s="239">
        <v>36491129</v>
      </c>
      <c r="FA71" s="239">
        <v>0</v>
      </c>
      <c r="FB71" s="239">
        <v>36491129</v>
      </c>
      <c r="FC71" s="239">
        <v>-222426</v>
      </c>
      <c r="FD71" s="239">
        <v>0</v>
      </c>
      <c r="FE71" s="239">
        <v>-222426</v>
      </c>
      <c r="FF71" s="239">
        <v>-4782287</v>
      </c>
      <c r="FG71" s="239">
        <v>0</v>
      </c>
      <c r="FH71" s="239">
        <v>-4782287</v>
      </c>
      <c r="FI71" s="239">
        <v>-948176</v>
      </c>
      <c r="FJ71" s="239">
        <v>0</v>
      </c>
      <c r="FK71" s="239">
        <v>-948176</v>
      </c>
      <c r="FL71" s="239">
        <v>-108649</v>
      </c>
      <c r="FM71" s="239">
        <v>0</v>
      </c>
      <c r="FN71" s="239">
        <v>-108649</v>
      </c>
      <c r="FO71" s="239">
        <v>-953864</v>
      </c>
      <c r="FP71" s="239">
        <v>0</v>
      </c>
      <c r="FQ71" s="239">
        <v>-953864</v>
      </c>
      <c r="FR71" s="239">
        <v>0</v>
      </c>
      <c r="FS71" s="239">
        <v>0</v>
      </c>
      <c r="FT71" s="239">
        <v>0</v>
      </c>
      <c r="FU71" s="239">
        <v>-7015402</v>
      </c>
      <c r="FV71" s="239">
        <v>0</v>
      </c>
      <c r="FW71" s="239">
        <v>-7015402</v>
      </c>
      <c r="FX71" s="239">
        <v>29475727</v>
      </c>
      <c r="FY71" s="239">
        <v>0</v>
      </c>
      <c r="FZ71" s="239">
        <v>29475727</v>
      </c>
      <c r="GA71" s="214" t="s">
        <v>1294</v>
      </c>
    </row>
    <row r="72" spans="1:183" s="214" customFormat="1" x14ac:dyDescent="0.2">
      <c r="B72" s="610" t="s">
        <v>227</v>
      </c>
      <c r="C72" s="610" t="s">
        <v>226</v>
      </c>
      <c r="D72" s="239">
        <v>0</v>
      </c>
      <c r="E72" s="239">
        <v>0</v>
      </c>
      <c r="F72" s="239">
        <v>0</v>
      </c>
      <c r="G72" s="239">
        <v>-156767</v>
      </c>
      <c r="H72" s="239">
        <v>0</v>
      </c>
      <c r="I72" s="239">
        <v>-156767</v>
      </c>
      <c r="J72" s="239">
        <v>0</v>
      </c>
      <c r="K72" s="239">
        <v>0</v>
      </c>
      <c r="L72" s="239">
        <v>0</v>
      </c>
      <c r="M72" s="239">
        <v>295037</v>
      </c>
      <c r="N72" s="239">
        <v>0</v>
      </c>
      <c r="O72" s="239">
        <v>295037</v>
      </c>
      <c r="P72" s="239">
        <v>138270</v>
      </c>
      <c r="Q72" s="239">
        <v>0</v>
      </c>
      <c r="R72" s="239">
        <v>138270</v>
      </c>
      <c r="S72" s="239">
        <v>-5615093</v>
      </c>
      <c r="T72" s="239">
        <v>0</v>
      </c>
      <c r="U72" s="239">
        <v>-5615093</v>
      </c>
      <c r="V72" s="239">
        <v>0</v>
      </c>
      <c r="W72" s="239">
        <v>0</v>
      </c>
      <c r="X72" s="239">
        <v>0</v>
      </c>
      <c r="Y72" s="239">
        <v>-340860</v>
      </c>
      <c r="Z72" s="239">
        <v>0</v>
      </c>
      <c r="AA72" s="239">
        <v>-340860</v>
      </c>
      <c r="AB72" s="239">
        <v>0</v>
      </c>
      <c r="AC72" s="239">
        <v>0</v>
      </c>
      <c r="AD72" s="239">
        <v>0</v>
      </c>
      <c r="AE72" s="239">
        <v>0</v>
      </c>
      <c r="AF72" s="239">
        <v>0</v>
      </c>
      <c r="AG72" s="239">
        <v>0</v>
      </c>
      <c r="AH72" s="239">
        <v>3491097</v>
      </c>
      <c r="AI72" s="239">
        <v>0</v>
      </c>
      <c r="AJ72" s="239">
        <v>3491097</v>
      </c>
      <c r="AK72" s="239">
        <v>16340</v>
      </c>
      <c r="AL72" s="239">
        <v>0</v>
      </c>
      <c r="AM72" s="239">
        <v>16340</v>
      </c>
      <c r="AN72" s="239">
        <v>-13456864</v>
      </c>
      <c r="AO72" s="239">
        <v>0</v>
      </c>
      <c r="AP72" s="239">
        <v>-13456864</v>
      </c>
      <c r="AQ72" s="239">
        <v>-3618362</v>
      </c>
      <c r="AR72" s="239">
        <v>0</v>
      </c>
      <c r="AS72" s="239">
        <v>-3618362</v>
      </c>
      <c r="AT72" s="239">
        <v>-52278</v>
      </c>
      <c r="AU72" s="239">
        <v>0</v>
      </c>
      <c r="AV72" s="239">
        <v>-52278</v>
      </c>
      <c r="AW72" s="239">
        <v>0</v>
      </c>
      <c r="AX72" s="239">
        <v>0</v>
      </c>
      <c r="AY72" s="239">
        <v>0</v>
      </c>
      <c r="AZ72" s="239">
        <v>0</v>
      </c>
      <c r="BA72" s="239">
        <v>0</v>
      </c>
      <c r="BB72" s="239">
        <v>0</v>
      </c>
      <c r="BC72" s="239">
        <v>0</v>
      </c>
      <c r="BD72" s="239">
        <v>0</v>
      </c>
      <c r="BE72" s="239">
        <v>0</v>
      </c>
      <c r="BF72" s="239">
        <v>-19576020</v>
      </c>
      <c r="BG72" s="239">
        <v>0</v>
      </c>
      <c r="BH72" s="239">
        <v>-19576020</v>
      </c>
      <c r="BI72" s="239">
        <v>-191087</v>
      </c>
      <c r="BJ72" s="239">
        <v>0</v>
      </c>
      <c r="BK72" s="239">
        <v>-191087</v>
      </c>
      <c r="BL72" s="239">
        <v>-4242</v>
      </c>
      <c r="BM72" s="239">
        <v>0</v>
      </c>
      <c r="BN72" s="239">
        <v>-4242</v>
      </c>
      <c r="BO72" s="239">
        <v>-2673053</v>
      </c>
      <c r="BP72" s="239">
        <v>0</v>
      </c>
      <c r="BQ72" s="239">
        <v>-2673053</v>
      </c>
      <c r="BR72" s="239">
        <v>479121</v>
      </c>
      <c r="BS72" s="239">
        <v>0</v>
      </c>
      <c r="BT72" s="239">
        <v>479121</v>
      </c>
      <c r="BU72" s="239">
        <v>-2389261</v>
      </c>
      <c r="BV72" s="239">
        <v>0</v>
      </c>
      <c r="BW72" s="239">
        <v>-2389261</v>
      </c>
      <c r="BX72" s="239">
        <v>-363377</v>
      </c>
      <c r="BY72" s="239">
        <v>0</v>
      </c>
      <c r="BZ72" s="239">
        <v>-363377</v>
      </c>
      <c r="CA72" s="239">
        <v>-3597</v>
      </c>
      <c r="CB72" s="239">
        <v>0</v>
      </c>
      <c r="CC72" s="239">
        <v>-3597</v>
      </c>
      <c r="CD72" s="239">
        <v>-26847</v>
      </c>
      <c r="CE72" s="239">
        <v>0</v>
      </c>
      <c r="CF72" s="239">
        <v>-26847</v>
      </c>
      <c r="CG72" s="239">
        <v>-1143</v>
      </c>
      <c r="CH72" s="239">
        <v>0</v>
      </c>
      <c r="CI72" s="239">
        <v>-1143</v>
      </c>
      <c r="CJ72" s="239">
        <v>-10353</v>
      </c>
      <c r="CK72" s="239">
        <v>0</v>
      </c>
      <c r="CL72" s="239">
        <v>-10353</v>
      </c>
      <c r="CM72" s="239">
        <v>0</v>
      </c>
      <c r="CN72" s="239">
        <v>0</v>
      </c>
      <c r="CO72" s="239">
        <v>0</v>
      </c>
      <c r="CP72" s="239">
        <v>0</v>
      </c>
      <c r="CQ72" s="239">
        <v>0</v>
      </c>
      <c r="CR72" s="239">
        <v>0</v>
      </c>
      <c r="CS72" s="239">
        <v>0</v>
      </c>
      <c r="CT72" s="239">
        <v>0</v>
      </c>
      <c r="CU72" s="239">
        <v>0</v>
      </c>
      <c r="CV72" s="239">
        <v>0</v>
      </c>
      <c r="CW72" s="239">
        <v>0</v>
      </c>
      <c r="CX72" s="239">
        <v>0</v>
      </c>
      <c r="CY72" s="239">
        <v>0</v>
      </c>
      <c r="CZ72" s="239">
        <v>0</v>
      </c>
      <c r="DA72" s="239">
        <v>0</v>
      </c>
      <c r="DB72" s="239">
        <v>0</v>
      </c>
      <c r="DC72" s="239">
        <v>0</v>
      </c>
      <c r="DD72" s="239">
        <v>0</v>
      </c>
      <c r="DE72" s="239">
        <v>0</v>
      </c>
      <c r="DF72" s="239">
        <v>0</v>
      </c>
      <c r="DG72" s="239">
        <v>0</v>
      </c>
      <c r="DH72" s="239">
        <v>0</v>
      </c>
      <c r="DI72" s="239">
        <v>0</v>
      </c>
      <c r="DJ72" s="239">
        <v>-405317</v>
      </c>
      <c r="DK72" s="239">
        <v>0</v>
      </c>
      <c r="DL72" s="239">
        <v>-405317</v>
      </c>
      <c r="DM72" s="239">
        <v>-9068</v>
      </c>
      <c r="DN72" s="239">
        <v>0</v>
      </c>
      <c r="DO72" s="239">
        <v>-9068</v>
      </c>
      <c r="DP72" s="239">
        <v>0</v>
      </c>
      <c r="DQ72" s="239">
        <v>0</v>
      </c>
      <c r="DR72" s="239">
        <v>0</v>
      </c>
      <c r="DS72" s="239">
        <v>0</v>
      </c>
      <c r="DT72" s="239">
        <v>0</v>
      </c>
      <c r="DU72" s="239">
        <v>0</v>
      </c>
      <c r="DV72" s="239">
        <v>0</v>
      </c>
      <c r="DW72" s="239">
        <v>0</v>
      </c>
      <c r="DX72" s="239">
        <v>0</v>
      </c>
      <c r="DY72" s="239">
        <v>-10162</v>
      </c>
      <c r="DZ72" s="239">
        <v>0</v>
      </c>
      <c r="EA72" s="239">
        <v>-10162</v>
      </c>
      <c r="EB72" s="239">
        <v>0</v>
      </c>
      <c r="EC72" s="239">
        <v>0</v>
      </c>
      <c r="ED72" s="239">
        <v>0</v>
      </c>
      <c r="EE72" s="239">
        <v>0</v>
      </c>
      <c r="EF72" s="239">
        <v>0</v>
      </c>
      <c r="EG72" s="239">
        <v>0</v>
      </c>
      <c r="EH72" s="239">
        <v>0</v>
      </c>
      <c r="EI72" s="239">
        <v>0</v>
      </c>
      <c r="EJ72" s="239">
        <v>0</v>
      </c>
      <c r="EK72" s="239">
        <v>0</v>
      </c>
      <c r="EL72" s="239">
        <v>0</v>
      </c>
      <c r="EM72" s="239">
        <v>0</v>
      </c>
      <c r="EN72" s="239">
        <v>-19230</v>
      </c>
      <c r="EO72" s="239">
        <v>0</v>
      </c>
      <c r="EP72" s="239">
        <v>-19230</v>
      </c>
      <c r="EQ72" s="239">
        <v>-24650</v>
      </c>
      <c r="ER72" s="239">
        <v>0</v>
      </c>
      <c r="ES72" s="239">
        <v>-24650</v>
      </c>
      <c r="ET72" s="239">
        <v>-1375</v>
      </c>
      <c r="EU72" s="239">
        <v>0</v>
      </c>
      <c r="EV72" s="239">
        <v>-1375</v>
      </c>
      <c r="EW72" s="239">
        <v>-26025</v>
      </c>
      <c r="EX72" s="239">
        <v>0</v>
      </c>
      <c r="EY72" s="239">
        <v>-26025</v>
      </c>
      <c r="EZ72" s="239">
        <v>144094116</v>
      </c>
      <c r="FA72" s="239">
        <v>0</v>
      </c>
      <c r="FB72" s="239">
        <v>144094116</v>
      </c>
      <c r="FC72" s="239">
        <v>138270</v>
      </c>
      <c r="FD72" s="239">
        <v>0</v>
      </c>
      <c r="FE72" s="239">
        <v>138270</v>
      </c>
      <c r="FF72" s="239">
        <v>-19576020</v>
      </c>
      <c r="FG72" s="239">
        <v>0</v>
      </c>
      <c r="FH72" s="239">
        <v>-19576020</v>
      </c>
      <c r="FI72" s="239">
        <v>-2389261</v>
      </c>
      <c r="FJ72" s="239">
        <v>0</v>
      </c>
      <c r="FK72" s="239">
        <v>-2389261</v>
      </c>
      <c r="FL72" s="239">
        <v>-405317</v>
      </c>
      <c r="FM72" s="239">
        <v>0</v>
      </c>
      <c r="FN72" s="239">
        <v>-405317</v>
      </c>
      <c r="FO72" s="239">
        <v>-19230</v>
      </c>
      <c r="FP72" s="239">
        <v>0</v>
      </c>
      <c r="FQ72" s="239">
        <v>-19230</v>
      </c>
      <c r="FR72" s="239">
        <v>-26025</v>
      </c>
      <c r="FS72" s="239">
        <v>0</v>
      </c>
      <c r="FT72" s="239">
        <v>-26025</v>
      </c>
      <c r="FU72" s="239">
        <v>-22277583</v>
      </c>
      <c r="FV72" s="239">
        <v>0</v>
      </c>
      <c r="FW72" s="239">
        <v>-22277583</v>
      </c>
      <c r="FX72" s="239">
        <v>121816533</v>
      </c>
      <c r="FY72" s="239">
        <v>0</v>
      </c>
      <c r="FZ72" s="239">
        <v>121816533</v>
      </c>
      <c r="GA72" s="214" t="s">
        <v>1296</v>
      </c>
    </row>
    <row r="73" spans="1:183" s="214" customFormat="1" x14ac:dyDescent="0.2">
      <c r="B73" s="610" t="s">
        <v>229</v>
      </c>
      <c r="C73" s="610" t="s">
        <v>228</v>
      </c>
      <c r="D73" s="239">
        <v>0</v>
      </c>
      <c r="E73" s="239">
        <v>0</v>
      </c>
      <c r="F73" s="239">
        <v>0</v>
      </c>
      <c r="G73" s="239">
        <v>6206</v>
      </c>
      <c r="H73" s="239">
        <v>0</v>
      </c>
      <c r="I73" s="239">
        <v>6206</v>
      </c>
      <c r="J73" s="239">
        <v>0</v>
      </c>
      <c r="K73" s="239">
        <v>0</v>
      </c>
      <c r="L73" s="239">
        <v>0</v>
      </c>
      <c r="M73" s="239">
        <v>30579</v>
      </c>
      <c r="N73" s="239">
        <v>0</v>
      </c>
      <c r="O73" s="239">
        <v>30579</v>
      </c>
      <c r="P73" s="239">
        <v>36785</v>
      </c>
      <c r="Q73" s="239">
        <v>0</v>
      </c>
      <c r="R73" s="239">
        <v>36785</v>
      </c>
      <c r="S73" s="239">
        <v>-2386297</v>
      </c>
      <c r="T73" s="239">
        <v>0</v>
      </c>
      <c r="U73" s="239">
        <v>-2386297</v>
      </c>
      <c r="V73" s="239">
        <v>0</v>
      </c>
      <c r="W73" s="239">
        <v>0</v>
      </c>
      <c r="X73" s="239">
        <v>0</v>
      </c>
      <c r="Y73" s="239">
        <v>-250965</v>
      </c>
      <c r="Z73" s="239">
        <v>0</v>
      </c>
      <c r="AA73" s="239">
        <v>-250965</v>
      </c>
      <c r="AB73" s="239">
        <v>-133831</v>
      </c>
      <c r="AC73" s="239">
        <v>0</v>
      </c>
      <c r="AD73" s="239">
        <v>-133831</v>
      </c>
      <c r="AE73" s="239">
        <v>0</v>
      </c>
      <c r="AF73" s="239">
        <v>0</v>
      </c>
      <c r="AG73" s="239">
        <v>0</v>
      </c>
      <c r="AH73" s="239">
        <v>459029</v>
      </c>
      <c r="AI73" s="239">
        <v>0</v>
      </c>
      <c r="AJ73" s="239">
        <v>459029</v>
      </c>
      <c r="AK73" s="239">
        <v>3401</v>
      </c>
      <c r="AL73" s="239">
        <v>0</v>
      </c>
      <c r="AM73" s="239">
        <v>3401</v>
      </c>
      <c r="AN73" s="239">
        <v>-1127211</v>
      </c>
      <c r="AO73" s="239">
        <v>0</v>
      </c>
      <c r="AP73" s="239">
        <v>-1127211</v>
      </c>
      <c r="AQ73" s="239">
        <v>-66252</v>
      </c>
      <c r="AR73" s="239">
        <v>0</v>
      </c>
      <c r="AS73" s="239">
        <v>-66252</v>
      </c>
      <c r="AT73" s="239">
        <v>-28367</v>
      </c>
      <c r="AU73" s="239">
        <v>0</v>
      </c>
      <c r="AV73" s="239">
        <v>-28367</v>
      </c>
      <c r="AW73" s="239">
        <v>0</v>
      </c>
      <c r="AX73" s="239">
        <v>0</v>
      </c>
      <c r="AY73" s="239">
        <v>0</v>
      </c>
      <c r="AZ73" s="239">
        <v>-27488</v>
      </c>
      <c r="BA73" s="239">
        <v>0</v>
      </c>
      <c r="BB73" s="239">
        <v>-27488</v>
      </c>
      <c r="BC73" s="239">
        <v>1161</v>
      </c>
      <c r="BD73" s="239">
        <v>0</v>
      </c>
      <c r="BE73" s="239">
        <v>1161</v>
      </c>
      <c r="BF73" s="239">
        <v>-3422989</v>
      </c>
      <c r="BG73" s="239">
        <v>0</v>
      </c>
      <c r="BH73" s="239">
        <v>-3422989</v>
      </c>
      <c r="BI73" s="239">
        <v>-6836</v>
      </c>
      <c r="BJ73" s="239">
        <v>0</v>
      </c>
      <c r="BK73" s="239">
        <v>-6836</v>
      </c>
      <c r="BL73" s="239">
        <v>0</v>
      </c>
      <c r="BM73" s="239">
        <v>0</v>
      </c>
      <c r="BN73" s="239">
        <v>0</v>
      </c>
      <c r="BO73" s="239">
        <v>-770925</v>
      </c>
      <c r="BP73" s="239">
        <v>0</v>
      </c>
      <c r="BQ73" s="239">
        <v>-770925</v>
      </c>
      <c r="BR73" s="239">
        <v>-32116</v>
      </c>
      <c r="BS73" s="239">
        <v>0</v>
      </c>
      <c r="BT73" s="239">
        <v>-32116</v>
      </c>
      <c r="BU73" s="239">
        <v>-809877</v>
      </c>
      <c r="BV73" s="239">
        <v>0</v>
      </c>
      <c r="BW73" s="239">
        <v>-809877</v>
      </c>
      <c r="BX73" s="239">
        <v>-21595</v>
      </c>
      <c r="BY73" s="239">
        <v>0</v>
      </c>
      <c r="BZ73" s="239">
        <v>-21595</v>
      </c>
      <c r="CA73" s="239">
        <v>57</v>
      </c>
      <c r="CB73" s="239">
        <v>0</v>
      </c>
      <c r="CC73" s="239">
        <v>57</v>
      </c>
      <c r="CD73" s="239">
        <v>-3597</v>
      </c>
      <c r="CE73" s="239">
        <v>0</v>
      </c>
      <c r="CF73" s="239">
        <v>-3597</v>
      </c>
      <c r="CG73" s="239">
        <v>0</v>
      </c>
      <c r="CH73" s="239">
        <v>0</v>
      </c>
      <c r="CI73" s="239">
        <v>0</v>
      </c>
      <c r="CJ73" s="239">
        <v>0</v>
      </c>
      <c r="CK73" s="239">
        <v>0</v>
      </c>
      <c r="CL73" s="239">
        <v>0</v>
      </c>
      <c r="CM73" s="239">
        <v>0</v>
      </c>
      <c r="CN73" s="239">
        <v>0</v>
      </c>
      <c r="CO73" s="239">
        <v>0</v>
      </c>
      <c r="CP73" s="239">
        <v>-11820</v>
      </c>
      <c r="CQ73" s="239">
        <v>0</v>
      </c>
      <c r="CR73" s="239">
        <v>-11820</v>
      </c>
      <c r="CS73" s="239">
        <v>1160</v>
      </c>
      <c r="CT73" s="239">
        <v>0</v>
      </c>
      <c r="CU73" s="239">
        <v>1160</v>
      </c>
      <c r="CV73" s="239">
        <v>0</v>
      </c>
      <c r="CW73" s="239">
        <v>0</v>
      </c>
      <c r="CX73" s="239">
        <v>0</v>
      </c>
      <c r="CY73" s="239">
        <v>0</v>
      </c>
      <c r="CZ73" s="239">
        <v>0</v>
      </c>
      <c r="DA73" s="239">
        <v>0</v>
      </c>
      <c r="DB73" s="239">
        <v>0</v>
      </c>
      <c r="DC73" s="239">
        <v>0</v>
      </c>
      <c r="DD73" s="239">
        <v>0</v>
      </c>
      <c r="DE73" s="239">
        <v>0</v>
      </c>
      <c r="DF73" s="239">
        <v>0</v>
      </c>
      <c r="DG73" s="239">
        <v>0</v>
      </c>
      <c r="DH73" s="239">
        <v>0</v>
      </c>
      <c r="DI73" s="239">
        <v>0</v>
      </c>
      <c r="DJ73" s="239">
        <v>-35795</v>
      </c>
      <c r="DK73" s="239">
        <v>0</v>
      </c>
      <c r="DL73" s="239">
        <v>-35795</v>
      </c>
      <c r="DM73" s="239">
        <v>-3800</v>
      </c>
      <c r="DN73" s="239">
        <v>0</v>
      </c>
      <c r="DO73" s="239">
        <v>-3800</v>
      </c>
      <c r="DP73" s="239">
        <v>0</v>
      </c>
      <c r="DQ73" s="239">
        <v>0</v>
      </c>
      <c r="DR73" s="239">
        <v>0</v>
      </c>
      <c r="DS73" s="239">
        <v>-16589</v>
      </c>
      <c r="DT73" s="239">
        <v>0</v>
      </c>
      <c r="DU73" s="239">
        <v>-16589</v>
      </c>
      <c r="DV73" s="239">
        <v>0</v>
      </c>
      <c r="DW73" s="239">
        <v>0</v>
      </c>
      <c r="DX73" s="239">
        <v>0</v>
      </c>
      <c r="DY73" s="239">
        <v>-553034</v>
      </c>
      <c r="DZ73" s="239">
        <v>0</v>
      </c>
      <c r="EA73" s="239">
        <v>-553034</v>
      </c>
      <c r="EB73" s="239">
        <v>-401</v>
      </c>
      <c r="EC73" s="239">
        <v>0</v>
      </c>
      <c r="ED73" s="239">
        <v>-401</v>
      </c>
      <c r="EE73" s="239">
        <v>-7664</v>
      </c>
      <c r="EF73" s="239">
        <v>0</v>
      </c>
      <c r="EG73" s="239">
        <v>-7664</v>
      </c>
      <c r="EH73" s="239">
        <v>0</v>
      </c>
      <c r="EI73" s="239">
        <v>0</v>
      </c>
      <c r="EJ73" s="239">
        <v>0</v>
      </c>
      <c r="EK73" s="239">
        <v>0</v>
      </c>
      <c r="EL73" s="239">
        <v>0</v>
      </c>
      <c r="EM73" s="239">
        <v>0</v>
      </c>
      <c r="EN73" s="239">
        <v>-581488</v>
      </c>
      <c r="EO73" s="239">
        <v>0</v>
      </c>
      <c r="EP73" s="239">
        <v>-581488</v>
      </c>
      <c r="EQ73" s="239">
        <v>0</v>
      </c>
      <c r="ER73" s="239">
        <v>0</v>
      </c>
      <c r="ES73" s="239">
        <v>0</v>
      </c>
      <c r="ET73" s="239">
        <v>0</v>
      </c>
      <c r="EU73" s="239">
        <v>0</v>
      </c>
      <c r="EV73" s="239">
        <v>0</v>
      </c>
      <c r="EW73" s="239">
        <v>0</v>
      </c>
      <c r="EX73" s="239">
        <v>0</v>
      </c>
      <c r="EY73" s="239">
        <v>0</v>
      </c>
      <c r="EZ73" s="239">
        <v>22575087</v>
      </c>
      <c r="FA73" s="239">
        <v>0</v>
      </c>
      <c r="FB73" s="239">
        <v>22575087</v>
      </c>
      <c r="FC73" s="239">
        <v>36785</v>
      </c>
      <c r="FD73" s="239">
        <v>0</v>
      </c>
      <c r="FE73" s="239">
        <v>36785</v>
      </c>
      <c r="FF73" s="239">
        <v>-3422989</v>
      </c>
      <c r="FG73" s="239">
        <v>0</v>
      </c>
      <c r="FH73" s="239">
        <v>-3422989</v>
      </c>
      <c r="FI73" s="239">
        <v>-809877</v>
      </c>
      <c r="FJ73" s="239">
        <v>0</v>
      </c>
      <c r="FK73" s="239">
        <v>-809877</v>
      </c>
      <c r="FL73" s="239">
        <v>-35795</v>
      </c>
      <c r="FM73" s="239">
        <v>0</v>
      </c>
      <c r="FN73" s="239">
        <v>-35795</v>
      </c>
      <c r="FO73" s="239">
        <v>-581488</v>
      </c>
      <c r="FP73" s="239">
        <v>0</v>
      </c>
      <c r="FQ73" s="239">
        <v>-581488</v>
      </c>
      <c r="FR73" s="239">
        <v>0</v>
      </c>
      <c r="FS73" s="239">
        <v>0</v>
      </c>
      <c r="FT73" s="239">
        <v>0</v>
      </c>
      <c r="FU73" s="239">
        <v>-4813364</v>
      </c>
      <c r="FV73" s="239">
        <v>0</v>
      </c>
      <c r="FW73" s="239">
        <v>-4813364</v>
      </c>
      <c r="FX73" s="239">
        <v>17761723</v>
      </c>
      <c r="FY73" s="239">
        <v>0</v>
      </c>
      <c r="FZ73" s="239">
        <v>17761723</v>
      </c>
      <c r="GA73" s="214" t="s">
        <v>1294</v>
      </c>
    </row>
    <row r="74" spans="1:183" s="214" customFormat="1" x14ac:dyDescent="0.2">
      <c r="B74" s="610" t="s">
        <v>231</v>
      </c>
      <c r="C74" s="610" t="s">
        <v>230</v>
      </c>
      <c r="D74" s="239">
        <v>0</v>
      </c>
      <c r="E74" s="239">
        <v>0</v>
      </c>
      <c r="F74" s="239">
        <v>0</v>
      </c>
      <c r="G74" s="239">
        <v>54548</v>
      </c>
      <c r="H74" s="239">
        <v>0</v>
      </c>
      <c r="I74" s="239">
        <v>54548</v>
      </c>
      <c r="J74" s="239">
        <v>0</v>
      </c>
      <c r="K74" s="239">
        <v>0</v>
      </c>
      <c r="L74" s="239">
        <v>0</v>
      </c>
      <c r="M74" s="239">
        <v>417743</v>
      </c>
      <c r="N74" s="239">
        <v>0</v>
      </c>
      <c r="O74" s="239">
        <v>417743</v>
      </c>
      <c r="P74" s="239">
        <v>472291</v>
      </c>
      <c r="Q74" s="239">
        <v>0</v>
      </c>
      <c r="R74" s="239">
        <v>472291</v>
      </c>
      <c r="S74" s="239">
        <v>-803876</v>
      </c>
      <c r="T74" s="239">
        <v>0</v>
      </c>
      <c r="U74" s="239">
        <v>-803876</v>
      </c>
      <c r="V74" s="239">
        <v>-2526</v>
      </c>
      <c r="W74" s="239">
        <v>0</v>
      </c>
      <c r="X74" s="239">
        <v>-2526</v>
      </c>
      <c r="Y74" s="239">
        <v>-7695</v>
      </c>
      <c r="Z74" s="239">
        <v>0</v>
      </c>
      <c r="AA74" s="239">
        <v>-7695</v>
      </c>
      <c r="AB74" s="239">
        <v>-12312</v>
      </c>
      <c r="AC74" s="239">
        <v>0</v>
      </c>
      <c r="AD74" s="239">
        <v>-12312</v>
      </c>
      <c r="AE74" s="239">
        <v>-577</v>
      </c>
      <c r="AF74" s="239">
        <v>0</v>
      </c>
      <c r="AG74" s="239">
        <v>-577</v>
      </c>
      <c r="AH74" s="239">
        <v>3233361</v>
      </c>
      <c r="AI74" s="239">
        <v>0</v>
      </c>
      <c r="AJ74" s="239">
        <v>3233361</v>
      </c>
      <c r="AK74" s="239">
        <v>-6228</v>
      </c>
      <c r="AL74" s="239">
        <v>0</v>
      </c>
      <c r="AM74" s="239">
        <v>-6228</v>
      </c>
      <c r="AN74" s="239">
        <v>-2721547</v>
      </c>
      <c r="AO74" s="239">
        <v>0</v>
      </c>
      <c r="AP74" s="239">
        <v>-2721547</v>
      </c>
      <c r="AQ74" s="239">
        <v>14171</v>
      </c>
      <c r="AR74" s="239">
        <v>0</v>
      </c>
      <c r="AS74" s="239">
        <v>14171</v>
      </c>
      <c r="AT74" s="239">
        <v>-29024</v>
      </c>
      <c r="AU74" s="239">
        <v>0</v>
      </c>
      <c r="AV74" s="239">
        <v>-29024</v>
      </c>
      <c r="AW74" s="239">
        <v>0</v>
      </c>
      <c r="AX74" s="239">
        <v>0</v>
      </c>
      <c r="AY74" s="239">
        <v>0</v>
      </c>
      <c r="AZ74" s="239">
        <v>0</v>
      </c>
      <c r="BA74" s="239">
        <v>0</v>
      </c>
      <c r="BB74" s="239">
        <v>0</v>
      </c>
      <c r="BC74" s="239">
        <v>0</v>
      </c>
      <c r="BD74" s="239">
        <v>0</v>
      </c>
      <c r="BE74" s="239">
        <v>0</v>
      </c>
      <c r="BF74" s="239">
        <v>-320838</v>
      </c>
      <c r="BG74" s="239">
        <v>0</v>
      </c>
      <c r="BH74" s="239">
        <v>-320838</v>
      </c>
      <c r="BI74" s="239">
        <v>-32439</v>
      </c>
      <c r="BJ74" s="239">
        <v>0</v>
      </c>
      <c r="BK74" s="239">
        <v>-32439</v>
      </c>
      <c r="BL74" s="239">
        <v>-22658</v>
      </c>
      <c r="BM74" s="239">
        <v>0</v>
      </c>
      <c r="BN74" s="239">
        <v>-22658</v>
      </c>
      <c r="BO74" s="239">
        <v>-3315647</v>
      </c>
      <c r="BP74" s="239">
        <v>0</v>
      </c>
      <c r="BQ74" s="239">
        <v>-3315647</v>
      </c>
      <c r="BR74" s="239">
        <v>-253599</v>
      </c>
      <c r="BS74" s="239">
        <v>0</v>
      </c>
      <c r="BT74" s="239">
        <v>-253599</v>
      </c>
      <c r="BU74" s="239">
        <v>-3624343</v>
      </c>
      <c r="BV74" s="239">
        <v>0</v>
      </c>
      <c r="BW74" s="239">
        <v>-3624343</v>
      </c>
      <c r="BX74" s="239">
        <v>-294575</v>
      </c>
      <c r="BY74" s="239">
        <v>0</v>
      </c>
      <c r="BZ74" s="239">
        <v>-294575</v>
      </c>
      <c r="CA74" s="239">
        <v>-15825</v>
      </c>
      <c r="CB74" s="239">
        <v>0</v>
      </c>
      <c r="CC74" s="239">
        <v>-15825</v>
      </c>
      <c r="CD74" s="239">
        <v>-103033</v>
      </c>
      <c r="CE74" s="239">
        <v>0</v>
      </c>
      <c r="CF74" s="239">
        <v>-103033</v>
      </c>
      <c r="CG74" s="239">
        <v>0</v>
      </c>
      <c r="CH74" s="239">
        <v>0</v>
      </c>
      <c r="CI74" s="239">
        <v>0</v>
      </c>
      <c r="CJ74" s="239">
        <v>-1682</v>
      </c>
      <c r="CK74" s="239">
        <v>0</v>
      </c>
      <c r="CL74" s="239">
        <v>-1682</v>
      </c>
      <c r="CM74" s="239">
        <v>0</v>
      </c>
      <c r="CN74" s="239">
        <v>0</v>
      </c>
      <c r="CO74" s="239">
        <v>0</v>
      </c>
      <c r="CP74" s="239">
        <v>0</v>
      </c>
      <c r="CQ74" s="239">
        <v>0</v>
      </c>
      <c r="CR74" s="239">
        <v>0</v>
      </c>
      <c r="CS74" s="239">
        <v>0</v>
      </c>
      <c r="CT74" s="239">
        <v>0</v>
      </c>
      <c r="CU74" s="239">
        <v>0</v>
      </c>
      <c r="CV74" s="239">
        <v>0</v>
      </c>
      <c r="CW74" s="239">
        <v>0</v>
      </c>
      <c r="CX74" s="239">
        <v>0</v>
      </c>
      <c r="CY74" s="239">
        <v>0</v>
      </c>
      <c r="CZ74" s="239">
        <v>0</v>
      </c>
      <c r="DA74" s="239">
        <v>0</v>
      </c>
      <c r="DB74" s="239">
        <v>0</v>
      </c>
      <c r="DC74" s="239">
        <v>0</v>
      </c>
      <c r="DD74" s="239">
        <v>0</v>
      </c>
      <c r="DE74" s="239">
        <v>0</v>
      </c>
      <c r="DF74" s="239">
        <v>0</v>
      </c>
      <c r="DG74" s="239">
        <v>0</v>
      </c>
      <c r="DH74" s="239">
        <v>0</v>
      </c>
      <c r="DI74" s="239">
        <v>0</v>
      </c>
      <c r="DJ74" s="239">
        <v>-415115</v>
      </c>
      <c r="DK74" s="239">
        <v>0</v>
      </c>
      <c r="DL74" s="239">
        <v>-415115</v>
      </c>
      <c r="DM74" s="239">
        <v>-110885</v>
      </c>
      <c r="DN74" s="239">
        <v>0</v>
      </c>
      <c r="DO74" s="239">
        <v>-110885</v>
      </c>
      <c r="DP74" s="239">
        <v>0</v>
      </c>
      <c r="DQ74" s="239">
        <v>0</v>
      </c>
      <c r="DR74" s="239">
        <v>0</v>
      </c>
      <c r="DS74" s="239">
        <v>-77459</v>
      </c>
      <c r="DT74" s="239">
        <v>0</v>
      </c>
      <c r="DU74" s="239">
        <v>-77459</v>
      </c>
      <c r="DV74" s="239">
        <v>-1369</v>
      </c>
      <c r="DW74" s="239">
        <v>0</v>
      </c>
      <c r="DX74" s="239">
        <v>-1369</v>
      </c>
      <c r="DY74" s="239">
        <v>-384857</v>
      </c>
      <c r="DZ74" s="239">
        <v>0</v>
      </c>
      <c r="EA74" s="239">
        <v>-384857</v>
      </c>
      <c r="EB74" s="239">
        <v>-19907</v>
      </c>
      <c r="EC74" s="239">
        <v>0</v>
      </c>
      <c r="ED74" s="239">
        <v>-19907</v>
      </c>
      <c r="EE74" s="239">
        <v>0</v>
      </c>
      <c r="EF74" s="239">
        <v>0</v>
      </c>
      <c r="EG74" s="239">
        <v>0</v>
      </c>
      <c r="EH74" s="239">
        <v>0</v>
      </c>
      <c r="EI74" s="239">
        <v>0</v>
      </c>
      <c r="EJ74" s="239">
        <v>0</v>
      </c>
      <c r="EK74" s="239">
        <v>-4139</v>
      </c>
      <c r="EL74" s="239">
        <v>0</v>
      </c>
      <c r="EM74" s="239">
        <v>-4139</v>
      </c>
      <c r="EN74" s="239">
        <v>-598616</v>
      </c>
      <c r="EO74" s="239">
        <v>0</v>
      </c>
      <c r="EP74" s="239">
        <v>-598616</v>
      </c>
      <c r="EQ74" s="239">
        <v>0</v>
      </c>
      <c r="ER74" s="239">
        <v>0</v>
      </c>
      <c r="ES74" s="239">
        <v>0</v>
      </c>
      <c r="ET74" s="239">
        <v>0</v>
      </c>
      <c r="EU74" s="239">
        <v>0</v>
      </c>
      <c r="EV74" s="239">
        <v>0</v>
      </c>
      <c r="EW74" s="239">
        <v>0</v>
      </c>
      <c r="EX74" s="239">
        <v>0</v>
      </c>
      <c r="EY74" s="239">
        <v>0</v>
      </c>
      <c r="EZ74" s="239">
        <v>121879602</v>
      </c>
      <c r="FA74" s="239">
        <v>0</v>
      </c>
      <c r="FB74" s="239">
        <v>121879602</v>
      </c>
      <c r="FC74" s="239">
        <v>472291</v>
      </c>
      <c r="FD74" s="239">
        <v>0</v>
      </c>
      <c r="FE74" s="239">
        <v>472291</v>
      </c>
      <c r="FF74" s="239">
        <v>-320838</v>
      </c>
      <c r="FG74" s="239">
        <v>0</v>
      </c>
      <c r="FH74" s="239">
        <v>-320838</v>
      </c>
      <c r="FI74" s="239">
        <v>-3624343</v>
      </c>
      <c r="FJ74" s="239">
        <v>0</v>
      </c>
      <c r="FK74" s="239">
        <v>-3624343</v>
      </c>
      <c r="FL74" s="239">
        <v>-415115</v>
      </c>
      <c r="FM74" s="239">
        <v>0</v>
      </c>
      <c r="FN74" s="239">
        <v>-415115</v>
      </c>
      <c r="FO74" s="239">
        <v>-598616</v>
      </c>
      <c r="FP74" s="239">
        <v>0</v>
      </c>
      <c r="FQ74" s="239">
        <v>-598616</v>
      </c>
      <c r="FR74" s="239">
        <v>0</v>
      </c>
      <c r="FS74" s="239">
        <v>0</v>
      </c>
      <c r="FT74" s="239">
        <v>0</v>
      </c>
      <c r="FU74" s="239">
        <v>-4486621</v>
      </c>
      <c r="FV74" s="239">
        <v>0</v>
      </c>
      <c r="FW74" s="239">
        <v>-4486621</v>
      </c>
      <c r="FX74" s="239">
        <v>117392981</v>
      </c>
      <c r="FY74" s="239">
        <v>0</v>
      </c>
      <c r="FZ74" s="239">
        <v>117392981</v>
      </c>
      <c r="GA74" s="214" t="s">
        <v>1294</v>
      </c>
    </row>
    <row r="75" spans="1:183" s="214" customFormat="1" x14ac:dyDescent="0.2">
      <c r="A75" s="215" t="s">
        <v>1321</v>
      </c>
      <c r="B75" s="610" t="s">
        <v>233</v>
      </c>
      <c r="C75" s="610" t="s">
        <v>232</v>
      </c>
      <c r="D75" s="239">
        <v>0</v>
      </c>
      <c r="E75" s="239">
        <v>0</v>
      </c>
      <c r="F75" s="239">
        <v>0</v>
      </c>
      <c r="G75" s="239">
        <v>116568</v>
      </c>
      <c r="H75" s="239">
        <v>0</v>
      </c>
      <c r="I75" s="239">
        <v>116568</v>
      </c>
      <c r="J75" s="239">
        <v>0</v>
      </c>
      <c r="K75" s="239">
        <v>0</v>
      </c>
      <c r="L75" s="239">
        <v>0</v>
      </c>
      <c r="M75" s="239">
        <v>119609</v>
      </c>
      <c r="N75" s="239">
        <v>0</v>
      </c>
      <c r="O75" s="239">
        <v>119609</v>
      </c>
      <c r="P75" s="239">
        <v>236177</v>
      </c>
      <c r="Q75" s="239">
        <v>0</v>
      </c>
      <c r="R75" s="239">
        <v>236177</v>
      </c>
      <c r="S75" s="239">
        <v>-5963147</v>
      </c>
      <c r="T75" s="239">
        <v>0</v>
      </c>
      <c r="U75" s="239">
        <v>-5963147</v>
      </c>
      <c r="V75" s="239">
        <v>-130397</v>
      </c>
      <c r="W75" s="239">
        <v>0</v>
      </c>
      <c r="X75" s="239">
        <v>-130397</v>
      </c>
      <c r="Y75" s="239">
        <v>-224368</v>
      </c>
      <c r="Z75" s="239">
        <v>0</v>
      </c>
      <c r="AA75" s="239">
        <v>-224368</v>
      </c>
      <c r="AB75" s="239">
        <v>-135512</v>
      </c>
      <c r="AC75" s="239">
        <v>0</v>
      </c>
      <c r="AD75" s="239">
        <v>-135512</v>
      </c>
      <c r="AE75" s="239">
        <v>-6990</v>
      </c>
      <c r="AF75" s="239">
        <v>0</v>
      </c>
      <c r="AG75" s="239">
        <v>-6990</v>
      </c>
      <c r="AH75" s="239">
        <v>30420</v>
      </c>
      <c r="AI75" s="239">
        <v>0</v>
      </c>
      <c r="AJ75" s="239">
        <v>30420</v>
      </c>
      <c r="AK75" s="239">
        <v>1883</v>
      </c>
      <c r="AL75" s="239">
        <v>0</v>
      </c>
      <c r="AM75" s="239">
        <v>1883</v>
      </c>
      <c r="AN75" s="239">
        <v>-9087640</v>
      </c>
      <c r="AO75" s="239">
        <v>0</v>
      </c>
      <c r="AP75" s="239">
        <v>-9087640</v>
      </c>
      <c r="AQ75" s="239">
        <v>-325372</v>
      </c>
      <c r="AR75" s="239">
        <v>0</v>
      </c>
      <c r="AS75" s="239">
        <v>-325372</v>
      </c>
      <c r="AT75" s="239">
        <v>-168505</v>
      </c>
      <c r="AU75" s="239">
        <v>0</v>
      </c>
      <c r="AV75" s="239">
        <v>-168505</v>
      </c>
      <c r="AW75" s="239">
        <v>0</v>
      </c>
      <c r="AX75" s="239">
        <v>0</v>
      </c>
      <c r="AY75" s="239">
        <v>0</v>
      </c>
      <c r="AZ75" s="239">
        <v>0</v>
      </c>
      <c r="BA75" s="239">
        <v>0</v>
      </c>
      <c r="BB75" s="239">
        <v>0</v>
      </c>
      <c r="BC75" s="239">
        <v>0</v>
      </c>
      <c r="BD75" s="239">
        <v>0</v>
      </c>
      <c r="BE75" s="239">
        <v>0</v>
      </c>
      <c r="BF75" s="239">
        <v>-15736729</v>
      </c>
      <c r="BG75" s="239">
        <v>0</v>
      </c>
      <c r="BH75" s="239">
        <v>-15736729</v>
      </c>
      <c r="BI75" s="239">
        <v>-633809</v>
      </c>
      <c r="BJ75" s="239">
        <v>0</v>
      </c>
      <c r="BK75" s="239">
        <v>-633809</v>
      </c>
      <c r="BL75" s="239">
        <v>3828</v>
      </c>
      <c r="BM75" s="239">
        <v>0</v>
      </c>
      <c r="BN75" s="239">
        <v>3828</v>
      </c>
      <c r="BO75" s="239">
        <v>-8051432</v>
      </c>
      <c r="BP75" s="239">
        <v>0</v>
      </c>
      <c r="BQ75" s="239">
        <v>-8051432</v>
      </c>
      <c r="BR75" s="239">
        <v>562662</v>
      </c>
      <c r="BS75" s="239">
        <v>0</v>
      </c>
      <c r="BT75" s="239">
        <v>562662</v>
      </c>
      <c r="BU75" s="239">
        <v>-8118751</v>
      </c>
      <c r="BV75" s="239">
        <v>0</v>
      </c>
      <c r="BW75" s="239">
        <v>-8118751</v>
      </c>
      <c r="BX75" s="239">
        <v>-150917</v>
      </c>
      <c r="BY75" s="239">
        <v>0</v>
      </c>
      <c r="BZ75" s="239">
        <v>-150917</v>
      </c>
      <c r="CA75" s="239">
        <v>2458</v>
      </c>
      <c r="CB75" s="239">
        <v>0</v>
      </c>
      <c r="CC75" s="239">
        <v>2458</v>
      </c>
      <c r="CD75" s="239">
        <v>-68426</v>
      </c>
      <c r="CE75" s="239">
        <v>0</v>
      </c>
      <c r="CF75" s="239">
        <v>-68426</v>
      </c>
      <c r="CG75" s="239">
        <v>-18146</v>
      </c>
      <c r="CH75" s="239">
        <v>0</v>
      </c>
      <c r="CI75" s="239">
        <v>-18146</v>
      </c>
      <c r="CJ75" s="239">
        <v>0</v>
      </c>
      <c r="CK75" s="239">
        <v>0</v>
      </c>
      <c r="CL75" s="239">
        <v>0</v>
      </c>
      <c r="CM75" s="239">
        <v>0</v>
      </c>
      <c r="CN75" s="239">
        <v>0</v>
      </c>
      <c r="CO75" s="239">
        <v>0</v>
      </c>
      <c r="CP75" s="239">
        <v>0</v>
      </c>
      <c r="CQ75" s="239">
        <v>0</v>
      </c>
      <c r="CR75" s="239">
        <v>0</v>
      </c>
      <c r="CS75" s="239">
        <v>0</v>
      </c>
      <c r="CT75" s="239">
        <v>0</v>
      </c>
      <c r="CU75" s="239">
        <v>0</v>
      </c>
      <c r="CV75" s="239">
        <v>0</v>
      </c>
      <c r="CW75" s="239">
        <v>0</v>
      </c>
      <c r="CX75" s="239">
        <v>0</v>
      </c>
      <c r="CY75" s="239">
        <v>0</v>
      </c>
      <c r="CZ75" s="239">
        <v>0</v>
      </c>
      <c r="DA75" s="239">
        <v>0</v>
      </c>
      <c r="DB75" s="239">
        <v>-141249</v>
      </c>
      <c r="DC75" s="239">
        <v>0</v>
      </c>
      <c r="DD75" s="239">
        <v>-141249</v>
      </c>
      <c r="DE75" s="239">
        <v>5715</v>
      </c>
      <c r="DF75" s="239">
        <v>0</v>
      </c>
      <c r="DG75" s="239">
        <v>5715</v>
      </c>
      <c r="DH75" s="239">
        <v>0</v>
      </c>
      <c r="DI75" s="239">
        <v>-81188</v>
      </c>
      <c r="DJ75" s="239">
        <v>-370565</v>
      </c>
      <c r="DK75" s="239">
        <v>0</v>
      </c>
      <c r="DL75" s="239">
        <v>-370565</v>
      </c>
      <c r="DM75" s="239">
        <v>0</v>
      </c>
      <c r="DN75" s="239">
        <v>0</v>
      </c>
      <c r="DO75" s="239">
        <v>0</v>
      </c>
      <c r="DP75" s="239">
        <v>0</v>
      </c>
      <c r="DQ75" s="239">
        <v>0</v>
      </c>
      <c r="DR75" s="239">
        <v>0</v>
      </c>
      <c r="DS75" s="239">
        <v>-1219227</v>
      </c>
      <c r="DT75" s="239">
        <v>0</v>
      </c>
      <c r="DU75" s="239">
        <v>-1219227</v>
      </c>
      <c r="DV75" s="239">
        <v>-102113</v>
      </c>
      <c r="DW75" s="239">
        <v>0</v>
      </c>
      <c r="DX75" s="239">
        <v>-102113</v>
      </c>
      <c r="DY75" s="239">
        <v>0</v>
      </c>
      <c r="DZ75" s="239">
        <v>0</v>
      </c>
      <c r="EA75" s="239">
        <v>0</v>
      </c>
      <c r="EB75" s="239">
        <v>0</v>
      </c>
      <c r="EC75" s="239">
        <v>0</v>
      </c>
      <c r="ED75" s="239">
        <v>0</v>
      </c>
      <c r="EE75" s="239">
        <v>0</v>
      </c>
      <c r="EF75" s="239">
        <v>0</v>
      </c>
      <c r="EG75" s="239">
        <v>0</v>
      </c>
      <c r="EH75" s="239">
        <v>0</v>
      </c>
      <c r="EI75" s="239">
        <v>0</v>
      </c>
      <c r="EJ75" s="239">
        <v>0</v>
      </c>
      <c r="EK75" s="239">
        <v>0</v>
      </c>
      <c r="EL75" s="239">
        <v>0</v>
      </c>
      <c r="EM75" s="239">
        <v>0</v>
      </c>
      <c r="EN75" s="239">
        <v>-1321340</v>
      </c>
      <c r="EO75" s="239">
        <v>0</v>
      </c>
      <c r="EP75" s="239">
        <v>-1321340</v>
      </c>
      <c r="EQ75" s="239">
        <v>0</v>
      </c>
      <c r="ER75" s="239">
        <v>0</v>
      </c>
      <c r="ES75" s="239">
        <v>0</v>
      </c>
      <c r="ET75" s="239">
        <v>317</v>
      </c>
      <c r="EU75" s="239">
        <v>0</v>
      </c>
      <c r="EV75" s="239">
        <v>317</v>
      </c>
      <c r="EW75" s="239">
        <v>317</v>
      </c>
      <c r="EX75" s="239">
        <v>0</v>
      </c>
      <c r="EY75" s="239">
        <v>317</v>
      </c>
      <c r="EZ75" s="239">
        <v>135599631</v>
      </c>
      <c r="FA75" s="239">
        <v>0</v>
      </c>
      <c r="FB75" s="239">
        <v>135599631</v>
      </c>
      <c r="FC75" s="239">
        <v>236177</v>
      </c>
      <c r="FD75" s="239">
        <v>0</v>
      </c>
      <c r="FE75" s="239">
        <v>236177</v>
      </c>
      <c r="FF75" s="239">
        <v>-15736729</v>
      </c>
      <c r="FG75" s="239">
        <v>0</v>
      </c>
      <c r="FH75" s="239">
        <v>-15736729</v>
      </c>
      <c r="FI75" s="239">
        <v>-8118751</v>
      </c>
      <c r="FJ75" s="239">
        <v>0</v>
      </c>
      <c r="FK75" s="239">
        <v>-8118751</v>
      </c>
      <c r="FL75" s="239">
        <v>-370565</v>
      </c>
      <c r="FM75" s="239">
        <v>0</v>
      </c>
      <c r="FN75" s="239">
        <v>-370565</v>
      </c>
      <c r="FO75" s="239">
        <v>-1321340</v>
      </c>
      <c r="FP75" s="239">
        <v>0</v>
      </c>
      <c r="FQ75" s="239">
        <v>-1321340</v>
      </c>
      <c r="FR75" s="239">
        <v>317</v>
      </c>
      <c r="FS75" s="239">
        <v>0</v>
      </c>
      <c r="FT75" s="239">
        <v>317</v>
      </c>
      <c r="FU75" s="239">
        <v>-25310891</v>
      </c>
      <c r="FV75" s="239">
        <v>0</v>
      </c>
      <c r="FW75" s="239">
        <v>-25310891</v>
      </c>
      <c r="FX75" s="239">
        <v>110288740</v>
      </c>
      <c r="FY75" s="239">
        <v>0</v>
      </c>
      <c r="FZ75" s="239">
        <v>110288740</v>
      </c>
      <c r="GA75" s="214" t="s">
        <v>1295</v>
      </c>
    </row>
    <row r="76" spans="1:183" s="214" customFormat="1" x14ac:dyDescent="0.2">
      <c r="B76" s="610" t="s">
        <v>235</v>
      </c>
      <c r="C76" s="610" t="s">
        <v>234</v>
      </c>
      <c r="D76" s="239">
        <v>0</v>
      </c>
      <c r="E76" s="239">
        <v>0</v>
      </c>
      <c r="F76" s="239">
        <v>0</v>
      </c>
      <c r="G76" s="239">
        <v>-153927.09</v>
      </c>
      <c r="H76" s="239">
        <v>0</v>
      </c>
      <c r="I76" s="239">
        <v>-153927.09</v>
      </c>
      <c r="J76" s="239">
        <v>0</v>
      </c>
      <c r="K76" s="239">
        <v>0</v>
      </c>
      <c r="L76" s="239">
        <v>0</v>
      </c>
      <c r="M76" s="239">
        <v>573583.21</v>
      </c>
      <c r="N76" s="239">
        <v>0</v>
      </c>
      <c r="O76" s="239">
        <v>573583.21</v>
      </c>
      <c r="P76" s="239">
        <v>419656</v>
      </c>
      <c r="Q76" s="239">
        <v>0</v>
      </c>
      <c r="R76" s="239">
        <v>419656</v>
      </c>
      <c r="S76" s="239">
        <v>-2268269</v>
      </c>
      <c r="T76" s="239">
        <v>0</v>
      </c>
      <c r="U76" s="239">
        <v>-2268269</v>
      </c>
      <c r="V76" s="239">
        <v>0</v>
      </c>
      <c r="W76" s="239">
        <v>0</v>
      </c>
      <c r="X76" s="239">
        <v>0</v>
      </c>
      <c r="Y76" s="239">
        <v>-128093</v>
      </c>
      <c r="Z76" s="239">
        <v>0</v>
      </c>
      <c r="AA76" s="239">
        <v>-128093</v>
      </c>
      <c r="AB76" s="239">
        <v>-78735.149999999994</v>
      </c>
      <c r="AC76" s="239">
        <v>0</v>
      </c>
      <c r="AD76" s="239">
        <v>-78735.149999999994</v>
      </c>
      <c r="AE76" s="239">
        <v>0</v>
      </c>
      <c r="AF76" s="239">
        <v>0</v>
      </c>
      <c r="AG76" s="239">
        <v>0</v>
      </c>
      <c r="AH76" s="239">
        <v>1742770</v>
      </c>
      <c r="AI76" s="239">
        <v>0</v>
      </c>
      <c r="AJ76" s="239">
        <v>1742770</v>
      </c>
      <c r="AK76" s="239">
        <v>8736</v>
      </c>
      <c r="AL76" s="239">
        <v>0</v>
      </c>
      <c r="AM76" s="239">
        <v>8736</v>
      </c>
      <c r="AN76" s="239">
        <v>-3968416</v>
      </c>
      <c r="AO76" s="239">
        <v>0</v>
      </c>
      <c r="AP76" s="239">
        <v>-3968416</v>
      </c>
      <c r="AQ76" s="239">
        <v>39235</v>
      </c>
      <c r="AR76" s="239">
        <v>0</v>
      </c>
      <c r="AS76" s="239">
        <v>39235</v>
      </c>
      <c r="AT76" s="239">
        <v>-83051</v>
      </c>
      <c r="AU76" s="239">
        <v>0</v>
      </c>
      <c r="AV76" s="239">
        <v>-83051</v>
      </c>
      <c r="AW76" s="239">
        <v>-5668</v>
      </c>
      <c r="AX76" s="239">
        <v>0</v>
      </c>
      <c r="AY76" s="239">
        <v>-5668</v>
      </c>
      <c r="AZ76" s="239">
        <v>-4092</v>
      </c>
      <c r="BA76" s="239">
        <v>0</v>
      </c>
      <c r="BB76" s="239">
        <v>-4092</v>
      </c>
      <c r="BC76" s="239">
        <v>0</v>
      </c>
      <c r="BD76" s="239">
        <v>0</v>
      </c>
      <c r="BE76" s="239">
        <v>0</v>
      </c>
      <c r="BF76" s="239">
        <v>-4666848</v>
      </c>
      <c r="BG76" s="239">
        <v>0</v>
      </c>
      <c r="BH76" s="239">
        <v>-4666848</v>
      </c>
      <c r="BI76" s="239">
        <v>-91489</v>
      </c>
      <c r="BJ76" s="239">
        <v>0</v>
      </c>
      <c r="BK76" s="239">
        <v>-91489</v>
      </c>
      <c r="BL76" s="239">
        <v>-180615</v>
      </c>
      <c r="BM76" s="239">
        <v>0</v>
      </c>
      <c r="BN76" s="239">
        <v>-180615</v>
      </c>
      <c r="BO76" s="239">
        <v>-2028083</v>
      </c>
      <c r="BP76" s="239">
        <v>0</v>
      </c>
      <c r="BQ76" s="239">
        <v>-2028083</v>
      </c>
      <c r="BR76" s="239">
        <v>6003</v>
      </c>
      <c r="BS76" s="239">
        <v>0</v>
      </c>
      <c r="BT76" s="239">
        <v>6003</v>
      </c>
      <c r="BU76" s="239">
        <v>-2294184</v>
      </c>
      <c r="BV76" s="239">
        <v>0</v>
      </c>
      <c r="BW76" s="239">
        <v>-2294184</v>
      </c>
      <c r="BX76" s="239">
        <v>-243192</v>
      </c>
      <c r="BY76" s="239">
        <v>0</v>
      </c>
      <c r="BZ76" s="239">
        <v>-243192</v>
      </c>
      <c r="CA76" s="239">
        <v>-7901</v>
      </c>
      <c r="CB76" s="239">
        <v>0</v>
      </c>
      <c r="CC76" s="239">
        <v>-7901</v>
      </c>
      <c r="CD76" s="239">
        <v>-1836</v>
      </c>
      <c r="CE76" s="239">
        <v>0</v>
      </c>
      <c r="CF76" s="239">
        <v>-1836</v>
      </c>
      <c r="CG76" s="239">
        <v>4952</v>
      </c>
      <c r="CH76" s="239">
        <v>0</v>
      </c>
      <c r="CI76" s="239">
        <v>4952</v>
      </c>
      <c r="CJ76" s="239">
        <v>0</v>
      </c>
      <c r="CK76" s="239">
        <v>0</v>
      </c>
      <c r="CL76" s="239">
        <v>0</v>
      </c>
      <c r="CM76" s="239">
        <v>0</v>
      </c>
      <c r="CN76" s="239">
        <v>0</v>
      </c>
      <c r="CO76" s="239">
        <v>0</v>
      </c>
      <c r="CP76" s="239">
        <v>0</v>
      </c>
      <c r="CQ76" s="239">
        <v>0</v>
      </c>
      <c r="CR76" s="239">
        <v>0</v>
      </c>
      <c r="CS76" s="239">
        <v>0</v>
      </c>
      <c r="CT76" s="239">
        <v>0</v>
      </c>
      <c r="CU76" s="239">
        <v>0</v>
      </c>
      <c r="CV76" s="239">
        <v>-1997</v>
      </c>
      <c r="CW76" s="239">
        <v>0</v>
      </c>
      <c r="CX76" s="239">
        <v>-1997</v>
      </c>
      <c r="CY76" s="239">
        <v>0</v>
      </c>
      <c r="CZ76" s="239">
        <v>0</v>
      </c>
      <c r="DA76" s="239">
        <v>0</v>
      </c>
      <c r="DB76" s="239">
        <v>0</v>
      </c>
      <c r="DC76" s="239">
        <v>0</v>
      </c>
      <c r="DD76" s="239">
        <v>0</v>
      </c>
      <c r="DE76" s="239">
        <v>0</v>
      </c>
      <c r="DF76" s="239">
        <v>0</v>
      </c>
      <c r="DG76" s="239">
        <v>0</v>
      </c>
      <c r="DH76" s="239">
        <v>0</v>
      </c>
      <c r="DI76" s="239">
        <v>0</v>
      </c>
      <c r="DJ76" s="239">
        <v>-249974</v>
      </c>
      <c r="DK76" s="239">
        <v>0</v>
      </c>
      <c r="DL76" s="239">
        <v>-249974</v>
      </c>
      <c r="DM76" s="239">
        <v>0</v>
      </c>
      <c r="DN76" s="239">
        <v>0</v>
      </c>
      <c r="DO76" s="239">
        <v>0</v>
      </c>
      <c r="DP76" s="239">
        <v>0</v>
      </c>
      <c r="DQ76" s="239">
        <v>0</v>
      </c>
      <c r="DR76" s="239">
        <v>0</v>
      </c>
      <c r="DS76" s="239">
        <v>-28810</v>
      </c>
      <c r="DT76" s="239">
        <v>0</v>
      </c>
      <c r="DU76" s="239">
        <v>-28810</v>
      </c>
      <c r="DV76" s="239">
        <v>-6326</v>
      </c>
      <c r="DW76" s="239">
        <v>0</v>
      </c>
      <c r="DX76" s="239">
        <v>-6326</v>
      </c>
      <c r="DY76" s="239">
        <v>-854538</v>
      </c>
      <c r="DZ76" s="239">
        <v>0</v>
      </c>
      <c r="EA76" s="239">
        <v>-854538</v>
      </c>
      <c r="EB76" s="239">
        <v>-36115</v>
      </c>
      <c r="EC76" s="239">
        <v>0</v>
      </c>
      <c r="ED76" s="239">
        <v>-36115</v>
      </c>
      <c r="EE76" s="239">
        <v>0</v>
      </c>
      <c r="EF76" s="239">
        <v>0</v>
      </c>
      <c r="EG76" s="239">
        <v>0</v>
      </c>
      <c r="EH76" s="239">
        <v>0</v>
      </c>
      <c r="EI76" s="239">
        <v>0</v>
      </c>
      <c r="EJ76" s="239">
        <v>0</v>
      </c>
      <c r="EK76" s="239">
        <v>0</v>
      </c>
      <c r="EL76" s="239">
        <v>0</v>
      </c>
      <c r="EM76" s="239">
        <v>0</v>
      </c>
      <c r="EN76" s="239">
        <v>-925789</v>
      </c>
      <c r="EO76" s="239">
        <v>0</v>
      </c>
      <c r="EP76" s="239">
        <v>-925789</v>
      </c>
      <c r="EQ76" s="239">
        <v>0</v>
      </c>
      <c r="ER76" s="239">
        <v>0</v>
      </c>
      <c r="ES76" s="239">
        <v>0</v>
      </c>
      <c r="ET76" s="239">
        <v>0</v>
      </c>
      <c r="EU76" s="239">
        <v>0</v>
      </c>
      <c r="EV76" s="239">
        <v>0</v>
      </c>
      <c r="EW76" s="239">
        <v>0</v>
      </c>
      <c r="EX76" s="239">
        <v>0</v>
      </c>
      <c r="EY76" s="239">
        <v>0</v>
      </c>
      <c r="EZ76" s="239">
        <v>69458219</v>
      </c>
      <c r="FA76" s="239">
        <v>0</v>
      </c>
      <c r="FB76" s="239">
        <v>69458219</v>
      </c>
      <c r="FC76" s="239">
        <v>419656</v>
      </c>
      <c r="FD76" s="239">
        <v>0</v>
      </c>
      <c r="FE76" s="239">
        <v>419656</v>
      </c>
      <c r="FF76" s="239">
        <v>-4666848</v>
      </c>
      <c r="FG76" s="239">
        <v>0</v>
      </c>
      <c r="FH76" s="239">
        <v>-4666848</v>
      </c>
      <c r="FI76" s="239">
        <v>-2294184</v>
      </c>
      <c r="FJ76" s="239">
        <v>0</v>
      </c>
      <c r="FK76" s="239">
        <v>-2294184</v>
      </c>
      <c r="FL76" s="239">
        <v>-249974</v>
      </c>
      <c r="FM76" s="239">
        <v>0</v>
      </c>
      <c r="FN76" s="239">
        <v>-249974</v>
      </c>
      <c r="FO76" s="239">
        <v>-925789</v>
      </c>
      <c r="FP76" s="239">
        <v>0</v>
      </c>
      <c r="FQ76" s="239">
        <v>-925789</v>
      </c>
      <c r="FR76" s="239">
        <v>0</v>
      </c>
      <c r="FS76" s="239">
        <v>0</v>
      </c>
      <c r="FT76" s="239">
        <v>0</v>
      </c>
      <c r="FU76" s="239">
        <v>-7717139</v>
      </c>
      <c r="FV76" s="239">
        <v>0</v>
      </c>
      <c r="FW76" s="239">
        <v>-7717139</v>
      </c>
      <c r="FX76" s="239">
        <v>61741080</v>
      </c>
      <c r="FY76" s="239">
        <v>0</v>
      </c>
      <c r="FZ76" s="239">
        <v>61741080</v>
      </c>
      <c r="GA76" s="214" t="s">
        <v>1294</v>
      </c>
    </row>
    <row r="77" spans="1:183" s="214" customFormat="1" x14ac:dyDescent="0.2">
      <c r="B77" s="610" t="s">
        <v>237</v>
      </c>
      <c r="C77" s="610" t="s">
        <v>236</v>
      </c>
      <c r="D77" s="239">
        <v>0</v>
      </c>
      <c r="E77" s="239">
        <v>0</v>
      </c>
      <c r="F77" s="239">
        <v>0</v>
      </c>
      <c r="G77" s="239">
        <v>188751</v>
      </c>
      <c r="H77" s="239">
        <v>0</v>
      </c>
      <c r="I77" s="239">
        <v>188751</v>
      </c>
      <c r="J77" s="239">
        <v>0</v>
      </c>
      <c r="K77" s="239">
        <v>0</v>
      </c>
      <c r="L77" s="239">
        <v>0</v>
      </c>
      <c r="M77" s="239">
        <v>15929</v>
      </c>
      <c r="N77" s="239">
        <v>0</v>
      </c>
      <c r="O77" s="239">
        <v>15929</v>
      </c>
      <c r="P77" s="239">
        <v>204680</v>
      </c>
      <c r="Q77" s="239">
        <v>0</v>
      </c>
      <c r="R77" s="239">
        <v>204680</v>
      </c>
      <c r="S77" s="239">
        <v>-2401498</v>
      </c>
      <c r="T77" s="239">
        <v>0</v>
      </c>
      <c r="U77" s="239">
        <v>-2401498</v>
      </c>
      <c r="V77" s="239">
        <v>0</v>
      </c>
      <c r="W77" s="239">
        <v>0</v>
      </c>
      <c r="X77" s="239">
        <v>0</v>
      </c>
      <c r="Y77" s="239">
        <v>-220106</v>
      </c>
      <c r="Z77" s="239">
        <v>0</v>
      </c>
      <c r="AA77" s="239">
        <v>-220106</v>
      </c>
      <c r="AB77" s="239">
        <v>-155176</v>
      </c>
      <c r="AC77" s="239">
        <v>0</v>
      </c>
      <c r="AD77" s="239">
        <v>-155176</v>
      </c>
      <c r="AE77" s="239">
        <v>0</v>
      </c>
      <c r="AF77" s="239">
        <v>0</v>
      </c>
      <c r="AG77" s="239">
        <v>0</v>
      </c>
      <c r="AH77" s="239">
        <v>949974</v>
      </c>
      <c r="AI77" s="239">
        <v>0</v>
      </c>
      <c r="AJ77" s="239">
        <v>949974</v>
      </c>
      <c r="AK77" s="239">
        <v>-2581</v>
      </c>
      <c r="AL77" s="239">
        <v>0</v>
      </c>
      <c r="AM77" s="239">
        <v>-2581</v>
      </c>
      <c r="AN77" s="239">
        <v>-2605862</v>
      </c>
      <c r="AO77" s="239">
        <v>0</v>
      </c>
      <c r="AP77" s="239">
        <v>-2605862</v>
      </c>
      <c r="AQ77" s="239">
        <v>104693</v>
      </c>
      <c r="AR77" s="239">
        <v>0</v>
      </c>
      <c r="AS77" s="239">
        <v>104693</v>
      </c>
      <c r="AT77" s="239">
        <v>-53840</v>
      </c>
      <c r="AU77" s="239">
        <v>0</v>
      </c>
      <c r="AV77" s="239">
        <v>-53840</v>
      </c>
      <c r="AW77" s="239">
        <v>-8911</v>
      </c>
      <c r="AX77" s="239">
        <v>0</v>
      </c>
      <c r="AY77" s="239">
        <v>-8911</v>
      </c>
      <c r="AZ77" s="239">
        <v>-1159</v>
      </c>
      <c r="BA77" s="239">
        <v>0</v>
      </c>
      <c r="BB77" s="239">
        <v>-1159</v>
      </c>
      <c r="BC77" s="239">
        <v>8134</v>
      </c>
      <c r="BD77" s="239">
        <v>0</v>
      </c>
      <c r="BE77" s="239">
        <v>8134</v>
      </c>
      <c r="BF77" s="239">
        <v>-4231156</v>
      </c>
      <c r="BG77" s="239">
        <v>0</v>
      </c>
      <c r="BH77" s="239">
        <v>-4231156</v>
      </c>
      <c r="BI77" s="239">
        <v>-11119</v>
      </c>
      <c r="BJ77" s="239">
        <v>0</v>
      </c>
      <c r="BK77" s="239">
        <v>-11119</v>
      </c>
      <c r="BL77" s="239">
        <v>-1107</v>
      </c>
      <c r="BM77" s="239">
        <v>0</v>
      </c>
      <c r="BN77" s="239">
        <v>-1107</v>
      </c>
      <c r="BO77" s="239">
        <v>-1354772</v>
      </c>
      <c r="BP77" s="239">
        <v>0</v>
      </c>
      <c r="BQ77" s="239">
        <v>-1354772</v>
      </c>
      <c r="BR77" s="239">
        <v>33670</v>
      </c>
      <c r="BS77" s="239">
        <v>0</v>
      </c>
      <c r="BT77" s="239">
        <v>33670</v>
      </c>
      <c r="BU77" s="239">
        <v>-1333328</v>
      </c>
      <c r="BV77" s="239">
        <v>0</v>
      </c>
      <c r="BW77" s="239">
        <v>-1333328</v>
      </c>
      <c r="BX77" s="239">
        <v>-47464</v>
      </c>
      <c r="BY77" s="239">
        <v>0</v>
      </c>
      <c r="BZ77" s="239">
        <v>-47464</v>
      </c>
      <c r="CA77" s="239">
        <v>239</v>
      </c>
      <c r="CB77" s="239">
        <v>0</v>
      </c>
      <c r="CC77" s="239">
        <v>239</v>
      </c>
      <c r="CD77" s="239">
        <v>0</v>
      </c>
      <c r="CE77" s="239">
        <v>0</v>
      </c>
      <c r="CF77" s="239">
        <v>0</v>
      </c>
      <c r="CG77" s="239">
        <v>0</v>
      </c>
      <c r="CH77" s="239">
        <v>0</v>
      </c>
      <c r="CI77" s="239">
        <v>0</v>
      </c>
      <c r="CJ77" s="239">
        <v>0</v>
      </c>
      <c r="CK77" s="239">
        <v>0</v>
      </c>
      <c r="CL77" s="239">
        <v>0</v>
      </c>
      <c r="CM77" s="239">
        <v>0</v>
      </c>
      <c r="CN77" s="239">
        <v>0</v>
      </c>
      <c r="CO77" s="239">
        <v>0</v>
      </c>
      <c r="CP77" s="239">
        <v>0</v>
      </c>
      <c r="CQ77" s="239">
        <v>0</v>
      </c>
      <c r="CR77" s="239">
        <v>0</v>
      </c>
      <c r="CS77" s="239">
        <v>0</v>
      </c>
      <c r="CT77" s="239">
        <v>0</v>
      </c>
      <c r="CU77" s="239">
        <v>0</v>
      </c>
      <c r="CV77" s="239">
        <v>0</v>
      </c>
      <c r="CW77" s="239">
        <v>0</v>
      </c>
      <c r="CX77" s="239">
        <v>0</v>
      </c>
      <c r="CY77" s="239">
        <v>0</v>
      </c>
      <c r="CZ77" s="239">
        <v>0</v>
      </c>
      <c r="DA77" s="239">
        <v>0</v>
      </c>
      <c r="DB77" s="239">
        <v>-2432</v>
      </c>
      <c r="DC77" s="239">
        <v>0</v>
      </c>
      <c r="DD77" s="239">
        <v>-2432</v>
      </c>
      <c r="DE77" s="239">
        <v>0</v>
      </c>
      <c r="DF77" s="239">
        <v>0</v>
      </c>
      <c r="DG77" s="239">
        <v>0</v>
      </c>
      <c r="DH77" s="239">
        <v>0</v>
      </c>
      <c r="DI77" s="239">
        <v>0</v>
      </c>
      <c r="DJ77" s="239">
        <v>-49657</v>
      </c>
      <c r="DK77" s="239">
        <v>0</v>
      </c>
      <c r="DL77" s="239">
        <v>-49657</v>
      </c>
      <c r="DM77" s="239">
        <v>-94283</v>
      </c>
      <c r="DN77" s="239">
        <v>0</v>
      </c>
      <c r="DO77" s="239">
        <v>-94283</v>
      </c>
      <c r="DP77" s="239">
        <v>-1899</v>
      </c>
      <c r="DQ77" s="239">
        <v>0</v>
      </c>
      <c r="DR77" s="239">
        <v>-1899</v>
      </c>
      <c r="DS77" s="239">
        <v>-61647</v>
      </c>
      <c r="DT77" s="239">
        <v>0</v>
      </c>
      <c r="DU77" s="239">
        <v>-61647</v>
      </c>
      <c r="DV77" s="239">
        <v>-6663</v>
      </c>
      <c r="DW77" s="239">
        <v>0</v>
      </c>
      <c r="DX77" s="239">
        <v>-6663</v>
      </c>
      <c r="DY77" s="239">
        <v>-579782</v>
      </c>
      <c r="DZ77" s="239">
        <v>0</v>
      </c>
      <c r="EA77" s="239">
        <v>-579782</v>
      </c>
      <c r="EB77" s="239">
        <v>-72175</v>
      </c>
      <c r="EC77" s="239">
        <v>0</v>
      </c>
      <c r="ED77" s="239">
        <v>-72175</v>
      </c>
      <c r="EE77" s="239">
        <v>0</v>
      </c>
      <c r="EF77" s="239">
        <v>0</v>
      </c>
      <c r="EG77" s="239">
        <v>0</v>
      </c>
      <c r="EH77" s="239">
        <v>0</v>
      </c>
      <c r="EI77" s="239">
        <v>0</v>
      </c>
      <c r="EJ77" s="239">
        <v>0</v>
      </c>
      <c r="EK77" s="239">
        <v>0</v>
      </c>
      <c r="EL77" s="239">
        <v>0</v>
      </c>
      <c r="EM77" s="239">
        <v>0</v>
      </c>
      <c r="EN77" s="239">
        <v>-816449</v>
      </c>
      <c r="EO77" s="239">
        <v>0</v>
      </c>
      <c r="EP77" s="239">
        <v>-816449</v>
      </c>
      <c r="EQ77" s="239">
        <v>0</v>
      </c>
      <c r="ER77" s="239">
        <v>0</v>
      </c>
      <c r="ES77" s="239">
        <v>0</v>
      </c>
      <c r="ET77" s="239">
        <v>0</v>
      </c>
      <c r="EU77" s="239">
        <v>0</v>
      </c>
      <c r="EV77" s="239">
        <v>0</v>
      </c>
      <c r="EW77" s="239">
        <v>0</v>
      </c>
      <c r="EX77" s="239">
        <v>0</v>
      </c>
      <c r="EY77" s="239">
        <v>0</v>
      </c>
      <c r="EZ77" s="239">
        <v>39510536</v>
      </c>
      <c r="FA77" s="239">
        <v>0</v>
      </c>
      <c r="FB77" s="239">
        <v>39510536</v>
      </c>
      <c r="FC77" s="239">
        <v>204680</v>
      </c>
      <c r="FD77" s="239">
        <v>0</v>
      </c>
      <c r="FE77" s="239">
        <v>204680</v>
      </c>
      <c r="FF77" s="239">
        <v>-4231156</v>
      </c>
      <c r="FG77" s="239">
        <v>0</v>
      </c>
      <c r="FH77" s="239">
        <v>-4231156</v>
      </c>
      <c r="FI77" s="239">
        <v>-1333328</v>
      </c>
      <c r="FJ77" s="239">
        <v>0</v>
      </c>
      <c r="FK77" s="239">
        <v>-1333328</v>
      </c>
      <c r="FL77" s="239">
        <v>-49657</v>
      </c>
      <c r="FM77" s="239">
        <v>0</v>
      </c>
      <c r="FN77" s="239">
        <v>-49657</v>
      </c>
      <c r="FO77" s="239">
        <v>-816449</v>
      </c>
      <c r="FP77" s="239">
        <v>0</v>
      </c>
      <c r="FQ77" s="239">
        <v>-816449</v>
      </c>
      <c r="FR77" s="239">
        <v>0</v>
      </c>
      <c r="FS77" s="239">
        <v>0</v>
      </c>
      <c r="FT77" s="239">
        <v>0</v>
      </c>
      <c r="FU77" s="239">
        <v>-6225910</v>
      </c>
      <c r="FV77" s="239">
        <v>0</v>
      </c>
      <c r="FW77" s="239">
        <v>-6225910</v>
      </c>
      <c r="FX77" s="239">
        <v>33284626</v>
      </c>
      <c r="FY77" s="239">
        <v>0</v>
      </c>
      <c r="FZ77" s="239">
        <v>33284626</v>
      </c>
      <c r="GA77" s="214" t="s">
        <v>748</v>
      </c>
    </row>
    <row r="78" spans="1:183" s="214" customFormat="1" x14ac:dyDescent="0.2">
      <c r="B78" s="610" t="s">
        <v>239</v>
      </c>
      <c r="C78" s="610" t="s">
        <v>238</v>
      </c>
      <c r="D78" s="239">
        <v>0</v>
      </c>
      <c r="E78" s="239">
        <v>0</v>
      </c>
      <c r="F78" s="239">
        <v>0</v>
      </c>
      <c r="G78" s="239">
        <v>62378</v>
      </c>
      <c r="H78" s="239">
        <v>0</v>
      </c>
      <c r="I78" s="239">
        <v>62378</v>
      </c>
      <c r="J78" s="239">
        <v>0</v>
      </c>
      <c r="K78" s="239">
        <v>0</v>
      </c>
      <c r="L78" s="239">
        <v>0</v>
      </c>
      <c r="M78" s="239">
        <v>41796</v>
      </c>
      <c r="N78" s="239">
        <v>0</v>
      </c>
      <c r="O78" s="239">
        <v>41796</v>
      </c>
      <c r="P78" s="239">
        <v>104174</v>
      </c>
      <c r="Q78" s="239">
        <v>0</v>
      </c>
      <c r="R78" s="239">
        <v>104174</v>
      </c>
      <c r="S78" s="239">
        <v>-1407828</v>
      </c>
      <c r="T78" s="239">
        <v>0</v>
      </c>
      <c r="U78" s="239">
        <v>-1407828</v>
      </c>
      <c r="V78" s="239">
        <v>-78872</v>
      </c>
      <c r="W78" s="239">
        <v>0</v>
      </c>
      <c r="X78" s="239">
        <v>-78872</v>
      </c>
      <c r="Y78" s="239">
        <v>-100876</v>
      </c>
      <c r="Z78" s="239">
        <v>0</v>
      </c>
      <c r="AA78" s="239">
        <v>-100876</v>
      </c>
      <c r="AB78" s="239">
        <v>-68982</v>
      </c>
      <c r="AC78" s="239">
        <v>0</v>
      </c>
      <c r="AD78" s="239">
        <v>-68982</v>
      </c>
      <c r="AE78" s="239">
        <v>0</v>
      </c>
      <c r="AF78" s="239">
        <v>0</v>
      </c>
      <c r="AG78" s="239">
        <v>0</v>
      </c>
      <c r="AH78" s="239">
        <v>2421923</v>
      </c>
      <c r="AI78" s="239">
        <v>0</v>
      </c>
      <c r="AJ78" s="239">
        <v>2421923</v>
      </c>
      <c r="AK78" s="239">
        <v>-45708</v>
      </c>
      <c r="AL78" s="239">
        <v>0</v>
      </c>
      <c r="AM78" s="239">
        <v>-45708</v>
      </c>
      <c r="AN78" s="239">
        <v>-2635030</v>
      </c>
      <c r="AO78" s="239">
        <v>0</v>
      </c>
      <c r="AP78" s="239">
        <v>-2635030</v>
      </c>
      <c r="AQ78" s="239">
        <v>-42804</v>
      </c>
      <c r="AR78" s="239">
        <v>0</v>
      </c>
      <c r="AS78" s="239">
        <v>-42804</v>
      </c>
      <c r="AT78" s="239">
        <v>-51836</v>
      </c>
      <c r="AU78" s="239">
        <v>0</v>
      </c>
      <c r="AV78" s="239">
        <v>-51836</v>
      </c>
      <c r="AW78" s="239">
        <v>0</v>
      </c>
      <c r="AX78" s="239">
        <v>0</v>
      </c>
      <c r="AY78" s="239">
        <v>0</v>
      </c>
      <c r="AZ78" s="239">
        <v>0</v>
      </c>
      <c r="BA78" s="239">
        <v>0</v>
      </c>
      <c r="BB78" s="239">
        <v>0</v>
      </c>
      <c r="BC78" s="239">
        <v>0</v>
      </c>
      <c r="BD78" s="239">
        <v>0</v>
      </c>
      <c r="BE78" s="239">
        <v>0</v>
      </c>
      <c r="BF78" s="239">
        <v>-1862159</v>
      </c>
      <c r="BG78" s="239">
        <v>0</v>
      </c>
      <c r="BH78" s="239">
        <v>-1862159</v>
      </c>
      <c r="BI78" s="239">
        <v>-168735</v>
      </c>
      <c r="BJ78" s="239">
        <v>0</v>
      </c>
      <c r="BK78" s="239">
        <v>-168735</v>
      </c>
      <c r="BL78" s="239">
        <v>-84241</v>
      </c>
      <c r="BM78" s="239">
        <v>0</v>
      </c>
      <c r="BN78" s="239">
        <v>-84241</v>
      </c>
      <c r="BO78" s="239">
        <v>-2057017</v>
      </c>
      <c r="BP78" s="239">
        <v>0</v>
      </c>
      <c r="BQ78" s="239">
        <v>-2057017</v>
      </c>
      <c r="BR78" s="239">
        <v>45817</v>
      </c>
      <c r="BS78" s="239">
        <v>0</v>
      </c>
      <c r="BT78" s="239">
        <v>45817</v>
      </c>
      <c r="BU78" s="239">
        <v>-2264176</v>
      </c>
      <c r="BV78" s="239">
        <v>0</v>
      </c>
      <c r="BW78" s="239">
        <v>-2264176</v>
      </c>
      <c r="BX78" s="239">
        <v>-44257</v>
      </c>
      <c r="BY78" s="239">
        <v>0</v>
      </c>
      <c r="BZ78" s="239">
        <v>-44257</v>
      </c>
      <c r="CA78" s="239">
        <v>0</v>
      </c>
      <c r="CB78" s="239">
        <v>0</v>
      </c>
      <c r="CC78" s="239">
        <v>0</v>
      </c>
      <c r="CD78" s="239">
        <v>-202</v>
      </c>
      <c r="CE78" s="239">
        <v>0</v>
      </c>
      <c r="CF78" s="239">
        <v>-202</v>
      </c>
      <c r="CG78" s="239">
        <v>0</v>
      </c>
      <c r="CH78" s="239">
        <v>0</v>
      </c>
      <c r="CI78" s="239">
        <v>0</v>
      </c>
      <c r="CJ78" s="239">
        <v>-7987</v>
      </c>
      <c r="CK78" s="239">
        <v>0</v>
      </c>
      <c r="CL78" s="239">
        <v>-7987</v>
      </c>
      <c r="CM78" s="239">
        <v>0</v>
      </c>
      <c r="CN78" s="239">
        <v>0</v>
      </c>
      <c r="CO78" s="239">
        <v>0</v>
      </c>
      <c r="CP78" s="239">
        <v>0</v>
      </c>
      <c r="CQ78" s="239">
        <v>0</v>
      </c>
      <c r="CR78" s="239">
        <v>0</v>
      </c>
      <c r="CS78" s="239">
        <v>0</v>
      </c>
      <c r="CT78" s="239">
        <v>0</v>
      </c>
      <c r="CU78" s="239">
        <v>0</v>
      </c>
      <c r="CV78" s="239">
        <v>-2300</v>
      </c>
      <c r="CW78" s="239">
        <v>0</v>
      </c>
      <c r="CX78" s="239">
        <v>-2300</v>
      </c>
      <c r="CY78" s="239">
        <v>-548</v>
      </c>
      <c r="CZ78" s="239">
        <v>0</v>
      </c>
      <c r="DA78" s="239">
        <v>-548</v>
      </c>
      <c r="DB78" s="239">
        <v>-2500</v>
      </c>
      <c r="DC78" s="239">
        <v>0</v>
      </c>
      <c r="DD78" s="239">
        <v>-2500</v>
      </c>
      <c r="DE78" s="239">
        <v>0</v>
      </c>
      <c r="DF78" s="239">
        <v>0</v>
      </c>
      <c r="DG78" s="239">
        <v>0</v>
      </c>
      <c r="DH78" s="239">
        <v>0</v>
      </c>
      <c r="DI78" s="239">
        <v>0</v>
      </c>
      <c r="DJ78" s="239">
        <v>-57794</v>
      </c>
      <c r="DK78" s="239">
        <v>0</v>
      </c>
      <c r="DL78" s="239">
        <v>-57794</v>
      </c>
      <c r="DM78" s="239">
        <v>-190478</v>
      </c>
      <c r="DN78" s="239">
        <v>0</v>
      </c>
      <c r="DO78" s="239">
        <v>-190478</v>
      </c>
      <c r="DP78" s="239">
        <v>-83323</v>
      </c>
      <c r="DQ78" s="239">
        <v>0</v>
      </c>
      <c r="DR78" s="239">
        <v>-83323</v>
      </c>
      <c r="DS78" s="239">
        <v>-9623</v>
      </c>
      <c r="DT78" s="239">
        <v>0</v>
      </c>
      <c r="DU78" s="239">
        <v>-9623</v>
      </c>
      <c r="DV78" s="239">
        <v>-226</v>
      </c>
      <c r="DW78" s="239">
        <v>0</v>
      </c>
      <c r="DX78" s="239">
        <v>-226</v>
      </c>
      <c r="DY78" s="239">
        <v>-268305</v>
      </c>
      <c r="DZ78" s="239">
        <v>0</v>
      </c>
      <c r="EA78" s="239">
        <v>-268305</v>
      </c>
      <c r="EB78" s="239">
        <v>-24953</v>
      </c>
      <c r="EC78" s="239">
        <v>0</v>
      </c>
      <c r="ED78" s="239">
        <v>-24953</v>
      </c>
      <c r="EE78" s="239">
        <v>0</v>
      </c>
      <c r="EF78" s="239">
        <v>0</v>
      </c>
      <c r="EG78" s="239">
        <v>0</v>
      </c>
      <c r="EH78" s="239">
        <v>0</v>
      </c>
      <c r="EI78" s="239">
        <v>0</v>
      </c>
      <c r="EJ78" s="239">
        <v>0</v>
      </c>
      <c r="EK78" s="239">
        <v>-3667</v>
      </c>
      <c r="EL78" s="239">
        <v>0</v>
      </c>
      <c r="EM78" s="239">
        <v>-3667</v>
      </c>
      <c r="EN78" s="239">
        <v>-580575</v>
      </c>
      <c r="EO78" s="239">
        <v>0</v>
      </c>
      <c r="EP78" s="239">
        <v>-580575</v>
      </c>
      <c r="EQ78" s="239">
        <v>0</v>
      </c>
      <c r="ER78" s="239">
        <v>0</v>
      </c>
      <c r="ES78" s="239">
        <v>0</v>
      </c>
      <c r="ET78" s="239">
        <v>0</v>
      </c>
      <c r="EU78" s="239">
        <v>0</v>
      </c>
      <c r="EV78" s="239">
        <v>0</v>
      </c>
      <c r="EW78" s="239">
        <v>0</v>
      </c>
      <c r="EX78" s="239">
        <v>0</v>
      </c>
      <c r="EY78" s="239">
        <v>0</v>
      </c>
      <c r="EZ78" s="239">
        <v>92262385</v>
      </c>
      <c r="FA78" s="239">
        <v>0</v>
      </c>
      <c r="FB78" s="239">
        <v>92262385</v>
      </c>
      <c r="FC78" s="239">
        <v>104174</v>
      </c>
      <c r="FD78" s="239">
        <v>0</v>
      </c>
      <c r="FE78" s="239">
        <v>104174</v>
      </c>
      <c r="FF78" s="239">
        <v>-1862159</v>
      </c>
      <c r="FG78" s="239">
        <v>0</v>
      </c>
      <c r="FH78" s="239">
        <v>-1862159</v>
      </c>
      <c r="FI78" s="239">
        <v>-2264176</v>
      </c>
      <c r="FJ78" s="239">
        <v>0</v>
      </c>
      <c r="FK78" s="239">
        <v>-2264176</v>
      </c>
      <c r="FL78" s="239">
        <v>-57794</v>
      </c>
      <c r="FM78" s="239">
        <v>0</v>
      </c>
      <c r="FN78" s="239">
        <v>-57794</v>
      </c>
      <c r="FO78" s="239">
        <v>-580575</v>
      </c>
      <c r="FP78" s="239">
        <v>0</v>
      </c>
      <c r="FQ78" s="239">
        <v>-580575</v>
      </c>
      <c r="FR78" s="239">
        <v>0</v>
      </c>
      <c r="FS78" s="239">
        <v>0</v>
      </c>
      <c r="FT78" s="239">
        <v>0</v>
      </c>
      <c r="FU78" s="239">
        <v>-4660530</v>
      </c>
      <c r="FV78" s="239">
        <v>0</v>
      </c>
      <c r="FW78" s="239">
        <v>-4660530</v>
      </c>
      <c r="FX78" s="239">
        <v>87601855</v>
      </c>
      <c r="FY78" s="239">
        <v>0</v>
      </c>
      <c r="FZ78" s="239">
        <v>87601855</v>
      </c>
      <c r="GA78" s="214" t="s">
        <v>1294</v>
      </c>
    </row>
    <row r="79" spans="1:183" s="214" customFormat="1" x14ac:dyDescent="0.2">
      <c r="B79" s="610" t="s">
        <v>241</v>
      </c>
      <c r="C79" s="610" t="s">
        <v>240</v>
      </c>
      <c r="D79" s="239">
        <v>0</v>
      </c>
      <c r="E79" s="239">
        <v>0</v>
      </c>
      <c r="F79" s="239">
        <v>0</v>
      </c>
      <c r="G79" s="239">
        <v>636</v>
      </c>
      <c r="H79" s="239">
        <v>0</v>
      </c>
      <c r="I79" s="239">
        <v>636</v>
      </c>
      <c r="J79" s="239">
        <v>0</v>
      </c>
      <c r="K79" s="239">
        <v>0</v>
      </c>
      <c r="L79" s="239">
        <v>0</v>
      </c>
      <c r="M79" s="239">
        <v>3833</v>
      </c>
      <c r="N79" s="239">
        <v>0</v>
      </c>
      <c r="O79" s="239">
        <v>3833</v>
      </c>
      <c r="P79" s="239">
        <v>4469</v>
      </c>
      <c r="Q79" s="239">
        <v>0</v>
      </c>
      <c r="R79" s="239">
        <v>4469</v>
      </c>
      <c r="S79" s="239">
        <v>-1697480</v>
      </c>
      <c r="T79" s="239">
        <v>0</v>
      </c>
      <c r="U79" s="239">
        <v>-1697480</v>
      </c>
      <c r="V79" s="239">
        <v>0</v>
      </c>
      <c r="W79" s="239">
        <v>0</v>
      </c>
      <c r="X79" s="239">
        <v>0</v>
      </c>
      <c r="Y79" s="239">
        <v>-130990</v>
      </c>
      <c r="Z79" s="239">
        <v>0</v>
      </c>
      <c r="AA79" s="239">
        <v>-130990</v>
      </c>
      <c r="AB79" s="239">
        <v>-131047</v>
      </c>
      <c r="AC79" s="239">
        <v>0</v>
      </c>
      <c r="AD79" s="239">
        <v>-131047</v>
      </c>
      <c r="AE79" s="239">
        <v>57</v>
      </c>
      <c r="AF79" s="239">
        <v>0</v>
      </c>
      <c r="AG79" s="239">
        <v>57</v>
      </c>
      <c r="AH79" s="239">
        <v>1161383</v>
      </c>
      <c r="AI79" s="239">
        <v>0</v>
      </c>
      <c r="AJ79" s="239">
        <v>1161383</v>
      </c>
      <c r="AK79" s="239">
        <v>263</v>
      </c>
      <c r="AL79" s="239">
        <v>0</v>
      </c>
      <c r="AM79" s="239">
        <v>263</v>
      </c>
      <c r="AN79" s="239">
        <v>-1789315</v>
      </c>
      <c r="AO79" s="239">
        <v>0</v>
      </c>
      <c r="AP79" s="239">
        <v>-1789315</v>
      </c>
      <c r="AQ79" s="239">
        <v>-35977</v>
      </c>
      <c r="AR79" s="239">
        <v>0</v>
      </c>
      <c r="AS79" s="239">
        <v>-35977</v>
      </c>
      <c r="AT79" s="239">
        <v>-23871</v>
      </c>
      <c r="AU79" s="239">
        <v>0</v>
      </c>
      <c r="AV79" s="239">
        <v>-23871</v>
      </c>
      <c r="AW79" s="239">
        <v>-2</v>
      </c>
      <c r="AX79" s="239">
        <v>0</v>
      </c>
      <c r="AY79" s="239">
        <v>-2</v>
      </c>
      <c r="AZ79" s="239">
        <v>-42246</v>
      </c>
      <c r="BA79" s="239">
        <v>0</v>
      </c>
      <c r="BB79" s="239">
        <v>-42246</v>
      </c>
      <c r="BC79" s="239">
        <v>-24</v>
      </c>
      <c r="BD79" s="239">
        <v>0</v>
      </c>
      <c r="BE79" s="239">
        <v>-24</v>
      </c>
      <c r="BF79" s="239">
        <v>-2558259</v>
      </c>
      <c r="BG79" s="239">
        <v>0</v>
      </c>
      <c r="BH79" s="239">
        <v>-2558259</v>
      </c>
      <c r="BI79" s="239">
        <v>-341763</v>
      </c>
      <c r="BJ79" s="239">
        <v>0</v>
      </c>
      <c r="BK79" s="239">
        <v>-341763</v>
      </c>
      <c r="BL79" s="239">
        <v>-3246</v>
      </c>
      <c r="BM79" s="239">
        <v>0</v>
      </c>
      <c r="BN79" s="239">
        <v>-3246</v>
      </c>
      <c r="BO79" s="239">
        <v>-866305</v>
      </c>
      <c r="BP79" s="239">
        <v>0</v>
      </c>
      <c r="BQ79" s="239">
        <v>-866305</v>
      </c>
      <c r="BR79" s="239">
        <v>-215263</v>
      </c>
      <c r="BS79" s="239">
        <v>0</v>
      </c>
      <c r="BT79" s="239">
        <v>-215263</v>
      </c>
      <c r="BU79" s="239">
        <v>-1426577</v>
      </c>
      <c r="BV79" s="239">
        <v>0</v>
      </c>
      <c r="BW79" s="239">
        <v>-1426577</v>
      </c>
      <c r="BX79" s="239">
        <v>-44625</v>
      </c>
      <c r="BY79" s="239">
        <v>0</v>
      </c>
      <c r="BZ79" s="239">
        <v>-44625</v>
      </c>
      <c r="CA79" s="239">
        <v>-4073</v>
      </c>
      <c r="CB79" s="239">
        <v>0</v>
      </c>
      <c r="CC79" s="239">
        <v>-4073</v>
      </c>
      <c r="CD79" s="239">
        <v>-14029</v>
      </c>
      <c r="CE79" s="239">
        <v>0</v>
      </c>
      <c r="CF79" s="239">
        <v>-14029</v>
      </c>
      <c r="CG79" s="239">
        <v>6287</v>
      </c>
      <c r="CH79" s="239">
        <v>0</v>
      </c>
      <c r="CI79" s="239">
        <v>6287</v>
      </c>
      <c r="CJ79" s="239">
        <v>-389</v>
      </c>
      <c r="CK79" s="239">
        <v>0</v>
      </c>
      <c r="CL79" s="239">
        <v>-389</v>
      </c>
      <c r="CM79" s="239">
        <v>0</v>
      </c>
      <c r="CN79" s="239">
        <v>0</v>
      </c>
      <c r="CO79" s="239">
        <v>0</v>
      </c>
      <c r="CP79" s="239">
        <v>-1263</v>
      </c>
      <c r="CQ79" s="239">
        <v>0</v>
      </c>
      <c r="CR79" s="239">
        <v>-1263</v>
      </c>
      <c r="CS79" s="239">
        <v>-1235</v>
      </c>
      <c r="CT79" s="239">
        <v>0</v>
      </c>
      <c r="CU79" s="239">
        <v>-1235</v>
      </c>
      <c r="CV79" s="239">
        <v>0</v>
      </c>
      <c r="CW79" s="239">
        <v>0</v>
      </c>
      <c r="CX79" s="239">
        <v>0</v>
      </c>
      <c r="CY79" s="239">
        <v>0</v>
      </c>
      <c r="CZ79" s="239">
        <v>0</v>
      </c>
      <c r="DA79" s="239">
        <v>0</v>
      </c>
      <c r="DB79" s="239">
        <v>0</v>
      </c>
      <c r="DC79" s="239">
        <v>0</v>
      </c>
      <c r="DD79" s="239">
        <v>0</v>
      </c>
      <c r="DE79" s="239">
        <v>0</v>
      </c>
      <c r="DF79" s="239">
        <v>0</v>
      </c>
      <c r="DG79" s="239">
        <v>0</v>
      </c>
      <c r="DH79" s="239">
        <v>0</v>
      </c>
      <c r="DI79" s="239">
        <v>0</v>
      </c>
      <c r="DJ79" s="239">
        <v>-59327</v>
      </c>
      <c r="DK79" s="239">
        <v>0</v>
      </c>
      <c r="DL79" s="239">
        <v>-59327</v>
      </c>
      <c r="DM79" s="239">
        <v>0</v>
      </c>
      <c r="DN79" s="239">
        <v>0</v>
      </c>
      <c r="DO79" s="239">
        <v>0</v>
      </c>
      <c r="DP79" s="239">
        <v>0</v>
      </c>
      <c r="DQ79" s="239">
        <v>0</v>
      </c>
      <c r="DR79" s="239">
        <v>0</v>
      </c>
      <c r="DS79" s="239">
        <v>0</v>
      </c>
      <c r="DT79" s="239">
        <v>0</v>
      </c>
      <c r="DU79" s="239">
        <v>0</v>
      </c>
      <c r="DV79" s="239">
        <v>0</v>
      </c>
      <c r="DW79" s="239">
        <v>0</v>
      </c>
      <c r="DX79" s="239">
        <v>0</v>
      </c>
      <c r="DY79" s="239">
        <v>-336947</v>
      </c>
      <c r="DZ79" s="239">
        <v>0</v>
      </c>
      <c r="EA79" s="239">
        <v>-336947</v>
      </c>
      <c r="EB79" s="239">
        <v>3793</v>
      </c>
      <c r="EC79" s="239">
        <v>0</v>
      </c>
      <c r="ED79" s="239">
        <v>3793</v>
      </c>
      <c r="EE79" s="239">
        <v>0</v>
      </c>
      <c r="EF79" s="239">
        <v>0</v>
      </c>
      <c r="EG79" s="239">
        <v>0</v>
      </c>
      <c r="EH79" s="239">
        <v>0</v>
      </c>
      <c r="EI79" s="239">
        <v>0</v>
      </c>
      <c r="EJ79" s="239">
        <v>0</v>
      </c>
      <c r="EK79" s="239">
        <v>0</v>
      </c>
      <c r="EL79" s="239">
        <v>0</v>
      </c>
      <c r="EM79" s="239">
        <v>0</v>
      </c>
      <c r="EN79" s="239">
        <v>-333154</v>
      </c>
      <c r="EO79" s="239">
        <v>0</v>
      </c>
      <c r="EP79" s="239">
        <v>-333154</v>
      </c>
      <c r="EQ79" s="239">
        <v>0</v>
      </c>
      <c r="ER79" s="239">
        <v>0</v>
      </c>
      <c r="ES79" s="239">
        <v>0</v>
      </c>
      <c r="ET79" s="239">
        <v>0</v>
      </c>
      <c r="EU79" s="239">
        <v>0</v>
      </c>
      <c r="EV79" s="239">
        <v>0</v>
      </c>
      <c r="EW79" s="239">
        <v>0</v>
      </c>
      <c r="EX79" s="239">
        <v>0</v>
      </c>
      <c r="EY79" s="239">
        <v>0</v>
      </c>
      <c r="EZ79" s="239">
        <v>47973174</v>
      </c>
      <c r="FA79" s="239">
        <v>0</v>
      </c>
      <c r="FB79" s="239">
        <v>47973174</v>
      </c>
      <c r="FC79" s="239">
        <v>4469</v>
      </c>
      <c r="FD79" s="239">
        <v>0</v>
      </c>
      <c r="FE79" s="239">
        <v>4469</v>
      </c>
      <c r="FF79" s="239">
        <v>-2558259</v>
      </c>
      <c r="FG79" s="239">
        <v>0</v>
      </c>
      <c r="FH79" s="239">
        <v>-2558259</v>
      </c>
      <c r="FI79" s="239">
        <v>-1426577</v>
      </c>
      <c r="FJ79" s="239">
        <v>0</v>
      </c>
      <c r="FK79" s="239">
        <v>-1426577</v>
      </c>
      <c r="FL79" s="239">
        <v>-59327</v>
      </c>
      <c r="FM79" s="239">
        <v>0</v>
      </c>
      <c r="FN79" s="239">
        <v>-59327</v>
      </c>
      <c r="FO79" s="239">
        <v>-333154</v>
      </c>
      <c r="FP79" s="239">
        <v>0</v>
      </c>
      <c r="FQ79" s="239">
        <v>-333154</v>
      </c>
      <c r="FR79" s="239">
        <v>0</v>
      </c>
      <c r="FS79" s="239">
        <v>0</v>
      </c>
      <c r="FT79" s="239">
        <v>0</v>
      </c>
      <c r="FU79" s="239">
        <v>-4372848</v>
      </c>
      <c r="FV79" s="239">
        <v>0</v>
      </c>
      <c r="FW79" s="239">
        <v>-4372848</v>
      </c>
      <c r="FX79" s="239">
        <v>43600326</v>
      </c>
      <c r="FY79" s="239">
        <v>0</v>
      </c>
      <c r="FZ79" s="239">
        <v>43600326</v>
      </c>
      <c r="GA79" s="214" t="s">
        <v>1294</v>
      </c>
    </row>
    <row r="80" spans="1:183" s="214" customFormat="1" x14ac:dyDescent="0.2">
      <c r="B80" s="610" t="s">
        <v>243</v>
      </c>
      <c r="C80" s="610" t="s">
        <v>242</v>
      </c>
      <c r="D80" s="239">
        <v>0</v>
      </c>
      <c r="E80" s="239">
        <v>0</v>
      </c>
      <c r="F80" s="239">
        <v>0</v>
      </c>
      <c r="G80" s="239">
        <v>90558</v>
      </c>
      <c r="H80" s="239">
        <v>0</v>
      </c>
      <c r="I80" s="239">
        <v>90558</v>
      </c>
      <c r="J80" s="239">
        <v>0</v>
      </c>
      <c r="K80" s="239">
        <v>0</v>
      </c>
      <c r="L80" s="239">
        <v>0</v>
      </c>
      <c r="M80" s="239">
        <v>24243</v>
      </c>
      <c r="N80" s="239">
        <v>0</v>
      </c>
      <c r="O80" s="239">
        <v>24243</v>
      </c>
      <c r="P80" s="239">
        <v>114801</v>
      </c>
      <c r="Q80" s="239">
        <v>0</v>
      </c>
      <c r="R80" s="239">
        <v>114801</v>
      </c>
      <c r="S80" s="239">
        <v>-4306382</v>
      </c>
      <c r="T80" s="239">
        <v>0</v>
      </c>
      <c r="U80" s="239">
        <v>-4306382</v>
      </c>
      <c r="V80" s="239">
        <v>0</v>
      </c>
      <c r="W80" s="239">
        <v>0</v>
      </c>
      <c r="X80" s="239">
        <v>0</v>
      </c>
      <c r="Y80" s="239">
        <v>-221681</v>
      </c>
      <c r="Z80" s="239">
        <v>0</v>
      </c>
      <c r="AA80" s="239">
        <v>-221681</v>
      </c>
      <c r="AB80" s="239">
        <v>-159832</v>
      </c>
      <c r="AC80" s="239">
        <v>0</v>
      </c>
      <c r="AD80" s="239">
        <v>-159832</v>
      </c>
      <c r="AE80" s="239">
        <v>0</v>
      </c>
      <c r="AF80" s="239">
        <v>0</v>
      </c>
      <c r="AG80" s="239">
        <v>0</v>
      </c>
      <c r="AH80" s="239">
        <v>2466687</v>
      </c>
      <c r="AI80" s="239">
        <v>0</v>
      </c>
      <c r="AJ80" s="239">
        <v>2466687</v>
      </c>
      <c r="AK80" s="239">
        <v>-34207</v>
      </c>
      <c r="AL80" s="239">
        <v>0</v>
      </c>
      <c r="AM80" s="239">
        <v>-34207</v>
      </c>
      <c r="AN80" s="239">
        <v>-5550535</v>
      </c>
      <c r="AO80" s="239">
        <v>0</v>
      </c>
      <c r="AP80" s="239">
        <v>-5550535</v>
      </c>
      <c r="AQ80" s="239">
        <v>143422</v>
      </c>
      <c r="AR80" s="239">
        <v>0</v>
      </c>
      <c r="AS80" s="239">
        <v>143422</v>
      </c>
      <c r="AT80" s="239">
        <v>-34510</v>
      </c>
      <c r="AU80" s="239">
        <v>0</v>
      </c>
      <c r="AV80" s="239">
        <v>-34510</v>
      </c>
      <c r="AW80" s="239">
        <v>0</v>
      </c>
      <c r="AX80" s="239">
        <v>0</v>
      </c>
      <c r="AY80" s="239">
        <v>0</v>
      </c>
      <c r="AZ80" s="239">
        <v>0</v>
      </c>
      <c r="BA80" s="239">
        <v>0</v>
      </c>
      <c r="BB80" s="239">
        <v>0</v>
      </c>
      <c r="BC80" s="239">
        <v>0</v>
      </c>
      <c r="BD80" s="239">
        <v>0</v>
      </c>
      <c r="BE80" s="239">
        <v>0</v>
      </c>
      <c r="BF80" s="239">
        <v>-7537206</v>
      </c>
      <c r="BG80" s="239">
        <v>0</v>
      </c>
      <c r="BH80" s="239">
        <v>-7537206</v>
      </c>
      <c r="BI80" s="239">
        <v>-79347</v>
      </c>
      <c r="BJ80" s="239">
        <v>0</v>
      </c>
      <c r="BK80" s="239">
        <v>-79347</v>
      </c>
      <c r="BL80" s="239">
        <v>-21555</v>
      </c>
      <c r="BM80" s="239">
        <v>0</v>
      </c>
      <c r="BN80" s="239">
        <v>-21555</v>
      </c>
      <c r="BO80" s="239">
        <v>-3258053</v>
      </c>
      <c r="BP80" s="239">
        <v>0</v>
      </c>
      <c r="BQ80" s="239">
        <v>-3258053</v>
      </c>
      <c r="BR80" s="239">
        <v>-35597</v>
      </c>
      <c r="BS80" s="239">
        <v>0</v>
      </c>
      <c r="BT80" s="239">
        <v>-35597</v>
      </c>
      <c r="BU80" s="239">
        <v>-3394552</v>
      </c>
      <c r="BV80" s="239">
        <v>0</v>
      </c>
      <c r="BW80" s="239">
        <v>-3394552</v>
      </c>
      <c r="BX80" s="239">
        <v>-65137</v>
      </c>
      <c r="BY80" s="239">
        <v>0</v>
      </c>
      <c r="BZ80" s="239">
        <v>-65137</v>
      </c>
      <c r="CA80" s="239">
        <v>-1586</v>
      </c>
      <c r="CB80" s="239">
        <v>0</v>
      </c>
      <c r="CC80" s="239">
        <v>-1586</v>
      </c>
      <c r="CD80" s="239">
        <v>-161406</v>
      </c>
      <c r="CE80" s="239">
        <v>0</v>
      </c>
      <c r="CF80" s="239">
        <v>-161406</v>
      </c>
      <c r="CG80" s="239">
        <v>894</v>
      </c>
      <c r="CH80" s="239">
        <v>0</v>
      </c>
      <c r="CI80" s="239">
        <v>894</v>
      </c>
      <c r="CJ80" s="239">
        <v>-8628</v>
      </c>
      <c r="CK80" s="239">
        <v>0</v>
      </c>
      <c r="CL80" s="239">
        <v>-8628</v>
      </c>
      <c r="CM80" s="239">
        <v>0</v>
      </c>
      <c r="CN80" s="239">
        <v>0</v>
      </c>
      <c r="CO80" s="239">
        <v>0</v>
      </c>
      <c r="CP80" s="239">
        <v>0</v>
      </c>
      <c r="CQ80" s="239">
        <v>0</v>
      </c>
      <c r="CR80" s="239">
        <v>0</v>
      </c>
      <c r="CS80" s="239">
        <v>0</v>
      </c>
      <c r="CT80" s="239">
        <v>0</v>
      </c>
      <c r="CU80" s="239">
        <v>0</v>
      </c>
      <c r="CV80" s="239">
        <v>0</v>
      </c>
      <c r="CW80" s="239">
        <v>0</v>
      </c>
      <c r="CX80" s="239">
        <v>0</v>
      </c>
      <c r="CY80" s="239">
        <v>0</v>
      </c>
      <c r="CZ80" s="239">
        <v>0</v>
      </c>
      <c r="DA80" s="239">
        <v>0</v>
      </c>
      <c r="DB80" s="239">
        <v>0</v>
      </c>
      <c r="DC80" s="239">
        <v>0</v>
      </c>
      <c r="DD80" s="239">
        <v>0</v>
      </c>
      <c r="DE80" s="239">
        <v>0</v>
      </c>
      <c r="DF80" s="239">
        <v>0</v>
      </c>
      <c r="DG80" s="239">
        <v>0</v>
      </c>
      <c r="DH80" s="239">
        <v>0</v>
      </c>
      <c r="DI80" s="239">
        <v>0</v>
      </c>
      <c r="DJ80" s="239">
        <v>-235863</v>
      </c>
      <c r="DK80" s="239">
        <v>0</v>
      </c>
      <c r="DL80" s="239">
        <v>-235863</v>
      </c>
      <c r="DM80" s="239">
        <v>0</v>
      </c>
      <c r="DN80" s="239">
        <v>0</v>
      </c>
      <c r="DO80" s="239">
        <v>0</v>
      </c>
      <c r="DP80" s="239">
        <v>0</v>
      </c>
      <c r="DQ80" s="239">
        <v>0</v>
      </c>
      <c r="DR80" s="239">
        <v>0</v>
      </c>
      <c r="DS80" s="239">
        <v>-36228</v>
      </c>
      <c r="DT80" s="239">
        <v>0</v>
      </c>
      <c r="DU80" s="239">
        <v>-36228</v>
      </c>
      <c r="DV80" s="239">
        <v>-2212</v>
      </c>
      <c r="DW80" s="239">
        <v>0</v>
      </c>
      <c r="DX80" s="239">
        <v>-2212</v>
      </c>
      <c r="DY80" s="239">
        <v>-1263424</v>
      </c>
      <c r="DZ80" s="239">
        <v>0</v>
      </c>
      <c r="EA80" s="239">
        <v>-1263424</v>
      </c>
      <c r="EB80" s="239">
        <v>5742</v>
      </c>
      <c r="EC80" s="239">
        <v>0</v>
      </c>
      <c r="ED80" s="239">
        <v>5742</v>
      </c>
      <c r="EE80" s="239">
        <v>0</v>
      </c>
      <c r="EF80" s="239">
        <v>0</v>
      </c>
      <c r="EG80" s="239">
        <v>0</v>
      </c>
      <c r="EH80" s="239">
        <v>0</v>
      </c>
      <c r="EI80" s="239">
        <v>0</v>
      </c>
      <c r="EJ80" s="239">
        <v>0</v>
      </c>
      <c r="EK80" s="239">
        <v>-16527</v>
      </c>
      <c r="EL80" s="239">
        <v>0</v>
      </c>
      <c r="EM80" s="239">
        <v>-16527</v>
      </c>
      <c r="EN80" s="239">
        <v>-1312649</v>
      </c>
      <c r="EO80" s="239">
        <v>0</v>
      </c>
      <c r="EP80" s="239">
        <v>-1312649</v>
      </c>
      <c r="EQ80" s="239">
        <v>0</v>
      </c>
      <c r="ER80" s="239">
        <v>0</v>
      </c>
      <c r="ES80" s="239">
        <v>0</v>
      </c>
      <c r="ET80" s="239">
        <v>0</v>
      </c>
      <c r="EU80" s="239">
        <v>0</v>
      </c>
      <c r="EV80" s="239">
        <v>0</v>
      </c>
      <c r="EW80" s="239">
        <v>0</v>
      </c>
      <c r="EX80" s="239">
        <v>0</v>
      </c>
      <c r="EY80" s="239">
        <v>0</v>
      </c>
      <c r="EZ80" s="239">
        <v>101844284</v>
      </c>
      <c r="FA80" s="239">
        <v>0</v>
      </c>
      <c r="FB80" s="239">
        <v>101844284</v>
      </c>
      <c r="FC80" s="239">
        <v>114801</v>
      </c>
      <c r="FD80" s="239">
        <v>0</v>
      </c>
      <c r="FE80" s="239">
        <v>114801</v>
      </c>
      <c r="FF80" s="239">
        <v>-7537206</v>
      </c>
      <c r="FG80" s="239">
        <v>0</v>
      </c>
      <c r="FH80" s="239">
        <v>-7537206</v>
      </c>
      <c r="FI80" s="239">
        <v>-3394552</v>
      </c>
      <c r="FJ80" s="239">
        <v>0</v>
      </c>
      <c r="FK80" s="239">
        <v>-3394552</v>
      </c>
      <c r="FL80" s="239">
        <v>-235863</v>
      </c>
      <c r="FM80" s="239">
        <v>0</v>
      </c>
      <c r="FN80" s="239">
        <v>-235863</v>
      </c>
      <c r="FO80" s="239">
        <v>-1312649</v>
      </c>
      <c r="FP80" s="239">
        <v>0</v>
      </c>
      <c r="FQ80" s="239">
        <v>-1312649</v>
      </c>
      <c r="FR80" s="239">
        <v>0</v>
      </c>
      <c r="FS80" s="239">
        <v>0</v>
      </c>
      <c r="FT80" s="239">
        <v>0</v>
      </c>
      <c r="FU80" s="239">
        <v>-12365469</v>
      </c>
      <c r="FV80" s="239">
        <v>0</v>
      </c>
      <c r="FW80" s="239">
        <v>-12365469</v>
      </c>
      <c r="FX80" s="239">
        <v>89478815</v>
      </c>
      <c r="FY80" s="239">
        <v>0</v>
      </c>
      <c r="FZ80" s="239">
        <v>89478815</v>
      </c>
      <c r="GA80" s="214" t="s">
        <v>748</v>
      </c>
    </row>
    <row r="81" spans="2:183" s="214" customFormat="1" x14ac:dyDescent="0.2">
      <c r="B81" s="610" t="s">
        <v>245</v>
      </c>
      <c r="C81" s="610" t="s">
        <v>244</v>
      </c>
      <c r="D81" s="239">
        <v>0</v>
      </c>
      <c r="E81" s="239">
        <v>0</v>
      </c>
      <c r="F81" s="239">
        <v>0</v>
      </c>
      <c r="G81" s="239">
        <v>1905</v>
      </c>
      <c r="H81" s="239">
        <v>0</v>
      </c>
      <c r="I81" s="239">
        <v>1905</v>
      </c>
      <c r="J81" s="239">
        <v>0</v>
      </c>
      <c r="K81" s="239">
        <v>0</v>
      </c>
      <c r="L81" s="239">
        <v>0</v>
      </c>
      <c r="M81" s="239">
        <v>54622</v>
      </c>
      <c r="N81" s="239">
        <v>0</v>
      </c>
      <c r="O81" s="239">
        <v>54622</v>
      </c>
      <c r="P81" s="239">
        <v>56527</v>
      </c>
      <c r="Q81" s="239">
        <v>0</v>
      </c>
      <c r="R81" s="239">
        <v>56527</v>
      </c>
      <c r="S81" s="239">
        <v>-2731041</v>
      </c>
      <c r="T81" s="239">
        <v>0</v>
      </c>
      <c r="U81" s="239">
        <v>-2731041</v>
      </c>
      <c r="V81" s="239">
        <v>0</v>
      </c>
      <c r="W81" s="239">
        <v>0</v>
      </c>
      <c r="X81" s="239">
        <v>0</v>
      </c>
      <c r="Y81" s="239">
        <v>-197495</v>
      </c>
      <c r="Z81" s="239">
        <v>0</v>
      </c>
      <c r="AA81" s="239">
        <v>-197495</v>
      </c>
      <c r="AB81" s="239">
        <v>-100001</v>
      </c>
      <c r="AC81" s="239">
        <v>0</v>
      </c>
      <c r="AD81" s="239">
        <v>-100001</v>
      </c>
      <c r="AE81" s="239">
        <v>0</v>
      </c>
      <c r="AF81" s="239">
        <v>0</v>
      </c>
      <c r="AG81" s="239">
        <v>0</v>
      </c>
      <c r="AH81" s="239">
        <v>410621</v>
      </c>
      <c r="AI81" s="239">
        <v>0</v>
      </c>
      <c r="AJ81" s="239">
        <v>410621</v>
      </c>
      <c r="AK81" s="239">
        <v>-3881</v>
      </c>
      <c r="AL81" s="239">
        <v>0</v>
      </c>
      <c r="AM81" s="239">
        <v>-3881</v>
      </c>
      <c r="AN81" s="239">
        <v>-1059519</v>
      </c>
      <c r="AO81" s="239">
        <v>0</v>
      </c>
      <c r="AP81" s="239">
        <v>-1059519</v>
      </c>
      <c r="AQ81" s="239">
        <v>-2542</v>
      </c>
      <c r="AR81" s="239">
        <v>0</v>
      </c>
      <c r="AS81" s="239">
        <v>-2542</v>
      </c>
      <c r="AT81" s="239">
        <v>-44725</v>
      </c>
      <c r="AU81" s="239">
        <v>0</v>
      </c>
      <c r="AV81" s="239">
        <v>-44725</v>
      </c>
      <c r="AW81" s="239">
        <v>0</v>
      </c>
      <c r="AX81" s="239">
        <v>0</v>
      </c>
      <c r="AY81" s="239">
        <v>0</v>
      </c>
      <c r="AZ81" s="239">
        <v>-61706</v>
      </c>
      <c r="BA81" s="239">
        <v>0</v>
      </c>
      <c r="BB81" s="239">
        <v>-61706</v>
      </c>
      <c r="BC81" s="239">
        <v>-1001</v>
      </c>
      <c r="BD81" s="239">
        <v>0</v>
      </c>
      <c r="BE81" s="239">
        <v>-1001</v>
      </c>
      <c r="BF81" s="239">
        <v>-3691289</v>
      </c>
      <c r="BG81" s="239">
        <v>0</v>
      </c>
      <c r="BH81" s="239">
        <v>-3691289</v>
      </c>
      <c r="BI81" s="239">
        <v>0</v>
      </c>
      <c r="BJ81" s="239">
        <v>0</v>
      </c>
      <c r="BK81" s="239">
        <v>0</v>
      </c>
      <c r="BL81" s="239">
        <v>0</v>
      </c>
      <c r="BM81" s="239">
        <v>0</v>
      </c>
      <c r="BN81" s="239">
        <v>0</v>
      </c>
      <c r="BO81" s="239">
        <v>-406906</v>
      </c>
      <c r="BP81" s="239">
        <v>0</v>
      </c>
      <c r="BQ81" s="239">
        <v>-406906</v>
      </c>
      <c r="BR81" s="239">
        <v>7549</v>
      </c>
      <c r="BS81" s="239">
        <v>0</v>
      </c>
      <c r="BT81" s="239">
        <v>7549</v>
      </c>
      <c r="BU81" s="239">
        <v>-399357</v>
      </c>
      <c r="BV81" s="239">
        <v>0</v>
      </c>
      <c r="BW81" s="239">
        <v>-399357</v>
      </c>
      <c r="BX81" s="239">
        <v>-114599</v>
      </c>
      <c r="BY81" s="239">
        <v>0</v>
      </c>
      <c r="BZ81" s="239">
        <v>-114599</v>
      </c>
      <c r="CA81" s="239">
        <v>-412</v>
      </c>
      <c r="CB81" s="239">
        <v>0</v>
      </c>
      <c r="CC81" s="239">
        <v>-412</v>
      </c>
      <c r="CD81" s="239">
        <v>-126139</v>
      </c>
      <c r="CE81" s="239">
        <v>0</v>
      </c>
      <c r="CF81" s="239">
        <v>-126139</v>
      </c>
      <c r="CG81" s="239">
        <v>-183</v>
      </c>
      <c r="CH81" s="239">
        <v>0</v>
      </c>
      <c r="CI81" s="239">
        <v>-183</v>
      </c>
      <c r="CJ81" s="239">
        <v>-4033</v>
      </c>
      <c r="CK81" s="239">
        <v>0</v>
      </c>
      <c r="CL81" s="239">
        <v>-4033</v>
      </c>
      <c r="CM81" s="239">
        <v>0</v>
      </c>
      <c r="CN81" s="239">
        <v>0</v>
      </c>
      <c r="CO81" s="239">
        <v>0</v>
      </c>
      <c r="CP81" s="239">
        <v>-61706</v>
      </c>
      <c r="CQ81" s="239">
        <v>0</v>
      </c>
      <c r="CR81" s="239">
        <v>-61706</v>
      </c>
      <c r="CS81" s="239">
        <v>-1334</v>
      </c>
      <c r="CT81" s="239">
        <v>0</v>
      </c>
      <c r="CU81" s="239">
        <v>-1334</v>
      </c>
      <c r="CV81" s="239">
        <v>-9336</v>
      </c>
      <c r="CW81" s="239">
        <v>0</v>
      </c>
      <c r="CX81" s="239">
        <v>-9336</v>
      </c>
      <c r="CY81" s="239">
        <v>0</v>
      </c>
      <c r="CZ81" s="239">
        <v>0</v>
      </c>
      <c r="DA81" s="239">
        <v>0</v>
      </c>
      <c r="DB81" s="239">
        <v>0</v>
      </c>
      <c r="DC81" s="239">
        <v>0</v>
      </c>
      <c r="DD81" s="239">
        <v>0</v>
      </c>
      <c r="DE81" s="239">
        <v>304</v>
      </c>
      <c r="DF81" s="239">
        <v>0</v>
      </c>
      <c r="DG81" s="239">
        <v>304</v>
      </c>
      <c r="DH81" s="239">
        <v>0</v>
      </c>
      <c r="DI81" s="239">
        <v>0</v>
      </c>
      <c r="DJ81" s="239">
        <v>-317438</v>
      </c>
      <c r="DK81" s="239">
        <v>0</v>
      </c>
      <c r="DL81" s="239">
        <v>-317438</v>
      </c>
      <c r="DM81" s="239">
        <v>0</v>
      </c>
      <c r="DN81" s="239">
        <v>0</v>
      </c>
      <c r="DO81" s="239">
        <v>0</v>
      </c>
      <c r="DP81" s="239">
        <v>0</v>
      </c>
      <c r="DQ81" s="239">
        <v>0</v>
      </c>
      <c r="DR81" s="239">
        <v>0</v>
      </c>
      <c r="DS81" s="239">
        <v>0</v>
      </c>
      <c r="DT81" s="239">
        <v>0</v>
      </c>
      <c r="DU81" s="239">
        <v>0</v>
      </c>
      <c r="DV81" s="239">
        <v>0</v>
      </c>
      <c r="DW81" s="239">
        <v>0</v>
      </c>
      <c r="DX81" s="239">
        <v>0</v>
      </c>
      <c r="DY81" s="239">
        <v>-762589</v>
      </c>
      <c r="DZ81" s="239">
        <v>0</v>
      </c>
      <c r="EA81" s="239">
        <v>-762589</v>
      </c>
      <c r="EB81" s="239">
        <v>-8906</v>
      </c>
      <c r="EC81" s="239">
        <v>0</v>
      </c>
      <c r="ED81" s="239">
        <v>-8906</v>
      </c>
      <c r="EE81" s="239">
        <v>0</v>
      </c>
      <c r="EF81" s="239">
        <v>0</v>
      </c>
      <c r="EG81" s="239">
        <v>0</v>
      </c>
      <c r="EH81" s="239">
        <v>0</v>
      </c>
      <c r="EI81" s="239">
        <v>0</v>
      </c>
      <c r="EJ81" s="239">
        <v>0</v>
      </c>
      <c r="EK81" s="239">
        <v>-18151</v>
      </c>
      <c r="EL81" s="239">
        <v>0</v>
      </c>
      <c r="EM81" s="239">
        <v>-18151</v>
      </c>
      <c r="EN81" s="239">
        <v>-789646</v>
      </c>
      <c r="EO81" s="239">
        <v>0</v>
      </c>
      <c r="EP81" s="239">
        <v>-789646</v>
      </c>
      <c r="EQ81" s="239">
        <v>0</v>
      </c>
      <c r="ER81" s="239">
        <v>0</v>
      </c>
      <c r="ES81" s="239">
        <v>0</v>
      </c>
      <c r="ET81" s="239">
        <v>0</v>
      </c>
      <c r="EU81" s="239">
        <v>0</v>
      </c>
      <c r="EV81" s="239">
        <v>0</v>
      </c>
      <c r="EW81" s="239">
        <v>0</v>
      </c>
      <c r="EX81" s="239">
        <v>0</v>
      </c>
      <c r="EY81" s="239">
        <v>0</v>
      </c>
      <c r="EZ81" s="239">
        <v>22379322</v>
      </c>
      <c r="FA81" s="239">
        <v>0</v>
      </c>
      <c r="FB81" s="239">
        <v>22379322</v>
      </c>
      <c r="FC81" s="239">
        <v>56527</v>
      </c>
      <c r="FD81" s="239">
        <v>0</v>
      </c>
      <c r="FE81" s="239">
        <v>56527</v>
      </c>
      <c r="FF81" s="239">
        <v>-3691289</v>
      </c>
      <c r="FG81" s="239">
        <v>0</v>
      </c>
      <c r="FH81" s="239">
        <v>-3691289</v>
      </c>
      <c r="FI81" s="239">
        <v>-399357</v>
      </c>
      <c r="FJ81" s="239">
        <v>0</v>
      </c>
      <c r="FK81" s="239">
        <v>-399357</v>
      </c>
      <c r="FL81" s="239">
        <v>-317438</v>
      </c>
      <c r="FM81" s="239">
        <v>0</v>
      </c>
      <c r="FN81" s="239">
        <v>-317438</v>
      </c>
      <c r="FO81" s="239">
        <v>-789646</v>
      </c>
      <c r="FP81" s="239">
        <v>0</v>
      </c>
      <c r="FQ81" s="239">
        <v>-789646</v>
      </c>
      <c r="FR81" s="239">
        <v>0</v>
      </c>
      <c r="FS81" s="239">
        <v>0</v>
      </c>
      <c r="FT81" s="239">
        <v>0</v>
      </c>
      <c r="FU81" s="239">
        <v>-5141203</v>
      </c>
      <c r="FV81" s="239">
        <v>0</v>
      </c>
      <c r="FW81" s="239">
        <v>-5141203</v>
      </c>
      <c r="FX81" s="239">
        <v>17238119</v>
      </c>
      <c r="FY81" s="239">
        <v>0</v>
      </c>
      <c r="FZ81" s="239">
        <v>17238119</v>
      </c>
      <c r="GA81" s="214" t="s">
        <v>1294</v>
      </c>
    </row>
    <row r="82" spans="2:183" s="214" customFormat="1" x14ac:dyDescent="0.2">
      <c r="B82" s="610" t="s">
        <v>247</v>
      </c>
      <c r="C82" s="610" t="s">
        <v>246</v>
      </c>
      <c r="D82" s="239">
        <v>0</v>
      </c>
      <c r="E82" s="239">
        <v>0</v>
      </c>
      <c r="F82" s="239">
        <v>0</v>
      </c>
      <c r="G82" s="239">
        <v>148256</v>
      </c>
      <c r="H82" s="239">
        <v>0</v>
      </c>
      <c r="I82" s="239">
        <v>148256</v>
      </c>
      <c r="J82" s="239">
        <v>0</v>
      </c>
      <c r="K82" s="239">
        <v>0</v>
      </c>
      <c r="L82" s="239">
        <v>0</v>
      </c>
      <c r="M82" s="239">
        <v>531501</v>
      </c>
      <c r="N82" s="239">
        <v>0</v>
      </c>
      <c r="O82" s="239">
        <v>531501</v>
      </c>
      <c r="P82" s="239">
        <v>679757</v>
      </c>
      <c r="Q82" s="239">
        <v>0</v>
      </c>
      <c r="R82" s="239">
        <v>679757</v>
      </c>
      <c r="S82" s="239">
        <v>-6208048</v>
      </c>
      <c r="T82" s="239">
        <v>0</v>
      </c>
      <c r="U82" s="239">
        <v>-6208048</v>
      </c>
      <c r="V82" s="239">
        <v>-26627</v>
      </c>
      <c r="W82" s="239">
        <v>0</v>
      </c>
      <c r="X82" s="239">
        <v>-26627</v>
      </c>
      <c r="Y82" s="239">
        <v>-190309</v>
      </c>
      <c r="Z82" s="239">
        <v>0</v>
      </c>
      <c r="AA82" s="239">
        <v>-190309</v>
      </c>
      <c r="AB82" s="239">
        <v>-117203</v>
      </c>
      <c r="AC82" s="239">
        <v>0</v>
      </c>
      <c r="AD82" s="239">
        <v>-117203</v>
      </c>
      <c r="AE82" s="239">
        <v>-7485</v>
      </c>
      <c r="AF82" s="239">
        <v>0</v>
      </c>
      <c r="AG82" s="239">
        <v>-7485</v>
      </c>
      <c r="AH82" s="239">
        <v>2586231</v>
      </c>
      <c r="AI82" s="239">
        <v>0</v>
      </c>
      <c r="AJ82" s="239">
        <v>2586231</v>
      </c>
      <c r="AK82" s="239">
        <v>23075</v>
      </c>
      <c r="AL82" s="239">
        <v>0</v>
      </c>
      <c r="AM82" s="239">
        <v>23075</v>
      </c>
      <c r="AN82" s="239">
        <v>-5860582</v>
      </c>
      <c r="AO82" s="239">
        <v>0</v>
      </c>
      <c r="AP82" s="239">
        <v>-5860582</v>
      </c>
      <c r="AQ82" s="239">
        <v>-123078</v>
      </c>
      <c r="AR82" s="239">
        <v>0</v>
      </c>
      <c r="AS82" s="239">
        <v>-123078</v>
      </c>
      <c r="AT82" s="239">
        <v>-29166</v>
      </c>
      <c r="AU82" s="239">
        <v>0</v>
      </c>
      <c r="AV82" s="239">
        <v>-29166</v>
      </c>
      <c r="AW82" s="239">
        <v>738</v>
      </c>
      <c r="AX82" s="239">
        <v>0</v>
      </c>
      <c r="AY82" s="239">
        <v>738</v>
      </c>
      <c r="AZ82" s="239">
        <v>-6690</v>
      </c>
      <c r="BA82" s="239">
        <v>0</v>
      </c>
      <c r="BB82" s="239">
        <v>-6690</v>
      </c>
      <c r="BC82" s="239">
        <v>1255</v>
      </c>
      <c r="BD82" s="239">
        <v>0</v>
      </c>
      <c r="BE82" s="239">
        <v>1255</v>
      </c>
      <c r="BF82" s="239">
        <v>-9806574</v>
      </c>
      <c r="BG82" s="239">
        <v>0</v>
      </c>
      <c r="BH82" s="239">
        <v>-9806574</v>
      </c>
      <c r="BI82" s="239">
        <v>0</v>
      </c>
      <c r="BJ82" s="239">
        <v>0</v>
      </c>
      <c r="BK82" s="239">
        <v>0</v>
      </c>
      <c r="BL82" s="239">
        <v>-168177</v>
      </c>
      <c r="BM82" s="239">
        <v>0</v>
      </c>
      <c r="BN82" s="239">
        <v>-168177</v>
      </c>
      <c r="BO82" s="239">
        <v>-2981553</v>
      </c>
      <c r="BP82" s="239">
        <v>0</v>
      </c>
      <c r="BQ82" s="239">
        <v>-2981553</v>
      </c>
      <c r="BR82" s="239">
        <v>-33126</v>
      </c>
      <c r="BS82" s="239">
        <v>0</v>
      </c>
      <c r="BT82" s="239">
        <v>-33126</v>
      </c>
      <c r="BU82" s="239">
        <v>-3182856</v>
      </c>
      <c r="BV82" s="239">
        <v>0</v>
      </c>
      <c r="BW82" s="239">
        <v>-3182856</v>
      </c>
      <c r="BX82" s="239">
        <v>-282730</v>
      </c>
      <c r="BY82" s="239">
        <v>0</v>
      </c>
      <c r="BZ82" s="239">
        <v>-282730</v>
      </c>
      <c r="CA82" s="239">
        <v>173</v>
      </c>
      <c r="CB82" s="239">
        <v>0</v>
      </c>
      <c r="CC82" s="239">
        <v>173</v>
      </c>
      <c r="CD82" s="239">
        <v>-130264</v>
      </c>
      <c r="CE82" s="239">
        <v>0</v>
      </c>
      <c r="CF82" s="239">
        <v>-130264</v>
      </c>
      <c r="CG82" s="239">
        <v>-6921</v>
      </c>
      <c r="CH82" s="239">
        <v>0</v>
      </c>
      <c r="CI82" s="239">
        <v>-6921</v>
      </c>
      <c r="CJ82" s="239">
        <v>0</v>
      </c>
      <c r="CK82" s="239">
        <v>0</v>
      </c>
      <c r="CL82" s="239">
        <v>0</v>
      </c>
      <c r="CM82" s="239">
        <v>0</v>
      </c>
      <c r="CN82" s="239">
        <v>0</v>
      </c>
      <c r="CO82" s="239">
        <v>0</v>
      </c>
      <c r="CP82" s="239">
        <v>0</v>
      </c>
      <c r="CQ82" s="239">
        <v>0</v>
      </c>
      <c r="CR82" s="239">
        <v>0</v>
      </c>
      <c r="CS82" s="239">
        <v>0</v>
      </c>
      <c r="CT82" s="239">
        <v>0</v>
      </c>
      <c r="CU82" s="239">
        <v>0</v>
      </c>
      <c r="CV82" s="239">
        <v>0</v>
      </c>
      <c r="CW82" s="239">
        <v>0</v>
      </c>
      <c r="CX82" s="239">
        <v>0</v>
      </c>
      <c r="CY82" s="239">
        <v>0</v>
      </c>
      <c r="CZ82" s="239">
        <v>0</v>
      </c>
      <c r="DA82" s="239">
        <v>0</v>
      </c>
      <c r="DB82" s="239">
        <v>0</v>
      </c>
      <c r="DC82" s="239">
        <v>0</v>
      </c>
      <c r="DD82" s="239">
        <v>0</v>
      </c>
      <c r="DE82" s="239">
        <v>0</v>
      </c>
      <c r="DF82" s="239">
        <v>0</v>
      </c>
      <c r="DG82" s="239">
        <v>0</v>
      </c>
      <c r="DH82" s="239">
        <v>0</v>
      </c>
      <c r="DI82" s="239">
        <v>0</v>
      </c>
      <c r="DJ82" s="239">
        <v>-419742</v>
      </c>
      <c r="DK82" s="239">
        <v>0</v>
      </c>
      <c r="DL82" s="239">
        <v>-419742</v>
      </c>
      <c r="DM82" s="239">
        <v>-45041</v>
      </c>
      <c r="DN82" s="239">
        <v>0</v>
      </c>
      <c r="DO82" s="239">
        <v>-45041</v>
      </c>
      <c r="DP82" s="239">
        <v>-5282</v>
      </c>
      <c r="DQ82" s="239">
        <v>0</v>
      </c>
      <c r="DR82" s="239">
        <v>-5282</v>
      </c>
      <c r="DS82" s="239">
        <v>-35445</v>
      </c>
      <c r="DT82" s="239">
        <v>0</v>
      </c>
      <c r="DU82" s="239">
        <v>-35445</v>
      </c>
      <c r="DV82" s="239">
        <v>-1954</v>
      </c>
      <c r="DW82" s="239">
        <v>0</v>
      </c>
      <c r="DX82" s="239">
        <v>-1954</v>
      </c>
      <c r="DY82" s="239">
        <v>-1195727</v>
      </c>
      <c r="DZ82" s="239">
        <v>0</v>
      </c>
      <c r="EA82" s="239">
        <v>-1195727</v>
      </c>
      <c r="EB82" s="239">
        <v>-106102</v>
      </c>
      <c r="EC82" s="239">
        <v>0</v>
      </c>
      <c r="ED82" s="239">
        <v>-106102</v>
      </c>
      <c r="EE82" s="239">
        <v>0</v>
      </c>
      <c r="EF82" s="239">
        <v>0</v>
      </c>
      <c r="EG82" s="239">
        <v>0</v>
      </c>
      <c r="EH82" s="239">
        <v>0</v>
      </c>
      <c r="EI82" s="239">
        <v>0</v>
      </c>
      <c r="EJ82" s="239">
        <v>0</v>
      </c>
      <c r="EK82" s="239">
        <v>-23298</v>
      </c>
      <c r="EL82" s="239">
        <v>0</v>
      </c>
      <c r="EM82" s="239">
        <v>-23298</v>
      </c>
      <c r="EN82" s="239">
        <v>-1412849</v>
      </c>
      <c r="EO82" s="239">
        <v>0</v>
      </c>
      <c r="EP82" s="239">
        <v>-1412849</v>
      </c>
      <c r="EQ82" s="239">
        <v>0</v>
      </c>
      <c r="ER82" s="239">
        <v>0</v>
      </c>
      <c r="ES82" s="239">
        <v>0</v>
      </c>
      <c r="ET82" s="239">
        <v>0</v>
      </c>
      <c r="EU82" s="239">
        <v>0</v>
      </c>
      <c r="EV82" s="239">
        <v>0</v>
      </c>
      <c r="EW82" s="239">
        <v>0</v>
      </c>
      <c r="EX82" s="239">
        <v>0</v>
      </c>
      <c r="EY82" s="239">
        <v>0</v>
      </c>
      <c r="EZ82" s="239">
        <v>110366881</v>
      </c>
      <c r="FA82" s="239">
        <v>0</v>
      </c>
      <c r="FB82" s="239">
        <v>110366881</v>
      </c>
      <c r="FC82" s="239">
        <v>679757</v>
      </c>
      <c r="FD82" s="239">
        <v>0</v>
      </c>
      <c r="FE82" s="239">
        <v>679757</v>
      </c>
      <c r="FF82" s="239">
        <v>-9806574</v>
      </c>
      <c r="FG82" s="239">
        <v>0</v>
      </c>
      <c r="FH82" s="239">
        <v>-9806574</v>
      </c>
      <c r="FI82" s="239">
        <v>-3182856</v>
      </c>
      <c r="FJ82" s="239">
        <v>0</v>
      </c>
      <c r="FK82" s="239">
        <v>-3182856</v>
      </c>
      <c r="FL82" s="239">
        <v>-419742</v>
      </c>
      <c r="FM82" s="239">
        <v>0</v>
      </c>
      <c r="FN82" s="239">
        <v>-419742</v>
      </c>
      <c r="FO82" s="239">
        <v>-1412849</v>
      </c>
      <c r="FP82" s="239">
        <v>0</v>
      </c>
      <c r="FQ82" s="239">
        <v>-1412849</v>
      </c>
      <c r="FR82" s="239">
        <v>0</v>
      </c>
      <c r="FS82" s="239">
        <v>0</v>
      </c>
      <c r="FT82" s="239">
        <v>0</v>
      </c>
      <c r="FU82" s="239">
        <v>-14142264</v>
      </c>
      <c r="FV82" s="239">
        <v>0</v>
      </c>
      <c r="FW82" s="239">
        <v>-14142264</v>
      </c>
      <c r="FX82" s="239">
        <v>96224617</v>
      </c>
      <c r="FY82" s="239">
        <v>0</v>
      </c>
      <c r="FZ82" s="239">
        <v>96224617</v>
      </c>
      <c r="GA82" s="214" t="s">
        <v>1296</v>
      </c>
    </row>
    <row r="83" spans="2:183" s="214" customFormat="1" x14ac:dyDescent="0.2">
      <c r="B83" s="610" t="s">
        <v>249</v>
      </c>
      <c r="C83" s="610" t="s">
        <v>248</v>
      </c>
      <c r="D83" s="239">
        <v>0</v>
      </c>
      <c r="E83" s="239">
        <v>0</v>
      </c>
      <c r="F83" s="239">
        <v>0</v>
      </c>
      <c r="G83" s="239">
        <v>-104032</v>
      </c>
      <c r="H83" s="239">
        <v>0</v>
      </c>
      <c r="I83" s="239">
        <v>-104032</v>
      </c>
      <c r="J83" s="239">
        <v>0</v>
      </c>
      <c r="K83" s="239">
        <v>0</v>
      </c>
      <c r="L83" s="239">
        <v>0</v>
      </c>
      <c r="M83" s="239">
        <v>890702</v>
      </c>
      <c r="N83" s="239">
        <v>0</v>
      </c>
      <c r="O83" s="239">
        <v>890702</v>
      </c>
      <c r="P83" s="239">
        <v>786670</v>
      </c>
      <c r="Q83" s="239">
        <v>0</v>
      </c>
      <c r="R83" s="239">
        <v>786670</v>
      </c>
      <c r="S83" s="239">
        <v>-2581241</v>
      </c>
      <c r="T83" s="239">
        <v>0</v>
      </c>
      <c r="U83" s="239">
        <v>-2581241</v>
      </c>
      <c r="V83" s="239">
        <v>-4926</v>
      </c>
      <c r="W83" s="239">
        <v>0</v>
      </c>
      <c r="X83" s="239">
        <v>-4926</v>
      </c>
      <c r="Y83" s="239">
        <v>-107353</v>
      </c>
      <c r="Z83" s="239">
        <v>0</v>
      </c>
      <c r="AA83" s="239">
        <v>-107353</v>
      </c>
      <c r="AB83" s="239">
        <v>-61630</v>
      </c>
      <c r="AC83" s="239">
        <v>0</v>
      </c>
      <c r="AD83" s="239">
        <v>-61630</v>
      </c>
      <c r="AE83" s="239">
        <v>0</v>
      </c>
      <c r="AF83" s="239">
        <v>0</v>
      </c>
      <c r="AG83" s="239">
        <v>0</v>
      </c>
      <c r="AH83" s="239">
        <v>966756</v>
      </c>
      <c r="AI83" s="239">
        <v>0</v>
      </c>
      <c r="AJ83" s="239">
        <v>966756</v>
      </c>
      <c r="AK83" s="239">
        <v>-38988</v>
      </c>
      <c r="AL83" s="239">
        <v>0</v>
      </c>
      <c r="AM83" s="239">
        <v>-38988</v>
      </c>
      <c r="AN83" s="239">
        <v>-2376454</v>
      </c>
      <c r="AO83" s="239">
        <v>0</v>
      </c>
      <c r="AP83" s="239">
        <v>-2376454</v>
      </c>
      <c r="AQ83" s="239">
        <v>5602</v>
      </c>
      <c r="AR83" s="239">
        <v>0</v>
      </c>
      <c r="AS83" s="239">
        <v>5602</v>
      </c>
      <c r="AT83" s="239">
        <v>-58351</v>
      </c>
      <c r="AU83" s="239">
        <v>0</v>
      </c>
      <c r="AV83" s="239">
        <v>-58351</v>
      </c>
      <c r="AW83" s="239">
        <v>0</v>
      </c>
      <c r="AX83" s="239">
        <v>0</v>
      </c>
      <c r="AY83" s="239">
        <v>0</v>
      </c>
      <c r="AZ83" s="239">
        <v>-25741</v>
      </c>
      <c r="BA83" s="239">
        <v>0</v>
      </c>
      <c r="BB83" s="239">
        <v>-25741</v>
      </c>
      <c r="BC83" s="239">
        <v>0</v>
      </c>
      <c r="BD83" s="239">
        <v>0</v>
      </c>
      <c r="BE83" s="239">
        <v>0</v>
      </c>
      <c r="BF83" s="239">
        <v>-4215770</v>
      </c>
      <c r="BG83" s="239">
        <v>0</v>
      </c>
      <c r="BH83" s="239">
        <v>-4215770</v>
      </c>
      <c r="BI83" s="239">
        <v>0</v>
      </c>
      <c r="BJ83" s="239">
        <v>0</v>
      </c>
      <c r="BK83" s="239">
        <v>0</v>
      </c>
      <c r="BL83" s="239">
        <v>34384</v>
      </c>
      <c r="BM83" s="239">
        <v>0</v>
      </c>
      <c r="BN83" s="239">
        <v>34384</v>
      </c>
      <c r="BO83" s="239">
        <v>-795704</v>
      </c>
      <c r="BP83" s="239">
        <v>0</v>
      </c>
      <c r="BQ83" s="239">
        <v>-795704</v>
      </c>
      <c r="BR83" s="239">
        <v>-76072</v>
      </c>
      <c r="BS83" s="239">
        <v>0</v>
      </c>
      <c r="BT83" s="239">
        <v>-76072</v>
      </c>
      <c r="BU83" s="239">
        <v>-837392</v>
      </c>
      <c r="BV83" s="239">
        <v>0</v>
      </c>
      <c r="BW83" s="239">
        <v>-837392</v>
      </c>
      <c r="BX83" s="239">
        <v>-145895</v>
      </c>
      <c r="BY83" s="239">
        <v>0</v>
      </c>
      <c r="BZ83" s="239">
        <v>-145895</v>
      </c>
      <c r="CA83" s="239">
        <v>0</v>
      </c>
      <c r="CB83" s="239">
        <v>0</v>
      </c>
      <c r="CC83" s="239">
        <v>0</v>
      </c>
      <c r="CD83" s="239">
        <v>-45051</v>
      </c>
      <c r="CE83" s="239">
        <v>0</v>
      </c>
      <c r="CF83" s="239">
        <v>-45051</v>
      </c>
      <c r="CG83" s="239">
        <v>-6613</v>
      </c>
      <c r="CH83" s="239">
        <v>0</v>
      </c>
      <c r="CI83" s="239">
        <v>-6613</v>
      </c>
      <c r="CJ83" s="239">
        <v>0</v>
      </c>
      <c r="CK83" s="239">
        <v>0</v>
      </c>
      <c r="CL83" s="239">
        <v>0</v>
      </c>
      <c r="CM83" s="239">
        <v>0</v>
      </c>
      <c r="CN83" s="239">
        <v>0</v>
      </c>
      <c r="CO83" s="239">
        <v>0</v>
      </c>
      <c r="CP83" s="239">
        <v>0</v>
      </c>
      <c r="CQ83" s="239">
        <v>0</v>
      </c>
      <c r="CR83" s="239">
        <v>0</v>
      </c>
      <c r="CS83" s="239">
        <v>0</v>
      </c>
      <c r="CT83" s="239">
        <v>0</v>
      </c>
      <c r="CU83" s="239">
        <v>0</v>
      </c>
      <c r="CV83" s="239">
        <v>0</v>
      </c>
      <c r="CW83" s="239">
        <v>0</v>
      </c>
      <c r="CX83" s="239">
        <v>0</v>
      </c>
      <c r="CY83" s="239">
        <v>0</v>
      </c>
      <c r="CZ83" s="239">
        <v>0</v>
      </c>
      <c r="DA83" s="239">
        <v>0</v>
      </c>
      <c r="DB83" s="239">
        <v>-2604833</v>
      </c>
      <c r="DC83" s="239">
        <v>0</v>
      </c>
      <c r="DD83" s="239">
        <v>-2604833</v>
      </c>
      <c r="DE83" s="239">
        <v>0</v>
      </c>
      <c r="DF83" s="239">
        <v>0</v>
      </c>
      <c r="DG83" s="239">
        <v>0</v>
      </c>
      <c r="DH83" s="239">
        <v>0</v>
      </c>
      <c r="DI83" s="239">
        <v>-2604833</v>
      </c>
      <c r="DJ83" s="239">
        <v>-2802392</v>
      </c>
      <c r="DK83" s="239">
        <v>0</v>
      </c>
      <c r="DL83" s="239">
        <v>-2802392</v>
      </c>
      <c r="DM83" s="239">
        <v>0</v>
      </c>
      <c r="DN83" s="239">
        <v>0</v>
      </c>
      <c r="DO83" s="239">
        <v>0</v>
      </c>
      <c r="DP83" s="239">
        <v>0</v>
      </c>
      <c r="DQ83" s="239">
        <v>0</v>
      </c>
      <c r="DR83" s="239">
        <v>0</v>
      </c>
      <c r="DS83" s="239">
        <v>-17482</v>
      </c>
      <c r="DT83" s="239">
        <v>0</v>
      </c>
      <c r="DU83" s="239">
        <v>-17482</v>
      </c>
      <c r="DV83" s="239">
        <v>-298</v>
      </c>
      <c r="DW83" s="239">
        <v>0</v>
      </c>
      <c r="DX83" s="239">
        <v>-298</v>
      </c>
      <c r="DY83" s="239">
        <v>-685498</v>
      </c>
      <c r="DZ83" s="239">
        <v>0</v>
      </c>
      <c r="EA83" s="239">
        <v>-685498</v>
      </c>
      <c r="EB83" s="239">
        <v>-5347</v>
      </c>
      <c r="EC83" s="239">
        <v>0</v>
      </c>
      <c r="ED83" s="239">
        <v>-5347</v>
      </c>
      <c r="EE83" s="239">
        <v>0</v>
      </c>
      <c r="EF83" s="239">
        <v>0</v>
      </c>
      <c r="EG83" s="239">
        <v>0</v>
      </c>
      <c r="EH83" s="239">
        <v>0</v>
      </c>
      <c r="EI83" s="239">
        <v>0</v>
      </c>
      <c r="EJ83" s="239">
        <v>0</v>
      </c>
      <c r="EK83" s="239">
        <v>-17196</v>
      </c>
      <c r="EL83" s="239">
        <v>0</v>
      </c>
      <c r="EM83" s="239">
        <v>-17196</v>
      </c>
      <c r="EN83" s="239">
        <v>-725821</v>
      </c>
      <c r="EO83" s="239">
        <v>0</v>
      </c>
      <c r="EP83" s="239">
        <v>-725821</v>
      </c>
      <c r="EQ83" s="239">
        <v>0</v>
      </c>
      <c r="ER83" s="239">
        <v>0</v>
      </c>
      <c r="ES83" s="239">
        <v>0</v>
      </c>
      <c r="ET83" s="239">
        <v>0</v>
      </c>
      <c r="EU83" s="239">
        <v>0</v>
      </c>
      <c r="EV83" s="239">
        <v>0</v>
      </c>
      <c r="EW83" s="239">
        <v>0</v>
      </c>
      <c r="EX83" s="239">
        <v>0</v>
      </c>
      <c r="EY83" s="239">
        <v>0</v>
      </c>
      <c r="EZ83" s="239">
        <v>39336845</v>
      </c>
      <c r="FA83" s="239">
        <v>0</v>
      </c>
      <c r="FB83" s="239">
        <v>39336845</v>
      </c>
      <c r="FC83" s="239">
        <v>786670</v>
      </c>
      <c r="FD83" s="239">
        <v>0</v>
      </c>
      <c r="FE83" s="239">
        <v>786670</v>
      </c>
      <c r="FF83" s="239">
        <v>-4215770</v>
      </c>
      <c r="FG83" s="239">
        <v>0</v>
      </c>
      <c r="FH83" s="239">
        <v>-4215770</v>
      </c>
      <c r="FI83" s="239">
        <v>-837392</v>
      </c>
      <c r="FJ83" s="239">
        <v>0</v>
      </c>
      <c r="FK83" s="239">
        <v>-837392</v>
      </c>
      <c r="FL83" s="239">
        <v>-2802392</v>
      </c>
      <c r="FM83" s="239">
        <v>0</v>
      </c>
      <c r="FN83" s="239">
        <v>-2802392</v>
      </c>
      <c r="FO83" s="239">
        <v>-725821</v>
      </c>
      <c r="FP83" s="239">
        <v>0</v>
      </c>
      <c r="FQ83" s="239">
        <v>-725821</v>
      </c>
      <c r="FR83" s="239">
        <v>0</v>
      </c>
      <c r="FS83" s="239">
        <v>0</v>
      </c>
      <c r="FT83" s="239">
        <v>0</v>
      </c>
      <c r="FU83" s="239">
        <v>-7794705</v>
      </c>
      <c r="FV83" s="239">
        <v>0</v>
      </c>
      <c r="FW83" s="239">
        <v>-7794705</v>
      </c>
      <c r="FX83" s="239">
        <v>31542140</v>
      </c>
      <c r="FY83" s="239">
        <v>0</v>
      </c>
      <c r="FZ83" s="239">
        <v>31542140</v>
      </c>
      <c r="GA83" s="214" t="s">
        <v>1294</v>
      </c>
    </row>
    <row r="84" spans="2:183" s="214" customFormat="1" x14ac:dyDescent="0.2">
      <c r="B84" s="610" t="s">
        <v>251</v>
      </c>
      <c r="C84" s="610" t="s">
        <v>250</v>
      </c>
      <c r="D84" s="239">
        <v>0</v>
      </c>
      <c r="E84" s="239">
        <v>0</v>
      </c>
      <c r="F84" s="239">
        <v>0</v>
      </c>
      <c r="G84" s="239">
        <v>62708</v>
      </c>
      <c r="H84" s="239">
        <v>0</v>
      </c>
      <c r="I84" s="239">
        <v>62708</v>
      </c>
      <c r="J84" s="239">
        <v>0</v>
      </c>
      <c r="K84" s="239">
        <v>0</v>
      </c>
      <c r="L84" s="239">
        <v>0</v>
      </c>
      <c r="M84" s="239">
        <v>90398</v>
      </c>
      <c r="N84" s="239">
        <v>0</v>
      </c>
      <c r="O84" s="239">
        <v>90398</v>
      </c>
      <c r="P84" s="239">
        <v>153106</v>
      </c>
      <c r="Q84" s="239">
        <v>0</v>
      </c>
      <c r="R84" s="239">
        <v>153106</v>
      </c>
      <c r="S84" s="239">
        <v>-7196454</v>
      </c>
      <c r="T84" s="239">
        <v>0</v>
      </c>
      <c r="U84" s="239">
        <v>-7196454</v>
      </c>
      <c r="V84" s="239">
        <v>-24611</v>
      </c>
      <c r="W84" s="239">
        <v>0</v>
      </c>
      <c r="X84" s="239">
        <v>-24611</v>
      </c>
      <c r="Y84" s="239">
        <v>-283376</v>
      </c>
      <c r="Z84" s="239">
        <v>0</v>
      </c>
      <c r="AA84" s="239">
        <v>-283376</v>
      </c>
      <c r="AB84" s="239">
        <v>-279136</v>
      </c>
      <c r="AC84" s="239">
        <v>0</v>
      </c>
      <c r="AD84" s="239">
        <v>-279136</v>
      </c>
      <c r="AE84" s="239">
        <v>-4240</v>
      </c>
      <c r="AF84" s="239">
        <v>0</v>
      </c>
      <c r="AG84" s="239">
        <v>-4240</v>
      </c>
      <c r="AH84" s="239">
        <v>2658434</v>
      </c>
      <c r="AI84" s="239">
        <v>0</v>
      </c>
      <c r="AJ84" s="239">
        <v>2658434</v>
      </c>
      <c r="AK84" s="239">
        <v>21557</v>
      </c>
      <c r="AL84" s="239">
        <v>0</v>
      </c>
      <c r="AM84" s="239">
        <v>21557</v>
      </c>
      <c r="AN84" s="239">
        <v>-5249893</v>
      </c>
      <c r="AO84" s="239">
        <v>0</v>
      </c>
      <c r="AP84" s="239">
        <v>-5249893</v>
      </c>
      <c r="AQ84" s="239">
        <v>11996</v>
      </c>
      <c r="AR84" s="239">
        <v>0</v>
      </c>
      <c r="AS84" s="239">
        <v>11996</v>
      </c>
      <c r="AT84" s="239">
        <v>-35871</v>
      </c>
      <c r="AU84" s="239">
        <v>0</v>
      </c>
      <c r="AV84" s="239">
        <v>-35871</v>
      </c>
      <c r="AW84" s="239">
        <v>-13264</v>
      </c>
      <c r="AX84" s="239">
        <v>0</v>
      </c>
      <c r="AY84" s="239">
        <v>-13264</v>
      </c>
      <c r="AZ84" s="239">
        <v>0</v>
      </c>
      <c r="BA84" s="239">
        <v>0</v>
      </c>
      <c r="BB84" s="239">
        <v>0</v>
      </c>
      <c r="BC84" s="239">
        <v>0</v>
      </c>
      <c r="BD84" s="239">
        <v>0</v>
      </c>
      <c r="BE84" s="239">
        <v>0</v>
      </c>
      <c r="BF84" s="239">
        <v>-10086871</v>
      </c>
      <c r="BG84" s="239">
        <v>0</v>
      </c>
      <c r="BH84" s="239">
        <v>-10086871</v>
      </c>
      <c r="BI84" s="239">
        <v>-181732</v>
      </c>
      <c r="BJ84" s="239">
        <v>0</v>
      </c>
      <c r="BK84" s="239">
        <v>-181732</v>
      </c>
      <c r="BL84" s="239">
        <v>-43602</v>
      </c>
      <c r="BM84" s="239">
        <v>0</v>
      </c>
      <c r="BN84" s="239">
        <v>-43602</v>
      </c>
      <c r="BO84" s="239">
        <v>-6010054</v>
      </c>
      <c r="BP84" s="239">
        <v>0</v>
      </c>
      <c r="BQ84" s="239">
        <v>-6010054</v>
      </c>
      <c r="BR84" s="239">
        <v>238581</v>
      </c>
      <c r="BS84" s="239">
        <v>0</v>
      </c>
      <c r="BT84" s="239">
        <v>238581</v>
      </c>
      <c r="BU84" s="239">
        <v>-5996807</v>
      </c>
      <c r="BV84" s="239">
        <v>0</v>
      </c>
      <c r="BW84" s="239">
        <v>-5996807</v>
      </c>
      <c r="BX84" s="239">
        <v>-527204</v>
      </c>
      <c r="BY84" s="239">
        <v>0</v>
      </c>
      <c r="BZ84" s="239">
        <v>-527204</v>
      </c>
      <c r="CA84" s="239">
        <v>13797</v>
      </c>
      <c r="CB84" s="239">
        <v>0</v>
      </c>
      <c r="CC84" s="239">
        <v>13797</v>
      </c>
      <c r="CD84" s="239">
        <v>-86975</v>
      </c>
      <c r="CE84" s="239">
        <v>0</v>
      </c>
      <c r="CF84" s="239">
        <v>-86975</v>
      </c>
      <c r="CG84" s="239">
        <v>-86389</v>
      </c>
      <c r="CH84" s="239">
        <v>0</v>
      </c>
      <c r="CI84" s="239">
        <v>-86389</v>
      </c>
      <c r="CJ84" s="239">
        <v>-8968</v>
      </c>
      <c r="CK84" s="239">
        <v>0</v>
      </c>
      <c r="CL84" s="239">
        <v>-8968</v>
      </c>
      <c r="CM84" s="239">
        <v>-3316</v>
      </c>
      <c r="CN84" s="239">
        <v>0</v>
      </c>
      <c r="CO84" s="239">
        <v>-3316</v>
      </c>
      <c r="CP84" s="239">
        <v>0</v>
      </c>
      <c r="CQ84" s="239">
        <v>0</v>
      </c>
      <c r="CR84" s="239">
        <v>0</v>
      </c>
      <c r="CS84" s="239">
        <v>0</v>
      </c>
      <c r="CT84" s="239">
        <v>0</v>
      </c>
      <c r="CU84" s="239">
        <v>0</v>
      </c>
      <c r="CV84" s="239">
        <v>0</v>
      </c>
      <c r="CW84" s="239">
        <v>0</v>
      </c>
      <c r="CX84" s="239">
        <v>0</v>
      </c>
      <c r="CY84" s="239">
        <v>0</v>
      </c>
      <c r="CZ84" s="239">
        <v>0</v>
      </c>
      <c r="DA84" s="239">
        <v>0</v>
      </c>
      <c r="DB84" s="239">
        <v>-17801</v>
      </c>
      <c r="DC84" s="239">
        <v>0</v>
      </c>
      <c r="DD84" s="239">
        <v>-17801</v>
      </c>
      <c r="DE84" s="239">
        <v>0</v>
      </c>
      <c r="DF84" s="239">
        <v>0</v>
      </c>
      <c r="DG84" s="239">
        <v>0</v>
      </c>
      <c r="DH84" s="239">
        <v>0</v>
      </c>
      <c r="DI84" s="239">
        <v>0</v>
      </c>
      <c r="DJ84" s="239">
        <v>-716856</v>
      </c>
      <c r="DK84" s="239">
        <v>0</v>
      </c>
      <c r="DL84" s="239">
        <v>-716856</v>
      </c>
      <c r="DM84" s="239">
        <v>0</v>
      </c>
      <c r="DN84" s="239">
        <v>0</v>
      </c>
      <c r="DO84" s="239">
        <v>0</v>
      </c>
      <c r="DP84" s="239">
        <v>0</v>
      </c>
      <c r="DQ84" s="239">
        <v>0</v>
      </c>
      <c r="DR84" s="239">
        <v>0</v>
      </c>
      <c r="DS84" s="239">
        <v>-66751</v>
      </c>
      <c r="DT84" s="239">
        <v>0</v>
      </c>
      <c r="DU84" s="239">
        <v>-66751</v>
      </c>
      <c r="DV84" s="239">
        <v>-14249</v>
      </c>
      <c r="DW84" s="239">
        <v>0</v>
      </c>
      <c r="DX84" s="239">
        <v>-14249</v>
      </c>
      <c r="DY84" s="239">
        <v>-1592040</v>
      </c>
      <c r="DZ84" s="239">
        <v>0</v>
      </c>
      <c r="EA84" s="239">
        <v>-1592040</v>
      </c>
      <c r="EB84" s="239">
        <v>-17531</v>
      </c>
      <c r="EC84" s="239">
        <v>0</v>
      </c>
      <c r="ED84" s="239">
        <v>-17531</v>
      </c>
      <c r="EE84" s="239">
        <v>0</v>
      </c>
      <c r="EF84" s="239">
        <v>0</v>
      </c>
      <c r="EG84" s="239">
        <v>0</v>
      </c>
      <c r="EH84" s="239">
        <v>0</v>
      </c>
      <c r="EI84" s="239">
        <v>0</v>
      </c>
      <c r="EJ84" s="239">
        <v>0</v>
      </c>
      <c r="EK84" s="239">
        <v>-19565</v>
      </c>
      <c r="EL84" s="239">
        <v>0</v>
      </c>
      <c r="EM84" s="239">
        <v>-19565</v>
      </c>
      <c r="EN84" s="239">
        <v>-1710136</v>
      </c>
      <c r="EO84" s="239">
        <v>0</v>
      </c>
      <c r="EP84" s="239">
        <v>-1710136</v>
      </c>
      <c r="EQ84" s="239">
        <v>0</v>
      </c>
      <c r="ER84" s="239">
        <v>0</v>
      </c>
      <c r="ES84" s="239">
        <v>0</v>
      </c>
      <c r="ET84" s="239">
        <v>0</v>
      </c>
      <c r="EU84" s="239">
        <v>0</v>
      </c>
      <c r="EV84" s="239">
        <v>0</v>
      </c>
      <c r="EW84" s="239">
        <v>0</v>
      </c>
      <c r="EX84" s="239">
        <v>0</v>
      </c>
      <c r="EY84" s="239">
        <v>0</v>
      </c>
      <c r="EZ84" s="239">
        <v>115559798</v>
      </c>
      <c r="FA84" s="239">
        <v>0</v>
      </c>
      <c r="FB84" s="239">
        <v>115559798</v>
      </c>
      <c r="FC84" s="239">
        <v>153106</v>
      </c>
      <c r="FD84" s="239">
        <v>0</v>
      </c>
      <c r="FE84" s="239">
        <v>153106</v>
      </c>
      <c r="FF84" s="239">
        <v>-10086871</v>
      </c>
      <c r="FG84" s="239">
        <v>0</v>
      </c>
      <c r="FH84" s="239">
        <v>-10086871</v>
      </c>
      <c r="FI84" s="239">
        <v>-5996807</v>
      </c>
      <c r="FJ84" s="239">
        <v>0</v>
      </c>
      <c r="FK84" s="239">
        <v>-5996807</v>
      </c>
      <c r="FL84" s="239">
        <v>-716856</v>
      </c>
      <c r="FM84" s="239">
        <v>0</v>
      </c>
      <c r="FN84" s="239">
        <v>-716856</v>
      </c>
      <c r="FO84" s="239">
        <v>-1710136</v>
      </c>
      <c r="FP84" s="239">
        <v>0</v>
      </c>
      <c r="FQ84" s="239">
        <v>-1710136</v>
      </c>
      <c r="FR84" s="239">
        <v>0</v>
      </c>
      <c r="FS84" s="239">
        <v>0</v>
      </c>
      <c r="FT84" s="239">
        <v>0</v>
      </c>
      <c r="FU84" s="239">
        <v>-18357564</v>
      </c>
      <c r="FV84" s="239">
        <v>0</v>
      </c>
      <c r="FW84" s="239">
        <v>-18357564</v>
      </c>
      <c r="FX84" s="239">
        <v>97202234</v>
      </c>
      <c r="FY84" s="239">
        <v>0</v>
      </c>
      <c r="FZ84" s="239">
        <v>97202234</v>
      </c>
      <c r="GA84" s="214" t="s">
        <v>1296</v>
      </c>
    </row>
    <row r="85" spans="2:183" s="214" customFormat="1" x14ac:dyDescent="0.2">
      <c r="B85" s="610" t="s">
        <v>253</v>
      </c>
      <c r="C85" s="610" t="s">
        <v>252</v>
      </c>
      <c r="D85" s="239">
        <v>0</v>
      </c>
      <c r="E85" s="239">
        <v>0</v>
      </c>
      <c r="F85" s="239">
        <v>0</v>
      </c>
      <c r="G85" s="239">
        <v>258932</v>
      </c>
      <c r="H85" s="239">
        <v>0</v>
      </c>
      <c r="I85" s="239">
        <v>258932</v>
      </c>
      <c r="J85" s="239">
        <v>0</v>
      </c>
      <c r="K85" s="239">
        <v>0</v>
      </c>
      <c r="L85" s="239">
        <v>0</v>
      </c>
      <c r="M85" s="239">
        <v>193396</v>
      </c>
      <c r="N85" s="239">
        <v>0</v>
      </c>
      <c r="O85" s="239">
        <v>193396</v>
      </c>
      <c r="P85" s="239">
        <v>452328</v>
      </c>
      <c r="Q85" s="239">
        <v>0</v>
      </c>
      <c r="R85" s="239">
        <v>452328</v>
      </c>
      <c r="S85" s="239">
        <v>-9877964</v>
      </c>
      <c r="T85" s="239">
        <v>0</v>
      </c>
      <c r="U85" s="239">
        <v>-9877964</v>
      </c>
      <c r="V85" s="239">
        <v>-47312</v>
      </c>
      <c r="W85" s="239">
        <v>0</v>
      </c>
      <c r="X85" s="239">
        <v>-47312</v>
      </c>
      <c r="Y85" s="239">
        <v>-205962</v>
      </c>
      <c r="Z85" s="239">
        <v>0</v>
      </c>
      <c r="AA85" s="239">
        <v>-205962</v>
      </c>
      <c r="AB85" s="239">
        <v>-124281</v>
      </c>
      <c r="AC85" s="239">
        <v>0</v>
      </c>
      <c r="AD85" s="239">
        <v>-124281</v>
      </c>
      <c r="AE85" s="239">
        <v>329</v>
      </c>
      <c r="AF85" s="239">
        <v>0</v>
      </c>
      <c r="AG85" s="239">
        <v>329</v>
      </c>
      <c r="AH85" s="239">
        <v>3279921</v>
      </c>
      <c r="AI85" s="239">
        <v>0</v>
      </c>
      <c r="AJ85" s="239">
        <v>3279921</v>
      </c>
      <c r="AK85" s="239">
        <v>-68169</v>
      </c>
      <c r="AL85" s="239">
        <v>0</v>
      </c>
      <c r="AM85" s="239">
        <v>-68169</v>
      </c>
      <c r="AN85" s="239">
        <v>-10425810</v>
      </c>
      <c r="AO85" s="239">
        <v>0</v>
      </c>
      <c r="AP85" s="239">
        <v>-10425810</v>
      </c>
      <c r="AQ85" s="239">
        <v>52404</v>
      </c>
      <c r="AR85" s="239">
        <v>0</v>
      </c>
      <c r="AS85" s="239">
        <v>52404</v>
      </c>
      <c r="AT85" s="239">
        <v>-250249</v>
      </c>
      <c r="AU85" s="239">
        <v>0</v>
      </c>
      <c r="AV85" s="239">
        <v>-250249</v>
      </c>
      <c r="AW85" s="239">
        <v>-3467</v>
      </c>
      <c r="AX85" s="239">
        <v>0</v>
      </c>
      <c r="AY85" s="239">
        <v>-3467</v>
      </c>
      <c r="AZ85" s="239">
        <v>-91208</v>
      </c>
      <c r="BA85" s="239">
        <v>0</v>
      </c>
      <c r="BB85" s="239">
        <v>-91208</v>
      </c>
      <c r="BC85" s="239">
        <v>1658</v>
      </c>
      <c r="BD85" s="239">
        <v>0</v>
      </c>
      <c r="BE85" s="239">
        <v>1658</v>
      </c>
      <c r="BF85" s="239">
        <v>-17588846</v>
      </c>
      <c r="BG85" s="239">
        <v>0</v>
      </c>
      <c r="BH85" s="239">
        <v>-17588846</v>
      </c>
      <c r="BI85" s="239">
        <v>-927640</v>
      </c>
      <c r="BJ85" s="239">
        <v>0</v>
      </c>
      <c r="BK85" s="239">
        <v>-927640</v>
      </c>
      <c r="BL85" s="239">
        <v>27140</v>
      </c>
      <c r="BM85" s="239">
        <v>0</v>
      </c>
      <c r="BN85" s="239">
        <v>27140</v>
      </c>
      <c r="BO85" s="239">
        <v>-4620717</v>
      </c>
      <c r="BP85" s="239">
        <v>0</v>
      </c>
      <c r="BQ85" s="239">
        <v>-4620717</v>
      </c>
      <c r="BR85" s="239">
        <v>-258897</v>
      </c>
      <c r="BS85" s="239">
        <v>0</v>
      </c>
      <c r="BT85" s="239">
        <v>-258897</v>
      </c>
      <c r="BU85" s="239">
        <v>-5780114</v>
      </c>
      <c r="BV85" s="239">
        <v>0</v>
      </c>
      <c r="BW85" s="239">
        <v>-5780114</v>
      </c>
      <c r="BX85" s="239">
        <v>-518684</v>
      </c>
      <c r="BY85" s="239">
        <v>0</v>
      </c>
      <c r="BZ85" s="239">
        <v>-518684</v>
      </c>
      <c r="CA85" s="239">
        <v>2303</v>
      </c>
      <c r="CB85" s="239">
        <v>0</v>
      </c>
      <c r="CC85" s="239">
        <v>2303</v>
      </c>
      <c r="CD85" s="239">
        <v>-137092</v>
      </c>
      <c r="CE85" s="239">
        <v>0</v>
      </c>
      <c r="CF85" s="239">
        <v>-137092</v>
      </c>
      <c r="CG85" s="239">
        <v>-21423</v>
      </c>
      <c r="CH85" s="239">
        <v>0</v>
      </c>
      <c r="CI85" s="239">
        <v>-21423</v>
      </c>
      <c r="CJ85" s="239">
        <v>0</v>
      </c>
      <c r="CK85" s="239">
        <v>0</v>
      </c>
      <c r="CL85" s="239">
        <v>0</v>
      </c>
      <c r="CM85" s="239">
        <v>0</v>
      </c>
      <c r="CN85" s="239">
        <v>0</v>
      </c>
      <c r="CO85" s="239">
        <v>0</v>
      </c>
      <c r="CP85" s="239">
        <v>-70623</v>
      </c>
      <c r="CQ85" s="239">
        <v>0</v>
      </c>
      <c r="CR85" s="239">
        <v>-70623</v>
      </c>
      <c r="CS85" s="239">
        <v>-3053</v>
      </c>
      <c r="CT85" s="239">
        <v>0</v>
      </c>
      <c r="CU85" s="239">
        <v>-3053</v>
      </c>
      <c r="CV85" s="239">
        <v>-2101</v>
      </c>
      <c r="CW85" s="239">
        <v>0</v>
      </c>
      <c r="CX85" s="239">
        <v>-2101</v>
      </c>
      <c r="CY85" s="239">
        <v>0</v>
      </c>
      <c r="CZ85" s="239">
        <v>0</v>
      </c>
      <c r="DA85" s="239">
        <v>0</v>
      </c>
      <c r="DB85" s="239">
        <v>0</v>
      </c>
      <c r="DC85" s="239">
        <v>0</v>
      </c>
      <c r="DD85" s="239">
        <v>0</v>
      </c>
      <c r="DE85" s="239">
        <v>0</v>
      </c>
      <c r="DF85" s="239">
        <v>0</v>
      </c>
      <c r="DG85" s="239">
        <v>0</v>
      </c>
      <c r="DH85" s="239">
        <v>0</v>
      </c>
      <c r="DI85" s="239">
        <v>0</v>
      </c>
      <c r="DJ85" s="239">
        <v>-750673</v>
      </c>
      <c r="DK85" s="239">
        <v>0</v>
      </c>
      <c r="DL85" s="239">
        <v>-750673</v>
      </c>
      <c r="DM85" s="239">
        <v>-182716</v>
      </c>
      <c r="DN85" s="239">
        <v>0</v>
      </c>
      <c r="DO85" s="239">
        <v>-182716</v>
      </c>
      <c r="DP85" s="239">
        <v>-25777</v>
      </c>
      <c r="DQ85" s="239">
        <v>0</v>
      </c>
      <c r="DR85" s="239">
        <v>-25777</v>
      </c>
      <c r="DS85" s="239">
        <v>-47915</v>
      </c>
      <c r="DT85" s="239">
        <v>0</v>
      </c>
      <c r="DU85" s="239">
        <v>-47915</v>
      </c>
      <c r="DV85" s="239">
        <v>-10483</v>
      </c>
      <c r="DW85" s="239">
        <v>0</v>
      </c>
      <c r="DX85" s="239">
        <v>-10483</v>
      </c>
      <c r="DY85" s="239">
        <v>-1781005</v>
      </c>
      <c r="DZ85" s="239">
        <v>0</v>
      </c>
      <c r="EA85" s="239">
        <v>-1781005</v>
      </c>
      <c r="EB85" s="239">
        <v>-67046</v>
      </c>
      <c r="EC85" s="239">
        <v>0</v>
      </c>
      <c r="ED85" s="239">
        <v>-67046</v>
      </c>
      <c r="EE85" s="239">
        <v>0</v>
      </c>
      <c r="EF85" s="239">
        <v>0</v>
      </c>
      <c r="EG85" s="239">
        <v>0</v>
      </c>
      <c r="EH85" s="239">
        <v>0</v>
      </c>
      <c r="EI85" s="239">
        <v>0</v>
      </c>
      <c r="EJ85" s="239">
        <v>0</v>
      </c>
      <c r="EK85" s="239">
        <v>-64455</v>
      </c>
      <c r="EL85" s="239">
        <v>0</v>
      </c>
      <c r="EM85" s="239">
        <v>-64455</v>
      </c>
      <c r="EN85" s="239">
        <v>-2179397</v>
      </c>
      <c r="EO85" s="239">
        <v>0</v>
      </c>
      <c r="EP85" s="239">
        <v>-2179397</v>
      </c>
      <c r="EQ85" s="239">
        <v>0</v>
      </c>
      <c r="ER85" s="239">
        <v>0</v>
      </c>
      <c r="ES85" s="239">
        <v>0</v>
      </c>
      <c r="ET85" s="239">
        <v>-43096</v>
      </c>
      <c r="EU85" s="239">
        <v>0</v>
      </c>
      <c r="EV85" s="239">
        <v>-43096</v>
      </c>
      <c r="EW85" s="239">
        <v>-43096</v>
      </c>
      <c r="EX85" s="239">
        <v>0</v>
      </c>
      <c r="EY85" s="239">
        <v>-43096</v>
      </c>
      <c r="EZ85" s="239">
        <v>142954533</v>
      </c>
      <c r="FA85" s="239">
        <v>0</v>
      </c>
      <c r="FB85" s="239">
        <v>142954533</v>
      </c>
      <c r="FC85" s="239">
        <v>452328</v>
      </c>
      <c r="FD85" s="239">
        <v>0</v>
      </c>
      <c r="FE85" s="239">
        <v>452328</v>
      </c>
      <c r="FF85" s="239">
        <v>-17588846</v>
      </c>
      <c r="FG85" s="239">
        <v>0</v>
      </c>
      <c r="FH85" s="239">
        <v>-17588846</v>
      </c>
      <c r="FI85" s="239">
        <v>-5780114</v>
      </c>
      <c r="FJ85" s="239">
        <v>0</v>
      </c>
      <c r="FK85" s="239">
        <v>-5780114</v>
      </c>
      <c r="FL85" s="239">
        <v>-750673</v>
      </c>
      <c r="FM85" s="239">
        <v>0</v>
      </c>
      <c r="FN85" s="239">
        <v>-750673</v>
      </c>
      <c r="FO85" s="239">
        <v>-2179397</v>
      </c>
      <c r="FP85" s="239">
        <v>0</v>
      </c>
      <c r="FQ85" s="239">
        <v>-2179397</v>
      </c>
      <c r="FR85" s="239">
        <v>-43096</v>
      </c>
      <c r="FS85" s="239">
        <v>0</v>
      </c>
      <c r="FT85" s="239">
        <v>-43096</v>
      </c>
      <c r="FU85" s="239">
        <v>-25889798</v>
      </c>
      <c r="FV85" s="239">
        <v>0</v>
      </c>
      <c r="FW85" s="239">
        <v>-25889798</v>
      </c>
      <c r="FX85" s="239">
        <v>117064735</v>
      </c>
      <c r="FY85" s="239">
        <v>0</v>
      </c>
      <c r="FZ85" s="239">
        <v>117064735</v>
      </c>
      <c r="GA85" s="214" t="s">
        <v>748</v>
      </c>
    </row>
    <row r="86" spans="2:183" s="214" customFormat="1" x14ac:dyDescent="0.2">
      <c r="B86" s="610" t="s">
        <v>255</v>
      </c>
      <c r="C86" s="610" t="s">
        <v>254</v>
      </c>
      <c r="D86" s="239">
        <v>0</v>
      </c>
      <c r="E86" s="239">
        <v>0</v>
      </c>
      <c r="F86" s="239">
        <v>0</v>
      </c>
      <c r="G86" s="239">
        <v>296012</v>
      </c>
      <c r="H86" s="239">
        <v>0</v>
      </c>
      <c r="I86" s="239">
        <v>296012</v>
      </c>
      <c r="J86" s="239">
        <v>0</v>
      </c>
      <c r="K86" s="239">
        <v>0</v>
      </c>
      <c r="L86" s="239">
        <v>0</v>
      </c>
      <c r="M86" s="239">
        <v>155790</v>
      </c>
      <c r="N86" s="239">
        <v>0</v>
      </c>
      <c r="O86" s="239">
        <v>155790</v>
      </c>
      <c r="P86" s="239">
        <v>451802</v>
      </c>
      <c r="Q86" s="239">
        <v>0</v>
      </c>
      <c r="R86" s="239">
        <v>451802</v>
      </c>
      <c r="S86" s="239">
        <v>-4928154</v>
      </c>
      <c r="T86" s="239">
        <v>0</v>
      </c>
      <c r="U86" s="239">
        <v>-4928154</v>
      </c>
      <c r="V86" s="239">
        <v>-34361</v>
      </c>
      <c r="W86" s="239">
        <v>0</v>
      </c>
      <c r="X86" s="239">
        <v>-34361</v>
      </c>
      <c r="Y86" s="239">
        <v>-295856</v>
      </c>
      <c r="Z86" s="239">
        <v>0</v>
      </c>
      <c r="AA86" s="239">
        <v>-295856</v>
      </c>
      <c r="AB86" s="239">
        <v>-196447</v>
      </c>
      <c r="AC86" s="239">
        <v>0</v>
      </c>
      <c r="AD86" s="239">
        <v>-196447</v>
      </c>
      <c r="AE86" s="239">
        <v>-3551</v>
      </c>
      <c r="AF86" s="239">
        <v>0</v>
      </c>
      <c r="AG86" s="239">
        <v>-3551</v>
      </c>
      <c r="AH86" s="239">
        <v>3786873</v>
      </c>
      <c r="AI86" s="239">
        <v>0</v>
      </c>
      <c r="AJ86" s="239">
        <v>3786873</v>
      </c>
      <c r="AK86" s="239">
        <v>6075</v>
      </c>
      <c r="AL86" s="239">
        <v>0</v>
      </c>
      <c r="AM86" s="239">
        <v>6075</v>
      </c>
      <c r="AN86" s="239">
        <v>-7527653</v>
      </c>
      <c r="AO86" s="239">
        <v>0</v>
      </c>
      <c r="AP86" s="239">
        <v>-7527653</v>
      </c>
      <c r="AQ86" s="239">
        <v>153765</v>
      </c>
      <c r="AR86" s="239">
        <v>0</v>
      </c>
      <c r="AS86" s="239">
        <v>153765</v>
      </c>
      <c r="AT86" s="239">
        <v>-81242</v>
      </c>
      <c r="AU86" s="239">
        <v>0</v>
      </c>
      <c r="AV86" s="239">
        <v>-81242</v>
      </c>
      <c r="AW86" s="239">
        <v>-2259</v>
      </c>
      <c r="AX86" s="239">
        <v>0</v>
      </c>
      <c r="AY86" s="239">
        <v>-2259</v>
      </c>
      <c r="AZ86" s="239">
        <v>0</v>
      </c>
      <c r="BA86" s="239">
        <v>0</v>
      </c>
      <c r="BB86" s="239">
        <v>0</v>
      </c>
      <c r="BC86" s="239">
        <v>0</v>
      </c>
      <c r="BD86" s="239">
        <v>0</v>
      </c>
      <c r="BE86" s="239">
        <v>0</v>
      </c>
      <c r="BF86" s="239">
        <v>-8888451</v>
      </c>
      <c r="BG86" s="239">
        <v>0</v>
      </c>
      <c r="BH86" s="239">
        <v>-8888451</v>
      </c>
      <c r="BI86" s="239">
        <v>0</v>
      </c>
      <c r="BJ86" s="239">
        <v>0</v>
      </c>
      <c r="BK86" s="239">
        <v>0</v>
      </c>
      <c r="BL86" s="239">
        <v>-36587</v>
      </c>
      <c r="BM86" s="239">
        <v>0</v>
      </c>
      <c r="BN86" s="239">
        <v>-36587</v>
      </c>
      <c r="BO86" s="239">
        <v>-4701804</v>
      </c>
      <c r="BP86" s="239">
        <v>0</v>
      </c>
      <c r="BQ86" s="239">
        <v>-4701804</v>
      </c>
      <c r="BR86" s="239">
        <v>18284</v>
      </c>
      <c r="BS86" s="239">
        <v>0</v>
      </c>
      <c r="BT86" s="239">
        <v>18284</v>
      </c>
      <c r="BU86" s="239">
        <v>-4720107</v>
      </c>
      <c r="BV86" s="239">
        <v>0</v>
      </c>
      <c r="BW86" s="239">
        <v>-4720107</v>
      </c>
      <c r="BX86" s="239">
        <v>-170832</v>
      </c>
      <c r="BY86" s="239">
        <v>0</v>
      </c>
      <c r="BZ86" s="239">
        <v>-170832</v>
      </c>
      <c r="CA86" s="239">
        <v>-2621</v>
      </c>
      <c r="CB86" s="239">
        <v>0</v>
      </c>
      <c r="CC86" s="239">
        <v>-2621</v>
      </c>
      <c r="CD86" s="239">
        <v>-343392</v>
      </c>
      <c r="CE86" s="239">
        <v>0</v>
      </c>
      <c r="CF86" s="239">
        <v>-343392</v>
      </c>
      <c r="CG86" s="239">
        <v>0</v>
      </c>
      <c r="CH86" s="239">
        <v>0</v>
      </c>
      <c r="CI86" s="239">
        <v>0</v>
      </c>
      <c r="CJ86" s="239">
        <v>0</v>
      </c>
      <c r="CK86" s="239">
        <v>0</v>
      </c>
      <c r="CL86" s="239">
        <v>0</v>
      </c>
      <c r="CM86" s="239">
        <v>0</v>
      </c>
      <c r="CN86" s="239">
        <v>0</v>
      </c>
      <c r="CO86" s="239">
        <v>0</v>
      </c>
      <c r="CP86" s="239">
        <v>0</v>
      </c>
      <c r="CQ86" s="239">
        <v>0</v>
      </c>
      <c r="CR86" s="239">
        <v>0</v>
      </c>
      <c r="CS86" s="239">
        <v>0</v>
      </c>
      <c r="CT86" s="239">
        <v>0</v>
      </c>
      <c r="CU86" s="239">
        <v>0</v>
      </c>
      <c r="CV86" s="239">
        <v>0</v>
      </c>
      <c r="CW86" s="239">
        <v>0</v>
      </c>
      <c r="CX86" s="239">
        <v>0</v>
      </c>
      <c r="CY86" s="239">
        <v>0</v>
      </c>
      <c r="CZ86" s="239">
        <v>0</v>
      </c>
      <c r="DA86" s="239">
        <v>0</v>
      </c>
      <c r="DB86" s="239">
        <v>0</v>
      </c>
      <c r="DC86" s="239">
        <v>0</v>
      </c>
      <c r="DD86" s="239">
        <v>0</v>
      </c>
      <c r="DE86" s="239">
        <v>0</v>
      </c>
      <c r="DF86" s="239">
        <v>0</v>
      </c>
      <c r="DG86" s="239">
        <v>0</v>
      </c>
      <c r="DH86" s="239">
        <v>0</v>
      </c>
      <c r="DI86" s="239">
        <v>0</v>
      </c>
      <c r="DJ86" s="239">
        <v>-516845</v>
      </c>
      <c r="DK86" s="239">
        <v>0</v>
      </c>
      <c r="DL86" s="239">
        <v>-516845</v>
      </c>
      <c r="DM86" s="239">
        <v>-272620</v>
      </c>
      <c r="DN86" s="239">
        <v>0</v>
      </c>
      <c r="DO86" s="239">
        <v>-272620</v>
      </c>
      <c r="DP86" s="239">
        <v>-41438</v>
      </c>
      <c r="DQ86" s="239">
        <v>0</v>
      </c>
      <c r="DR86" s="239">
        <v>-41438</v>
      </c>
      <c r="DS86" s="239">
        <v>-103761</v>
      </c>
      <c r="DT86" s="239">
        <v>0</v>
      </c>
      <c r="DU86" s="239">
        <v>-103761</v>
      </c>
      <c r="DV86" s="239">
        <v>-5211</v>
      </c>
      <c r="DW86" s="239">
        <v>0</v>
      </c>
      <c r="DX86" s="239">
        <v>-5211</v>
      </c>
      <c r="DY86" s="239">
        <v>-2945536</v>
      </c>
      <c r="DZ86" s="239">
        <v>0</v>
      </c>
      <c r="EA86" s="239">
        <v>-2945536</v>
      </c>
      <c r="EB86" s="239">
        <v>-49963</v>
      </c>
      <c r="EC86" s="239">
        <v>0</v>
      </c>
      <c r="ED86" s="239">
        <v>-49963</v>
      </c>
      <c r="EE86" s="239">
        <v>0</v>
      </c>
      <c r="EF86" s="239">
        <v>0</v>
      </c>
      <c r="EG86" s="239">
        <v>0</v>
      </c>
      <c r="EH86" s="239">
        <v>0</v>
      </c>
      <c r="EI86" s="239">
        <v>0</v>
      </c>
      <c r="EJ86" s="239">
        <v>0</v>
      </c>
      <c r="EK86" s="239">
        <v>0</v>
      </c>
      <c r="EL86" s="239">
        <v>0</v>
      </c>
      <c r="EM86" s="239">
        <v>0</v>
      </c>
      <c r="EN86" s="239">
        <v>-3418529</v>
      </c>
      <c r="EO86" s="239">
        <v>0</v>
      </c>
      <c r="EP86" s="239">
        <v>-3418529</v>
      </c>
      <c r="EQ86" s="239">
        <v>0</v>
      </c>
      <c r="ER86" s="239">
        <v>0</v>
      </c>
      <c r="ES86" s="239">
        <v>0</v>
      </c>
      <c r="ET86" s="239">
        <v>2287</v>
      </c>
      <c r="EU86" s="239">
        <v>0</v>
      </c>
      <c r="EV86" s="239">
        <v>2287</v>
      </c>
      <c r="EW86" s="239">
        <v>2287</v>
      </c>
      <c r="EX86" s="239">
        <v>0</v>
      </c>
      <c r="EY86" s="239">
        <v>2287</v>
      </c>
      <c r="EZ86" s="239">
        <v>164108145</v>
      </c>
      <c r="FA86" s="239">
        <v>0</v>
      </c>
      <c r="FB86" s="239">
        <v>164108145</v>
      </c>
      <c r="FC86" s="239">
        <v>451802</v>
      </c>
      <c r="FD86" s="239">
        <v>0</v>
      </c>
      <c r="FE86" s="239">
        <v>451802</v>
      </c>
      <c r="FF86" s="239">
        <v>-8888451</v>
      </c>
      <c r="FG86" s="239">
        <v>0</v>
      </c>
      <c r="FH86" s="239">
        <v>-8888451</v>
      </c>
      <c r="FI86" s="239">
        <v>-4720107</v>
      </c>
      <c r="FJ86" s="239">
        <v>0</v>
      </c>
      <c r="FK86" s="239">
        <v>-4720107</v>
      </c>
      <c r="FL86" s="239">
        <v>-516845</v>
      </c>
      <c r="FM86" s="239">
        <v>0</v>
      </c>
      <c r="FN86" s="239">
        <v>-516845</v>
      </c>
      <c r="FO86" s="239">
        <v>-3418529</v>
      </c>
      <c r="FP86" s="239">
        <v>0</v>
      </c>
      <c r="FQ86" s="239">
        <v>-3418529</v>
      </c>
      <c r="FR86" s="239">
        <v>2287</v>
      </c>
      <c r="FS86" s="239">
        <v>0</v>
      </c>
      <c r="FT86" s="239">
        <v>2287</v>
      </c>
      <c r="FU86" s="239">
        <v>-17089843</v>
      </c>
      <c r="FV86" s="239">
        <v>0</v>
      </c>
      <c r="FW86" s="239">
        <v>-17089843</v>
      </c>
      <c r="FX86" s="239">
        <v>147018302</v>
      </c>
      <c r="FY86" s="239">
        <v>0</v>
      </c>
      <c r="FZ86" s="239">
        <v>147018302</v>
      </c>
      <c r="GA86" s="214" t="s">
        <v>1295</v>
      </c>
    </row>
    <row r="87" spans="2:183" s="214" customFormat="1" x14ac:dyDescent="0.2">
      <c r="B87" s="610" t="s">
        <v>257</v>
      </c>
      <c r="C87" s="610" t="s">
        <v>256</v>
      </c>
      <c r="D87" s="239">
        <v>0</v>
      </c>
      <c r="E87" s="239">
        <v>0</v>
      </c>
      <c r="F87" s="239">
        <v>0</v>
      </c>
      <c r="G87" s="239">
        <v>10836</v>
      </c>
      <c r="H87" s="239">
        <v>0</v>
      </c>
      <c r="I87" s="239">
        <v>10836</v>
      </c>
      <c r="J87" s="239">
        <v>0</v>
      </c>
      <c r="K87" s="239">
        <v>0</v>
      </c>
      <c r="L87" s="239">
        <v>0</v>
      </c>
      <c r="M87" s="239">
        <v>17479</v>
      </c>
      <c r="N87" s="239">
        <v>0</v>
      </c>
      <c r="O87" s="239">
        <v>17479</v>
      </c>
      <c r="P87" s="239">
        <v>28315</v>
      </c>
      <c r="Q87" s="239">
        <v>0</v>
      </c>
      <c r="R87" s="239">
        <v>28315</v>
      </c>
      <c r="S87" s="239">
        <v>-1605192</v>
      </c>
      <c r="T87" s="239">
        <v>0</v>
      </c>
      <c r="U87" s="239">
        <v>-1605192</v>
      </c>
      <c r="V87" s="239">
        <v>-2244</v>
      </c>
      <c r="W87" s="239">
        <v>0</v>
      </c>
      <c r="X87" s="239">
        <v>-2244</v>
      </c>
      <c r="Y87" s="239">
        <v>-41927</v>
      </c>
      <c r="Z87" s="239">
        <v>0</v>
      </c>
      <c r="AA87" s="239">
        <v>-41927</v>
      </c>
      <c r="AB87" s="239">
        <v>-41982</v>
      </c>
      <c r="AC87" s="239">
        <v>0</v>
      </c>
      <c r="AD87" s="239">
        <v>-41982</v>
      </c>
      <c r="AE87" s="239">
        <v>55</v>
      </c>
      <c r="AF87" s="239">
        <v>0</v>
      </c>
      <c r="AG87" s="239">
        <v>55</v>
      </c>
      <c r="AH87" s="239">
        <v>485807</v>
      </c>
      <c r="AI87" s="239">
        <v>0</v>
      </c>
      <c r="AJ87" s="239">
        <v>485807</v>
      </c>
      <c r="AK87" s="239">
        <v>5850</v>
      </c>
      <c r="AL87" s="239">
        <v>0</v>
      </c>
      <c r="AM87" s="239">
        <v>5850</v>
      </c>
      <c r="AN87" s="239">
        <v>-1570202</v>
      </c>
      <c r="AO87" s="239">
        <v>0</v>
      </c>
      <c r="AP87" s="239">
        <v>-1570202</v>
      </c>
      <c r="AQ87" s="239">
        <v>-92900</v>
      </c>
      <c r="AR87" s="239">
        <v>0</v>
      </c>
      <c r="AS87" s="239">
        <v>-92900</v>
      </c>
      <c r="AT87" s="239">
        <v>-49832</v>
      </c>
      <c r="AU87" s="239">
        <v>0</v>
      </c>
      <c r="AV87" s="239">
        <v>-49832</v>
      </c>
      <c r="AW87" s="239">
        <v>0</v>
      </c>
      <c r="AX87" s="239">
        <v>0</v>
      </c>
      <c r="AY87" s="239">
        <v>0</v>
      </c>
      <c r="AZ87" s="239">
        <v>-37850</v>
      </c>
      <c r="BA87" s="239">
        <v>0</v>
      </c>
      <c r="BB87" s="239">
        <v>-37850</v>
      </c>
      <c r="BC87" s="239">
        <v>-203</v>
      </c>
      <c r="BD87" s="239">
        <v>0</v>
      </c>
      <c r="BE87" s="239">
        <v>-203</v>
      </c>
      <c r="BF87" s="239">
        <v>-2906449</v>
      </c>
      <c r="BG87" s="239">
        <v>0</v>
      </c>
      <c r="BH87" s="239">
        <v>-2906449</v>
      </c>
      <c r="BI87" s="239">
        <v>0</v>
      </c>
      <c r="BJ87" s="239">
        <v>0</v>
      </c>
      <c r="BK87" s="239">
        <v>0</v>
      </c>
      <c r="BL87" s="239">
        <v>-1814</v>
      </c>
      <c r="BM87" s="239">
        <v>0</v>
      </c>
      <c r="BN87" s="239">
        <v>-1814</v>
      </c>
      <c r="BO87" s="239">
        <v>-405658</v>
      </c>
      <c r="BP87" s="239">
        <v>0</v>
      </c>
      <c r="BQ87" s="239">
        <v>-405658</v>
      </c>
      <c r="BR87" s="239">
        <v>7098</v>
      </c>
      <c r="BS87" s="239">
        <v>0</v>
      </c>
      <c r="BT87" s="239">
        <v>7098</v>
      </c>
      <c r="BU87" s="239">
        <v>-400374</v>
      </c>
      <c r="BV87" s="239">
        <v>0</v>
      </c>
      <c r="BW87" s="239">
        <v>-400374</v>
      </c>
      <c r="BX87" s="239">
        <v>-40436</v>
      </c>
      <c r="BY87" s="239">
        <v>0</v>
      </c>
      <c r="BZ87" s="239">
        <v>-40436</v>
      </c>
      <c r="CA87" s="239">
        <v>-78</v>
      </c>
      <c r="CB87" s="239">
        <v>0</v>
      </c>
      <c r="CC87" s="239">
        <v>-78</v>
      </c>
      <c r="CD87" s="239">
        <v>-9764</v>
      </c>
      <c r="CE87" s="239">
        <v>0</v>
      </c>
      <c r="CF87" s="239">
        <v>-9764</v>
      </c>
      <c r="CG87" s="239">
        <v>0</v>
      </c>
      <c r="CH87" s="239">
        <v>0</v>
      </c>
      <c r="CI87" s="239">
        <v>0</v>
      </c>
      <c r="CJ87" s="239">
        <v>-4869</v>
      </c>
      <c r="CK87" s="239">
        <v>0</v>
      </c>
      <c r="CL87" s="239">
        <v>-4869</v>
      </c>
      <c r="CM87" s="239">
        <v>0</v>
      </c>
      <c r="CN87" s="239">
        <v>0</v>
      </c>
      <c r="CO87" s="239">
        <v>0</v>
      </c>
      <c r="CP87" s="239">
        <v>-7148</v>
      </c>
      <c r="CQ87" s="239">
        <v>0</v>
      </c>
      <c r="CR87" s="239">
        <v>-7148</v>
      </c>
      <c r="CS87" s="239">
        <v>0</v>
      </c>
      <c r="CT87" s="239">
        <v>0</v>
      </c>
      <c r="CU87" s="239">
        <v>0</v>
      </c>
      <c r="CV87" s="239">
        <v>0</v>
      </c>
      <c r="CW87" s="239">
        <v>0</v>
      </c>
      <c r="CX87" s="239">
        <v>0</v>
      </c>
      <c r="CY87" s="239">
        <v>0</v>
      </c>
      <c r="CZ87" s="239">
        <v>0</v>
      </c>
      <c r="DA87" s="239">
        <v>0</v>
      </c>
      <c r="DB87" s="239">
        <v>0</v>
      </c>
      <c r="DC87" s="239">
        <v>0</v>
      </c>
      <c r="DD87" s="239">
        <v>0</v>
      </c>
      <c r="DE87" s="239">
        <v>0</v>
      </c>
      <c r="DF87" s="239">
        <v>0</v>
      </c>
      <c r="DG87" s="239">
        <v>0</v>
      </c>
      <c r="DH87" s="239">
        <v>0</v>
      </c>
      <c r="DI87" s="239">
        <v>0</v>
      </c>
      <c r="DJ87" s="239">
        <v>-62295</v>
      </c>
      <c r="DK87" s="239">
        <v>0</v>
      </c>
      <c r="DL87" s="239">
        <v>-62295</v>
      </c>
      <c r="DM87" s="239">
        <v>0</v>
      </c>
      <c r="DN87" s="239">
        <v>0</v>
      </c>
      <c r="DO87" s="239">
        <v>0</v>
      </c>
      <c r="DP87" s="239">
        <v>0</v>
      </c>
      <c r="DQ87" s="239">
        <v>0</v>
      </c>
      <c r="DR87" s="239">
        <v>0</v>
      </c>
      <c r="DS87" s="239">
        <v>0</v>
      </c>
      <c r="DT87" s="239">
        <v>0</v>
      </c>
      <c r="DU87" s="239">
        <v>0</v>
      </c>
      <c r="DV87" s="239">
        <v>0</v>
      </c>
      <c r="DW87" s="239">
        <v>0</v>
      </c>
      <c r="DX87" s="239">
        <v>0</v>
      </c>
      <c r="DY87" s="239">
        <v>-329335</v>
      </c>
      <c r="DZ87" s="239">
        <v>0</v>
      </c>
      <c r="EA87" s="239">
        <v>-329335</v>
      </c>
      <c r="EB87" s="239">
        <v>-2625</v>
      </c>
      <c r="EC87" s="239">
        <v>0</v>
      </c>
      <c r="ED87" s="239">
        <v>-2625</v>
      </c>
      <c r="EE87" s="239">
        <v>0</v>
      </c>
      <c r="EF87" s="239">
        <v>0</v>
      </c>
      <c r="EG87" s="239">
        <v>0</v>
      </c>
      <c r="EH87" s="239">
        <v>0</v>
      </c>
      <c r="EI87" s="239">
        <v>0</v>
      </c>
      <c r="EJ87" s="239">
        <v>0</v>
      </c>
      <c r="EK87" s="239">
        <v>-8954</v>
      </c>
      <c r="EL87" s="239">
        <v>0</v>
      </c>
      <c r="EM87" s="239">
        <v>-8954</v>
      </c>
      <c r="EN87" s="239">
        <v>-340914</v>
      </c>
      <c r="EO87" s="239">
        <v>0</v>
      </c>
      <c r="EP87" s="239">
        <v>-340914</v>
      </c>
      <c r="EQ87" s="239">
        <v>-44742</v>
      </c>
      <c r="ER87" s="239">
        <v>0</v>
      </c>
      <c r="ES87" s="239">
        <v>-44742</v>
      </c>
      <c r="ET87" s="239">
        <v>-9145</v>
      </c>
      <c r="EU87" s="239">
        <v>0</v>
      </c>
      <c r="EV87" s="239">
        <v>-9145</v>
      </c>
      <c r="EW87" s="239">
        <v>-53887</v>
      </c>
      <c r="EX87" s="239">
        <v>0</v>
      </c>
      <c r="EY87" s="239">
        <v>-53887</v>
      </c>
      <c r="EZ87" s="239">
        <v>23183465</v>
      </c>
      <c r="FA87" s="239">
        <v>0</v>
      </c>
      <c r="FB87" s="239">
        <v>23183465</v>
      </c>
      <c r="FC87" s="239">
        <v>28315</v>
      </c>
      <c r="FD87" s="239">
        <v>0</v>
      </c>
      <c r="FE87" s="239">
        <v>28315</v>
      </c>
      <c r="FF87" s="239">
        <v>-2906449</v>
      </c>
      <c r="FG87" s="239">
        <v>0</v>
      </c>
      <c r="FH87" s="239">
        <v>-2906449</v>
      </c>
      <c r="FI87" s="239">
        <v>-400374</v>
      </c>
      <c r="FJ87" s="239">
        <v>0</v>
      </c>
      <c r="FK87" s="239">
        <v>-400374</v>
      </c>
      <c r="FL87" s="239">
        <v>-62295</v>
      </c>
      <c r="FM87" s="239">
        <v>0</v>
      </c>
      <c r="FN87" s="239">
        <v>-62295</v>
      </c>
      <c r="FO87" s="239">
        <v>-340914</v>
      </c>
      <c r="FP87" s="239">
        <v>0</v>
      </c>
      <c r="FQ87" s="239">
        <v>-340914</v>
      </c>
      <c r="FR87" s="239">
        <v>-53887</v>
      </c>
      <c r="FS87" s="239">
        <v>0</v>
      </c>
      <c r="FT87" s="239">
        <v>-53887</v>
      </c>
      <c r="FU87" s="239">
        <v>-3735604</v>
      </c>
      <c r="FV87" s="239">
        <v>0</v>
      </c>
      <c r="FW87" s="239">
        <v>-3735604</v>
      </c>
      <c r="FX87" s="239">
        <v>19447861</v>
      </c>
      <c r="FY87" s="239">
        <v>0</v>
      </c>
      <c r="FZ87" s="239">
        <v>19447861</v>
      </c>
      <c r="GA87" s="214" t="s">
        <v>1294</v>
      </c>
    </row>
    <row r="88" spans="2:183" s="214" customFormat="1" x14ac:dyDescent="0.2">
      <c r="B88" s="610" t="s">
        <v>259</v>
      </c>
      <c r="C88" s="610" t="s">
        <v>258</v>
      </c>
      <c r="D88" s="239">
        <v>0</v>
      </c>
      <c r="E88" s="239">
        <v>0</v>
      </c>
      <c r="F88" s="239">
        <v>0</v>
      </c>
      <c r="G88" s="239">
        <v>-63281</v>
      </c>
      <c r="H88" s="239">
        <v>0</v>
      </c>
      <c r="I88" s="239">
        <v>-63281</v>
      </c>
      <c r="J88" s="239">
        <v>0</v>
      </c>
      <c r="K88" s="239">
        <v>0</v>
      </c>
      <c r="L88" s="239">
        <v>0</v>
      </c>
      <c r="M88" s="239">
        <v>3638.78</v>
      </c>
      <c r="N88" s="239">
        <v>0</v>
      </c>
      <c r="O88" s="239">
        <v>3638.78</v>
      </c>
      <c r="P88" s="239">
        <v>-59642</v>
      </c>
      <c r="Q88" s="239">
        <v>0</v>
      </c>
      <c r="R88" s="239">
        <v>-59642</v>
      </c>
      <c r="S88" s="239">
        <v>-4378444</v>
      </c>
      <c r="T88" s="239">
        <v>0</v>
      </c>
      <c r="U88" s="239">
        <v>-4378444</v>
      </c>
      <c r="V88" s="239">
        <v>410</v>
      </c>
      <c r="W88" s="239">
        <v>0</v>
      </c>
      <c r="X88" s="239">
        <v>410</v>
      </c>
      <c r="Y88" s="239">
        <v>-277448</v>
      </c>
      <c r="Z88" s="239">
        <v>0</v>
      </c>
      <c r="AA88" s="239">
        <v>-277448</v>
      </c>
      <c r="AB88" s="239">
        <v>-164779</v>
      </c>
      <c r="AC88" s="239">
        <v>0</v>
      </c>
      <c r="AD88" s="239">
        <v>-164779</v>
      </c>
      <c r="AE88" s="239">
        <v>410</v>
      </c>
      <c r="AF88" s="239">
        <v>0</v>
      </c>
      <c r="AG88" s="239">
        <v>410</v>
      </c>
      <c r="AH88" s="239">
        <v>834021</v>
      </c>
      <c r="AI88" s="239">
        <v>0</v>
      </c>
      <c r="AJ88" s="239">
        <v>834021</v>
      </c>
      <c r="AK88" s="239">
        <v>-7696</v>
      </c>
      <c r="AL88" s="239">
        <v>0</v>
      </c>
      <c r="AM88" s="239">
        <v>-7696</v>
      </c>
      <c r="AN88" s="239">
        <v>-2216120</v>
      </c>
      <c r="AO88" s="239">
        <v>0</v>
      </c>
      <c r="AP88" s="239">
        <v>-2216120</v>
      </c>
      <c r="AQ88" s="239">
        <v>-29480</v>
      </c>
      <c r="AR88" s="239">
        <v>0</v>
      </c>
      <c r="AS88" s="239">
        <v>-29480</v>
      </c>
      <c r="AT88" s="239">
        <v>-411490</v>
      </c>
      <c r="AU88" s="239">
        <v>0</v>
      </c>
      <c r="AV88" s="239">
        <v>-411490</v>
      </c>
      <c r="AW88" s="239">
        <v>6</v>
      </c>
      <c r="AX88" s="239">
        <v>0</v>
      </c>
      <c r="AY88" s="239">
        <v>6</v>
      </c>
      <c r="AZ88" s="239">
        <v>-40832</v>
      </c>
      <c r="BA88" s="239">
        <v>0</v>
      </c>
      <c r="BB88" s="239">
        <v>-40832</v>
      </c>
      <c r="BC88" s="239">
        <v>1301</v>
      </c>
      <c r="BD88" s="239">
        <v>0</v>
      </c>
      <c r="BE88" s="239">
        <v>1301</v>
      </c>
      <c r="BF88" s="239">
        <v>-6526182</v>
      </c>
      <c r="BG88" s="239">
        <v>0</v>
      </c>
      <c r="BH88" s="239">
        <v>-6526182</v>
      </c>
      <c r="BI88" s="239">
        <v>0</v>
      </c>
      <c r="BJ88" s="239">
        <v>0</v>
      </c>
      <c r="BK88" s="239">
        <v>0</v>
      </c>
      <c r="BL88" s="239">
        <v>0</v>
      </c>
      <c r="BM88" s="239">
        <v>0</v>
      </c>
      <c r="BN88" s="239">
        <v>0</v>
      </c>
      <c r="BO88" s="239">
        <v>-1355422</v>
      </c>
      <c r="BP88" s="239">
        <v>0</v>
      </c>
      <c r="BQ88" s="239">
        <v>-1355422</v>
      </c>
      <c r="BR88" s="239">
        <v>16016</v>
      </c>
      <c r="BS88" s="239">
        <v>0</v>
      </c>
      <c r="BT88" s="239">
        <v>16016</v>
      </c>
      <c r="BU88" s="239">
        <v>-1339406</v>
      </c>
      <c r="BV88" s="239">
        <v>0</v>
      </c>
      <c r="BW88" s="239">
        <v>-1339406</v>
      </c>
      <c r="BX88" s="239">
        <v>-112512</v>
      </c>
      <c r="BY88" s="239">
        <v>0</v>
      </c>
      <c r="BZ88" s="239">
        <v>-112512</v>
      </c>
      <c r="CA88" s="239">
        <v>-3624</v>
      </c>
      <c r="CB88" s="239">
        <v>0</v>
      </c>
      <c r="CC88" s="239">
        <v>-3624</v>
      </c>
      <c r="CD88" s="239">
        <v>-336</v>
      </c>
      <c r="CE88" s="239">
        <v>0</v>
      </c>
      <c r="CF88" s="239">
        <v>-336</v>
      </c>
      <c r="CG88" s="239">
        <v>0</v>
      </c>
      <c r="CH88" s="239">
        <v>0</v>
      </c>
      <c r="CI88" s="239">
        <v>0</v>
      </c>
      <c r="CJ88" s="239">
        <v>-81504</v>
      </c>
      <c r="CK88" s="239">
        <v>0</v>
      </c>
      <c r="CL88" s="239">
        <v>-81504</v>
      </c>
      <c r="CM88" s="239">
        <v>-131</v>
      </c>
      <c r="CN88" s="239">
        <v>0</v>
      </c>
      <c r="CO88" s="239">
        <v>-131</v>
      </c>
      <c r="CP88" s="239">
        <v>-12392</v>
      </c>
      <c r="CQ88" s="239">
        <v>0</v>
      </c>
      <c r="CR88" s="239">
        <v>-12392</v>
      </c>
      <c r="CS88" s="239">
        <v>-1382</v>
      </c>
      <c r="CT88" s="239">
        <v>0</v>
      </c>
      <c r="CU88" s="239">
        <v>-1382</v>
      </c>
      <c r="CV88" s="239">
        <v>0</v>
      </c>
      <c r="CW88" s="239">
        <v>0</v>
      </c>
      <c r="CX88" s="239">
        <v>0</v>
      </c>
      <c r="CY88" s="239">
        <v>0</v>
      </c>
      <c r="CZ88" s="239">
        <v>0</v>
      </c>
      <c r="DA88" s="239">
        <v>0</v>
      </c>
      <c r="DB88" s="239">
        <v>-638</v>
      </c>
      <c r="DC88" s="239">
        <v>0</v>
      </c>
      <c r="DD88" s="239">
        <v>-638</v>
      </c>
      <c r="DE88" s="239">
        <v>-2498</v>
      </c>
      <c r="DF88" s="239">
        <v>0</v>
      </c>
      <c r="DG88" s="239">
        <v>-2498</v>
      </c>
      <c r="DH88" s="239">
        <v>0</v>
      </c>
      <c r="DI88" s="239">
        <v>0</v>
      </c>
      <c r="DJ88" s="239">
        <v>-215017</v>
      </c>
      <c r="DK88" s="239">
        <v>0</v>
      </c>
      <c r="DL88" s="239">
        <v>-215017</v>
      </c>
      <c r="DM88" s="239">
        <v>-1626</v>
      </c>
      <c r="DN88" s="239">
        <v>0</v>
      </c>
      <c r="DO88" s="239">
        <v>-1626</v>
      </c>
      <c r="DP88" s="239">
        <v>0</v>
      </c>
      <c r="DQ88" s="239">
        <v>0</v>
      </c>
      <c r="DR88" s="239">
        <v>0</v>
      </c>
      <c r="DS88" s="239">
        <v>-3605</v>
      </c>
      <c r="DT88" s="239">
        <v>0</v>
      </c>
      <c r="DU88" s="239">
        <v>-3605</v>
      </c>
      <c r="DV88" s="239">
        <v>43</v>
      </c>
      <c r="DW88" s="239">
        <v>0</v>
      </c>
      <c r="DX88" s="239">
        <v>43</v>
      </c>
      <c r="DY88" s="239">
        <v>-936991</v>
      </c>
      <c r="DZ88" s="239">
        <v>0</v>
      </c>
      <c r="EA88" s="239">
        <v>-936991</v>
      </c>
      <c r="EB88" s="239">
        <v>-21459</v>
      </c>
      <c r="EC88" s="239">
        <v>0</v>
      </c>
      <c r="ED88" s="239">
        <v>-21459</v>
      </c>
      <c r="EE88" s="239">
        <v>0</v>
      </c>
      <c r="EF88" s="239">
        <v>0</v>
      </c>
      <c r="EG88" s="239">
        <v>0</v>
      </c>
      <c r="EH88" s="239">
        <v>0</v>
      </c>
      <c r="EI88" s="239">
        <v>0</v>
      </c>
      <c r="EJ88" s="239">
        <v>0</v>
      </c>
      <c r="EK88" s="239">
        <v>-41283</v>
      </c>
      <c r="EL88" s="239">
        <v>0</v>
      </c>
      <c r="EM88" s="239">
        <v>-41283</v>
      </c>
      <c r="EN88" s="239">
        <v>-1004921</v>
      </c>
      <c r="EO88" s="239">
        <v>0</v>
      </c>
      <c r="EP88" s="239">
        <v>-1004921</v>
      </c>
      <c r="EQ88" s="239">
        <v>0</v>
      </c>
      <c r="ER88" s="239">
        <v>0</v>
      </c>
      <c r="ES88" s="239">
        <v>0</v>
      </c>
      <c r="ET88" s="239">
        <v>0</v>
      </c>
      <c r="EU88" s="239">
        <v>0</v>
      </c>
      <c r="EV88" s="239">
        <v>0</v>
      </c>
      <c r="EW88" s="239">
        <v>0</v>
      </c>
      <c r="EX88" s="239">
        <v>0</v>
      </c>
      <c r="EY88" s="239">
        <v>0</v>
      </c>
      <c r="EZ88" s="239">
        <v>41543886</v>
      </c>
      <c r="FA88" s="239">
        <v>0</v>
      </c>
      <c r="FB88" s="239">
        <v>41543886</v>
      </c>
      <c r="FC88" s="239">
        <v>-59642</v>
      </c>
      <c r="FD88" s="239">
        <v>0</v>
      </c>
      <c r="FE88" s="239">
        <v>-59642</v>
      </c>
      <c r="FF88" s="239">
        <v>-6526182</v>
      </c>
      <c r="FG88" s="239">
        <v>0</v>
      </c>
      <c r="FH88" s="239">
        <v>-6526182</v>
      </c>
      <c r="FI88" s="239">
        <v>-1339406</v>
      </c>
      <c r="FJ88" s="239">
        <v>0</v>
      </c>
      <c r="FK88" s="239">
        <v>-1339406</v>
      </c>
      <c r="FL88" s="239">
        <v>-215017</v>
      </c>
      <c r="FM88" s="239">
        <v>0</v>
      </c>
      <c r="FN88" s="239">
        <v>-215017</v>
      </c>
      <c r="FO88" s="239">
        <v>-1004921</v>
      </c>
      <c r="FP88" s="239">
        <v>0</v>
      </c>
      <c r="FQ88" s="239">
        <v>-1004921</v>
      </c>
      <c r="FR88" s="239">
        <v>0</v>
      </c>
      <c r="FS88" s="239">
        <v>0</v>
      </c>
      <c r="FT88" s="239">
        <v>0</v>
      </c>
      <c r="FU88" s="239">
        <v>-9145168</v>
      </c>
      <c r="FV88" s="239">
        <v>0</v>
      </c>
      <c r="FW88" s="239">
        <v>-9145168</v>
      </c>
      <c r="FX88" s="239">
        <v>32398718</v>
      </c>
      <c r="FY88" s="239">
        <v>0</v>
      </c>
      <c r="FZ88" s="239">
        <v>32398718</v>
      </c>
      <c r="GA88" s="214" t="s">
        <v>1294</v>
      </c>
    </row>
    <row r="89" spans="2:183" s="214" customFormat="1" x14ac:dyDescent="0.2">
      <c r="B89" s="610" t="s">
        <v>261</v>
      </c>
      <c r="C89" s="610" t="s">
        <v>260</v>
      </c>
      <c r="D89" s="239">
        <v>0</v>
      </c>
      <c r="E89" s="239">
        <v>0</v>
      </c>
      <c r="F89" s="239">
        <v>0</v>
      </c>
      <c r="G89" s="239">
        <v>32268</v>
      </c>
      <c r="H89" s="239">
        <v>0</v>
      </c>
      <c r="I89" s="239">
        <v>32268</v>
      </c>
      <c r="J89" s="239">
        <v>0</v>
      </c>
      <c r="K89" s="239">
        <v>0</v>
      </c>
      <c r="L89" s="239">
        <v>0</v>
      </c>
      <c r="M89" s="239">
        <v>63589</v>
      </c>
      <c r="N89" s="239">
        <v>0</v>
      </c>
      <c r="O89" s="239">
        <v>63589</v>
      </c>
      <c r="P89" s="239">
        <v>95857</v>
      </c>
      <c r="Q89" s="239">
        <v>0</v>
      </c>
      <c r="R89" s="239">
        <v>95857</v>
      </c>
      <c r="S89" s="239">
        <v>-2081921</v>
      </c>
      <c r="T89" s="239">
        <v>0</v>
      </c>
      <c r="U89" s="239">
        <v>-2081921</v>
      </c>
      <c r="V89" s="239">
        <v>-1855</v>
      </c>
      <c r="W89" s="239">
        <v>0</v>
      </c>
      <c r="X89" s="239">
        <v>-1855</v>
      </c>
      <c r="Y89" s="239">
        <v>-22152</v>
      </c>
      <c r="Z89" s="239">
        <v>0</v>
      </c>
      <c r="AA89" s="239">
        <v>-22152</v>
      </c>
      <c r="AB89" s="239">
        <v>-19966</v>
      </c>
      <c r="AC89" s="239">
        <v>0</v>
      </c>
      <c r="AD89" s="239">
        <v>-19966</v>
      </c>
      <c r="AE89" s="239">
        <v>0</v>
      </c>
      <c r="AF89" s="239">
        <v>0</v>
      </c>
      <c r="AG89" s="239">
        <v>0</v>
      </c>
      <c r="AH89" s="239">
        <v>540876</v>
      </c>
      <c r="AI89" s="239">
        <v>0</v>
      </c>
      <c r="AJ89" s="239">
        <v>540876</v>
      </c>
      <c r="AK89" s="239">
        <v>-7117</v>
      </c>
      <c r="AL89" s="239">
        <v>0</v>
      </c>
      <c r="AM89" s="239">
        <v>-7117</v>
      </c>
      <c r="AN89" s="239">
        <v>-1242152</v>
      </c>
      <c r="AO89" s="239">
        <v>0</v>
      </c>
      <c r="AP89" s="239">
        <v>-1242152</v>
      </c>
      <c r="AQ89" s="239">
        <v>-5574</v>
      </c>
      <c r="AR89" s="239">
        <v>0</v>
      </c>
      <c r="AS89" s="239">
        <v>-5574</v>
      </c>
      <c r="AT89" s="239">
        <v>-35556</v>
      </c>
      <c r="AU89" s="239">
        <v>0</v>
      </c>
      <c r="AV89" s="239">
        <v>-35556</v>
      </c>
      <c r="AW89" s="239">
        <v>12265</v>
      </c>
      <c r="AX89" s="239">
        <v>0</v>
      </c>
      <c r="AY89" s="239">
        <v>12265</v>
      </c>
      <c r="AZ89" s="239">
        <v>-14747</v>
      </c>
      <c r="BA89" s="239">
        <v>0</v>
      </c>
      <c r="BB89" s="239">
        <v>-14747</v>
      </c>
      <c r="BC89" s="239">
        <v>0</v>
      </c>
      <c r="BD89" s="239">
        <v>0</v>
      </c>
      <c r="BE89" s="239">
        <v>0</v>
      </c>
      <c r="BF89" s="239">
        <v>-2856078</v>
      </c>
      <c r="BG89" s="239">
        <v>0</v>
      </c>
      <c r="BH89" s="239">
        <v>-2856078</v>
      </c>
      <c r="BI89" s="239">
        <v>-35755</v>
      </c>
      <c r="BJ89" s="239">
        <v>0</v>
      </c>
      <c r="BK89" s="239">
        <v>-35755</v>
      </c>
      <c r="BL89" s="239">
        <v>-8696</v>
      </c>
      <c r="BM89" s="239">
        <v>0</v>
      </c>
      <c r="BN89" s="239">
        <v>-8696</v>
      </c>
      <c r="BO89" s="239">
        <v>-480074</v>
      </c>
      <c r="BP89" s="239">
        <v>0</v>
      </c>
      <c r="BQ89" s="239">
        <v>-480074</v>
      </c>
      <c r="BR89" s="239">
        <v>12950</v>
      </c>
      <c r="BS89" s="239">
        <v>0</v>
      </c>
      <c r="BT89" s="239">
        <v>12950</v>
      </c>
      <c r="BU89" s="239">
        <v>-511575</v>
      </c>
      <c r="BV89" s="239">
        <v>0</v>
      </c>
      <c r="BW89" s="239">
        <v>-511575</v>
      </c>
      <c r="BX89" s="239">
        <v>-27761</v>
      </c>
      <c r="BY89" s="239">
        <v>0</v>
      </c>
      <c r="BZ89" s="239">
        <v>-27761</v>
      </c>
      <c r="CA89" s="239">
        <v>-1628</v>
      </c>
      <c r="CB89" s="239">
        <v>0</v>
      </c>
      <c r="CC89" s="239">
        <v>-1628</v>
      </c>
      <c r="CD89" s="239">
        <v>-2347</v>
      </c>
      <c r="CE89" s="239">
        <v>0</v>
      </c>
      <c r="CF89" s="239">
        <v>-2347</v>
      </c>
      <c r="CG89" s="239">
        <v>0</v>
      </c>
      <c r="CH89" s="239">
        <v>0</v>
      </c>
      <c r="CI89" s="239">
        <v>0</v>
      </c>
      <c r="CJ89" s="239">
        <v>0</v>
      </c>
      <c r="CK89" s="239">
        <v>0</v>
      </c>
      <c r="CL89" s="239">
        <v>0</v>
      </c>
      <c r="CM89" s="239">
        <v>0</v>
      </c>
      <c r="CN89" s="239">
        <v>0</v>
      </c>
      <c r="CO89" s="239">
        <v>0</v>
      </c>
      <c r="CP89" s="239">
        <v>-7708</v>
      </c>
      <c r="CQ89" s="239">
        <v>0</v>
      </c>
      <c r="CR89" s="239">
        <v>-7708</v>
      </c>
      <c r="CS89" s="239">
        <v>0</v>
      </c>
      <c r="CT89" s="239">
        <v>0</v>
      </c>
      <c r="CU89" s="239">
        <v>0</v>
      </c>
      <c r="CV89" s="239">
        <v>0</v>
      </c>
      <c r="CW89" s="239">
        <v>0</v>
      </c>
      <c r="CX89" s="239">
        <v>0</v>
      </c>
      <c r="CY89" s="239">
        <v>0</v>
      </c>
      <c r="CZ89" s="239">
        <v>0</v>
      </c>
      <c r="DA89" s="239">
        <v>0</v>
      </c>
      <c r="DB89" s="239">
        <v>0</v>
      </c>
      <c r="DC89" s="239">
        <v>0</v>
      </c>
      <c r="DD89" s="239">
        <v>0</v>
      </c>
      <c r="DE89" s="239">
        <v>0</v>
      </c>
      <c r="DF89" s="239">
        <v>0</v>
      </c>
      <c r="DG89" s="239">
        <v>0</v>
      </c>
      <c r="DH89" s="239">
        <v>0</v>
      </c>
      <c r="DI89" s="239">
        <v>0</v>
      </c>
      <c r="DJ89" s="239">
        <v>-39444</v>
      </c>
      <c r="DK89" s="239">
        <v>0</v>
      </c>
      <c r="DL89" s="239">
        <v>-39444</v>
      </c>
      <c r="DM89" s="239">
        <v>0</v>
      </c>
      <c r="DN89" s="239">
        <v>0</v>
      </c>
      <c r="DO89" s="239">
        <v>0</v>
      </c>
      <c r="DP89" s="239">
        <v>0</v>
      </c>
      <c r="DQ89" s="239">
        <v>0</v>
      </c>
      <c r="DR89" s="239">
        <v>0</v>
      </c>
      <c r="DS89" s="239">
        <v>0</v>
      </c>
      <c r="DT89" s="239">
        <v>0</v>
      </c>
      <c r="DU89" s="239">
        <v>0</v>
      </c>
      <c r="DV89" s="239">
        <v>0</v>
      </c>
      <c r="DW89" s="239">
        <v>0</v>
      </c>
      <c r="DX89" s="239">
        <v>0</v>
      </c>
      <c r="DY89" s="239">
        <v>-458214</v>
      </c>
      <c r="DZ89" s="239">
        <v>0</v>
      </c>
      <c r="EA89" s="239">
        <v>-458214</v>
      </c>
      <c r="EB89" s="239">
        <v>-8702</v>
      </c>
      <c r="EC89" s="239">
        <v>0</v>
      </c>
      <c r="ED89" s="239">
        <v>-8702</v>
      </c>
      <c r="EE89" s="239">
        <v>0</v>
      </c>
      <c r="EF89" s="239">
        <v>0</v>
      </c>
      <c r="EG89" s="239">
        <v>0</v>
      </c>
      <c r="EH89" s="239">
        <v>2555</v>
      </c>
      <c r="EI89" s="239">
        <v>0</v>
      </c>
      <c r="EJ89" s="239">
        <v>2555</v>
      </c>
      <c r="EK89" s="239">
        <v>-10333</v>
      </c>
      <c r="EL89" s="239">
        <v>0</v>
      </c>
      <c r="EM89" s="239">
        <v>-10333</v>
      </c>
      <c r="EN89" s="239">
        <v>-474694</v>
      </c>
      <c r="EO89" s="239">
        <v>0</v>
      </c>
      <c r="EP89" s="239">
        <v>-474694</v>
      </c>
      <c r="EQ89" s="239">
        <v>0</v>
      </c>
      <c r="ER89" s="239">
        <v>0</v>
      </c>
      <c r="ES89" s="239">
        <v>0</v>
      </c>
      <c r="ET89" s="239">
        <v>0</v>
      </c>
      <c r="EU89" s="239">
        <v>0</v>
      </c>
      <c r="EV89" s="239">
        <v>0</v>
      </c>
      <c r="EW89" s="239">
        <v>0</v>
      </c>
      <c r="EX89" s="239">
        <v>0</v>
      </c>
      <c r="EY89" s="239">
        <v>0</v>
      </c>
      <c r="EZ89" s="239">
        <v>25585327</v>
      </c>
      <c r="FA89" s="239">
        <v>0</v>
      </c>
      <c r="FB89" s="239">
        <v>25585327</v>
      </c>
      <c r="FC89" s="239">
        <v>95857</v>
      </c>
      <c r="FD89" s="239">
        <v>0</v>
      </c>
      <c r="FE89" s="239">
        <v>95857</v>
      </c>
      <c r="FF89" s="239">
        <v>-2856078</v>
      </c>
      <c r="FG89" s="239">
        <v>0</v>
      </c>
      <c r="FH89" s="239">
        <v>-2856078</v>
      </c>
      <c r="FI89" s="239">
        <v>-511575</v>
      </c>
      <c r="FJ89" s="239">
        <v>0</v>
      </c>
      <c r="FK89" s="239">
        <v>-511575</v>
      </c>
      <c r="FL89" s="239">
        <v>-39444</v>
      </c>
      <c r="FM89" s="239">
        <v>0</v>
      </c>
      <c r="FN89" s="239">
        <v>-39444</v>
      </c>
      <c r="FO89" s="239">
        <v>-474694</v>
      </c>
      <c r="FP89" s="239">
        <v>0</v>
      </c>
      <c r="FQ89" s="239">
        <v>-474694</v>
      </c>
      <c r="FR89" s="239">
        <v>0</v>
      </c>
      <c r="FS89" s="239">
        <v>0</v>
      </c>
      <c r="FT89" s="239">
        <v>0</v>
      </c>
      <c r="FU89" s="239">
        <v>-3785934</v>
      </c>
      <c r="FV89" s="239">
        <v>0</v>
      </c>
      <c r="FW89" s="239">
        <v>-3785934</v>
      </c>
      <c r="FX89" s="239">
        <v>21799393</v>
      </c>
      <c r="FY89" s="239">
        <v>0</v>
      </c>
      <c r="FZ89" s="239">
        <v>21799393</v>
      </c>
      <c r="GA89" s="214" t="s">
        <v>1294</v>
      </c>
    </row>
    <row r="90" spans="2:183" s="214" customFormat="1" x14ac:dyDescent="0.2">
      <c r="B90" s="610" t="s">
        <v>263</v>
      </c>
      <c r="C90" s="610" t="s">
        <v>262</v>
      </c>
      <c r="D90" s="239">
        <v>0</v>
      </c>
      <c r="E90" s="239">
        <v>0</v>
      </c>
      <c r="F90" s="239">
        <v>0</v>
      </c>
      <c r="G90" s="239">
        <v>-519285</v>
      </c>
      <c r="H90" s="239">
        <v>0</v>
      </c>
      <c r="I90" s="239">
        <v>-519285</v>
      </c>
      <c r="J90" s="239">
        <v>0</v>
      </c>
      <c r="K90" s="239">
        <v>0</v>
      </c>
      <c r="L90" s="239">
        <v>0</v>
      </c>
      <c r="M90" s="239">
        <v>6602</v>
      </c>
      <c r="N90" s="239">
        <v>0</v>
      </c>
      <c r="O90" s="239">
        <v>6602</v>
      </c>
      <c r="P90" s="239">
        <v>-512683</v>
      </c>
      <c r="Q90" s="239">
        <v>0</v>
      </c>
      <c r="R90" s="239">
        <v>-512683</v>
      </c>
      <c r="S90" s="239">
        <v>-2588183</v>
      </c>
      <c r="T90" s="239">
        <v>0</v>
      </c>
      <c r="U90" s="239">
        <v>-2588183</v>
      </c>
      <c r="V90" s="239">
        <v>-34895</v>
      </c>
      <c r="W90" s="239">
        <v>0</v>
      </c>
      <c r="X90" s="239">
        <v>-34895</v>
      </c>
      <c r="Y90" s="239">
        <v>-172765</v>
      </c>
      <c r="Z90" s="239">
        <v>0</v>
      </c>
      <c r="AA90" s="239">
        <v>-172765</v>
      </c>
      <c r="AB90" s="239">
        <v>-86834</v>
      </c>
      <c r="AC90" s="239">
        <v>0</v>
      </c>
      <c r="AD90" s="239">
        <v>-86834</v>
      </c>
      <c r="AE90" s="239">
        <v>0</v>
      </c>
      <c r="AF90" s="239">
        <v>0</v>
      </c>
      <c r="AG90" s="239">
        <v>0</v>
      </c>
      <c r="AH90" s="239">
        <v>776560</v>
      </c>
      <c r="AI90" s="239">
        <v>0</v>
      </c>
      <c r="AJ90" s="239">
        <v>776560</v>
      </c>
      <c r="AK90" s="239">
        <v>-12286</v>
      </c>
      <c r="AL90" s="239">
        <v>0</v>
      </c>
      <c r="AM90" s="239">
        <v>-12286</v>
      </c>
      <c r="AN90" s="239">
        <v>-2378785</v>
      </c>
      <c r="AO90" s="239">
        <v>0</v>
      </c>
      <c r="AP90" s="239">
        <v>-2378785</v>
      </c>
      <c r="AQ90" s="239">
        <v>-118698</v>
      </c>
      <c r="AR90" s="239">
        <v>0</v>
      </c>
      <c r="AS90" s="239">
        <v>-118698</v>
      </c>
      <c r="AT90" s="239">
        <v>-66207</v>
      </c>
      <c r="AU90" s="239">
        <v>0</v>
      </c>
      <c r="AV90" s="239">
        <v>-66207</v>
      </c>
      <c r="AW90" s="239">
        <v>0</v>
      </c>
      <c r="AX90" s="239">
        <v>0</v>
      </c>
      <c r="AY90" s="239">
        <v>0</v>
      </c>
      <c r="AZ90" s="239">
        <v>-29503</v>
      </c>
      <c r="BA90" s="239">
        <v>0</v>
      </c>
      <c r="BB90" s="239">
        <v>-29503</v>
      </c>
      <c r="BC90" s="239">
        <v>-204</v>
      </c>
      <c r="BD90" s="239">
        <v>0</v>
      </c>
      <c r="BE90" s="239">
        <v>-204</v>
      </c>
      <c r="BF90" s="239">
        <v>-4590071</v>
      </c>
      <c r="BG90" s="239">
        <v>0</v>
      </c>
      <c r="BH90" s="239">
        <v>-4590071</v>
      </c>
      <c r="BI90" s="239">
        <v>-447179</v>
      </c>
      <c r="BJ90" s="239">
        <v>0</v>
      </c>
      <c r="BK90" s="239">
        <v>-447179</v>
      </c>
      <c r="BL90" s="239">
        <v>1175</v>
      </c>
      <c r="BM90" s="239">
        <v>0</v>
      </c>
      <c r="BN90" s="239">
        <v>1175</v>
      </c>
      <c r="BO90" s="239">
        <v>-1034944</v>
      </c>
      <c r="BP90" s="239">
        <v>0</v>
      </c>
      <c r="BQ90" s="239">
        <v>-1034944</v>
      </c>
      <c r="BR90" s="239">
        <v>17416</v>
      </c>
      <c r="BS90" s="239">
        <v>0</v>
      </c>
      <c r="BT90" s="239">
        <v>17416</v>
      </c>
      <c r="BU90" s="239">
        <v>-1463532</v>
      </c>
      <c r="BV90" s="239">
        <v>0</v>
      </c>
      <c r="BW90" s="239">
        <v>-1463532</v>
      </c>
      <c r="BX90" s="239">
        <v>-124816</v>
      </c>
      <c r="BY90" s="239">
        <v>0</v>
      </c>
      <c r="BZ90" s="239">
        <v>-124816</v>
      </c>
      <c r="CA90" s="239">
        <v>2396</v>
      </c>
      <c r="CB90" s="239">
        <v>0</v>
      </c>
      <c r="CC90" s="239">
        <v>2396</v>
      </c>
      <c r="CD90" s="239">
        <v>-626</v>
      </c>
      <c r="CE90" s="239">
        <v>0</v>
      </c>
      <c r="CF90" s="239">
        <v>-626</v>
      </c>
      <c r="CG90" s="239">
        <v>0</v>
      </c>
      <c r="CH90" s="239">
        <v>0</v>
      </c>
      <c r="CI90" s="239">
        <v>0</v>
      </c>
      <c r="CJ90" s="239">
        <v>-8275</v>
      </c>
      <c r="CK90" s="239">
        <v>0</v>
      </c>
      <c r="CL90" s="239">
        <v>-8275</v>
      </c>
      <c r="CM90" s="239">
        <v>0</v>
      </c>
      <c r="CN90" s="239">
        <v>0</v>
      </c>
      <c r="CO90" s="239">
        <v>0</v>
      </c>
      <c r="CP90" s="239">
        <v>-29503</v>
      </c>
      <c r="CQ90" s="239">
        <v>0</v>
      </c>
      <c r="CR90" s="239">
        <v>-29503</v>
      </c>
      <c r="CS90" s="239">
        <v>-204</v>
      </c>
      <c r="CT90" s="239">
        <v>0</v>
      </c>
      <c r="CU90" s="239">
        <v>-204</v>
      </c>
      <c r="CV90" s="239">
        <v>0</v>
      </c>
      <c r="CW90" s="239">
        <v>0</v>
      </c>
      <c r="CX90" s="239">
        <v>0</v>
      </c>
      <c r="CY90" s="239">
        <v>0</v>
      </c>
      <c r="CZ90" s="239">
        <v>0</v>
      </c>
      <c r="DA90" s="239">
        <v>0</v>
      </c>
      <c r="DB90" s="239">
        <v>0</v>
      </c>
      <c r="DC90" s="239">
        <v>0</v>
      </c>
      <c r="DD90" s="239">
        <v>0</v>
      </c>
      <c r="DE90" s="239">
        <v>0</v>
      </c>
      <c r="DF90" s="239">
        <v>0</v>
      </c>
      <c r="DG90" s="239">
        <v>0</v>
      </c>
      <c r="DH90" s="239">
        <v>0</v>
      </c>
      <c r="DI90" s="239">
        <v>0</v>
      </c>
      <c r="DJ90" s="239">
        <v>-161028</v>
      </c>
      <c r="DK90" s="239">
        <v>0</v>
      </c>
      <c r="DL90" s="239">
        <v>-161028</v>
      </c>
      <c r="DM90" s="239">
        <v>0</v>
      </c>
      <c r="DN90" s="239">
        <v>0</v>
      </c>
      <c r="DO90" s="239">
        <v>0</v>
      </c>
      <c r="DP90" s="239">
        <v>0</v>
      </c>
      <c r="DQ90" s="239">
        <v>0</v>
      </c>
      <c r="DR90" s="239">
        <v>0</v>
      </c>
      <c r="DS90" s="239">
        <v>-32439</v>
      </c>
      <c r="DT90" s="239">
        <v>0</v>
      </c>
      <c r="DU90" s="239">
        <v>-32439</v>
      </c>
      <c r="DV90" s="239">
        <v>-7918</v>
      </c>
      <c r="DW90" s="239">
        <v>0</v>
      </c>
      <c r="DX90" s="239">
        <v>-7918</v>
      </c>
      <c r="DY90" s="239">
        <v>-810510</v>
      </c>
      <c r="DZ90" s="239">
        <v>0</v>
      </c>
      <c r="EA90" s="239">
        <v>-810510</v>
      </c>
      <c r="EB90" s="239">
        <v>-9156</v>
      </c>
      <c r="EC90" s="239">
        <v>0</v>
      </c>
      <c r="ED90" s="239">
        <v>-9156</v>
      </c>
      <c r="EE90" s="239">
        <v>0</v>
      </c>
      <c r="EF90" s="239">
        <v>0</v>
      </c>
      <c r="EG90" s="239">
        <v>0</v>
      </c>
      <c r="EH90" s="239">
        <v>1900</v>
      </c>
      <c r="EI90" s="239">
        <v>0</v>
      </c>
      <c r="EJ90" s="239">
        <v>1900</v>
      </c>
      <c r="EK90" s="239">
        <v>-16368</v>
      </c>
      <c r="EL90" s="239">
        <v>0</v>
      </c>
      <c r="EM90" s="239">
        <v>-16368</v>
      </c>
      <c r="EN90" s="239">
        <v>-874491</v>
      </c>
      <c r="EO90" s="239">
        <v>0</v>
      </c>
      <c r="EP90" s="239">
        <v>-874491</v>
      </c>
      <c r="EQ90" s="239">
        <v>0</v>
      </c>
      <c r="ER90" s="239">
        <v>0</v>
      </c>
      <c r="ES90" s="239">
        <v>0</v>
      </c>
      <c r="ET90" s="239">
        <v>0</v>
      </c>
      <c r="EU90" s="239">
        <v>0</v>
      </c>
      <c r="EV90" s="239">
        <v>0</v>
      </c>
      <c r="EW90" s="239">
        <v>0</v>
      </c>
      <c r="EX90" s="239">
        <v>0</v>
      </c>
      <c r="EY90" s="239">
        <v>0</v>
      </c>
      <c r="EZ90" s="239">
        <v>35888145</v>
      </c>
      <c r="FA90" s="239">
        <v>0</v>
      </c>
      <c r="FB90" s="239">
        <v>35888145</v>
      </c>
      <c r="FC90" s="239">
        <v>-512683</v>
      </c>
      <c r="FD90" s="239">
        <v>0</v>
      </c>
      <c r="FE90" s="239">
        <v>-512683</v>
      </c>
      <c r="FF90" s="239">
        <v>-4590071</v>
      </c>
      <c r="FG90" s="239">
        <v>0</v>
      </c>
      <c r="FH90" s="239">
        <v>-4590071</v>
      </c>
      <c r="FI90" s="239">
        <v>-1463532</v>
      </c>
      <c r="FJ90" s="239">
        <v>0</v>
      </c>
      <c r="FK90" s="239">
        <v>-1463532</v>
      </c>
      <c r="FL90" s="239">
        <v>-161028</v>
      </c>
      <c r="FM90" s="239">
        <v>0</v>
      </c>
      <c r="FN90" s="239">
        <v>-161028</v>
      </c>
      <c r="FO90" s="239">
        <v>-874491</v>
      </c>
      <c r="FP90" s="239">
        <v>0</v>
      </c>
      <c r="FQ90" s="239">
        <v>-874491</v>
      </c>
      <c r="FR90" s="239">
        <v>0</v>
      </c>
      <c r="FS90" s="239">
        <v>0</v>
      </c>
      <c r="FT90" s="239">
        <v>0</v>
      </c>
      <c r="FU90" s="239">
        <v>-7601805</v>
      </c>
      <c r="FV90" s="239">
        <v>0</v>
      </c>
      <c r="FW90" s="239">
        <v>-7601805</v>
      </c>
      <c r="FX90" s="239">
        <v>28286340</v>
      </c>
      <c r="FY90" s="239">
        <v>0</v>
      </c>
      <c r="FZ90" s="239">
        <v>28286340</v>
      </c>
      <c r="GA90" s="214" t="s">
        <v>1294</v>
      </c>
    </row>
    <row r="91" spans="2:183" s="214" customFormat="1" x14ac:dyDescent="0.2">
      <c r="B91" s="610" t="s">
        <v>265</v>
      </c>
      <c r="C91" s="610" t="s">
        <v>264</v>
      </c>
      <c r="D91" s="239">
        <v>0</v>
      </c>
      <c r="E91" s="239">
        <v>0</v>
      </c>
      <c r="F91" s="239">
        <v>0</v>
      </c>
      <c r="G91" s="239">
        <v>-30496</v>
      </c>
      <c r="H91" s="239">
        <v>0</v>
      </c>
      <c r="I91" s="239">
        <v>-30496</v>
      </c>
      <c r="J91" s="239">
        <v>0</v>
      </c>
      <c r="K91" s="239">
        <v>0</v>
      </c>
      <c r="L91" s="239">
        <v>0</v>
      </c>
      <c r="M91" s="239">
        <v>114776</v>
      </c>
      <c r="N91" s="239">
        <v>0</v>
      </c>
      <c r="O91" s="239">
        <v>114776</v>
      </c>
      <c r="P91" s="239">
        <v>84280</v>
      </c>
      <c r="Q91" s="239">
        <v>0</v>
      </c>
      <c r="R91" s="239">
        <v>84280</v>
      </c>
      <c r="S91" s="239">
        <v>-2693007</v>
      </c>
      <c r="T91" s="239">
        <v>0</v>
      </c>
      <c r="U91" s="239">
        <v>-2693007</v>
      </c>
      <c r="V91" s="239">
        <v>0</v>
      </c>
      <c r="W91" s="239">
        <v>0</v>
      </c>
      <c r="X91" s="239">
        <v>0</v>
      </c>
      <c r="Y91" s="239">
        <v>-105720</v>
      </c>
      <c r="Z91" s="239">
        <v>0</v>
      </c>
      <c r="AA91" s="239">
        <v>-105720</v>
      </c>
      <c r="AB91" s="239">
        <v>0</v>
      </c>
      <c r="AC91" s="239">
        <v>0</v>
      </c>
      <c r="AD91" s="239">
        <v>0</v>
      </c>
      <c r="AE91" s="239">
        <v>0</v>
      </c>
      <c r="AF91" s="239">
        <v>0</v>
      </c>
      <c r="AG91" s="239">
        <v>0</v>
      </c>
      <c r="AH91" s="239">
        <v>1222053</v>
      </c>
      <c r="AI91" s="239">
        <v>0</v>
      </c>
      <c r="AJ91" s="239">
        <v>1222053</v>
      </c>
      <c r="AK91" s="239">
        <v>-23859</v>
      </c>
      <c r="AL91" s="239">
        <v>0</v>
      </c>
      <c r="AM91" s="239">
        <v>-23859</v>
      </c>
      <c r="AN91" s="239">
        <v>-4106567</v>
      </c>
      <c r="AO91" s="239">
        <v>0</v>
      </c>
      <c r="AP91" s="239">
        <v>-4106567</v>
      </c>
      <c r="AQ91" s="239">
        <v>67432</v>
      </c>
      <c r="AR91" s="239">
        <v>0</v>
      </c>
      <c r="AS91" s="239">
        <v>67432</v>
      </c>
      <c r="AT91" s="239">
        <v>-107602</v>
      </c>
      <c r="AU91" s="239">
        <v>0</v>
      </c>
      <c r="AV91" s="239">
        <v>-107602</v>
      </c>
      <c r="AW91" s="239">
        <v>-349</v>
      </c>
      <c r="AX91" s="239">
        <v>0</v>
      </c>
      <c r="AY91" s="239">
        <v>-349</v>
      </c>
      <c r="AZ91" s="239">
        <v>-50202</v>
      </c>
      <c r="BA91" s="239">
        <v>0</v>
      </c>
      <c r="BB91" s="239">
        <v>-50202</v>
      </c>
      <c r="BC91" s="239">
        <v>0</v>
      </c>
      <c r="BD91" s="239">
        <v>0</v>
      </c>
      <c r="BE91" s="239">
        <v>0</v>
      </c>
      <c r="BF91" s="239">
        <v>-5797821</v>
      </c>
      <c r="BG91" s="239">
        <v>0</v>
      </c>
      <c r="BH91" s="239">
        <v>-5797821</v>
      </c>
      <c r="BI91" s="239">
        <v>-69566</v>
      </c>
      <c r="BJ91" s="239">
        <v>0</v>
      </c>
      <c r="BK91" s="239">
        <v>-69566</v>
      </c>
      <c r="BL91" s="239">
        <v>5866</v>
      </c>
      <c r="BM91" s="239">
        <v>0</v>
      </c>
      <c r="BN91" s="239">
        <v>5866</v>
      </c>
      <c r="BO91" s="239">
        <v>-1519410</v>
      </c>
      <c r="BP91" s="239">
        <v>0</v>
      </c>
      <c r="BQ91" s="239">
        <v>-1519410</v>
      </c>
      <c r="BR91" s="239">
        <v>-12686</v>
      </c>
      <c r="BS91" s="239">
        <v>0</v>
      </c>
      <c r="BT91" s="239">
        <v>-12686</v>
      </c>
      <c r="BU91" s="239">
        <v>-1595796</v>
      </c>
      <c r="BV91" s="239">
        <v>0</v>
      </c>
      <c r="BW91" s="239">
        <v>-1595796</v>
      </c>
      <c r="BX91" s="239">
        <v>-174493</v>
      </c>
      <c r="BY91" s="239">
        <v>0</v>
      </c>
      <c r="BZ91" s="239">
        <v>-174493</v>
      </c>
      <c r="CA91" s="239">
        <v>-552</v>
      </c>
      <c r="CB91" s="239">
        <v>0</v>
      </c>
      <c r="CC91" s="239">
        <v>-552</v>
      </c>
      <c r="CD91" s="239">
        <v>-51308</v>
      </c>
      <c r="CE91" s="239">
        <v>0</v>
      </c>
      <c r="CF91" s="239">
        <v>-51308</v>
      </c>
      <c r="CG91" s="239">
        <v>-3888</v>
      </c>
      <c r="CH91" s="239">
        <v>0</v>
      </c>
      <c r="CI91" s="239">
        <v>-3888</v>
      </c>
      <c r="CJ91" s="239">
        <v>0</v>
      </c>
      <c r="CK91" s="239">
        <v>0</v>
      </c>
      <c r="CL91" s="239">
        <v>0</v>
      </c>
      <c r="CM91" s="239">
        <v>0</v>
      </c>
      <c r="CN91" s="239">
        <v>0</v>
      </c>
      <c r="CO91" s="239">
        <v>0</v>
      </c>
      <c r="CP91" s="239">
        <v>-21076</v>
      </c>
      <c r="CQ91" s="239">
        <v>0</v>
      </c>
      <c r="CR91" s="239">
        <v>-21076</v>
      </c>
      <c r="CS91" s="239">
        <v>0</v>
      </c>
      <c r="CT91" s="239">
        <v>0</v>
      </c>
      <c r="CU91" s="239">
        <v>0</v>
      </c>
      <c r="CV91" s="239">
        <v>-1435</v>
      </c>
      <c r="CW91" s="239">
        <v>0</v>
      </c>
      <c r="CX91" s="239">
        <v>-1435</v>
      </c>
      <c r="CY91" s="239">
        <v>1046</v>
      </c>
      <c r="CZ91" s="239">
        <v>0</v>
      </c>
      <c r="DA91" s="239">
        <v>1046</v>
      </c>
      <c r="DB91" s="239">
        <v>0</v>
      </c>
      <c r="DC91" s="239">
        <v>0</v>
      </c>
      <c r="DD91" s="239">
        <v>0</v>
      </c>
      <c r="DE91" s="239">
        <v>0</v>
      </c>
      <c r="DF91" s="239">
        <v>0</v>
      </c>
      <c r="DG91" s="239">
        <v>0</v>
      </c>
      <c r="DH91" s="239">
        <v>0</v>
      </c>
      <c r="DI91" s="239">
        <v>0</v>
      </c>
      <c r="DJ91" s="239">
        <v>-251706</v>
      </c>
      <c r="DK91" s="239">
        <v>0</v>
      </c>
      <c r="DL91" s="239">
        <v>-251706</v>
      </c>
      <c r="DM91" s="239">
        <v>-35002</v>
      </c>
      <c r="DN91" s="239">
        <v>0</v>
      </c>
      <c r="DO91" s="239">
        <v>-35002</v>
      </c>
      <c r="DP91" s="239">
        <v>0</v>
      </c>
      <c r="DQ91" s="239">
        <v>0</v>
      </c>
      <c r="DR91" s="239">
        <v>0</v>
      </c>
      <c r="DS91" s="239">
        <v>-39029</v>
      </c>
      <c r="DT91" s="239">
        <v>0</v>
      </c>
      <c r="DU91" s="239">
        <v>-39029</v>
      </c>
      <c r="DV91" s="239">
        <v>-367</v>
      </c>
      <c r="DW91" s="239">
        <v>0</v>
      </c>
      <c r="DX91" s="239">
        <v>-367</v>
      </c>
      <c r="DY91" s="239">
        <v>-696585</v>
      </c>
      <c r="DZ91" s="239">
        <v>0</v>
      </c>
      <c r="EA91" s="239">
        <v>-696585</v>
      </c>
      <c r="EB91" s="239">
        <v>-64593</v>
      </c>
      <c r="EC91" s="239">
        <v>0</v>
      </c>
      <c r="ED91" s="239">
        <v>-64593</v>
      </c>
      <c r="EE91" s="239">
        <v>0</v>
      </c>
      <c r="EF91" s="239">
        <v>0</v>
      </c>
      <c r="EG91" s="239">
        <v>0</v>
      </c>
      <c r="EH91" s="239">
        <v>550</v>
      </c>
      <c r="EI91" s="239">
        <v>0</v>
      </c>
      <c r="EJ91" s="239">
        <v>550</v>
      </c>
      <c r="EK91" s="239">
        <v>-6680</v>
      </c>
      <c r="EL91" s="239">
        <v>0</v>
      </c>
      <c r="EM91" s="239">
        <v>-6680</v>
      </c>
      <c r="EN91" s="239">
        <v>-841706</v>
      </c>
      <c r="EO91" s="239">
        <v>0</v>
      </c>
      <c r="EP91" s="239">
        <v>-841706</v>
      </c>
      <c r="EQ91" s="239">
        <v>0</v>
      </c>
      <c r="ER91" s="239">
        <v>0</v>
      </c>
      <c r="ES91" s="239">
        <v>0</v>
      </c>
      <c r="ET91" s="239">
        <v>0</v>
      </c>
      <c r="EU91" s="239">
        <v>0</v>
      </c>
      <c r="EV91" s="239">
        <v>0</v>
      </c>
      <c r="EW91" s="239">
        <v>0</v>
      </c>
      <c r="EX91" s="239">
        <v>0</v>
      </c>
      <c r="EY91" s="239">
        <v>0</v>
      </c>
      <c r="EZ91" s="239">
        <v>52857366</v>
      </c>
      <c r="FA91" s="239">
        <v>0</v>
      </c>
      <c r="FB91" s="239">
        <v>52857366</v>
      </c>
      <c r="FC91" s="239">
        <v>84280</v>
      </c>
      <c r="FD91" s="239">
        <v>0</v>
      </c>
      <c r="FE91" s="239">
        <v>84280</v>
      </c>
      <c r="FF91" s="239">
        <v>-5797821</v>
      </c>
      <c r="FG91" s="239">
        <v>0</v>
      </c>
      <c r="FH91" s="239">
        <v>-5797821</v>
      </c>
      <c r="FI91" s="239">
        <v>-1595796</v>
      </c>
      <c r="FJ91" s="239">
        <v>0</v>
      </c>
      <c r="FK91" s="239">
        <v>-1595796</v>
      </c>
      <c r="FL91" s="239">
        <v>-251706</v>
      </c>
      <c r="FM91" s="239">
        <v>0</v>
      </c>
      <c r="FN91" s="239">
        <v>-251706</v>
      </c>
      <c r="FO91" s="239">
        <v>-841706</v>
      </c>
      <c r="FP91" s="239">
        <v>0</v>
      </c>
      <c r="FQ91" s="239">
        <v>-841706</v>
      </c>
      <c r="FR91" s="239">
        <v>0</v>
      </c>
      <c r="FS91" s="239">
        <v>0</v>
      </c>
      <c r="FT91" s="239">
        <v>0</v>
      </c>
      <c r="FU91" s="239">
        <v>-8402749</v>
      </c>
      <c r="FV91" s="239">
        <v>0</v>
      </c>
      <c r="FW91" s="239">
        <v>-8402749</v>
      </c>
      <c r="FX91" s="239">
        <v>44454617</v>
      </c>
      <c r="FY91" s="239">
        <v>0</v>
      </c>
      <c r="FZ91" s="239">
        <v>44454617</v>
      </c>
      <c r="GA91" s="214" t="s">
        <v>1294</v>
      </c>
    </row>
    <row r="92" spans="2:183" s="214" customFormat="1" x14ac:dyDescent="0.2">
      <c r="B92" s="610" t="s">
        <v>267</v>
      </c>
      <c r="C92" s="610" t="s">
        <v>266</v>
      </c>
      <c r="D92" s="239">
        <v>0</v>
      </c>
      <c r="E92" s="239">
        <v>0</v>
      </c>
      <c r="F92" s="239">
        <v>0</v>
      </c>
      <c r="G92" s="239">
        <v>240722</v>
      </c>
      <c r="H92" s="239">
        <v>0</v>
      </c>
      <c r="I92" s="239">
        <v>240722</v>
      </c>
      <c r="J92" s="239">
        <v>0</v>
      </c>
      <c r="K92" s="239">
        <v>0</v>
      </c>
      <c r="L92" s="239">
        <v>0</v>
      </c>
      <c r="M92" s="239">
        <v>31091</v>
      </c>
      <c r="N92" s="239">
        <v>0</v>
      </c>
      <c r="O92" s="239">
        <v>31091</v>
      </c>
      <c r="P92" s="239">
        <v>271813</v>
      </c>
      <c r="Q92" s="239">
        <v>0</v>
      </c>
      <c r="R92" s="239">
        <v>271813</v>
      </c>
      <c r="S92" s="239">
        <v>-4773221</v>
      </c>
      <c r="T92" s="239">
        <v>0</v>
      </c>
      <c r="U92" s="239">
        <v>-4773221</v>
      </c>
      <c r="V92" s="239">
        <v>-12982</v>
      </c>
      <c r="W92" s="239">
        <v>0</v>
      </c>
      <c r="X92" s="239">
        <v>-12982</v>
      </c>
      <c r="Y92" s="239">
        <v>-222064</v>
      </c>
      <c r="Z92" s="239">
        <v>0</v>
      </c>
      <c r="AA92" s="239">
        <v>-222064</v>
      </c>
      <c r="AB92" s="239">
        <v>-3738</v>
      </c>
      <c r="AC92" s="239">
        <v>0</v>
      </c>
      <c r="AD92" s="239">
        <v>-3738</v>
      </c>
      <c r="AE92" s="239">
        <v>0</v>
      </c>
      <c r="AF92" s="239">
        <v>0</v>
      </c>
      <c r="AG92" s="239">
        <v>0</v>
      </c>
      <c r="AH92" s="239">
        <v>849603</v>
      </c>
      <c r="AI92" s="239">
        <v>0</v>
      </c>
      <c r="AJ92" s="239">
        <v>849603</v>
      </c>
      <c r="AK92" s="239">
        <v>-44158</v>
      </c>
      <c r="AL92" s="239">
        <v>0</v>
      </c>
      <c r="AM92" s="239">
        <v>-44158</v>
      </c>
      <c r="AN92" s="239">
        <v>-2530974</v>
      </c>
      <c r="AO92" s="239">
        <v>0</v>
      </c>
      <c r="AP92" s="239">
        <v>-2530974</v>
      </c>
      <c r="AQ92" s="239">
        <v>2631</v>
      </c>
      <c r="AR92" s="239">
        <v>0</v>
      </c>
      <c r="AS92" s="239">
        <v>2631</v>
      </c>
      <c r="AT92" s="239">
        <v>-78024</v>
      </c>
      <c r="AU92" s="239">
        <v>0</v>
      </c>
      <c r="AV92" s="239">
        <v>-78024</v>
      </c>
      <c r="AW92" s="239">
        <v>-163</v>
      </c>
      <c r="AX92" s="239">
        <v>0</v>
      </c>
      <c r="AY92" s="239">
        <v>-163</v>
      </c>
      <c r="AZ92" s="239">
        <v>-117585</v>
      </c>
      <c r="BA92" s="239">
        <v>0</v>
      </c>
      <c r="BB92" s="239">
        <v>-117585</v>
      </c>
      <c r="BC92" s="239">
        <v>-678</v>
      </c>
      <c r="BD92" s="239">
        <v>0</v>
      </c>
      <c r="BE92" s="239">
        <v>-678</v>
      </c>
      <c r="BF92" s="239">
        <v>-6914633</v>
      </c>
      <c r="BG92" s="239">
        <v>0</v>
      </c>
      <c r="BH92" s="239">
        <v>-6914633</v>
      </c>
      <c r="BI92" s="239">
        <v>0</v>
      </c>
      <c r="BJ92" s="239">
        <v>0</v>
      </c>
      <c r="BK92" s="239">
        <v>0</v>
      </c>
      <c r="BL92" s="239">
        <v>0</v>
      </c>
      <c r="BM92" s="239">
        <v>0</v>
      </c>
      <c r="BN92" s="239">
        <v>0</v>
      </c>
      <c r="BO92" s="239">
        <v>-686247</v>
      </c>
      <c r="BP92" s="239">
        <v>0</v>
      </c>
      <c r="BQ92" s="239">
        <v>-686247</v>
      </c>
      <c r="BR92" s="239">
        <v>45399</v>
      </c>
      <c r="BS92" s="239">
        <v>0</v>
      </c>
      <c r="BT92" s="239">
        <v>45399</v>
      </c>
      <c r="BU92" s="239">
        <v>-640848</v>
      </c>
      <c r="BV92" s="239">
        <v>0</v>
      </c>
      <c r="BW92" s="239">
        <v>-640848</v>
      </c>
      <c r="BX92" s="239">
        <v>-79632</v>
      </c>
      <c r="BY92" s="239">
        <v>0</v>
      </c>
      <c r="BZ92" s="239">
        <v>-79632</v>
      </c>
      <c r="CA92" s="239">
        <v>-3386</v>
      </c>
      <c r="CB92" s="239">
        <v>0</v>
      </c>
      <c r="CC92" s="239">
        <v>-3386</v>
      </c>
      <c r="CD92" s="239">
        <v>-6184</v>
      </c>
      <c r="CE92" s="239">
        <v>0</v>
      </c>
      <c r="CF92" s="239">
        <v>-6184</v>
      </c>
      <c r="CG92" s="239">
        <v>-1291</v>
      </c>
      <c r="CH92" s="239">
        <v>0</v>
      </c>
      <c r="CI92" s="239">
        <v>-1291</v>
      </c>
      <c r="CJ92" s="239">
        <v>-8837</v>
      </c>
      <c r="CK92" s="239">
        <v>0</v>
      </c>
      <c r="CL92" s="239">
        <v>-8837</v>
      </c>
      <c r="CM92" s="239">
        <v>-142</v>
      </c>
      <c r="CN92" s="239">
        <v>0</v>
      </c>
      <c r="CO92" s="239">
        <v>-142</v>
      </c>
      <c r="CP92" s="239">
        <v>-25806</v>
      </c>
      <c r="CQ92" s="239">
        <v>0</v>
      </c>
      <c r="CR92" s="239">
        <v>-25806</v>
      </c>
      <c r="CS92" s="239">
        <v>0</v>
      </c>
      <c r="CT92" s="239">
        <v>0</v>
      </c>
      <c r="CU92" s="239">
        <v>0</v>
      </c>
      <c r="CV92" s="239">
        <v>0</v>
      </c>
      <c r="CW92" s="239">
        <v>0</v>
      </c>
      <c r="CX92" s="239">
        <v>0</v>
      </c>
      <c r="CY92" s="239">
        <v>0</v>
      </c>
      <c r="CZ92" s="239">
        <v>0</v>
      </c>
      <c r="DA92" s="239">
        <v>0</v>
      </c>
      <c r="DB92" s="239">
        <v>0</v>
      </c>
      <c r="DC92" s="239">
        <v>0</v>
      </c>
      <c r="DD92" s="239">
        <v>0</v>
      </c>
      <c r="DE92" s="239">
        <v>0</v>
      </c>
      <c r="DF92" s="239">
        <v>0</v>
      </c>
      <c r="DG92" s="239">
        <v>0</v>
      </c>
      <c r="DH92" s="239">
        <v>0</v>
      </c>
      <c r="DI92" s="239">
        <v>0</v>
      </c>
      <c r="DJ92" s="239">
        <v>-125278</v>
      </c>
      <c r="DK92" s="239">
        <v>0</v>
      </c>
      <c r="DL92" s="239">
        <v>-125278</v>
      </c>
      <c r="DM92" s="239">
        <v>0</v>
      </c>
      <c r="DN92" s="239">
        <v>0</v>
      </c>
      <c r="DO92" s="239">
        <v>0</v>
      </c>
      <c r="DP92" s="239">
        <v>-1592</v>
      </c>
      <c r="DQ92" s="239">
        <v>0</v>
      </c>
      <c r="DR92" s="239">
        <v>-1592</v>
      </c>
      <c r="DS92" s="239">
        <v>-8480</v>
      </c>
      <c r="DT92" s="239">
        <v>0</v>
      </c>
      <c r="DU92" s="239">
        <v>-8480</v>
      </c>
      <c r="DV92" s="239">
        <v>-400</v>
      </c>
      <c r="DW92" s="239">
        <v>0</v>
      </c>
      <c r="DX92" s="239">
        <v>-400</v>
      </c>
      <c r="DY92" s="239">
        <v>-924101</v>
      </c>
      <c r="DZ92" s="239">
        <v>0</v>
      </c>
      <c r="EA92" s="239">
        <v>-924101</v>
      </c>
      <c r="EB92" s="239">
        <v>-20519</v>
      </c>
      <c r="EC92" s="239">
        <v>0</v>
      </c>
      <c r="ED92" s="239">
        <v>-20519</v>
      </c>
      <c r="EE92" s="239">
        <v>0</v>
      </c>
      <c r="EF92" s="239">
        <v>0</v>
      </c>
      <c r="EG92" s="239">
        <v>0</v>
      </c>
      <c r="EH92" s="239">
        <v>0</v>
      </c>
      <c r="EI92" s="239">
        <v>0</v>
      </c>
      <c r="EJ92" s="239">
        <v>0</v>
      </c>
      <c r="EK92" s="239">
        <v>-17135</v>
      </c>
      <c r="EL92" s="239">
        <v>0</v>
      </c>
      <c r="EM92" s="239">
        <v>-17135</v>
      </c>
      <c r="EN92" s="239">
        <v>-972227</v>
      </c>
      <c r="EO92" s="239">
        <v>0</v>
      </c>
      <c r="EP92" s="239">
        <v>-972227</v>
      </c>
      <c r="EQ92" s="239">
        <v>0</v>
      </c>
      <c r="ER92" s="239">
        <v>0</v>
      </c>
      <c r="ES92" s="239">
        <v>0</v>
      </c>
      <c r="ET92" s="239">
        <v>0</v>
      </c>
      <c r="EU92" s="239">
        <v>0</v>
      </c>
      <c r="EV92" s="239">
        <v>0</v>
      </c>
      <c r="EW92" s="239">
        <v>0</v>
      </c>
      <c r="EX92" s="239">
        <v>0</v>
      </c>
      <c r="EY92" s="239">
        <v>0</v>
      </c>
      <c r="EZ92" s="239">
        <v>40252305</v>
      </c>
      <c r="FA92" s="239">
        <v>0</v>
      </c>
      <c r="FB92" s="239">
        <v>40252305</v>
      </c>
      <c r="FC92" s="239">
        <v>271813</v>
      </c>
      <c r="FD92" s="239">
        <v>0</v>
      </c>
      <c r="FE92" s="239">
        <v>271813</v>
      </c>
      <c r="FF92" s="239">
        <v>-6914633</v>
      </c>
      <c r="FG92" s="239">
        <v>0</v>
      </c>
      <c r="FH92" s="239">
        <v>-6914633</v>
      </c>
      <c r="FI92" s="239">
        <v>-640848</v>
      </c>
      <c r="FJ92" s="239">
        <v>0</v>
      </c>
      <c r="FK92" s="239">
        <v>-640848</v>
      </c>
      <c r="FL92" s="239">
        <v>-125278</v>
      </c>
      <c r="FM92" s="239">
        <v>0</v>
      </c>
      <c r="FN92" s="239">
        <v>-125278</v>
      </c>
      <c r="FO92" s="239">
        <v>-972227</v>
      </c>
      <c r="FP92" s="239">
        <v>0</v>
      </c>
      <c r="FQ92" s="239">
        <v>-972227</v>
      </c>
      <c r="FR92" s="239">
        <v>0</v>
      </c>
      <c r="FS92" s="239">
        <v>0</v>
      </c>
      <c r="FT92" s="239">
        <v>0</v>
      </c>
      <c r="FU92" s="239">
        <v>-8381173</v>
      </c>
      <c r="FV92" s="239">
        <v>0</v>
      </c>
      <c r="FW92" s="239">
        <v>-8381173</v>
      </c>
      <c r="FX92" s="239">
        <v>31871132</v>
      </c>
      <c r="FY92" s="239">
        <v>0</v>
      </c>
      <c r="FZ92" s="239">
        <v>31871132</v>
      </c>
      <c r="GA92" s="214" t="s">
        <v>1294</v>
      </c>
    </row>
    <row r="93" spans="2:183" s="214" customFormat="1" x14ac:dyDescent="0.2">
      <c r="B93" s="610" t="s">
        <v>269</v>
      </c>
      <c r="C93" s="610" t="s">
        <v>268</v>
      </c>
      <c r="D93" s="239">
        <v>0</v>
      </c>
      <c r="E93" s="239">
        <v>0</v>
      </c>
      <c r="F93" s="239">
        <v>0</v>
      </c>
      <c r="G93" s="239">
        <v>23011</v>
      </c>
      <c r="H93" s="239">
        <v>0</v>
      </c>
      <c r="I93" s="239">
        <v>23011</v>
      </c>
      <c r="J93" s="239">
        <v>0</v>
      </c>
      <c r="K93" s="239">
        <v>0</v>
      </c>
      <c r="L93" s="239">
        <v>0</v>
      </c>
      <c r="M93" s="239">
        <v>9036</v>
      </c>
      <c r="N93" s="239">
        <v>0</v>
      </c>
      <c r="O93" s="239">
        <v>9036</v>
      </c>
      <c r="P93" s="239">
        <v>32047</v>
      </c>
      <c r="Q93" s="239">
        <v>0</v>
      </c>
      <c r="R93" s="239">
        <v>32047</v>
      </c>
      <c r="S93" s="239">
        <v>-1922386</v>
      </c>
      <c r="T93" s="239">
        <v>0</v>
      </c>
      <c r="U93" s="239">
        <v>-1922386</v>
      </c>
      <c r="V93" s="239">
        <v>-13981</v>
      </c>
      <c r="W93" s="239">
        <v>0</v>
      </c>
      <c r="X93" s="239">
        <v>-13981</v>
      </c>
      <c r="Y93" s="239">
        <v>-4304</v>
      </c>
      <c r="Z93" s="239">
        <v>0</v>
      </c>
      <c r="AA93" s="239">
        <v>-4304</v>
      </c>
      <c r="AB93" s="239">
        <v>0</v>
      </c>
      <c r="AC93" s="239">
        <v>0</v>
      </c>
      <c r="AD93" s="239">
        <v>0</v>
      </c>
      <c r="AE93" s="239">
        <v>-1684</v>
      </c>
      <c r="AF93" s="239">
        <v>0</v>
      </c>
      <c r="AG93" s="239">
        <v>-1684</v>
      </c>
      <c r="AH93" s="239">
        <v>637648</v>
      </c>
      <c r="AI93" s="239">
        <v>0</v>
      </c>
      <c r="AJ93" s="239">
        <v>637648</v>
      </c>
      <c r="AK93" s="239">
        <v>-7891</v>
      </c>
      <c r="AL93" s="239">
        <v>0</v>
      </c>
      <c r="AM93" s="239">
        <v>-7891</v>
      </c>
      <c r="AN93" s="239">
        <v>-1739630</v>
      </c>
      <c r="AO93" s="239">
        <v>0</v>
      </c>
      <c r="AP93" s="239">
        <v>-1739630</v>
      </c>
      <c r="AQ93" s="239">
        <v>39369</v>
      </c>
      <c r="AR93" s="239">
        <v>0</v>
      </c>
      <c r="AS93" s="239">
        <v>39369</v>
      </c>
      <c r="AT93" s="239">
        <v>-15273</v>
      </c>
      <c r="AU93" s="239">
        <v>0</v>
      </c>
      <c r="AV93" s="239">
        <v>-15273</v>
      </c>
      <c r="AW93" s="239">
        <v>0</v>
      </c>
      <c r="AX93" s="239">
        <v>0</v>
      </c>
      <c r="AY93" s="239">
        <v>0</v>
      </c>
      <c r="AZ93" s="239">
        <v>-37218</v>
      </c>
      <c r="BA93" s="239">
        <v>0</v>
      </c>
      <c r="BB93" s="239">
        <v>-37218</v>
      </c>
      <c r="BC93" s="239">
        <v>0</v>
      </c>
      <c r="BD93" s="239">
        <v>0</v>
      </c>
      <c r="BE93" s="239">
        <v>0</v>
      </c>
      <c r="BF93" s="239">
        <v>-3049685</v>
      </c>
      <c r="BG93" s="239">
        <v>0</v>
      </c>
      <c r="BH93" s="239">
        <v>-3049685</v>
      </c>
      <c r="BI93" s="239">
        <v>-676904</v>
      </c>
      <c r="BJ93" s="239">
        <v>0</v>
      </c>
      <c r="BK93" s="239">
        <v>-676904</v>
      </c>
      <c r="BL93" s="239">
        <v>1954</v>
      </c>
      <c r="BM93" s="239">
        <v>0</v>
      </c>
      <c r="BN93" s="239">
        <v>1954</v>
      </c>
      <c r="BO93" s="239">
        <v>-525618</v>
      </c>
      <c r="BP93" s="239">
        <v>0</v>
      </c>
      <c r="BQ93" s="239">
        <v>-525618</v>
      </c>
      <c r="BR93" s="239">
        <v>10598</v>
      </c>
      <c r="BS93" s="239">
        <v>0</v>
      </c>
      <c r="BT93" s="239">
        <v>10598</v>
      </c>
      <c r="BU93" s="239">
        <v>-1189970</v>
      </c>
      <c r="BV93" s="239">
        <v>0</v>
      </c>
      <c r="BW93" s="239">
        <v>-1189970</v>
      </c>
      <c r="BX93" s="239">
        <v>-92912</v>
      </c>
      <c r="BY93" s="239">
        <v>0</v>
      </c>
      <c r="BZ93" s="239">
        <v>-92912</v>
      </c>
      <c r="CA93" s="239">
        <v>-523</v>
      </c>
      <c r="CB93" s="239">
        <v>0</v>
      </c>
      <c r="CC93" s="239">
        <v>-523</v>
      </c>
      <c r="CD93" s="239">
        <v>-68227</v>
      </c>
      <c r="CE93" s="239">
        <v>0</v>
      </c>
      <c r="CF93" s="239">
        <v>-68227</v>
      </c>
      <c r="CG93" s="239">
        <v>0</v>
      </c>
      <c r="CH93" s="239">
        <v>0</v>
      </c>
      <c r="CI93" s="239">
        <v>0</v>
      </c>
      <c r="CJ93" s="239">
        <v>-3818</v>
      </c>
      <c r="CK93" s="239">
        <v>0</v>
      </c>
      <c r="CL93" s="239">
        <v>-3818</v>
      </c>
      <c r="CM93" s="239">
        <v>0</v>
      </c>
      <c r="CN93" s="239">
        <v>0</v>
      </c>
      <c r="CO93" s="239">
        <v>0</v>
      </c>
      <c r="CP93" s="239">
        <v>-22989</v>
      </c>
      <c r="CQ93" s="239">
        <v>0</v>
      </c>
      <c r="CR93" s="239">
        <v>-22989</v>
      </c>
      <c r="CS93" s="239">
        <v>0</v>
      </c>
      <c r="CT93" s="239">
        <v>0</v>
      </c>
      <c r="CU93" s="239">
        <v>0</v>
      </c>
      <c r="CV93" s="239">
        <v>-57168</v>
      </c>
      <c r="CW93" s="239">
        <v>0</v>
      </c>
      <c r="CX93" s="239">
        <v>-57168</v>
      </c>
      <c r="CY93" s="239">
        <v>0</v>
      </c>
      <c r="CZ93" s="239">
        <v>0</v>
      </c>
      <c r="DA93" s="239">
        <v>0</v>
      </c>
      <c r="DB93" s="239">
        <v>0</v>
      </c>
      <c r="DC93" s="239">
        <v>0</v>
      </c>
      <c r="DD93" s="239">
        <v>0</v>
      </c>
      <c r="DE93" s="239">
        <v>0</v>
      </c>
      <c r="DF93" s="239">
        <v>0</v>
      </c>
      <c r="DG93" s="239">
        <v>0</v>
      </c>
      <c r="DH93" s="239">
        <v>0</v>
      </c>
      <c r="DI93" s="239">
        <v>0</v>
      </c>
      <c r="DJ93" s="239">
        <v>-245637</v>
      </c>
      <c r="DK93" s="239">
        <v>0</v>
      </c>
      <c r="DL93" s="239">
        <v>-245637</v>
      </c>
      <c r="DM93" s="239">
        <v>-3334</v>
      </c>
      <c r="DN93" s="239">
        <v>0</v>
      </c>
      <c r="DO93" s="239">
        <v>-3334</v>
      </c>
      <c r="DP93" s="239">
        <v>0</v>
      </c>
      <c r="DQ93" s="239">
        <v>0</v>
      </c>
      <c r="DR93" s="239">
        <v>0</v>
      </c>
      <c r="DS93" s="239">
        <v>0</v>
      </c>
      <c r="DT93" s="239">
        <v>0</v>
      </c>
      <c r="DU93" s="239">
        <v>0</v>
      </c>
      <c r="DV93" s="239">
        <v>0</v>
      </c>
      <c r="DW93" s="239">
        <v>0</v>
      </c>
      <c r="DX93" s="239">
        <v>0</v>
      </c>
      <c r="DY93" s="239">
        <v>-338871</v>
      </c>
      <c r="DZ93" s="239">
        <v>0</v>
      </c>
      <c r="EA93" s="239">
        <v>-338871</v>
      </c>
      <c r="EB93" s="239">
        <v>-2787</v>
      </c>
      <c r="EC93" s="239">
        <v>0</v>
      </c>
      <c r="ED93" s="239">
        <v>-2787</v>
      </c>
      <c r="EE93" s="239">
        <v>0</v>
      </c>
      <c r="EF93" s="239">
        <v>0</v>
      </c>
      <c r="EG93" s="239">
        <v>0</v>
      </c>
      <c r="EH93" s="239">
        <v>0</v>
      </c>
      <c r="EI93" s="239">
        <v>0</v>
      </c>
      <c r="EJ93" s="239">
        <v>0</v>
      </c>
      <c r="EK93" s="239">
        <v>0</v>
      </c>
      <c r="EL93" s="239">
        <v>0</v>
      </c>
      <c r="EM93" s="239">
        <v>0</v>
      </c>
      <c r="EN93" s="239">
        <v>-344992</v>
      </c>
      <c r="EO93" s="239">
        <v>0</v>
      </c>
      <c r="EP93" s="239">
        <v>-344992</v>
      </c>
      <c r="EQ93" s="239">
        <v>0</v>
      </c>
      <c r="ER93" s="239">
        <v>0</v>
      </c>
      <c r="ES93" s="239">
        <v>0</v>
      </c>
      <c r="ET93" s="239">
        <v>0</v>
      </c>
      <c r="EU93" s="239">
        <v>0</v>
      </c>
      <c r="EV93" s="239">
        <v>0</v>
      </c>
      <c r="EW93" s="239">
        <v>0</v>
      </c>
      <c r="EX93" s="239">
        <v>0</v>
      </c>
      <c r="EY93" s="239">
        <v>0</v>
      </c>
      <c r="EZ93" s="239">
        <v>27996128</v>
      </c>
      <c r="FA93" s="239">
        <v>0</v>
      </c>
      <c r="FB93" s="239">
        <v>27996128</v>
      </c>
      <c r="FC93" s="239">
        <v>32047</v>
      </c>
      <c r="FD93" s="239">
        <v>0</v>
      </c>
      <c r="FE93" s="239">
        <v>32047</v>
      </c>
      <c r="FF93" s="239">
        <v>-3049685</v>
      </c>
      <c r="FG93" s="239">
        <v>0</v>
      </c>
      <c r="FH93" s="239">
        <v>-3049685</v>
      </c>
      <c r="FI93" s="239">
        <v>-1189970</v>
      </c>
      <c r="FJ93" s="239">
        <v>0</v>
      </c>
      <c r="FK93" s="239">
        <v>-1189970</v>
      </c>
      <c r="FL93" s="239">
        <v>-245637</v>
      </c>
      <c r="FM93" s="239">
        <v>0</v>
      </c>
      <c r="FN93" s="239">
        <v>-245637</v>
      </c>
      <c r="FO93" s="239">
        <v>-344992</v>
      </c>
      <c r="FP93" s="239">
        <v>0</v>
      </c>
      <c r="FQ93" s="239">
        <v>-344992</v>
      </c>
      <c r="FR93" s="239">
        <v>0</v>
      </c>
      <c r="FS93" s="239">
        <v>0</v>
      </c>
      <c r="FT93" s="239">
        <v>0</v>
      </c>
      <c r="FU93" s="239">
        <v>-4798237</v>
      </c>
      <c r="FV93" s="239">
        <v>0</v>
      </c>
      <c r="FW93" s="239">
        <v>-4798237</v>
      </c>
      <c r="FX93" s="239">
        <v>23197891</v>
      </c>
      <c r="FY93" s="239">
        <v>0</v>
      </c>
      <c r="FZ93" s="239">
        <v>23197891</v>
      </c>
      <c r="GA93" s="214" t="s">
        <v>1294</v>
      </c>
    </row>
    <row r="94" spans="2:183" s="214" customFormat="1" x14ac:dyDescent="0.2">
      <c r="B94" s="610" t="s">
        <v>271</v>
      </c>
      <c r="C94" s="610" t="s">
        <v>270</v>
      </c>
      <c r="D94" s="239">
        <v>0</v>
      </c>
      <c r="E94" s="239">
        <v>0</v>
      </c>
      <c r="F94" s="239">
        <v>0</v>
      </c>
      <c r="G94" s="239">
        <v>3537550</v>
      </c>
      <c r="H94" s="239">
        <v>0</v>
      </c>
      <c r="I94" s="239">
        <v>3537550</v>
      </c>
      <c r="J94" s="239">
        <v>0</v>
      </c>
      <c r="K94" s="239">
        <v>0</v>
      </c>
      <c r="L94" s="239">
        <v>0</v>
      </c>
      <c r="M94" s="239">
        <v>58668</v>
      </c>
      <c r="N94" s="239">
        <v>0</v>
      </c>
      <c r="O94" s="239">
        <v>58668</v>
      </c>
      <c r="P94" s="239">
        <v>3596218</v>
      </c>
      <c r="Q94" s="239">
        <v>0</v>
      </c>
      <c r="R94" s="239">
        <v>3596218</v>
      </c>
      <c r="S94" s="239">
        <v>-8012170</v>
      </c>
      <c r="T94" s="239">
        <v>0</v>
      </c>
      <c r="U94" s="239">
        <v>-8012170</v>
      </c>
      <c r="V94" s="239">
        <v>-1299</v>
      </c>
      <c r="W94" s="239">
        <v>0</v>
      </c>
      <c r="X94" s="239">
        <v>-1299</v>
      </c>
      <c r="Y94" s="239">
        <v>-256730</v>
      </c>
      <c r="Z94" s="239">
        <v>0</v>
      </c>
      <c r="AA94" s="239">
        <v>-256730</v>
      </c>
      <c r="AB94" s="239">
        <v>-256729</v>
      </c>
      <c r="AC94" s="239">
        <v>0</v>
      </c>
      <c r="AD94" s="239">
        <v>-256729</v>
      </c>
      <c r="AE94" s="239">
        <v>0</v>
      </c>
      <c r="AF94" s="239">
        <v>0</v>
      </c>
      <c r="AG94" s="239">
        <v>0</v>
      </c>
      <c r="AH94" s="239">
        <v>2708097</v>
      </c>
      <c r="AI94" s="239">
        <v>2600</v>
      </c>
      <c r="AJ94" s="239">
        <v>2710697</v>
      </c>
      <c r="AK94" s="239">
        <v>-133685</v>
      </c>
      <c r="AL94" s="239">
        <v>0</v>
      </c>
      <c r="AM94" s="239">
        <v>-133685</v>
      </c>
      <c r="AN94" s="239">
        <v>-3271446</v>
      </c>
      <c r="AO94" s="239">
        <v>0</v>
      </c>
      <c r="AP94" s="239">
        <v>-3271446</v>
      </c>
      <c r="AQ94" s="239">
        <v>-44767</v>
      </c>
      <c r="AR94" s="239">
        <v>0</v>
      </c>
      <c r="AS94" s="239">
        <v>-44767</v>
      </c>
      <c r="AT94" s="239">
        <v>-45126</v>
      </c>
      <c r="AU94" s="239">
        <v>0</v>
      </c>
      <c r="AV94" s="239">
        <v>-45126</v>
      </c>
      <c r="AW94" s="239">
        <v>0</v>
      </c>
      <c r="AX94" s="239">
        <v>0</v>
      </c>
      <c r="AY94" s="239">
        <v>0</v>
      </c>
      <c r="AZ94" s="239">
        <v>-116313</v>
      </c>
      <c r="BA94" s="239">
        <v>0</v>
      </c>
      <c r="BB94" s="239">
        <v>-116313</v>
      </c>
      <c r="BC94" s="239">
        <v>87</v>
      </c>
      <c r="BD94" s="239">
        <v>0</v>
      </c>
      <c r="BE94" s="239">
        <v>87</v>
      </c>
      <c r="BF94" s="239">
        <v>-9172053</v>
      </c>
      <c r="BG94" s="239">
        <v>2600</v>
      </c>
      <c r="BH94" s="239">
        <v>-9169453</v>
      </c>
      <c r="BI94" s="239">
        <v>-109615</v>
      </c>
      <c r="BJ94" s="239">
        <v>0</v>
      </c>
      <c r="BK94" s="239">
        <v>-109615</v>
      </c>
      <c r="BL94" s="239">
        <v>-12941</v>
      </c>
      <c r="BM94" s="239">
        <v>0</v>
      </c>
      <c r="BN94" s="239">
        <v>-12941</v>
      </c>
      <c r="BO94" s="239">
        <v>-2565162</v>
      </c>
      <c r="BP94" s="239">
        <v>0</v>
      </c>
      <c r="BQ94" s="239">
        <v>-2565162</v>
      </c>
      <c r="BR94" s="239">
        <v>87342</v>
      </c>
      <c r="BS94" s="239">
        <v>0</v>
      </c>
      <c r="BT94" s="239">
        <v>87342</v>
      </c>
      <c r="BU94" s="239">
        <v>-2600376</v>
      </c>
      <c r="BV94" s="239">
        <v>0</v>
      </c>
      <c r="BW94" s="239">
        <v>-2600376</v>
      </c>
      <c r="BX94" s="239">
        <v>-122963</v>
      </c>
      <c r="BY94" s="239">
        <v>0</v>
      </c>
      <c r="BZ94" s="239">
        <v>-122963</v>
      </c>
      <c r="CA94" s="239">
        <v>1809</v>
      </c>
      <c r="CB94" s="239">
        <v>0</v>
      </c>
      <c r="CC94" s="239">
        <v>1809</v>
      </c>
      <c r="CD94" s="239">
        <v>-410130</v>
      </c>
      <c r="CE94" s="239">
        <v>0</v>
      </c>
      <c r="CF94" s="239">
        <v>-410130</v>
      </c>
      <c r="CG94" s="239">
        <v>1347</v>
      </c>
      <c r="CH94" s="239">
        <v>0</v>
      </c>
      <c r="CI94" s="239">
        <v>1347</v>
      </c>
      <c r="CJ94" s="239">
        <v>-8439</v>
      </c>
      <c r="CK94" s="239">
        <v>0</v>
      </c>
      <c r="CL94" s="239">
        <v>-8439</v>
      </c>
      <c r="CM94" s="239">
        <v>0</v>
      </c>
      <c r="CN94" s="239">
        <v>0</v>
      </c>
      <c r="CO94" s="239">
        <v>0</v>
      </c>
      <c r="CP94" s="239">
        <v>-39233</v>
      </c>
      <c r="CQ94" s="239">
        <v>0</v>
      </c>
      <c r="CR94" s="239">
        <v>-39233</v>
      </c>
      <c r="CS94" s="239">
        <v>135</v>
      </c>
      <c r="CT94" s="239">
        <v>0</v>
      </c>
      <c r="CU94" s="239">
        <v>135</v>
      </c>
      <c r="CV94" s="239">
        <v>-151123</v>
      </c>
      <c r="CW94" s="239">
        <v>0</v>
      </c>
      <c r="CX94" s="239">
        <v>-151123</v>
      </c>
      <c r="CY94" s="239">
        <v>0</v>
      </c>
      <c r="CZ94" s="239">
        <v>0</v>
      </c>
      <c r="DA94" s="239">
        <v>0</v>
      </c>
      <c r="DB94" s="239">
        <v>-258906</v>
      </c>
      <c r="DC94" s="239">
        <v>-64267</v>
      </c>
      <c r="DD94" s="239">
        <v>-323173</v>
      </c>
      <c r="DE94" s="239">
        <v>-76074</v>
      </c>
      <c r="DF94" s="239">
        <v>0</v>
      </c>
      <c r="DG94" s="239">
        <v>-76074</v>
      </c>
      <c r="DH94" s="239">
        <v>-64267</v>
      </c>
      <c r="DI94" s="239">
        <v>-325925</v>
      </c>
      <c r="DJ94" s="239">
        <v>-1063577</v>
      </c>
      <c r="DK94" s="239">
        <v>-64267</v>
      </c>
      <c r="DL94" s="239">
        <v>-1127844</v>
      </c>
      <c r="DM94" s="239">
        <v>-168</v>
      </c>
      <c r="DN94" s="239">
        <v>0</v>
      </c>
      <c r="DO94" s="239">
        <v>-168</v>
      </c>
      <c r="DP94" s="239">
        <v>-1082</v>
      </c>
      <c r="DQ94" s="239">
        <v>0</v>
      </c>
      <c r="DR94" s="239">
        <v>-1082</v>
      </c>
      <c r="DS94" s="239">
        <v>-46380</v>
      </c>
      <c r="DT94" s="239">
        <v>0</v>
      </c>
      <c r="DU94" s="239">
        <v>-46380</v>
      </c>
      <c r="DV94" s="239">
        <v>-13686</v>
      </c>
      <c r="DW94" s="239">
        <v>0</v>
      </c>
      <c r="DX94" s="239">
        <v>-13686</v>
      </c>
      <c r="DY94" s="239">
        <v>-1956959</v>
      </c>
      <c r="DZ94" s="239">
        <v>0</v>
      </c>
      <c r="EA94" s="239">
        <v>-1956959</v>
      </c>
      <c r="EB94" s="239">
        <v>-23262</v>
      </c>
      <c r="EC94" s="239">
        <v>0</v>
      </c>
      <c r="ED94" s="239">
        <v>-23262</v>
      </c>
      <c r="EE94" s="239">
        <v>0</v>
      </c>
      <c r="EF94" s="239">
        <v>0</v>
      </c>
      <c r="EG94" s="239">
        <v>0</v>
      </c>
      <c r="EH94" s="239">
        <v>580</v>
      </c>
      <c r="EI94" s="239">
        <v>0</v>
      </c>
      <c r="EJ94" s="239">
        <v>580</v>
      </c>
      <c r="EK94" s="239">
        <v>-36738</v>
      </c>
      <c r="EL94" s="239">
        <v>0</v>
      </c>
      <c r="EM94" s="239">
        <v>-36738</v>
      </c>
      <c r="EN94" s="239">
        <v>-2077695</v>
      </c>
      <c r="EO94" s="239">
        <v>0</v>
      </c>
      <c r="EP94" s="239">
        <v>-2077695</v>
      </c>
      <c r="EQ94" s="239">
        <v>0</v>
      </c>
      <c r="ER94" s="239">
        <v>0</v>
      </c>
      <c r="ES94" s="239">
        <v>0</v>
      </c>
      <c r="ET94" s="239">
        <v>0</v>
      </c>
      <c r="EU94" s="239">
        <v>0</v>
      </c>
      <c r="EV94" s="239">
        <v>0</v>
      </c>
      <c r="EW94" s="239">
        <v>0</v>
      </c>
      <c r="EX94" s="239">
        <v>0</v>
      </c>
      <c r="EY94" s="239">
        <v>0</v>
      </c>
      <c r="EZ94" s="239">
        <v>111080850</v>
      </c>
      <c r="FA94" s="239">
        <v>96000</v>
      </c>
      <c r="FB94" s="239">
        <v>111176850</v>
      </c>
      <c r="FC94" s="239">
        <v>3596218</v>
      </c>
      <c r="FD94" s="239">
        <v>0</v>
      </c>
      <c r="FE94" s="239">
        <v>3596218</v>
      </c>
      <c r="FF94" s="239">
        <v>-9172053</v>
      </c>
      <c r="FG94" s="239">
        <v>2600</v>
      </c>
      <c r="FH94" s="239">
        <v>-9169453</v>
      </c>
      <c r="FI94" s="239">
        <v>-2600376</v>
      </c>
      <c r="FJ94" s="239">
        <v>0</v>
      </c>
      <c r="FK94" s="239">
        <v>-2600376</v>
      </c>
      <c r="FL94" s="239">
        <v>-1063577</v>
      </c>
      <c r="FM94" s="239">
        <v>-64267</v>
      </c>
      <c r="FN94" s="239">
        <v>-1127844</v>
      </c>
      <c r="FO94" s="239">
        <v>-2077695</v>
      </c>
      <c r="FP94" s="239">
        <v>0</v>
      </c>
      <c r="FQ94" s="239">
        <v>-2077695</v>
      </c>
      <c r="FR94" s="239">
        <v>0</v>
      </c>
      <c r="FS94" s="239">
        <v>0</v>
      </c>
      <c r="FT94" s="239">
        <v>0</v>
      </c>
      <c r="FU94" s="239">
        <v>-11317483</v>
      </c>
      <c r="FV94" s="239">
        <v>-61667</v>
      </c>
      <c r="FW94" s="239">
        <v>-11379150</v>
      </c>
      <c r="FX94" s="239">
        <v>99763367</v>
      </c>
      <c r="FY94" s="239">
        <v>34333</v>
      </c>
      <c r="FZ94" s="239">
        <v>99797700</v>
      </c>
      <c r="GA94" s="214" t="s">
        <v>748</v>
      </c>
    </row>
    <row r="95" spans="2:183" s="214" customFormat="1" x14ac:dyDescent="0.2">
      <c r="B95" s="610" t="s">
        <v>273</v>
      </c>
      <c r="C95" s="610" t="s">
        <v>272</v>
      </c>
      <c r="D95" s="239">
        <v>0</v>
      </c>
      <c r="E95" s="239">
        <v>0</v>
      </c>
      <c r="F95" s="239">
        <v>0</v>
      </c>
      <c r="G95" s="239">
        <v>116993</v>
      </c>
      <c r="H95" s="239">
        <v>0</v>
      </c>
      <c r="I95" s="239">
        <v>116993</v>
      </c>
      <c r="J95" s="239">
        <v>0</v>
      </c>
      <c r="K95" s="239">
        <v>0</v>
      </c>
      <c r="L95" s="239">
        <v>0</v>
      </c>
      <c r="M95" s="239">
        <v>-58983</v>
      </c>
      <c r="N95" s="239">
        <v>0</v>
      </c>
      <c r="O95" s="239">
        <v>-58983</v>
      </c>
      <c r="P95" s="239">
        <v>58010</v>
      </c>
      <c r="Q95" s="239">
        <v>0</v>
      </c>
      <c r="R95" s="239">
        <v>58010</v>
      </c>
      <c r="S95" s="239">
        <v>-2745344</v>
      </c>
      <c r="T95" s="239">
        <v>0</v>
      </c>
      <c r="U95" s="239">
        <v>-2745344</v>
      </c>
      <c r="V95" s="239">
        <v>-2897</v>
      </c>
      <c r="W95" s="239">
        <v>0</v>
      </c>
      <c r="X95" s="239">
        <v>-2897</v>
      </c>
      <c r="Y95" s="239">
        <v>-128962</v>
      </c>
      <c r="Z95" s="239">
        <v>0</v>
      </c>
      <c r="AA95" s="239">
        <v>-128962</v>
      </c>
      <c r="AB95" s="239">
        <v>0</v>
      </c>
      <c r="AC95" s="239">
        <v>0</v>
      </c>
      <c r="AD95" s="239">
        <v>0</v>
      </c>
      <c r="AE95" s="239">
        <v>0</v>
      </c>
      <c r="AF95" s="239">
        <v>0</v>
      </c>
      <c r="AG95" s="239">
        <v>0</v>
      </c>
      <c r="AH95" s="239">
        <v>1376846</v>
      </c>
      <c r="AI95" s="239">
        <v>0</v>
      </c>
      <c r="AJ95" s="239">
        <v>1376846</v>
      </c>
      <c r="AK95" s="239">
        <v>-28208</v>
      </c>
      <c r="AL95" s="239">
        <v>0</v>
      </c>
      <c r="AM95" s="239">
        <v>-28208</v>
      </c>
      <c r="AN95" s="239">
        <v>-2052587</v>
      </c>
      <c r="AO95" s="239">
        <v>0</v>
      </c>
      <c r="AP95" s="239">
        <v>-2052587</v>
      </c>
      <c r="AQ95" s="239">
        <v>-36037</v>
      </c>
      <c r="AR95" s="239">
        <v>0</v>
      </c>
      <c r="AS95" s="239">
        <v>-36037</v>
      </c>
      <c r="AT95" s="239">
        <v>-62789</v>
      </c>
      <c r="AU95" s="239">
        <v>0</v>
      </c>
      <c r="AV95" s="239">
        <v>-62789</v>
      </c>
      <c r="AW95" s="239">
        <v>-12500</v>
      </c>
      <c r="AX95" s="239">
        <v>0</v>
      </c>
      <c r="AY95" s="239">
        <v>-12500</v>
      </c>
      <c r="AZ95" s="239">
        <v>-6064</v>
      </c>
      <c r="BA95" s="239">
        <v>0</v>
      </c>
      <c r="BB95" s="239">
        <v>-6064</v>
      </c>
      <c r="BC95" s="239">
        <v>4455</v>
      </c>
      <c r="BD95" s="239">
        <v>0</v>
      </c>
      <c r="BE95" s="239">
        <v>4455</v>
      </c>
      <c r="BF95" s="239">
        <v>-3691190</v>
      </c>
      <c r="BG95" s="239">
        <v>0</v>
      </c>
      <c r="BH95" s="239">
        <v>-3691190</v>
      </c>
      <c r="BI95" s="239">
        <v>-308103</v>
      </c>
      <c r="BJ95" s="239">
        <v>0</v>
      </c>
      <c r="BK95" s="239">
        <v>-308103</v>
      </c>
      <c r="BL95" s="239">
        <v>51997</v>
      </c>
      <c r="BM95" s="239">
        <v>0</v>
      </c>
      <c r="BN95" s="239">
        <v>51997</v>
      </c>
      <c r="BO95" s="239">
        <v>-2302643</v>
      </c>
      <c r="BP95" s="239">
        <v>0</v>
      </c>
      <c r="BQ95" s="239">
        <v>-2302643</v>
      </c>
      <c r="BR95" s="239">
        <v>-15633</v>
      </c>
      <c r="BS95" s="239">
        <v>0</v>
      </c>
      <c r="BT95" s="239">
        <v>-15633</v>
      </c>
      <c r="BU95" s="239">
        <v>-2574382</v>
      </c>
      <c r="BV95" s="239">
        <v>0</v>
      </c>
      <c r="BW95" s="239">
        <v>-2574382</v>
      </c>
      <c r="BX95" s="239">
        <v>-74340</v>
      </c>
      <c r="BY95" s="239">
        <v>0</v>
      </c>
      <c r="BZ95" s="239">
        <v>-74340</v>
      </c>
      <c r="CA95" s="239">
        <v>-899</v>
      </c>
      <c r="CB95" s="239">
        <v>0</v>
      </c>
      <c r="CC95" s="239">
        <v>-899</v>
      </c>
      <c r="CD95" s="239">
        <v>-24564</v>
      </c>
      <c r="CE95" s="239">
        <v>0</v>
      </c>
      <c r="CF95" s="239">
        <v>-24564</v>
      </c>
      <c r="CG95" s="239">
        <v>17235</v>
      </c>
      <c r="CH95" s="239">
        <v>0</v>
      </c>
      <c r="CI95" s="239">
        <v>17235</v>
      </c>
      <c r="CJ95" s="239">
        <v>-5672</v>
      </c>
      <c r="CK95" s="239">
        <v>0</v>
      </c>
      <c r="CL95" s="239">
        <v>-5672</v>
      </c>
      <c r="CM95" s="239">
        <v>-3125</v>
      </c>
      <c r="CN95" s="239">
        <v>0</v>
      </c>
      <c r="CO95" s="239">
        <v>-3125</v>
      </c>
      <c r="CP95" s="239">
        <v>0</v>
      </c>
      <c r="CQ95" s="239">
        <v>0</v>
      </c>
      <c r="CR95" s="239">
        <v>0</v>
      </c>
      <c r="CS95" s="239">
        <v>4455</v>
      </c>
      <c r="CT95" s="239">
        <v>0</v>
      </c>
      <c r="CU95" s="239">
        <v>4455</v>
      </c>
      <c r="CV95" s="239">
        <v>0</v>
      </c>
      <c r="CW95" s="239">
        <v>0</v>
      </c>
      <c r="CX95" s="239">
        <v>0</v>
      </c>
      <c r="CY95" s="239">
        <v>0</v>
      </c>
      <c r="CZ95" s="239">
        <v>0</v>
      </c>
      <c r="DA95" s="239">
        <v>0</v>
      </c>
      <c r="DB95" s="239">
        <v>0</v>
      </c>
      <c r="DC95" s="239">
        <v>0</v>
      </c>
      <c r="DD95" s="239">
        <v>0</v>
      </c>
      <c r="DE95" s="239">
        <v>0</v>
      </c>
      <c r="DF95" s="239">
        <v>0</v>
      </c>
      <c r="DG95" s="239">
        <v>0</v>
      </c>
      <c r="DH95" s="239">
        <v>0</v>
      </c>
      <c r="DI95" s="239">
        <v>0</v>
      </c>
      <c r="DJ95" s="239">
        <v>-86910</v>
      </c>
      <c r="DK95" s="239">
        <v>0</v>
      </c>
      <c r="DL95" s="239">
        <v>-86910</v>
      </c>
      <c r="DM95" s="239">
        <v>-535</v>
      </c>
      <c r="DN95" s="239">
        <v>0</v>
      </c>
      <c r="DO95" s="239">
        <v>-535</v>
      </c>
      <c r="DP95" s="239">
        <v>0</v>
      </c>
      <c r="DQ95" s="239">
        <v>0</v>
      </c>
      <c r="DR95" s="239">
        <v>0</v>
      </c>
      <c r="DS95" s="239">
        <v>-1544</v>
      </c>
      <c r="DT95" s="239">
        <v>0</v>
      </c>
      <c r="DU95" s="239">
        <v>-1544</v>
      </c>
      <c r="DV95" s="239">
        <v>0</v>
      </c>
      <c r="DW95" s="239">
        <v>0</v>
      </c>
      <c r="DX95" s="239">
        <v>0</v>
      </c>
      <c r="DY95" s="239">
        <v>-515204</v>
      </c>
      <c r="DZ95" s="239">
        <v>0</v>
      </c>
      <c r="EA95" s="239">
        <v>-515204</v>
      </c>
      <c r="EB95" s="239">
        <v>-78883</v>
      </c>
      <c r="EC95" s="239">
        <v>0</v>
      </c>
      <c r="ED95" s="239">
        <v>-78883</v>
      </c>
      <c r="EE95" s="239">
        <v>0</v>
      </c>
      <c r="EF95" s="239">
        <v>0</v>
      </c>
      <c r="EG95" s="239">
        <v>0</v>
      </c>
      <c r="EH95" s="239">
        <v>0</v>
      </c>
      <c r="EI95" s="239">
        <v>0</v>
      </c>
      <c r="EJ95" s="239">
        <v>0</v>
      </c>
      <c r="EK95" s="239">
        <v>0</v>
      </c>
      <c r="EL95" s="239">
        <v>0</v>
      </c>
      <c r="EM95" s="239">
        <v>0</v>
      </c>
      <c r="EN95" s="239">
        <v>-596166</v>
      </c>
      <c r="EO95" s="239">
        <v>0</v>
      </c>
      <c r="EP95" s="239">
        <v>-596166</v>
      </c>
      <c r="EQ95" s="239">
        <v>-4390</v>
      </c>
      <c r="ER95" s="239">
        <v>0</v>
      </c>
      <c r="ES95" s="239">
        <v>-4390</v>
      </c>
      <c r="ET95" s="239">
        <v>75</v>
      </c>
      <c r="EU95" s="239">
        <v>0</v>
      </c>
      <c r="EV95" s="239">
        <v>75</v>
      </c>
      <c r="EW95" s="239">
        <v>-4315</v>
      </c>
      <c r="EX95" s="239">
        <v>0</v>
      </c>
      <c r="EY95" s="239">
        <v>-4315</v>
      </c>
      <c r="EZ95" s="239">
        <v>62686452</v>
      </c>
      <c r="FA95" s="239">
        <v>0</v>
      </c>
      <c r="FB95" s="239">
        <v>62686452</v>
      </c>
      <c r="FC95" s="239">
        <v>58010</v>
      </c>
      <c r="FD95" s="239">
        <v>0</v>
      </c>
      <c r="FE95" s="239">
        <v>58010</v>
      </c>
      <c r="FF95" s="239">
        <v>-3691190</v>
      </c>
      <c r="FG95" s="239">
        <v>0</v>
      </c>
      <c r="FH95" s="239">
        <v>-3691190</v>
      </c>
      <c r="FI95" s="239">
        <v>-2574382</v>
      </c>
      <c r="FJ95" s="239">
        <v>0</v>
      </c>
      <c r="FK95" s="239">
        <v>-2574382</v>
      </c>
      <c r="FL95" s="239">
        <v>-86910</v>
      </c>
      <c r="FM95" s="239">
        <v>0</v>
      </c>
      <c r="FN95" s="239">
        <v>-86910</v>
      </c>
      <c r="FO95" s="239">
        <v>-596166</v>
      </c>
      <c r="FP95" s="239">
        <v>0</v>
      </c>
      <c r="FQ95" s="239">
        <v>-596166</v>
      </c>
      <c r="FR95" s="239">
        <v>-4315</v>
      </c>
      <c r="FS95" s="239">
        <v>0</v>
      </c>
      <c r="FT95" s="239">
        <v>-4315</v>
      </c>
      <c r="FU95" s="239">
        <v>-6894953</v>
      </c>
      <c r="FV95" s="239">
        <v>0</v>
      </c>
      <c r="FW95" s="239">
        <v>-6894953</v>
      </c>
      <c r="FX95" s="239">
        <v>55791499</v>
      </c>
      <c r="FY95" s="239">
        <v>0</v>
      </c>
      <c r="FZ95" s="239">
        <v>55791499</v>
      </c>
      <c r="GA95" s="214" t="s">
        <v>1294</v>
      </c>
    </row>
    <row r="96" spans="2:183" s="214" customFormat="1" x14ac:dyDescent="0.2">
      <c r="B96" s="610" t="s">
        <v>275</v>
      </c>
      <c r="C96" s="610" t="s">
        <v>274</v>
      </c>
      <c r="D96" s="239">
        <v>0</v>
      </c>
      <c r="E96" s="239">
        <v>0</v>
      </c>
      <c r="F96" s="239">
        <v>0</v>
      </c>
      <c r="G96" s="239">
        <v>49216</v>
      </c>
      <c r="H96" s="239">
        <v>0</v>
      </c>
      <c r="I96" s="239">
        <v>49216</v>
      </c>
      <c r="J96" s="239">
        <v>0</v>
      </c>
      <c r="K96" s="239">
        <v>0</v>
      </c>
      <c r="L96" s="239">
        <v>0</v>
      </c>
      <c r="M96" s="239">
        <v>-4437</v>
      </c>
      <c r="N96" s="239">
        <v>0</v>
      </c>
      <c r="O96" s="239">
        <v>-4437</v>
      </c>
      <c r="P96" s="239">
        <v>44779</v>
      </c>
      <c r="Q96" s="239">
        <v>0</v>
      </c>
      <c r="R96" s="239">
        <v>44779</v>
      </c>
      <c r="S96" s="239">
        <v>-2065248</v>
      </c>
      <c r="T96" s="239">
        <v>0</v>
      </c>
      <c r="U96" s="239">
        <v>-2065248</v>
      </c>
      <c r="V96" s="239">
        <v>0</v>
      </c>
      <c r="W96" s="239">
        <v>0</v>
      </c>
      <c r="X96" s="239">
        <v>0</v>
      </c>
      <c r="Y96" s="239">
        <v>-38890</v>
      </c>
      <c r="Z96" s="239">
        <v>0</v>
      </c>
      <c r="AA96" s="239">
        <v>-38890</v>
      </c>
      <c r="AB96" s="239">
        <v>0</v>
      </c>
      <c r="AC96" s="239">
        <v>0</v>
      </c>
      <c r="AD96" s="239">
        <v>0</v>
      </c>
      <c r="AE96" s="239">
        <v>0</v>
      </c>
      <c r="AF96" s="239">
        <v>0</v>
      </c>
      <c r="AG96" s="239">
        <v>0</v>
      </c>
      <c r="AH96" s="239">
        <v>920694</v>
      </c>
      <c r="AI96" s="239">
        <v>0</v>
      </c>
      <c r="AJ96" s="239">
        <v>920694</v>
      </c>
      <c r="AK96" s="239">
        <v>-5563</v>
      </c>
      <c r="AL96" s="239">
        <v>0</v>
      </c>
      <c r="AM96" s="239">
        <v>-5563</v>
      </c>
      <c r="AN96" s="239">
        <v>-2741735</v>
      </c>
      <c r="AO96" s="239">
        <v>0</v>
      </c>
      <c r="AP96" s="239">
        <v>-2741735</v>
      </c>
      <c r="AQ96" s="239">
        <v>5050</v>
      </c>
      <c r="AR96" s="239">
        <v>0</v>
      </c>
      <c r="AS96" s="239">
        <v>5050</v>
      </c>
      <c r="AT96" s="239">
        <v>-82581</v>
      </c>
      <c r="AU96" s="239">
        <v>0</v>
      </c>
      <c r="AV96" s="239">
        <v>-82581</v>
      </c>
      <c r="AW96" s="239">
        <v>-719</v>
      </c>
      <c r="AX96" s="239">
        <v>0</v>
      </c>
      <c r="AY96" s="239">
        <v>-719</v>
      </c>
      <c r="AZ96" s="239">
        <v>0</v>
      </c>
      <c r="BA96" s="239">
        <v>0</v>
      </c>
      <c r="BB96" s="239">
        <v>0</v>
      </c>
      <c r="BC96" s="239">
        <v>0</v>
      </c>
      <c r="BD96" s="239">
        <v>0</v>
      </c>
      <c r="BE96" s="239">
        <v>0</v>
      </c>
      <c r="BF96" s="239">
        <v>-4008992</v>
      </c>
      <c r="BG96" s="239">
        <v>0</v>
      </c>
      <c r="BH96" s="239">
        <v>-4008992</v>
      </c>
      <c r="BI96" s="239">
        <v>-6492</v>
      </c>
      <c r="BJ96" s="239">
        <v>0</v>
      </c>
      <c r="BK96" s="239">
        <v>-6492</v>
      </c>
      <c r="BL96" s="239">
        <v>-3502</v>
      </c>
      <c r="BM96" s="239">
        <v>0</v>
      </c>
      <c r="BN96" s="239">
        <v>-3502</v>
      </c>
      <c r="BO96" s="239">
        <v>-675681</v>
      </c>
      <c r="BP96" s="239">
        <v>0</v>
      </c>
      <c r="BQ96" s="239">
        <v>-675681</v>
      </c>
      <c r="BR96" s="239">
        <v>-10293</v>
      </c>
      <c r="BS96" s="239">
        <v>0</v>
      </c>
      <c r="BT96" s="239">
        <v>-10293</v>
      </c>
      <c r="BU96" s="239">
        <v>-695968</v>
      </c>
      <c r="BV96" s="239">
        <v>0</v>
      </c>
      <c r="BW96" s="239">
        <v>-695968</v>
      </c>
      <c r="BX96" s="239">
        <v>-37882</v>
      </c>
      <c r="BY96" s="239">
        <v>0</v>
      </c>
      <c r="BZ96" s="239">
        <v>-37882</v>
      </c>
      <c r="CA96" s="239">
        <v>3690</v>
      </c>
      <c r="CB96" s="239">
        <v>0</v>
      </c>
      <c r="CC96" s="239">
        <v>3690</v>
      </c>
      <c r="CD96" s="239">
        <v>-14323</v>
      </c>
      <c r="CE96" s="239">
        <v>0</v>
      </c>
      <c r="CF96" s="239">
        <v>-14323</v>
      </c>
      <c r="CG96" s="239">
        <v>-17972</v>
      </c>
      <c r="CH96" s="239">
        <v>0</v>
      </c>
      <c r="CI96" s="239">
        <v>-17972</v>
      </c>
      <c r="CJ96" s="239">
        <v>0</v>
      </c>
      <c r="CK96" s="239">
        <v>0</v>
      </c>
      <c r="CL96" s="239">
        <v>0</v>
      </c>
      <c r="CM96" s="239">
        <v>0</v>
      </c>
      <c r="CN96" s="239">
        <v>0</v>
      </c>
      <c r="CO96" s="239">
        <v>0</v>
      </c>
      <c r="CP96" s="239">
        <v>0</v>
      </c>
      <c r="CQ96" s="239">
        <v>0</v>
      </c>
      <c r="CR96" s="239">
        <v>0</v>
      </c>
      <c r="CS96" s="239">
        <v>0</v>
      </c>
      <c r="CT96" s="239">
        <v>0</v>
      </c>
      <c r="CU96" s="239">
        <v>0</v>
      </c>
      <c r="CV96" s="239">
        <v>0</v>
      </c>
      <c r="CW96" s="239">
        <v>0</v>
      </c>
      <c r="CX96" s="239">
        <v>0</v>
      </c>
      <c r="CY96" s="239">
        <v>0</v>
      </c>
      <c r="CZ96" s="239">
        <v>0</v>
      </c>
      <c r="DA96" s="239">
        <v>0</v>
      </c>
      <c r="DB96" s="239">
        <v>0</v>
      </c>
      <c r="DC96" s="239">
        <v>0</v>
      </c>
      <c r="DD96" s="239">
        <v>0</v>
      </c>
      <c r="DE96" s="239">
        <v>0</v>
      </c>
      <c r="DF96" s="239">
        <v>0</v>
      </c>
      <c r="DG96" s="239">
        <v>0</v>
      </c>
      <c r="DH96" s="239">
        <v>0</v>
      </c>
      <c r="DI96" s="239">
        <v>0</v>
      </c>
      <c r="DJ96" s="239">
        <v>-66487</v>
      </c>
      <c r="DK96" s="239">
        <v>0</v>
      </c>
      <c r="DL96" s="239">
        <v>-66487</v>
      </c>
      <c r="DM96" s="239">
        <v>0</v>
      </c>
      <c r="DN96" s="239">
        <v>0</v>
      </c>
      <c r="DO96" s="239">
        <v>0</v>
      </c>
      <c r="DP96" s="239">
        <v>0</v>
      </c>
      <c r="DQ96" s="239">
        <v>0</v>
      </c>
      <c r="DR96" s="239">
        <v>0</v>
      </c>
      <c r="DS96" s="239">
        <v>-53959</v>
      </c>
      <c r="DT96" s="239">
        <v>0</v>
      </c>
      <c r="DU96" s="239">
        <v>-53959</v>
      </c>
      <c r="DV96" s="239">
        <v>-17356</v>
      </c>
      <c r="DW96" s="239">
        <v>0</v>
      </c>
      <c r="DX96" s="239">
        <v>-17356</v>
      </c>
      <c r="DY96" s="239">
        <v>-577072</v>
      </c>
      <c r="DZ96" s="239">
        <v>0</v>
      </c>
      <c r="EA96" s="239">
        <v>-577072</v>
      </c>
      <c r="EB96" s="239">
        <v>-38371</v>
      </c>
      <c r="EC96" s="239">
        <v>0</v>
      </c>
      <c r="ED96" s="239">
        <v>-38371</v>
      </c>
      <c r="EE96" s="239">
        <v>0</v>
      </c>
      <c r="EF96" s="239">
        <v>0</v>
      </c>
      <c r="EG96" s="239">
        <v>0</v>
      </c>
      <c r="EH96" s="239">
        <v>0</v>
      </c>
      <c r="EI96" s="239">
        <v>0</v>
      </c>
      <c r="EJ96" s="239">
        <v>0</v>
      </c>
      <c r="EK96" s="239">
        <v>-24696</v>
      </c>
      <c r="EL96" s="239">
        <v>0</v>
      </c>
      <c r="EM96" s="239">
        <v>-24696</v>
      </c>
      <c r="EN96" s="239">
        <v>-711454</v>
      </c>
      <c r="EO96" s="239">
        <v>0</v>
      </c>
      <c r="EP96" s="239">
        <v>-711454</v>
      </c>
      <c r="EQ96" s="239">
        <v>0</v>
      </c>
      <c r="ER96" s="239">
        <v>0</v>
      </c>
      <c r="ES96" s="239">
        <v>0</v>
      </c>
      <c r="ET96" s="239">
        <v>0</v>
      </c>
      <c r="EU96" s="239">
        <v>0</v>
      </c>
      <c r="EV96" s="239">
        <v>0</v>
      </c>
      <c r="EW96" s="239">
        <v>0</v>
      </c>
      <c r="EX96" s="239">
        <v>0</v>
      </c>
      <c r="EY96" s="239">
        <v>0</v>
      </c>
      <c r="EZ96" s="239">
        <v>39524353</v>
      </c>
      <c r="FA96" s="239">
        <v>0</v>
      </c>
      <c r="FB96" s="239">
        <v>39524353</v>
      </c>
      <c r="FC96" s="239">
        <v>44779</v>
      </c>
      <c r="FD96" s="239">
        <v>0</v>
      </c>
      <c r="FE96" s="239">
        <v>44779</v>
      </c>
      <c r="FF96" s="239">
        <v>-4008992</v>
      </c>
      <c r="FG96" s="239">
        <v>0</v>
      </c>
      <c r="FH96" s="239">
        <v>-4008992</v>
      </c>
      <c r="FI96" s="239">
        <v>-695968</v>
      </c>
      <c r="FJ96" s="239">
        <v>0</v>
      </c>
      <c r="FK96" s="239">
        <v>-695968</v>
      </c>
      <c r="FL96" s="239">
        <v>-66487</v>
      </c>
      <c r="FM96" s="239">
        <v>0</v>
      </c>
      <c r="FN96" s="239">
        <v>-66487</v>
      </c>
      <c r="FO96" s="239">
        <v>-711454</v>
      </c>
      <c r="FP96" s="239">
        <v>0</v>
      </c>
      <c r="FQ96" s="239">
        <v>-711454</v>
      </c>
      <c r="FR96" s="239">
        <v>0</v>
      </c>
      <c r="FS96" s="239">
        <v>0</v>
      </c>
      <c r="FT96" s="239">
        <v>0</v>
      </c>
      <c r="FU96" s="239">
        <v>-5438122</v>
      </c>
      <c r="FV96" s="239">
        <v>0</v>
      </c>
      <c r="FW96" s="239">
        <v>-5438122</v>
      </c>
      <c r="FX96" s="239">
        <v>34086231</v>
      </c>
      <c r="FY96" s="239">
        <v>0</v>
      </c>
      <c r="FZ96" s="239">
        <v>34086231</v>
      </c>
      <c r="GA96" s="214" t="s">
        <v>1294</v>
      </c>
    </row>
    <row r="97" spans="1:183" s="214" customFormat="1" x14ac:dyDescent="0.2">
      <c r="A97" s="215" t="s">
        <v>1321</v>
      </c>
      <c r="B97" s="610" t="s">
        <v>277</v>
      </c>
      <c r="C97" s="610" t="s">
        <v>276</v>
      </c>
      <c r="D97" s="239">
        <v>0</v>
      </c>
      <c r="E97" s="239">
        <v>0</v>
      </c>
      <c r="F97" s="239">
        <v>0</v>
      </c>
      <c r="G97" s="239">
        <v>-346793</v>
      </c>
      <c r="H97" s="239">
        <v>0</v>
      </c>
      <c r="I97" s="239">
        <v>-346793</v>
      </c>
      <c r="J97" s="239">
        <v>0</v>
      </c>
      <c r="K97" s="239">
        <v>0</v>
      </c>
      <c r="L97" s="239">
        <v>0</v>
      </c>
      <c r="M97" s="239">
        <v>14444</v>
      </c>
      <c r="N97" s="239">
        <v>0</v>
      </c>
      <c r="O97" s="239">
        <v>14444</v>
      </c>
      <c r="P97" s="239">
        <v>-332349</v>
      </c>
      <c r="Q97" s="239">
        <v>0</v>
      </c>
      <c r="R97" s="239">
        <v>-332349</v>
      </c>
      <c r="S97" s="239">
        <v>-1729731</v>
      </c>
      <c r="T97" s="239">
        <v>0</v>
      </c>
      <c r="U97" s="239">
        <v>-1729731</v>
      </c>
      <c r="V97" s="239">
        <v>0</v>
      </c>
      <c r="W97" s="239">
        <v>0</v>
      </c>
      <c r="X97" s="239">
        <v>0</v>
      </c>
      <c r="Y97" s="239">
        <v>-97709</v>
      </c>
      <c r="Z97" s="239">
        <v>0</v>
      </c>
      <c r="AA97" s="239">
        <v>-97709</v>
      </c>
      <c r="AB97" s="239">
        <v>-44515</v>
      </c>
      <c r="AC97" s="239">
        <v>0</v>
      </c>
      <c r="AD97" s="239">
        <v>-44515</v>
      </c>
      <c r="AE97" s="239">
        <v>0</v>
      </c>
      <c r="AF97" s="239">
        <v>0</v>
      </c>
      <c r="AG97" s="239">
        <v>0</v>
      </c>
      <c r="AH97" s="239">
        <v>1585203</v>
      </c>
      <c r="AI97" s="239">
        <v>0</v>
      </c>
      <c r="AJ97" s="239">
        <v>1585203</v>
      </c>
      <c r="AK97" s="239">
        <v>-19001</v>
      </c>
      <c r="AL97" s="239">
        <v>0</v>
      </c>
      <c r="AM97" s="239">
        <v>-19001</v>
      </c>
      <c r="AN97" s="239">
        <v>-2147721</v>
      </c>
      <c r="AO97" s="239">
        <v>0</v>
      </c>
      <c r="AP97" s="239">
        <v>-2147721</v>
      </c>
      <c r="AQ97" s="239">
        <v>-402</v>
      </c>
      <c r="AR97" s="239">
        <v>0</v>
      </c>
      <c r="AS97" s="239">
        <v>-402</v>
      </c>
      <c r="AT97" s="239">
        <v>0</v>
      </c>
      <c r="AU97" s="239">
        <v>0</v>
      </c>
      <c r="AV97" s="239">
        <v>0</v>
      </c>
      <c r="AW97" s="239">
        <v>0</v>
      </c>
      <c r="AX97" s="239">
        <v>0</v>
      </c>
      <c r="AY97" s="239">
        <v>0</v>
      </c>
      <c r="AZ97" s="239">
        <v>0</v>
      </c>
      <c r="BA97" s="239">
        <v>0</v>
      </c>
      <c r="BB97" s="239">
        <v>0</v>
      </c>
      <c r="BC97" s="239">
        <v>0</v>
      </c>
      <c r="BD97" s="239">
        <v>0</v>
      </c>
      <c r="BE97" s="239">
        <v>0</v>
      </c>
      <c r="BF97" s="239">
        <v>-2409361</v>
      </c>
      <c r="BG97" s="239">
        <v>0</v>
      </c>
      <c r="BH97" s="239">
        <v>-2409361</v>
      </c>
      <c r="BI97" s="239">
        <v>-14718</v>
      </c>
      <c r="BJ97" s="239">
        <v>0</v>
      </c>
      <c r="BK97" s="239">
        <v>-14718</v>
      </c>
      <c r="BL97" s="239">
        <v>-2749</v>
      </c>
      <c r="BM97" s="239">
        <v>0</v>
      </c>
      <c r="BN97" s="239">
        <v>-2749</v>
      </c>
      <c r="BO97" s="239">
        <v>-1717968</v>
      </c>
      <c r="BP97" s="239">
        <v>0</v>
      </c>
      <c r="BQ97" s="239">
        <v>-1717968</v>
      </c>
      <c r="BR97" s="239">
        <v>-387</v>
      </c>
      <c r="BS97" s="239">
        <v>0</v>
      </c>
      <c r="BT97" s="239">
        <v>-387</v>
      </c>
      <c r="BU97" s="239">
        <v>-1735822</v>
      </c>
      <c r="BV97" s="239">
        <v>0</v>
      </c>
      <c r="BW97" s="239">
        <v>-1735822</v>
      </c>
      <c r="BX97" s="239">
        <v>-51142</v>
      </c>
      <c r="BY97" s="239">
        <v>0</v>
      </c>
      <c r="BZ97" s="239">
        <v>-51142</v>
      </c>
      <c r="CA97" s="239">
        <v>328</v>
      </c>
      <c r="CB97" s="239">
        <v>0</v>
      </c>
      <c r="CC97" s="239">
        <v>328</v>
      </c>
      <c r="CD97" s="239">
        <v>-134096</v>
      </c>
      <c r="CE97" s="239">
        <v>0</v>
      </c>
      <c r="CF97" s="239">
        <v>-134096</v>
      </c>
      <c r="CG97" s="239">
        <v>0</v>
      </c>
      <c r="CH97" s="239">
        <v>0</v>
      </c>
      <c r="CI97" s="239">
        <v>0</v>
      </c>
      <c r="CJ97" s="239">
        <v>0</v>
      </c>
      <c r="CK97" s="239">
        <v>0</v>
      </c>
      <c r="CL97" s="239">
        <v>0</v>
      </c>
      <c r="CM97" s="239">
        <v>0</v>
      </c>
      <c r="CN97" s="239">
        <v>0</v>
      </c>
      <c r="CO97" s="239">
        <v>0</v>
      </c>
      <c r="CP97" s="239">
        <v>0</v>
      </c>
      <c r="CQ97" s="239">
        <v>0</v>
      </c>
      <c r="CR97" s="239">
        <v>0</v>
      </c>
      <c r="CS97" s="239">
        <v>0</v>
      </c>
      <c r="CT97" s="239">
        <v>0</v>
      </c>
      <c r="CU97" s="239">
        <v>0</v>
      </c>
      <c r="CV97" s="239">
        <v>0</v>
      </c>
      <c r="CW97" s="239">
        <v>0</v>
      </c>
      <c r="CX97" s="239">
        <v>0</v>
      </c>
      <c r="CY97" s="239">
        <v>0</v>
      </c>
      <c r="CZ97" s="239">
        <v>0</v>
      </c>
      <c r="DA97" s="239">
        <v>0</v>
      </c>
      <c r="DB97" s="239">
        <v>0</v>
      </c>
      <c r="DC97" s="239">
        <v>0</v>
      </c>
      <c r="DD97" s="239">
        <v>0</v>
      </c>
      <c r="DE97" s="239">
        <v>0</v>
      </c>
      <c r="DF97" s="239">
        <v>0</v>
      </c>
      <c r="DG97" s="239">
        <v>0</v>
      </c>
      <c r="DH97" s="239">
        <v>0</v>
      </c>
      <c r="DI97" s="239">
        <v>0</v>
      </c>
      <c r="DJ97" s="239">
        <v>-184910</v>
      </c>
      <c r="DK97" s="239">
        <v>0</v>
      </c>
      <c r="DL97" s="239">
        <v>-184910</v>
      </c>
      <c r="DM97" s="239">
        <v>0</v>
      </c>
      <c r="DN97" s="239">
        <v>0</v>
      </c>
      <c r="DO97" s="239">
        <v>0</v>
      </c>
      <c r="DP97" s="239">
        <v>0</v>
      </c>
      <c r="DQ97" s="239">
        <v>0</v>
      </c>
      <c r="DR97" s="239">
        <v>0</v>
      </c>
      <c r="DS97" s="239">
        <v>-8938</v>
      </c>
      <c r="DT97" s="239">
        <v>0</v>
      </c>
      <c r="DU97" s="239">
        <v>-8938</v>
      </c>
      <c r="DV97" s="239">
        <v>-4578</v>
      </c>
      <c r="DW97" s="239">
        <v>0</v>
      </c>
      <c r="DX97" s="239">
        <v>-4578</v>
      </c>
      <c r="DY97" s="239">
        <v>-514897</v>
      </c>
      <c r="DZ97" s="239">
        <v>0</v>
      </c>
      <c r="EA97" s="239">
        <v>-514897</v>
      </c>
      <c r="EB97" s="239">
        <v>-4404</v>
      </c>
      <c r="EC97" s="239">
        <v>0</v>
      </c>
      <c r="ED97" s="239">
        <v>-4404</v>
      </c>
      <c r="EE97" s="239">
        <v>0</v>
      </c>
      <c r="EF97" s="239">
        <v>0</v>
      </c>
      <c r="EG97" s="239">
        <v>0</v>
      </c>
      <c r="EH97" s="239">
        <v>0</v>
      </c>
      <c r="EI97" s="239">
        <v>0</v>
      </c>
      <c r="EJ97" s="239">
        <v>0</v>
      </c>
      <c r="EK97" s="239">
        <v>-3427</v>
      </c>
      <c r="EL97" s="239">
        <v>0</v>
      </c>
      <c r="EM97" s="239">
        <v>-3427</v>
      </c>
      <c r="EN97" s="239">
        <v>-536244</v>
      </c>
      <c r="EO97" s="239">
        <v>0</v>
      </c>
      <c r="EP97" s="239">
        <v>-536244</v>
      </c>
      <c r="EQ97" s="239">
        <v>0</v>
      </c>
      <c r="ER97" s="239">
        <v>0</v>
      </c>
      <c r="ES97" s="239">
        <v>0</v>
      </c>
      <c r="ET97" s="239">
        <v>0</v>
      </c>
      <c r="EU97" s="239">
        <v>0</v>
      </c>
      <c r="EV97" s="239">
        <v>0</v>
      </c>
      <c r="EW97" s="239">
        <v>0</v>
      </c>
      <c r="EX97" s="239">
        <v>0</v>
      </c>
      <c r="EY97" s="239">
        <v>0</v>
      </c>
      <c r="EZ97" s="239">
        <v>62953372</v>
      </c>
      <c r="FA97" s="239">
        <v>0</v>
      </c>
      <c r="FB97" s="239">
        <v>62953372</v>
      </c>
      <c r="FC97" s="239">
        <v>-332349</v>
      </c>
      <c r="FD97" s="239">
        <v>0</v>
      </c>
      <c r="FE97" s="239">
        <v>-332349</v>
      </c>
      <c r="FF97" s="239">
        <v>-2409361</v>
      </c>
      <c r="FG97" s="239">
        <v>0</v>
      </c>
      <c r="FH97" s="239">
        <v>-2409361</v>
      </c>
      <c r="FI97" s="239">
        <v>-1735822</v>
      </c>
      <c r="FJ97" s="239">
        <v>0</v>
      </c>
      <c r="FK97" s="239">
        <v>-1735822</v>
      </c>
      <c r="FL97" s="239">
        <v>-184910</v>
      </c>
      <c r="FM97" s="239">
        <v>0</v>
      </c>
      <c r="FN97" s="239">
        <v>-184910</v>
      </c>
      <c r="FO97" s="239">
        <v>-536244</v>
      </c>
      <c r="FP97" s="239">
        <v>0</v>
      </c>
      <c r="FQ97" s="239">
        <v>-536244</v>
      </c>
      <c r="FR97" s="239">
        <v>0</v>
      </c>
      <c r="FS97" s="239">
        <v>0</v>
      </c>
      <c r="FT97" s="239">
        <v>0</v>
      </c>
      <c r="FU97" s="239">
        <v>-5198686</v>
      </c>
      <c r="FV97" s="239">
        <v>0</v>
      </c>
      <c r="FW97" s="239">
        <v>-5198686</v>
      </c>
      <c r="FX97" s="239">
        <v>57754686</v>
      </c>
      <c r="FY97" s="239">
        <v>0</v>
      </c>
      <c r="FZ97" s="239">
        <v>57754686</v>
      </c>
      <c r="GA97" s="214" t="s">
        <v>1294</v>
      </c>
    </row>
    <row r="98" spans="1:183" s="214" customFormat="1" x14ac:dyDescent="0.2">
      <c r="B98" s="610" t="s">
        <v>279</v>
      </c>
      <c r="C98" s="610" t="s">
        <v>278</v>
      </c>
      <c r="D98" s="239">
        <v>0</v>
      </c>
      <c r="E98" s="239">
        <v>0</v>
      </c>
      <c r="F98" s="239">
        <v>0</v>
      </c>
      <c r="G98" s="239">
        <v>209140</v>
      </c>
      <c r="H98" s="239">
        <v>0</v>
      </c>
      <c r="I98" s="239">
        <v>209140</v>
      </c>
      <c r="J98" s="239">
        <v>0</v>
      </c>
      <c r="K98" s="239">
        <v>0</v>
      </c>
      <c r="L98" s="239">
        <v>0</v>
      </c>
      <c r="M98" s="239">
        <v>4972</v>
      </c>
      <c r="N98" s="239">
        <v>0</v>
      </c>
      <c r="O98" s="239">
        <v>4972</v>
      </c>
      <c r="P98" s="239">
        <v>214112</v>
      </c>
      <c r="Q98" s="239">
        <v>0</v>
      </c>
      <c r="R98" s="239">
        <v>214112</v>
      </c>
      <c r="S98" s="239">
        <v>-2244009</v>
      </c>
      <c r="T98" s="239">
        <v>0</v>
      </c>
      <c r="U98" s="239">
        <v>-2244009</v>
      </c>
      <c r="V98" s="239">
        <v>0</v>
      </c>
      <c r="W98" s="239">
        <v>0</v>
      </c>
      <c r="X98" s="239">
        <v>0</v>
      </c>
      <c r="Y98" s="239">
        <v>-184249</v>
      </c>
      <c r="Z98" s="239">
        <v>0</v>
      </c>
      <c r="AA98" s="239">
        <v>-184249</v>
      </c>
      <c r="AB98" s="239">
        <v>-96960</v>
      </c>
      <c r="AC98" s="239">
        <v>0</v>
      </c>
      <c r="AD98" s="239">
        <v>-96960</v>
      </c>
      <c r="AE98" s="239">
        <v>0</v>
      </c>
      <c r="AF98" s="239">
        <v>0</v>
      </c>
      <c r="AG98" s="239">
        <v>0</v>
      </c>
      <c r="AH98" s="239">
        <v>540777</v>
      </c>
      <c r="AI98" s="239">
        <v>0</v>
      </c>
      <c r="AJ98" s="239">
        <v>540777</v>
      </c>
      <c r="AK98" s="239">
        <v>-18295</v>
      </c>
      <c r="AL98" s="239">
        <v>0</v>
      </c>
      <c r="AM98" s="239">
        <v>-18295</v>
      </c>
      <c r="AN98" s="239">
        <v>-1308294</v>
      </c>
      <c r="AO98" s="239">
        <v>0</v>
      </c>
      <c r="AP98" s="239">
        <v>-1308294</v>
      </c>
      <c r="AQ98" s="239">
        <v>10701</v>
      </c>
      <c r="AR98" s="239">
        <v>0</v>
      </c>
      <c r="AS98" s="239">
        <v>10701</v>
      </c>
      <c r="AT98" s="239">
        <v>-72181</v>
      </c>
      <c r="AU98" s="239">
        <v>0</v>
      </c>
      <c r="AV98" s="239">
        <v>-72181</v>
      </c>
      <c r="AW98" s="239">
        <v>0</v>
      </c>
      <c r="AX98" s="239">
        <v>0</v>
      </c>
      <c r="AY98" s="239">
        <v>0</v>
      </c>
      <c r="AZ98" s="239">
        <v>-72155</v>
      </c>
      <c r="BA98" s="239">
        <v>0</v>
      </c>
      <c r="BB98" s="239">
        <v>-72155</v>
      </c>
      <c r="BC98" s="239">
        <v>-995</v>
      </c>
      <c r="BD98" s="239">
        <v>0</v>
      </c>
      <c r="BE98" s="239">
        <v>-995</v>
      </c>
      <c r="BF98" s="239">
        <v>-3348700</v>
      </c>
      <c r="BG98" s="239">
        <v>0</v>
      </c>
      <c r="BH98" s="239">
        <v>-3348700</v>
      </c>
      <c r="BI98" s="239">
        <v>0</v>
      </c>
      <c r="BJ98" s="239">
        <v>0</v>
      </c>
      <c r="BK98" s="239">
        <v>0</v>
      </c>
      <c r="BL98" s="239">
        <v>19401</v>
      </c>
      <c r="BM98" s="239">
        <v>0</v>
      </c>
      <c r="BN98" s="239">
        <v>19401</v>
      </c>
      <c r="BO98" s="239">
        <v>-507677</v>
      </c>
      <c r="BP98" s="239">
        <v>0</v>
      </c>
      <c r="BQ98" s="239">
        <v>-507677</v>
      </c>
      <c r="BR98" s="239">
        <v>6863</v>
      </c>
      <c r="BS98" s="239">
        <v>0</v>
      </c>
      <c r="BT98" s="239">
        <v>6863</v>
      </c>
      <c r="BU98" s="239">
        <v>-481413</v>
      </c>
      <c r="BV98" s="239">
        <v>0</v>
      </c>
      <c r="BW98" s="239">
        <v>-481413</v>
      </c>
      <c r="BX98" s="239">
        <v>-47584</v>
      </c>
      <c r="BY98" s="239">
        <v>0</v>
      </c>
      <c r="BZ98" s="239">
        <v>-47584</v>
      </c>
      <c r="CA98" s="239">
        <v>99</v>
      </c>
      <c r="CB98" s="239">
        <v>0</v>
      </c>
      <c r="CC98" s="239">
        <v>99</v>
      </c>
      <c r="CD98" s="239">
        <v>-38718</v>
      </c>
      <c r="CE98" s="239">
        <v>0</v>
      </c>
      <c r="CF98" s="239">
        <v>-38718</v>
      </c>
      <c r="CG98" s="239">
        <v>-730</v>
      </c>
      <c r="CH98" s="239">
        <v>0</v>
      </c>
      <c r="CI98" s="239">
        <v>-730</v>
      </c>
      <c r="CJ98" s="239">
        <v>-2107</v>
      </c>
      <c r="CK98" s="239">
        <v>0</v>
      </c>
      <c r="CL98" s="239">
        <v>-2107</v>
      </c>
      <c r="CM98" s="239">
        <v>0</v>
      </c>
      <c r="CN98" s="239">
        <v>0</v>
      </c>
      <c r="CO98" s="239">
        <v>0</v>
      </c>
      <c r="CP98" s="239">
        <v>-36178</v>
      </c>
      <c r="CQ98" s="239">
        <v>0</v>
      </c>
      <c r="CR98" s="239">
        <v>-36178</v>
      </c>
      <c r="CS98" s="239">
        <v>181</v>
      </c>
      <c r="CT98" s="239">
        <v>0</v>
      </c>
      <c r="CU98" s="239">
        <v>181</v>
      </c>
      <c r="CV98" s="239">
        <v>-3521</v>
      </c>
      <c r="CW98" s="239">
        <v>0</v>
      </c>
      <c r="CX98" s="239">
        <v>-3521</v>
      </c>
      <c r="CY98" s="239">
        <v>0</v>
      </c>
      <c r="CZ98" s="239">
        <v>0</v>
      </c>
      <c r="DA98" s="239">
        <v>0</v>
      </c>
      <c r="DB98" s="239">
        <v>0</v>
      </c>
      <c r="DC98" s="239">
        <v>0</v>
      </c>
      <c r="DD98" s="239">
        <v>0</v>
      </c>
      <c r="DE98" s="239">
        <v>0</v>
      </c>
      <c r="DF98" s="239">
        <v>0</v>
      </c>
      <c r="DG98" s="239">
        <v>0</v>
      </c>
      <c r="DH98" s="239">
        <v>0</v>
      </c>
      <c r="DI98" s="239">
        <v>0</v>
      </c>
      <c r="DJ98" s="239">
        <v>-128558</v>
      </c>
      <c r="DK98" s="239">
        <v>0</v>
      </c>
      <c r="DL98" s="239">
        <v>-128558</v>
      </c>
      <c r="DM98" s="239">
        <v>0</v>
      </c>
      <c r="DN98" s="239">
        <v>0</v>
      </c>
      <c r="DO98" s="239">
        <v>0</v>
      </c>
      <c r="DP98" s="239">
        <v>0</v>
      </c>
      <c r="DQ98" s="239">
        <v>0</v>
      </c>
      <c r="DR98" s="239">
        <v>0</v>
      </c>
      <c r="DS98" s="239">
        <v>-5711</v>
      </c>
      <c r="DT98" s="239">
        <v>0</v>
      </c>
      <c r="DU98" s="239">
        <v>-5711</v>
      </c>
      <c r="DV98" s="239">
        <v>0</v>
      </c>
      <c r="DW98" s="239">
        <v>0</v>
      </c>
      <c r="DX98" s="239">
        <v>0</v>
      </c>
      <c r="DY98" s="239">
        <v>-345172</v>
      </c>
      <c r="DZ98" s="239">
        <v>0</v>
      </c>
      <c r="EA98" s="239">
        <v>-345172</v>
      </c>
      <c r="EB98" s="239">
        <v>-6363</v>
      </c>
      <c r="EC98" s="239">
        <v>0</v>
      </c>
      <c r="ED98" s="239">
        <v>-6363</v>
      </c>
      <c r="EE98" s="239">
        <v>-108672</v>
      </c>
      <c r="EF98" s="239">
        <v>0</v>
      </c>
      <c r="EG98" s="239">
        <v>-108672</v>
      </c>
      <c r="EH98" s="239">
        <v>0</v>
      </c>
      <c r="EI98" s="239">
        <v>0</v>
      </c>
      <c r="EJ98" s="239">
        <v>0</v>
      </c>
      <c r="EK98" s="239">
        <v>-22040</v>
      </c>
      <c r="EL98" s="239">
        <v>0</v>
      </c>
      <c r="EM98" s="239">
        <v>-22040</v>
      </c>
      <c r="EN98" s="239">
        <v>-487958</v>
      </c>
      <c r="EO98" s="239">
        <v>0</v>
      </c>
      <c r="EP98" s="239">
        <v>-487958</v>
      </c>
      <c r="EQ98" s="239">
        <v>0</v>
      </c>
      <c r="ER98" s="239">
        <v>0</v>
      </c>
      <c r="ES98" s="239">
        <v>0</v>
      </c>
      <c r="ET98" s="239">
        <v>0</v>
      </c>
      <c r="EU98" s="239">
        <v>0</v>
      </c>
      <c r="EV98" s="239">
        <v>0</v>
      </c>
      <c r="EW98" s="239">
        <v>0</v>
      </c>
      <c r="EX98" s="239">
        <v>0</v>
      </c>
      <c r="EY98" s="239">
        <v>0</v>
      </c>
      <c r="EZ98" s="239">
        <v>24621749</v>
      </c>
      <c r="FA98" s="239">
        <v>0</v>
      </c>
      <c r="FB98" s="239">
        <v>24621749</v>
      </c>
      <c r="FC98" s="239">
        <v>214112</v>
      </c>
      <c r="FD98" s="239">
        <v>0</v>
      </c>
      <c r="FE98" s="239">
        <v>214112</v>
      </c>
      <c r="FF98" s="239">
        <v>-3348700</v>
      </c>
      <c r="FG98" s="239">
        <v>0</v>
      </c>
      <c r="FH98" s="239">
        <v>-3348700</v>
      </c>
      <c r="FI98" s="239">
        <v>-481413</v>
      </c>
      <c r="FJ98" s="239">
        <v>0</v>
      </c>
      <c r="FK98" s="239">
        <v>-481413</v>
      </c>
      <c r="FL98" s="239">
        <v>-128558</v>
      </c>
      <c r="FM98" s="239">
        <v>0</v>
      </c>
      <c r="FN98" s="239">
        <v>-128558</v>
      </c>
      <c r="FO98" s="239">
        <v>-487958</v>
      </c>
      <c r="FP98" s="239">
        <v>0</v>
      </c>
      <c r="FQ98" s="239">
        <v>-487958</v>
      </c>
      <c r="FR98" s="239">
        <v>0</v>
      </c>
      <c r="FS98" s="239">
        <v>0</v>
      </c>
      <c r="FT98" s="239">
        <v>0</v>
      </c>
      <c r="FU98" s="239">
        <v>-4232517</v>
      </c>
      <c r="FV98" s="239">
        <v>0</v>
      </c>
      <c r="FW98" s="239">
        <v>-4232517</v>
      </c>
      <c r="FX98" s="239">
        <v>20389232</v>
      </c>
      <c r="FY98" s="239">
        <v>0</v>
      </c>
      <c r="FZ98" s="239">
        <v>20389232</v>
      </c>
      <c r="GA98" s="214" t="s">
        <v>1294</v>
      </c>
    </row>
    <row r="99" spans="1:183" s="214" customFormat="1" x14ac:dyDescent="0.2">
      <c r="B99" s="610" t="s">
        <v>281</v>
      </c>
      <c r="C99" s="610" t="s">
        <v>280</v>
      </c>
      <c r="D99" s="239">
        <v>0</v>
      </c>
      <c r="E99" s="239">
        <v>0</v>
      </c>
      <c r="F99" s="239">
        <v>0</v>
      </c>
      <c r="G99" s="239">
        <v>5523</v>
      </c>
      <c r="H99" s="239">
        <v>0</v>
      </c>
      <c r="I99" s="239">
        <v>5523</v>
      </c>
      <c r="J99" s="239">
        <v>0</v>
      </c>
      <c r="K99" s="239">
        <v>0</v>
      </c>
      <c r="L99" s="239">
        <v>0</v>
      </c>
      <c r="M99" s="239">
        <v>-47776</v>
      </c>
      <c r="N99" s="239">
        <v>0</v>
      </c>
      <c r="O99" s="239">
        <v>-47776</v>
      </c>
      <c r="P99" s="239">
        <v>-42253</v>
      </c>
      <c r="Q99" s="239">
        <v>0</v>
      </c>
      <c r="R99" s="239">
        <v>-42253</v>
      </c>
      <c r="S99" s="239">
        <v>-1897240</v>
      </c>
      <c r="T99" s="239">
        <v>0</v>
      </c>
      <c r="U99" s="239">
        <v>-1897240</v>
      </c>
      <c r="V99" s="239">
        <v>0</v>
      </c>
      <c r="W99" s="239">
        <v>0</v>
      </c>
      <c r="X99" s="239">
        <v>0</v>
      </c>
      <c r="Y99" s="239">
        <v>-98035</v>
      </c>
      <c r="Z99" s="239">
        <v>0</v>
      </c>
      <c r="AA99" s="239">
        <v>-98035</v>
      </c>
      <c r="AB99" s="239">
        <v>-58808</v>
      </c>
      <c r="AC99" s="239">
        <v>0</v>
      </c>
      <c r="AD99" s="239">
        <v>-58808</v>
      </c>
      <c r="AE99" s="239">
        <v>0</v>
      </c>
      <c r="AF99" s="239">
        <v>0</v>
      </c>
      <c r="AG99" s="239">
        <v>0</v>
      </c>
      <c r="AH99" s="239">
        <v>1542459</v>
      </c>
      <c r="AI99" s="239">
        <v>0</v>
      </c>
      <c r="AJ99" s="239">
        <v>1542459</v>
      </c>
      <c r="AK99" s="239">
        <v>466</v>
      </c>
      <c r="AL99" s="239">
        <v>0</v>
      </c>
      <c r="AM99" s="239">
        <v>466</v>
      </c>
      <c r="AN99" s="239">
        <v>-3550983</v>
      </c>
      <c r="AO99" s="239">
        <v>0</v>
      </c>
      <c r="AP99" s="239">
        <v>-3550983</v>
      </c>
      <c r="AQ99" s="239">
        <v>-40080</v>
      </c>
      <c r="AR99" s="239">
        <v>0</v>
      </c>
      <c r="AS99" s="239">
        <v>-40080</v>
      </c>
      <c r="AT99" s="239">
        <v>-53166</v>
      </c>
      <c r="AU99" s="239">
        <v>0</v>
      </c>
      <c r="AV99" s="239">
        <v>-53166</v>
      </c>
      <c r="AW99" s="239">
        <v>0</v>
      </c>
      <c r="AX99" s="239">
        <v>0</v>
      </c>
      <c r="AY99" s="239">
        <v>0</v>
      </c>
      <c r="AZ99" s="239">
        <v>0</v>
      </c>
      <c r="BA99" s="239">
        <v>0</v>
      </c>
      <c r="BB99" s="239">
        <v>0</v>
      </c>
      <c r="BC99" s="239">
        <v>0</v>
      </c>
      <c r="BD99" s="239">
        <v>0</v>
      </c>
      <c r="BE99" s="239">
        <v>0</v>
      </c>
      <c r="BF99" s="239">
        <v>-4096579</v>
      </c>
      <c r="BG99" s="239">
        <v>0</v>
      </c>
      <c r="BH99" s="239">
        <v>-4096579</v>
      </c>
      <c r="BI99" s="239">
        <v>-48706</v>
      </c>
      <c r="BJ99" s="239">
        <v>0</v>
      </c>
      <c r="BK99" s="239">
        <v>-48706</v>
      </c>
      <c r="BL99" s="239">
        <v>-5076</v>
      </c>
      <c r="BM99" s="239">
        <v>0</v>
      </c>
      <c r="BN99" s="239">
        <v>-5076</v>
      </c>
      <c r="BO99" s="239">
        <v>-2500873</v>
      </c>
      <c r="BP99" s="239">
        <v>0</v>
      </c>
      <c r="BQ99" s="239">
        <v>-2500873</v>
      </c>
      <c r="BR99" s="239">
        <v>-131108</v>
      </c>
      <c r="BS99" s="239">
        <v>0</v>
      </c>
      <c r="BT99" s="239">
        <v>-131108</v>
      </c>
      <c r="BU99" s="239">
        <v>-2685763</v>
      </c>
      <c r="BV99" s="239">
        <v>0</v>
      </c>
      <c r="BW99" s="239">
        <v>-2685763</v>
      </c>
      <c r="BX99" s="239">
        <v>-105982</v>
      </c>
      <c r="BY99" s="239">
        <v>0</v>
      </c>
      <c r="BZ99" s="239">
        <v>-105982</v>
      </c>
      <c r="CA99" s="239">
        <v>0</v>
      </c>
      <c r="CB99" s="239">
        <v>0</v>
      </c>
      <c r="CC99" s="239">
        <v>0</v>
      </c>
      <c r="CD99" s="239">
        <v>-324332</v>
      </c>
      <c r="CE99" s="239">
        <v>0</v>
      </c>
      <c r="CF99" s="239">
        <v>-324332</v>
      </c>
      <c r="CG99" s="239">
        <v>4057</v>
      </c>
      <c r="CH99" s="239">
        <v>0</v>
      </c>
      <c r="CI99" s="239">
        <v>4057</v>
      </c>
      <c r="CJ99" s="239">
        <v>0</v>
      </c>
      <c r="CK99" s="239">
        <v>0</v>
      </c>
      <c r="CL99" s="239">
        <v>0</v>
      </c>
      <c r="CM99" s="239">
        <v>0</v>
      </c>
      <c r="CN99" s="239">
        <v>0</v>
      </c>
      <c r="CO99" s="239">
        <v>0</v>
      </c>
      <c r="CP99" s="239">
        <v>0</v>
      </c>
      <c r="CQ99" s="239">
        <v>0</v>
      </c>
      <c r="CR99" s="239">
        <v>0</v>
      </c>
      <c r="CS99" s="239">
        <v>0</v>
      </c>
      <c r="CT99" s="239">
        <v>0</v>
      </c>
      <c r="CU99" s="239">
        <v>0</v>
      </c>
      <c r="CV99" s="239">
        <v>0</v>
      </c>
      <c r="CW99" s="239">
        <v>0</v>
      </c>
      <c r="CX99" s="239">
        <v>0</v>
      </c>
      <c r="CY99" s="239">
        <v>0</v>
      </c>
      <c r="CZ99" s="239">
        <v>0</v>
      </c>
      <c r="DA99" s="239">
        <v>0</v>
      </c>
      <c r="DB99" s="239">
        <v>0</v>
      </c>
      <c r="DC99" s="239">
        <v>0</v>
      </c>
      <c r="DD99" s="239">
        <v>0</v>
      </c>
      <c r="DE99" s="239">
        <v>0</v>
      </c>
      <c r="DF99" s="239">
        <v>0</v>
      </c>
      <c r="DG99" s="239">
        <v>0</v>
      </c>
      <c r="DH99" s="239">
        <v>0</v>
      </c>
      <c r="DI99" s="239">
        <v>0</v>
      </c>
      <c r="DJ99" s="239">
        <v>-426257</v>
      </c>
      <c r="DK99" s="239">
        <v>0</v>
      </c>
      <c r="DL99" s="239">
        <v>-426257</v>
      </c>
      <c r="DM99" s="239">
        <v>0</v>
      </c>
      <c r="DN99" s="239">
        <v>0</v>
      </c>
      <c r="DO99" s="239">
        <v>0</v>
      </c>
      <c r="DP99" s="239">
        <v>25072</v>
      </c>
      <c r="DQ99" s="239">
        <v>0</v>
      </c>
      <c r="DR99" s="239">
        <v>25072</v>
      </c>
      <c r="DS99" s="239">
        <v>-21319</v>
      </c>
      <c r="DT99" s="239">
        <v>0</v>
      </c>
      <c r="DU99" s="239">
        <v>-21319</v>
      </c>
      <c r="DV99" s="239">
        <v>-7174</v>
      </c>
      <c r="DW99" s="239">
        <v>0</v>
      </c>
      <c r="DX99" s="239">
        <v>-7174</v>
      </c>
      <c r="DY99" s="239">
        <v>-963693</v>
      </c>
      <c r="DZ99" s="239">
        <v>0</v>
      </c>
      <c r="EA99" s="239">
        <v>-963693</v>
      </c>
      <c r="EB99" s="239">
        <v>-15957</v>
      </c>
      <c r="EC99" s="239">
        <v>0</v>
      </c>
      <c r="ED99" s="239">
        <v>-15957</v>
      </c>
      <c r="EE99" s="239">
        <v>0</v>
      </c>
      <c r="EF99" s="239">
        <v>0</v>
      </c>
      <c r="EG99" s="239">
        <v>0</v>
      </c>
      <c r="EH99" s="239">
        <v>-14117</v>
      </c>
      <c r="EI99" s="239">
        <v>0</v>
      </c>
      <c r="EJ99" s="239">
        <v>-14117</v>
      </c>
      <c r="EK99" s="239">
        <v>-5005</v>
      </c>
      <c r="EL99" s="239">
        <v>0</v>
      </c>
      <c r="EM99" s="239">
        <v>-5005</v>
      </c>
      <c r="EN99" s="239">
        <v>-1002193</v>
      </c>
      <c r="EO99" s="239">
        <v>0</v>
      </c>
      <c r="EP99" s="239">
        <v>-1002193</v>
      </c>
      <c r="EQ99" s="239">
        <v>0</v>
      </c>
      <c r="ER99" s="239">
        <v>0</v>
      </c>
      <c r="ES99" s="239">
        <v>0</v>
      </c>
      <c r="ET99" s="239">
        <v>0</v>
      </c>
      <c r="EU99" s="239">
        <v>0</v>
      </c>
      <c r="EV99" s="239">
        <v>0</v>
      </c>
      <c r="EW99" s="239">
        <v>0</v>
      </c>
      <c r="EX99" s="239">
        <v>0</v>
      </c>
      <c r="EY99" s="239">
        <v>0</v>
      </c>
      <c r="EZ99" s="239">
        <v>64216254</v>
      </c>
      <c r="FA99" s="239">
        <v>0</v>
      </c>
      <c r="FB99" s="239">
        <v>64216254</v>
      </c>
      <c r="FC99" s="239">
        <v>-42253</v>
      </c>
      <c r="FD99" s="239">
        <v>0</v>
      </c>
      <c r="FE99" s="239">
        <v>-42253</v>
      </c>
      <c r="FF99" s="239">
        <v>-4096579</v>
      </c>
      <c r="FG99" s="239">
        <v>0</v>
      </c>
      <c r="FH99" s="239">
        <v>-4096579</v>
      </c>
      <c r="FI99" s="239">
        <v>-2685763</v>
      </c>
      <c r="FJ99" s="239">
        <v>0</v>
      </c>
      <c r="FK99" s="239">
        <v>-2685763</v>
      </c>
      <c r="FL99" s="239">
        <v>-426257</v>
      </c>
      <c r="FM99" s="239">
        <v>0</v>
      </c>
      <c r="FN99" s="239">
        <v>-426257</v>
      </c>
      <c r="FO99" s="239">
        <v>-1002193</v>
      </c>
      <c r="FP99" s="239">
        <v>0</v>
      </c>
      <c r="FQ99" s="239">
        <v>-1002193</v>
      </c>
      <c r="FR99" s="239">
        <v>0</v>
      </c>
      <c r="FS99" s="239">
        <v>0</v>
      </c>
      <c r="FT99" s="239">
        <v>0</v>
      </c>
      <c r="FU99" s="239">
        <v>-8253045</v>
      </c>
      <c r="FV99" s="239">
        <v>0</v>
      </c>
      <c r="FW99" s="239">
        <v>-8253045</v>
      </c>
      <c r="FX99" s="239">
        <v>55963209</v>
      </c>
      <c r="FY99" s="239">
        <v>0</v>
      </c>
      <c r="FZ99" s="239">
        <v>55963209</v>
      </c>
      <c r="GA99" s="214" t="s">
        <v>1294</v>
      </c>
    </row>
    <row r="100" spans="1:183" s="214" customFormat="1" x14ac:dyDescent="0.2">
      <c r="B100" s="610" t="s">
        <v>283</v>
      </c>
      <c r="C100" s="610" t="s">
        <v>282</v>
      </c>
      <c r="D100" s="239">
        <v>0</v>
      </c>
      <c r="E100" s="239">
        <v>0</v>
      </c>
      <c r="F100" s="239">
        <v>0</v>
      </c>
      <c r="G100" s="239">
        <v>108263</v>
      </c>
      <c r="H100" s="239">
        <v>0</v>
      </c>
      <c r="I100" s="239">
        <v>108263</v>
      </c>
      <c r="J100" s="239">
        <v>0</v>
      </c>
      <c r="K100" s="239">
        <v>0</v>
      </c>
      <c r="L100" s="239">
        <v>0</v>
      </c>
      <c r="M100" s="239">
        <v>-31678</v>
      </c>
      <c r="N100" s="239">
        <v>0</v>
      </c>
      <c r="O100" s="239">
        <v>-31678</v>
      </c>
      <c r="P100" s="239">
        <v>76585</v>
      </c>
      <c r="Q100" s="239">
        <v>0</v>
      </c>
      <c r="R100" s="239">
        <v>76585</v>
      </c>
      <c r="S100" s="239">
        <v>-3962862</v>
      </c>
      <c r="T100" s="239">
        <v>0</v>
      </c>
      <c r="U100" s="239">
        <v>-3962862</v>
      </c>
      <c r="V100" s="239">
        <v>0</v>
      </c>
      <c r="W100" s="239">
        <v>0</v>
      </c>
      <c r="X100" s="239">
        <v>0</v>
      </c>
      <c r="Y100" s="239">
        <v>-63640</v>
      </c>
      <c r="Z100" s="239">
        <v>0</v>
      </c>
      <c r="AA100" s="239">
        <v>-63640</v>
      </c>
      <c r="AB100" s="239">
        <v>0</v>
      </c>
      <c r="AC100" s="239">
        <v>0</v>
      </c>
      <c r="AD100" s="239">
        <v>0</v>
      </c>
      <c r="AE100" s="239">
        <v>0</v>
      </c>
      <c r="AF100" s="239">
        <v>0</v>
      </c>
      <c r="AG100" s="239">
        <v>0</v>
      </c>
      <c r="AH100" s="239">
        <v>2749113</v>
      </c>
      <c r="AI100" s="239">
        <v>0</v>
      </c>
      <c r="AJ100" s="239">
        <v>2749113</v>
      </c>
      <c r="AK100" s="239">
        <v>52791</v>
      </c>
      <c r="AL100" s="239">
        <v>0</v>
      </c>
      <c r="AM100" s="239">
        <v>52791</v>
      </c>
      <c r="AN100" s="239">
        <v>-5340153</v>
      </c>
      <c r="AO100" s="239">
        <v>0</v>
      </c>
      <c r="AP100" s="239">
        <v>-5340153</v>
      </c>
      <c r="AQ100" s="239">
        <v>94307</v>
      </c>
      <c r="AR100" s="239">
        <v>0</v>
      </c>
      <c r="AS100" s="239">
        <v>94307</v>
      </c>
      <c r="AT100" s="239">
        <v>-120982</v>
      </c>
      <c r="AU100" s="239">
        <v>0</v>
      </c>
      <c r="AV100" s="239">
        <v>-120982</v>
      </c>
      <c r="AW100" s="239">
        <v>0</v>
      </c>
      <c r="AX100" s="239">
        <v>0</v>
      </c>
      <c r="AY100" s="239">
        <v>0</v>
      </c>
      <c r="AZ100" s="239">
        <v>0</v>
      </c>
      <c r="BA100" s="239">
        <v>0</v>
      </c>
      <c r="BB100" s="239">
        <v>0</v>
      </c>
      <c r="BC100" s="239">
        <v>0</v>
      </c>
      <c r="BD100" s="239">
        <v>0</v>
      </c>
      <c r="BE100" s="239">
        <v>0</v>
      </c>
      <c r="BF100" s="239">
        <v>-6591426</v>
      </c>
      <c r="BG100" s="239">
        <v>0</v>
      </c>
      <c r="BH100" s="239">
        <v>-6591426</v>
      </c>
      <c r="BI100" s="239">
        <v>-6728</v>
      </c>
      <c r="BJ100" s="239">
        <v>0</v>
      </c>
      <c r="BK100" s="239">
        <v>-6728</v>
      </c>
      <c r="BL100" s="239">
        <v>-15961</v>
      </c>
      <c r="BM100" s="239">
        <v>0</v>
      </c>
      <c r="BN100" s="239">
        <v>-15961</v>
      </c>
      <c r="BO100" s="239">
        <v>-2983373</v>
      </c>
      <c r="BP100" s="239">
        <v>0</v>
      </c>
      <c r="BQ100" s="239">
        <v>-2983373</v>
      </c>
      <c r="BR100" s="239">
        <v>-61784</v>
      </c>
      <c r="BS100" s="239">
        <v>0</v>
      </c>
      <c r="BT100" s="239">
        <v>-61784</v>
      </c>
      <c r="BU100" s="239">
        <v>-3067846</v>
      </c>
      <c r="BV100" s="239">
        <v>0</v>
      </c>
      <c r="BW100" s="239">
        <v>-3067846</v>
      </c>
      <c r="BX100" s="239">
        <v>-229464</v>
      </c>
      <c r="BY100" s="239">
        <v>0</v>
      </c>
      <c r="BZ100" s="239">
        <v>-229464</v>
      </c>
      <c r="CA100" s="239">
        <v>-1512</v>
      </c>
      <c r="CB100" s="239">
        <v>0</v>
      </c>
      <c r="CC100" s="239">
        <v>-1512</v>
      </c>
      <c r="CD100" s="239">
        <v>-192789</v>
      </c>
      <c r="CE100" s="239">
        <v>0</v>
      </c>
      <c r="CF100" s="239">
        <v>-192789</v>
      </c>
      <c r="CG100" s="239">
        <v>3013</v>
      </c>
      <c r="CH100" s="239">
        <v>0</v>
      </c>
      <c r="CI100" s="239">
        <v>3013</v>
      </c>
      <c r="CJ100" s="239">
        <v>0</v>
      </c>
      <c r="CK100" s="239">
        <v>0</v>
      </c>
      <c r="CL100" s="239">
        <v>0</v>
      </c>
      <c r="CM100" s="239">
        <v>0</v>
      </c>
      <c r="CN100" s="239">
        <v>0</v>
      </c>
      <c r="CO100" s="239">
        <v>0</v>
      </c>
      <c r="CP100" s="239">
        <v>0</v>
      </c>
      <c r="CQ100" s="239">
        <v>0</v>
      </c>
      <c r="CR100" s="239">
        <v>0</v>
      </c>
      <c r="CS100" s="239">
        <v>0</v>
      </c>
      <c r="CT100" s="239">
        <v>0</v>
      </c>
      <c r="CU100" s="239">
        <v>0</v>
      </c>
      <c r="CV100" s="239">
        <v>0</v>
      </c>
      <c r="CW100" s="239">
        <v>0</v>
      </c>
      <c r="CX100" s="239">
        <v>0</v>
      </c>
      <c r="CY100" s="239">
        <v>0</v>
      </c>
      <c r="CZ100" s="239">
        <v>0</v>
      </c>
      <c r="DA100" s="239">
        <v>0</v>
      </c>
      <c r="DB100" s="239">
        <v>0</v>
      </c>
      <c r="DC100" s="239">
        <v>0</v>
      </c>
      <c r="DD100" s="239">
        <v>0</v>
      </c>
      <c r="DE100" s="239">
        <v>0</v>
      </c>
      <c r="DF100" s="239">
        <v>0</v>
      </c>
      <c r="DG100" s="239">
        <v>0</v>
      </c>
      <c r="DH100" s="239">
        <v>0</v>
      </c>
      <c r="DI100" s="239">
        <v>0</v>
      </c>
      <c r="DJ100" s="239">
        <v>-420752</v>
      </c>
      <c r="DK100" s="239">
        <v>0</v>
      </c>
      <c r="DL100" s="239">
        <v>-420752</v>
      </c>
      <c r="DM100" s="239">
        <v>0</v>
      </c>
      <c r="DN100" s="239">
        <v>0</v>
      </c>
      <c r="DO100" s="239">
        <v>0</v>
      </c>
      <c r="DP100" s="239">
        <v>0</v>
      </c>
      <c r="DQ100" s="239">
        <v>0</v>
      </c>
      <c r="DR100" s="239">
        <v>0</v>
      </c>
      <c r="DS100" s="239">
        <v>-40343</v>
      </c>
      <c r="DT100" s="239">
        <v>0</v>
      </c>
      <c r="DU100" s="239">
        <v>-40343</v>
      </c>
      <c r="DV100" s="239">
        <v>523</v>
      </c>
      <c r="DW100" s="239">
        <v>0</v>
      </c>
      <c r="DX100" s="239">
        <v>523</v>
      </c>
      <c r="DY100" s="239">
        <v>-1895830</v>
      </c>
      <c r="DZ100" s="239">
        <v>0</v>
      </c>
      <c r="EA100" s="239">
        <v>-1895830</v>
      </c>
      <c r="EB100" s="239">
        <v>-92248</v>
      </c>
      <c r="EC100" s="239">
        <v>0</v>
      </c>
      <c r="ED100" s="239">
        <v>-92248</v>
      </c>
      <c r="EE100" s="239">
        <v>0</v>
      </c>
      <c r="EF100" s="239">
        <v>0</v>
      </c>
      <c r="EG100" s="239">
        <v>0</v>
      </c>
      <c r="EH100" s="239">
        <v>0</v>
      </c>
      <c r="EI100" s="239">
        <v>0</v>
      </c>
      <c r="EJ100" s="239">
        <v>0</v>
      </c>
      <c r="EK100" s="239">
        <v>-17485</v>
      </c>
      <c r="EL100" s="239">
        <v>0</v>
      </c>
      <c r="EM100" s="239">
        <v>-17485</v>
      </c>
      <c r="EN100" s="239">
        <v>-2045383</v>
      </c>
      <c r="EO100" s="239">
        <v>0</v>
      </c>
      <c r="EP100" s="239">
        <v>-2045383</v>
      </c>
      <c r="EQ100" s="239">
        <v>0</v>
      </c>
      <c r="ER100" s="239">
        <v>0</v>
      </c>
      <c r="ES100" s="239">
        <v>0</v>
      </c>
      <c r="ET100" s="239">
        <v>0</v>
      </c>
      <c r="EU100" s="239">
        <v>0</v>
      </c>
      <c r="EV100" s="239">
        <v>0</v>
      </c>
      <c r="EW100" s="239">
        <v>0</v>
      </c>
      <c r="EX100" s="239">
        <v>0</v>
      </c>
      <c r="EY100" s="239">
        <v>0</v>
      </c>
      <c r="EZ100" s="239">
        <v>119140633</v>
      </c>
      <c r="FA100" s="239">
        <v>0</v>
      </c>
      <c r="FB100" s="239">
        <v>119140633</v>
      </c>
      <c r="FC100" s="239">
        <v>76585</v>
      </c>
      <c r="FD100" s="239">
        <v>0</v>
      </c>
      <c r="FE100" s="239">
        <v>76585</v>
      </c>
      <c r="FF100" s="239">
        <v>-6591426</v>
      </c>
      <c r="FG100" s="239">
        <v>0</v>
      </c>
      <c r="FH100" s="239">
        <v>-6591426</v>
      </c>
      <c r="FI100" s="239">
        <v>-3067846</v>
      </c>
      <c r="FJ100" s="239">
        <v>0</v>
      </c>
      <c r="FK100" s="239">
        <v>-3067846</v>
      </c>
      <c r="FL100" s="239">
        <v>-420752</v>
      </c>
      <c r="FM100" s="239">
        <v>0</v>
      </c>
      <c r="FN100" s="239">
        <v>-420752</v>
      </c>
      <c r="FO100" s="239">
        <v>-2045383</v>
      </c>
      <c r="FP100" s="239">
        <v>0</v>
      </c>
      <c r="FQ100" s="239">
        <v>-2045383</v>
      </c>
      <c r="FR100" s="239">
        <v>0</v>
      </c>
      <c r="FS100" s="239">
        <v>0</v>
      </c>
      <c r="FT100" s="239">
        <v>0</v>
      </c>
      <c r="FU100" s="239">
        <v>-12048822</v>
      </c>
      <c r="FV100" s="239">
        <v>0</v>
      </c>
      <c r="FW100" s="239">
        <v>-12048822</v>
      </c>
      <c r="FX100" s="239">
        <v>107091811</v>
      </c>
      <c r="FY100" s="239">
        <v>0</v>
      </c>
      <c r="FZ100" s="239">
        <v>107091811</v>
      </c>
      <c r="GA100" s="214" t="s">
        <v>1295</v>
      </c>
    </row>
    <row r="101" spans="1:183" s="214" customFormat="1" x14ac:dyDescent="0.2">
      <c r="B101" s="610" t="s">
        <v>285</v>
      </c>
      <c r="C101" s="610" t="s">
        <v>284</v>
      </c>
      <c r="D101" s="239">
        <v>0</v>
      </c>
      <c r="E101" s="239">
        <v>0</v>
      </c>
      <c r="F101" s="239">
        <v>0</v>
      </c>
      <c r="G101" s="239">
        <v>326368</v>
      </c>
      <c r="H101" s="239">
        <v>0</v>
      </c>
      <c r="I101" s="239">
        <v>326368</v>
      </c>
      <c r="J101" s="239">
        <v>0</v>
      </c>
      <c r="K101" s="239">
        <v>0</v>
      </c>
      <c r="L101" s="239">
        <v>0</v>
      </c>
      <c r="M101" s="239">
        <v>-4017</v>
      </c>
      <c r="N101" s="239">
        <v>0</v>
      </c>
      <c r="O101" s="239">
        <v>-4017</v>
      </c>
      <c r="P101" s="239">
        <v>322351</v>
      </c>
      <c r="Q101" s="239">
        <v>0</v>
      </c>
      <c r="R101" s="239">
        <v>322351</v>
      </c>
      <c r="S101" s="239">
        <v>-2616778</v>
      </c>
      <c r="T101" s="239">
        <v>0</v>
      </c>
      <c r="U101" s="239">
        <v>-2616778</v>
      </c>
      <c r="V101" s="239">
        <v>-7594</v>
      </c>
      <c r="W101" s="239">
        <v>0</v>
      </c>
      <c r="X101" s="239">
        <v>-7594</v>
      </c>
      <c r="Y101" s="239">
        <v>-147528</v>
      </c>
      <c r="Z101" s="239">
        <v>0</v>
      </c>
      <c r="AA101" s="239">
        <v>-147528</v>
      </c>
      <c r="AB101" s="239">
        <v>-97827</v>
      </c>
      <c r="AC101" s="239">
        <v>0</v>
      </c>
      <c r="AD101" s="239">
        <v>-97827</v>
      </c>
      <c r="AE101" s="239">
        <v>-117</v>
      </c>
      <c r="AF101" s="239">
        <v>0</v>
      </c>
      <c r="AG101" s="239">
        <v>-117</v>
      </c>
      <c r="AH101" s="239">
        <v>866152</v>
      </c>
      <c r="AI101" s="239">
        <v>0</v>
      </c>
      <c r="AJ101" s="239">
        <v>866152</v>
      </c>
      <c r="AK101" s="239">
        <v>-21924</v>
      </c>
      <c r="AL101" s="239">
        <v>0</v>
      </c>
      <c r="AM101" s="239">
        <v>-21924</v>
      </c>
      <c r="AN101" s="239">
        <v>-2269031</v>
      </c>
      <c r="AO101" s="239">
        <v>0</v>
      </c>
      <c r="AP101" s="239">
        <v>-2269031</v>
      </c>
      <c r="AQ101" s="239">
        <v>10789</v>
      </c>
      <c r="AR101" s="239">
        <v>0</v>
      </c>
      <c r="AS101" s="239">
        <v>10789</v>
      </c>
      <c r="AT101" s="239">
        <v>-29257</v>
      </c>
      <c r="AU101" s="239">
        <v>0</v>
      </c>
      <c r="AV101" s="239">
        <v>-29257</v>
      </c>
      <c r="AW101" s="239">
        <v>0</v>
      </c>
      <c r="AX101" s="239">
        <v>0</v>
      </c>
      <c r="AY101" s="239">
        <v>0</v>
      </c>
      <c r="AZ101" s="239">
        <v>-8734</v>
      </c>
      <c r="BA101" s="239">
        <v>0</v>
      </c>
      <c r="BB101" s="239">
        <v>-8734</v>
      </c>
      <c r="BC101" s="239">
        <v>0</v>
      </c>
      <c r="BD101" s="239">
        <v>0</v>
      </c>
      <c r="BE101" s="239">
        <v>0</v>
      </c>
      <c r="BF101" s="239">
        <v>-4216311</v>
      </c>
      <c r="BG101" s="239">
        <v>0</v>
      </c>
      <c r="BH101" s="239">
        <v>-4216311</v>
      </c>
      <c r="BI101" s="239">
        <v>0</v>
      </c>
      <c r="BJ101" s="239">
        <v>0</v>
      </c>
      <c r="BK101" s="239">
        <v>0</v>
      </c>
      <c r="BL101" s="239">
        <v>0</v>
      </c>
      <c r="BM101" s="239">
        <v>0</v>
      </c>
      <c r="BN101" s="239">
        <v>0</v>
      </c>
      <c r="BO101" s="239">
        <v>-1023867</v>
      </c>
      <c r="BP101" s="239">
        <v>0</v>
      </c>
      <c r="BQ101" s="239">
        <v>-1023867</v>
      </c>
      <c r="BR101" s="239">
        <v>39829</v>
      </c>
      <c r="BS101" s="239">
        <v>0</v>
      </c>
      <c r="BT101" s="239">
        <v>39829</v>
      </c>
      <c r="BU101" s="239">
        <v>-984038</v>
      </c>
      <c r="BV101" s="239">
        <v>0</v>
      </c>
      <c r="BW101" s="239">
        <v>-984038</v>
      </c>
      <c r="BX101" s="239">
        <v>-14070</v>
      </c>
      <c r="BY101" s="239">
        <v>0</v>
      </c>
      <c r="BZ101" s="239">
        <v>-14070</v>
      </c>
      <c r="CA101" s="239">
        <v>0</v>
      </c>
      <c r="CB101" s="239">
        <v>0</v>
      </c>
      <c r="CC101" s="239">
        <v>0</v>
      </c>
      <c r="CD101" s="239">
        <v>-56021</v>
      </c>
      <c r="CE101" s="239">
        <v>0</v>
      </c>
      <c r="CF101" s="239">
        <v>-56021</v>
      </c>
      <c r="CG101" s="239">
        <v>0</v>
      </c>
      <c r="CH101" s="239">
        <v>0</v>
      </c>
      <c r="CI101" s="239">
        <v>0</v>
      </c>
      <c r="CJ101" s="239">
        <v>0</v>
      </c>
      <c r="CK101" s="239">
        <v>0</v>
      </c>
      <c r="CL101" s="239">
        <v>0</v>
      </c>
      <c r="CM101" s="239">
        <v>0</v>
      </c>
      <c r="CN101" s="239">
        <v>0</v>
      </c>
      <c r="CO101" s="239">
        <v>0</v>
      </c>
      <c r="CP101" s="239">
        <v>-5241</v>
      </c>
      <c r="CQ101" s="239">
        <v>0</v>
      </c>
      <c r="CR101" s="239">
        <v>-5241</v>
      </c>
      <c r="CS101" s="239">
        <v>0</v>
      </c>
      <c r="CT101" s="239">
        <v>0</v>
      </c>
      <c r="CU101" s="239">
        <v>0</v>
      </c>
      <c r="CV101" s="239">
        <v>-8294</v>
      </c>
      <c r="CW101" s="239">
        <v>0</v>
      </c>
      <c r="CX101" s="239">
        <v>-8294</v>
      </c>
      <c r="CY101" s="239">
        <v>0</v>
      </c>
      <c r="CZ101" s="239">
        <v>0</v>
      </c>
      <c r="DA101" s="239">
        <v>0</v>
      </c>
      <c r="DB101" s="239">
        <v>0</v>
      </c>
      <c r="DC101" s="239">
        <v>0</v>
      </c>
      <c r="DD101" s="239">
        <v>0</v>
      </c>
      <c r="DE101" s="239">
        <v>0</v>
      </c>
      <c r="DF101" s="239">
        <v>0</v>
      </c>
      <c r="DG101" s="239">
        <v>0</v>
      </c>
      <c r="DH101" s="239">
        <v>0</v>
      </c>
      <c r="DI101" s="239">
        <v>0</v>
      </c>
      <c r="DJ101" s="239">
        <v>-83626</v>
      </c>
      <c r="DK101" s="239">
        <v>0</v>
      </c>
      <c r="DL101" s="239">
        <v>-83626</v>
      </c>
      <c r="DM101" s="239">
        <v>-17835</v>
      </c>
      <c r="DN101" s="239">
        <v>0</v>
      </c>
      <c r="DO101" s="239">
        <v>-17835</v>
      </c>
      <c r="DP101" s="239">
        <v>5415</v>
      </c>
      <c r="DQ101" s="239">
        <v>0</v>
      </c>
      <c r="DR101" s="239">
        <v>5415</v>
      </c>
      <c r="DS101" s="239">
        <v>-10462</v>
      </c>
      <c r="DT101" s="239">
        <v>0</v>
      </c>
      <c r="DU101" s="239">
        <v>-10462</v>
      </c>
      <c r="DV101" s="239">
        <v>0</v>
      </c>
      <c r="DW101" s="239">
        <v>0</v>
      </c>
      <c r="DX101" s="239">
        <v>0</v>
      </c>
      <c r="DY101" s="239">
        <v>-800452</v>
      </c>
      <c r="DZ101" s="239">
        <v>0</v>
      </c>
      <c r="EA101" s="239">
        <v>-800452</v>
      </c>
      <c r="EB101" s="239">
        <v>-39807</v>
      </c>
      <c r="EC101" s="239">
        <v>0</v>
      </c>
      <c r="ED101" s="239">
        <v>-39807</v>
      </c>
      <c r="EE101" s="239">
        <v>0</v>
      </c>
      <c r="EF101" s="239">
        <v>0</v>
      </c>
      <c r="EG101" s="239">
        <v>0</v>
      </c>
      <c r="EH101" s="239">
        <v>0</v>
      </c>
      <c r="EI101" s="239">
        <v>0</v>
      </c>
      <c r="EJ101" s="239">
        <v>0</v>
      </c>
      <c r="EK101" s="239">
        <v>-41491</v>
      </c>
      <c r="EL101" s="239">
        <v>0</v>
      </c>
      <c r="EM101" s="239">
        <v>-41491</v>
      </c>
      <c r="EN101" s="239">
        <v>-904632</v>
      </c>
      <c r="EO101" s="239">
        <v>0</v>
      </c>
      <c r="EP101" s="239">
        <v>-904632</v>
      </c>
      <c r="EQ101" s="239">
        <v>0</v>
      </c>
      <c r="ER101" s="239">
        <v>0</v>
      </c>
      <c r="ES101" s="239">
        <v>0</v>
      </c>
      <c r="ET101" s="239">
        <v>0</v>
      </c>
      <c r="EU101" s="239">
        <v>0</v>
      </c>
      <c r="EV101" s="239">
        <v>0</v>
      </c>
      <c r="EW101" s="239">
        <v>0</v>
      </c>
      <c r="EX101" s="239">
        <v>0</v>
      </c>
      <c r="EY101" s="239">
        <v>0</v>
      </c>
      <c r="EZ101" s="239">
        <v>40506634</v>
      </c>
      <c r="FA101" s="239">
        <v>0</v>
      </c>
      <c r="FB101" s="239">
        <v>40506634</v>
      </c>
      <c r="FC101" s="239">
        <v>322351</v>
      </c>
      <c r="FD101" s="239">
        <v>0</v>
      </c>
      <c r="FE101" s="239">
        <v>322351</v>
      </c>
      <c r="FF101" s="239">
        <v>-4216311</v>
      </c>
      <c r="FG101" s="239">
        <v>0</v>
      </c>
      <c r="FH101" s="239">
        <v>-4216311</v>
      </c>
      <c r="FI101" s="239">
        <v>-984038</v>
      </c>
      <c r="FJ101" s="239">
        <v>0</v>
      </c>
      <c r="FK101" s="239">
        <v>-984038</v>
      </c>
      <c r="FL101" s="239">
        <v>-83626</v>
      </c>
      <c r="FM101" s="239">
        <v>0</v>
      </c>
      <c r="FN101" s="239">
        <v>-83626</v>
      </c>
      <c r="FO101" s="239">
        <v>-904632</v>
      </c>
      <c r="FP101" s="239">
        <v>0</v>
      </c>
      <c r="FQ101" s="239">
        <v>-904632</v>
      </c>
      <c r="FR101" s="239">
        <v>0</v>
      </c>
      <c r="FS101" s="239">
        <v>0</v>
      </c>
      <c r="FT101" s="239">
        <v>0</v>
      </c>
      <c r="FU101" s="239">
        <v>-5866256</v>
      </c>
      <c r="FV101" s="239">
        <v>0</v>
      </c>
      <c r="FW101" s="239">
        <v>-5866256</v>
      </c>
      <c r="FX101" s="239">
        <v>34640378</v>
      </c>
      <c r="FY101" s="239">
        <v>0</v>
      </c>
      <c r="FZ101" s="239">
        <v>34640378</v>
      </c>
      <c r="GA101" s="214" t="s">
        <v>1294</v>
      </c>
    </row>
    <row r="102" spans="1:183" s="214" customFormat="1" x14ac:dyDescent="0.2">
      <c r="B102" s="610" t="s">
        <v>287</v>
      </c>
      <c r="C102" s="610" t="s">
        <v>286</v>
      </c>
      <c r="D102" s="239">
        <v>0</v>
      </c>
      <c r="E102" s="239">
        <v>0</v>
      </c>
      <c r="F102" s="239">
        <v>0</v>
      </c>
      <c r="G102" s="239">
        <v>76797</v>
      </c>
      <c r="H102" s="239">
        <v>0</v>
      </c>
      <c r="I102" s="239">
        <v>76797</v>
      </c>
      <c r="J102" s="239">
        <v>0</v>
      </c>
      <c r="K102" s="239">
        <v>0</v>
      </c>
      <c r="L102" s="239">
        <v>0</v>
      </c>
      <c r="M102" s="239">
        <v>0</v>
      </c>
      <c r="N102" s="239">
        <v>0</v>
      </c>
      <c r="O102" s="239">
        <v>0</v>
      </c>
      <c r="P102" s="239">
        <v>76797</v>
      </c>
      <c r="Q102" s="239">
        <v>0</v>
      </c>
      <c r="R102" s="239">
        <v>76797</v>
      </c>
      <c r="S102" s="239">
        <v>-1099057</v>
      </c>
      <c r="T102" s="239">
        <v>0</v>
      </c>
      <c r="U102" s="239">
        <v>-1099057</v>
      </c>
      <c r="V102" s="239">
        <v>0</v>
      </c>
      <c r="W102" s="239">
        <v>0</v>
      </c>
      <c r="X102" s="239">
        <v>0</v>
      </c>
      <c r="Y102" s="239">
        <v>-55764</v>
      </c>
      <c r="Z102" s="239">
        <v>0</v>
      </c>
      <c r="AA102" s="239">
        <v>-55764</v>
      </c>
      <c r="AB102" s="239">
        <v>-29282</v>
      </c>
      <c r="AC102" s="239">
        <v>0</v>
      </c>
      <c r="AD102" s="239">
        <v>-29282</v>
      </c>
      <c r="AE102" s="239">
        <v>0</v>
      </c>
      <c r="AF102" s="239">
        <v>0</v>
      </c>
      <c r="AG102" s="239">
        <v>0</v>
      </c>
      <c r="AH102" s="239">
        <v>680918</v>
      </c>
      <c r="AI102" s="239">
        <v>0</v>
      </c>
      <c r="AJ102" s="239">
        <v>680918</v>
      </c>
      <c r="AK102" s="239">
        <v>-3743</v>
      </c>
      <c r="AL102" s="239">
        <v>0</v>
      </c>
      <c r="AM102" s="239">
        <v>-3743</v>
      </c>
      <c r="AN102" s="239">
        <v>-2754668</v>
      </c>
      <c r="AO102" s="239">
        <v>0</v>
      </c>
      <c r="AP102" s="239">
        <v>-2754668</v>
      </c>
      <c r="AQ102" s="239">
        <v>32533</v>
      </c>
      <c r="AR102" s="239">
        <v>0</v>
      </c>
      <c r="AS102" s="239">
        <v>32533</v>
      </c>
      <c r="AT102" s="239">
        <v>-49892</v>
      </c>
      <c r="AU102" s="239">
        <v>0</v>
      </c>
      <c r="AV102" s="239">
        <v>-49892</v>
      </c>
      <c r="AW102" s="239">
        <v>0</v>
      </c>
      <c r="AX102" s="239">
        <v>0</v>
      </c>
      <c r="AY102" s="239">
        <v>0</v>
      </c>
      <c r="AZ102" s="239">
        <v>0</v>
      </c>
      <c r="BA102" s="239">
        <v>0</v>
      </c>
      <c r="BB102" s="239">
        <v>0</v>
      </c>
      <c r="BC102" s="239">
        <v>0</v>
      </c>
      <c r="BD102" s="239">
        <v>0</v>
      </c>
      <c r="BE102" s="239">
        <v>0</v>
      </c>
      <c r="BF102" s="239">
        <v>-3249673</v>
      </c>
      <c r="BG102" s="239">
        <v>0</v>
      </c>
      <c r="BH102" s="239">
        <v>-3249673</v>
      </c>
      <c r="BI102" s="239">
        <v>0</v>
      </c>
      <c r="BJ102" s="239">
        <v>0</v>
      </c>
      <c r="BK102" s="239">
        <v>0</v>
      </c>
      <c r="BL102" s="239">
        <v>0</v>
      </c>
      <c r="BM102" s="239">
        <v>0</v>
      </c>
      <c r="BN102" s="239">
        <v>0</v>
      </c>
      <c r="BO102" s="239">
        <v>-733196</v>
      </c>
      <c r="BP102" s="239">
        <v>0</v>
      </c>
      <c r="BQ102" s="239">
        <v>-733196</v>
      </c>
      <c r="BR102" s="239">
        <v>-77650</v>
      </c>
      <c r="BS102" s="239">
        <v>0</v>
      </c>
      <c r="BT102" s="239">
        <v>-77650</v>
      </c>
      <c r="BU102" s="239">
        <v>-810846</v>
      </c>
      <c r="BV102" s="239">
        <v>0</v>
      </c>
      <c r="BW102" s="239">
        <v>-810846</v>
      </c>
      <c r="BX102" s="239">
        <v>-86635</v>
      </c>
      <c r="BY102" s="239">
        <v>0</v>
      </c>
      <c r="BZ102" s="239">
        <v>-86635</v>
      </c>
      <c r="CA102" s="239">
        <v>10</v>
      </c>
      <c r="CB102" s="239">
        <v>0</v>
      </c>
      <c r="CC102" s="239">
        <v>10</v>
      </c>
      <c r="CD102" s="239">
        <v>-585</v>
      </c>
      <c r="CE102" s="239">
        <v>0</v>
      </c>
      <c r="CF102" s="239">
        <v>-585</v>
      </c>
      <c r="CG102" s="239">
        <v>0</v>
      </c>
      <c r="CH102" s="239">
        <v>0</v>
      </c>
      <c r="CI102" s="239">
        <v>0</v>
      </c>
      <c r="CJ102" s="239">
        <v>-8746</v>
      </c>
      <c r="CK102" s="239">
        <v>0</v>
      </c>
      <c r="CL102" s="239">
        <v>-8746</v>
      </c>
      <c r="CM102" s="239">
        <v>0</v>
      </c>
      <c r="CN102" s="239">
        <v>0</v>
      </c>
      <c r="CO102" s="239">
        <v>0</v>
      </c>
      <c r="CP102" s="239">
        <v>0</v>
      </c>
      <c r="CQ102" s="239">
        <v>0</v>
      </c>
      <c r="CR102" s="239">
        <v>0</v>
      </c>
      <c r="CS102" s="239">
        <v>0</v>
      </c>
      <c r="CT102" s="239">
        <v>0</v>
      </c>
      <c r="CU102" s="239">
        <v>0</v>
      </c>
      <c r="CV102" s="239">
        <v>0</v>
      </c>
      <c r="CW102" s="239">
        <v>0</v>
      </c>
      <c r="CX102" s="239">
        <v>0</v>
      </c>
      <c r="CY102" s="239">
        <v>0</v>
      </c>
      <c r="CZ102" s="239">
        <v>0</v>
      </c>
      <c r="DA102" s="239">
        <v>0</v>
      </c>
      <c r="DB102" s="239">
        <v>0</v>
      </c>
      <c r="DC102" s="239">
        <v>0</v>
      </c>
      <c r="DD102" s="239">
        <v>0</v>
      </c>
      <c r="DE102" s="239">
        <v>0</v>
      </c>
      <c r="DF102" s="239">
        <v>0</v>
      </c>
      <c r="DG102" s="239">
        <v>0</v>
      </c>
      <c r="DH102" s="239">
        <v>0</v>
      </c>
      <c r="DI102" s="239">
        <v>0</v>
      </c>
      <c r="DJ102" s="239">
        <v>-95956</v>
      </c>
      <c r="DK102" s="239">
        <v>0</v>
      </c>
      <c r="DL102" s="239">
        <v>-95956</v>
      </c>
      <c r="DM102" s="239">
        <v>0</v>
      </c>
      <c r="DN102" s="239">
        <v>0</v>
      </c>
      <c r="DO102" s="239">
        <v>0</v>
      </c>
      <c r="DP102" s="239">
        <v>-21981</v>
      </c>
      <c r="DQ102" s="239">
        <v>0</v>
      </c>
      <c r="DR102" s="239">
        <v>-21981</v>
      </c>
      <c r="DS102" s="239">
        <v>-7446</v>
      </c>
      <c r="DT102" s="239">
        <v>0</v>
      </c>
      <c r="DU102" s="239">
        <v>-7446</v>
      </c>
      <c r="DV102" s="239">
        <v>61</v>
      </c>
      <c r="DW102" s="239">
        <v>0</v>
      </c>
      <c r="DX102" s="239">
        <v>61</v>
      </c>
      <c r="DY102" s="239">
        <v>-459044</v>
      </c>
      <c r="DZ102" s="239">
        <v>0</v>
      </c>
      <c r="EA102" s="239">
        <v>-459044</v>
      </c>
      <c r="EB102" s="239">
        <v>-770</v>
      </c>
      <c r="EC102" s="239">
        <v>0</v>
      </c>
      <c r="ED102" s="239">
        <v>-770</v>
      </c>
      <c r="EE102" s="239">
        <v>0</v>
      </c>
      <c r="EF102" s="239">
        <v>0</v>
      </c>
      <c r="EG102" s="239">
        <v>0</v>
      </c>
      <c r="EH102" s="239">
        <v>0</v>
      </c>
      <c r="EI102" s="239">
        <v>0</v>
      </c>
      <c r="EJ102" s="239">
        <v>0</v>
      </c>
      <c r="EK102" s="239">
        <v>0</v>
      </c>
      <c r="EL102" s="239">
        <v>0</v>
      </c>
      <c r="EM102" s="239">
        <v>0</v>
      </c>
      <c r="EN102" s="239">
        <v>-489180</v>
      </c>
      <c r="EO102" s="239">
        <v>0</v>
      </c>
      <c r="EP102" s="239">
        <v>-489180</v>
      </c>
      <c r="EQ102" s="239">
        <v>0</v>
      </c>
      <c r="ER102" s="239">
        <v>0</v>
      </c>
      <c r="ES102" s="239">
        <v>0</v>
      </c>
      <c r="ET102" s="239">
        <v>0</v>
      </c>
      <c r="EU102" s="239">
        <v>0</v>
      </c>
      <c r="EV102" s="239">
        <v>0</v>
      </c>
      <c r="EW102" s="239">
        <v>0</v>
      </c>
      <c r="EX102" s="239">
        <v>0</v>
      </c>
      <c r="EY102" s="239">
        <v>0</v>
      </c>
      <c r="EZ102" s="239">
        <v>28271982</v>
      </c>
      <c r="FA102" s="239">
        <v>0</v>
      </c>
      <c r="FB102" s="239">
        <v>28271982</v>
      </c>
      <c r="FC102" s="239">
        <v>76797</v>
      </c>
      <c r="FD102" s="239">
        <v>0</v>
      </c>
      <c r="FE102" s="239">
        <v>76797</v>
      </c>
      <c r="FF102" s="239">
        <v>-3249673</v>
      </c>
      <c r="FG102" s="239">
        <v>0</v>
      </c>
      <c r="FH102" s="239">
        <v>-3249673</v>
      </c>
      <c r="FI102" s="239">
        <v>-810846</v>
      </c>
      <c r="FJ102" s="239">
        <v>0</v>
      </c>
      <c r="FK102" s="239">
        <v>-810846</v>
      </c>
      <c r="FL102" s="239">
        <v>-95956</v>
      </c>
      <c r="FM102" s="239">
        <v>0</v>
      </c>
      <c r="FN102" s="239">
        <v>-95956</v>
      </c>
      <c r="FO102" s="239">
        <v>-489180</v>
      </c>
      <c r="FP102" s="239">
        <v>0</v>
      </c>
      <c r="FQ102" s="239">
        <v>-489180</v>
      </c>
      <c r="FR102" s="239">
        <v>0</v>
      </c>
      <c r="FS102" s="239">
        <v>0</v>
      </c>
      <c r="FT102" s="239">
        <v>0</v>
      </c>
      <c r="FU102" s="239">
        <v>-4568858</v>
      </c>
      <c r="FV102" s="239">
        <v>0</v>
      </c>
      <c r="FW102" s="239">
        <v>-4568858</v>
      </c>
      <c r="FX102" s="239">
        <v>23703124</v>
      </c>
      <c r="FY102" s="239">
        <v>0</v>
      </c>
      <c r="FZ102" s="239">
        <v>23703124</v>
      </c>
      <c r="GA102" s="214" t="s">
        <v>1294</v>
      </c>
    </row>
    <row r="103" spans="1:183" s="214" customFormat="1" x14ac:dyDescent="0.2">
      <c r="B103" s="610" t="s">
        <v>289</v>
      </c>
      <c r="C103" s="610" t="s">
        <v>288</v>
      </c>
      <c r="D103" s="239">
        <v>0</v>
      </c>
      <c r="E103" s="239">
        <v>0</v>
      </c>
      <c r="F103" s="239">
        <v>0</v>
      </c>
      <c r="G103" s="239">
        <v>14042</v>
      </c>
      <c r="H103" s="239">
        <v>0</v>
      </c>
      <c r="I103" s="239">
        <v>14042</v>
      </c>
      <c r="J103" s="239">
        <v>0</v>
      </c>
      <c r="K103" s="239">
        <v>0</v>
      </c>
      <c r="L103" s="239">
        <v>0</v>
      </c>
      <c r="M103" s="239">
        <v>11396</v>
      </c>
      <c r="N103" s="239">
        <v>0</v>
      </c>
      <c r="O103" s="239">
        <v>11396</v>
      </c>
      <c r="P103" s="239">
        <v>25438</v>
      </c>
      <c r="Q103" s="239">
        <v>0</v>
      </c>
      <c r="R103" s="239">
        <v>25438</v>
      </c>
      <c r="S103" s="239">
        <v>-2548622</v>
      </c>
      <c r="T103" s="239">
        <v>0</v>
      </c>
      <c r="U103" s="239">
        <v>-2548622</v>
      </c>
      <c r="V103" s="239">
        <v>-1706</v>
      </c>
      <c r="W103" s="239">
        <v>0</v>
      </c>
      <c r="X103" s="239">
        <v>-1706</v>
      </c>
      <c r="Y103" s="239">
        <v>-125655</v>
      </c>
      <c r="Z103" s="239">
        <v>0</v>
      </c>
      <c r="AA103" s="239">
        <v>-125655</v>
      </c>
      <c r="AB103" s="239">
        <v>-63769</v>
      </c>
      <c r="AC103" s="239">
        <v>0</v>
      </c>
      <c r="AD103" s="239">
        <v>-63769</v>
      </c>
      <c r="AE103" s="239">
        <v>0</v>
      </c>
      <c r="AF103" s="239">
        <v>0</v>
      </c>
      <c r="AG103" s="239">
        <v>0</v>
      </c>
      <c r="AH103" s="239">
        <v>650189</v>
      </c>
      <c r="AI103" s="239">
        <v>0</v>
      </c>
      <c r="AJ103" s="239">
        <v>650189</v>
      </c>
      <c r="AK103" s="239">
        <v>-2856</v>
      </c>
      <c r="AL103" s="239">
        <v>0</v>
      </c>
      <c r="AM103" s="239">
        <v>-2856</v>
      </c>
      <c r="AN103" s="239">
        <v>-1705139</v>
      </c>
      <c r="AO103" s="239">
        <v>0</v>
      </c>
      <c r="AP103" s="239">
        <v>-1705139</v>
      </c>
      <c r="AQ103" s="239">
        <v>-8302</v>
      </c>
      <c r="AR103" s="239">
        <v>0</v>
      </c>
      <c r="AS103" s="239">
        <v>-8302</v>
      </c>
      <c r="AT103" s="239">
        <v>-85959</v>
      </c>
      <c r="AU103" s="239">
        <v>0</v>
      </c>
      <c r="AV103" s="239">
        <v>-85959</v>
      </c>
      <c r="AW103" s="239">
        <v>0</v>
      </c>
      <c r="AX103" s="239">
        <v>0</v>
      </c>
      <c r="AY103" s="239">
        <v>0</v>
      </c>
      <c r="AZ103" s="239">
        <v>-1590</v>
      </c>
      <c r="BA103" s="239">
        <v>0</v>
      </c>
      <c r="BB103" s="239">
        <v>-1590</v>
      </c>
      <c r="BC103" s="239">
        <v>0</v>
      </c>
      <c r="BD103" s="239">
        <v>0</v>
      </c>
      <c r="BE103" s="239">
        <v>0</v>
      </c>
      <c r="BF103" s="239">
        <v>-3827934</v>
      </c>
      <c r="BG103" s="239">
        <v>0</v>
      </c>
      <c r="BH103" s="239">
        <v>-3827934</v>
      </c>
      <c r="BI103" s="239">
        <v>0</v>
      </c>
      <c r="BJ103" s="239">
        <v>0</v>
      </c>
      <c r="BK103" s="239">
        <v>0</v>
      </c>
      <c r="BL103" s="239">
        <v>-1947</v>
      </c>
      <c r="BM103" s="239">
        <v>0</v>
      </c>
      <c r="BN103" s="239">
        <v>-1947</v>
      </c>
      <c r="BO103" s="239">
        <v>-715636</v>
      </c>
      <c r="BP103" s="239">
        <v>0</v>
      </c>
      <c r="BQ103" s="239">
        <v>-715636</v>
      </c>
      <c r="BR103" s="239">
        <v>-32651</v>
      </c>
      <c r="BS103" s="239">
        <v>0</v>
      </c>
      <c r="BT103" s="239">
        <v>-32651</v>
      </c>
      <c r="BU103" s="239">
        <v>-750234</v>
      </c>
      <c r="BV103" s="239">
        <v>0</v>
      </c>
      <c r="BW103" s="239">
        <v>-750234</v>
      </c>
      <c r="BX103" s="239">
        <v>-17825</v>
      </c>
      <c r="BY103" s="239">
        <v>0</v>
      </c>
      <c r="BZ103" s="239">
        <v>-17825</v>
      </c>
      <c r="CA103" s="239">
        <v>0</v>
      </c>
      <c r="CB103" s="239">
        <v>0</v>
      </c>
      <c r="CC103" s="239">
        <v>0</v>
      </c>
      <c r="CD103" s="239">
        <v>-46570</v>
      </c>
      <c r="CE103" s="239">
        <v>0</v>
      </c>
      <c r="CF103" s="239">
        <v>-46570</v>
      </c>
      <c r="CG103" s="239">
        <v>-9</v>
      </c>
      <c r="CH103" s="239">
        <v>0</v>
      </c>
      <c r="CI103" s="239">
        <v>-9</v>
      </c>
      <c r="CJ103" s="239">
        <v>0</v>
      </c>
      <c r="CK103" s="239">
        <v>0</v>
      </c>
      <c r="CL103" s="239">
        <v>0</v>
      </c>
      <c r="CM103" s="239">
        <v>0</v>
      </c>
      <c r="CN103" s="239">
        <v>0</v>
      </c>
      <c r="CO103" s="239">
        <v>0</v>
      </c>
      <c r="CP103" s="239">
        <v>-1220</v>
      </c>
      <c r="CQ103" s="239">
        <v>0</v>
      </c>
      <c r="CR103" s="239">
        <v>-1220</v>
      </c>
      <c r="CS103" s="239">
        <v>0</v>
      </c>
      <c r="CT103" s="239">
        <v>0</v>
      </c>
      <c r="CU103" s="239">
        <v>0</v>
      </c>
      <c r="CV103" s="239">
        <v>0</v>
      </c>
      <c r="CW103" s="239">
        <v>0</v>
      </c>
      <c r="CX103" s="239">
        <v>0</v>
      </c>
      <c r="CY103" s="239">
        <v>0</v>
      </c>
      <c r="CZ103" s="239">
        <v>0</v>
      </c>
      <c r="DA103" s="239">
        <v>0</v>
      </c>
      <c r="DB103" s="239">
        <v>0</v>
      </c>
      <c r="DC103" s="239">
        <v>0</v>
      </c>
      <c r="DD103" s="239">
        <v>0</v>
      </c>
      <c r="DE103" s="239">
        <v>0</v>
      </c>
      <c r="DF103" s="239">
        <v>0</v>
      </c>
      <c r="DG103" s="239">
        <v>0</v>
      </c>
      <c r="DH103" s="239">
        <v>0</v>
      </c>
      <c r="DI103" s="239">
        <v>0</v>
      </c>
      <c r="DJ103" s="239">
        <v>-65624</v>
      </c>
      <c r="DK103" s="239">
        <v>0</v>
      </c>
      <c r="DL103" s="239">
        <v>-65624</v>
      </c>
      <c r="DM103" s="239">
        <v>-217</v>
      </c>
      <c r="DN103" s="239">
        <v>0</v>
      </c>
      <c r="DO103" s="239">
        <v>-217</v>
      </c>
      <c r="DP103" s="239">
        <v>0</v>
      </c>
      <c r="DQ103" s="239">
        <v>0</v>
      </c>
      <c r="DR103" s="239">
        <v>0</v>
      </c>
      <c r="DS103" s="239">
        <v>-14947</v>
      </c>
      <c r="DT103" s="239">
        <v>0</v>
      </c>
      <c r="DU103" s="239">
        <v>-14947</v>
      </c>
      <c r="DV103" s="239">
        <v>-4511</v>
      </c>
      <c r="DW103" s="239">
        <v>0</v>
      </c>
      <c r="DX103" s="239">
        <v>-4511</v>
      </c>
      <c r="DY103" s="239">
        <v>-381694</v>
      </c>
      <c r="DZ103" s="239">
        <v>0</v>
      </c>
      <c r="EA103" s="239">
        <v>-381694</v>
      </c>
      <c r="EB103" s="239">
        <v>-27055</v>
      </c>
      <c r="EC103" s="239">
        <v>0</v>
      </c>
      <c r="ED103" s="239">
        <v>-27055</v>
      </c>
      <c r="EE103" s="239">
        <v>0</v>
      </c>
      <c r="EF103" s="239">
        <v>0</v>
      </c>
      <c r="EG103" s="239">
        <v>0</v>
      </c>
      <c r="EH103" s="239">
        <v>0</v>
      </c>
      <c r="EI103" s="239">
        <v>0</v>
      </c>
      <c r="EJ103" s="239">
        <v>0</v>
      </c>
      <c r="EK103" s="239">
        <v>-3215</v>
      </c>
      <c r="EL103" s="239">
        <v>0</v>
      </c>
      <c r="EM103" s="239">
        <v>-3215</v>
      </c>
      <c r="EN103" s="239">
        <v>-431639</v>
      </c>
      <c r="EO103" s="239">
        <v>0</v>
      </c>
      <c r="EP103" s="239">
        <v>-431639</v>
      </c>
      <c r="EQ103" s="239">
        <v>0</v>
      </c>
      <c r="ER103" s="239">
        <v>0</v>
      </c>
      <c r="ES103" s="239">
        <v>0</v>
      </c>
      <c r="ET103" s="239">
        <v>0</v>
      </c>
      <c r="EU103" s="239">
        <v>0</v>
      </c>
      <c r="EV103" s="239">
        <v>0</v>
      </c>
      <c r="EW103" s="239">
        <v>0</v>
      </c>
      <c r="EX103" s="239">
        <v>0</v>
      </c>
      <c r="EY103" s="239">
        <v>0</v>
      </c>
      <c r="EZ103" s="239">
        <v>30581882</v>
      </c>
      <c r="FA103" s="239">
        <v>0</v>
      </c>
      <c r="FB103" s="239">
        <v>30581882</v>
      </c>
      <c r="FC103" s="239">
        <v>25438</v>
      </c>
      <c r="FD103" s="239">
        <v>0</v>
      </c>
      <c r="FE103" s="239">
        <v>25438</v>
      </c>
      <c r="FF103" s="239">
        <v>-3827934</v>
      </c>
      <c r="FG103" s="239">
        <v>0</v>
      </c>
      <c r="FH103" s="239">
        <v>-3827934</v>
      </c>
      <c r="FI103" s="239">
        <v>-750234</v>
      </c>
      <c r="FJ103" s="239">
        <v>0</v>
      </c>
      <c r="FK103" s="239">
        <v>-750234</v>
      </c>
      <c r="FL103" s="239">
        <v>-65624</v>
      </c>
      <c r="FM103" s="239">
        <v>0</v>
      </c>
      <c r="FN103" s="239">
        <v>-65624</v>
      </c>
      <c r="FO103" s="239">
        <v>-431639</v>
      </c>
      <c r="FP103" s="239">
        <v>0</v>
      </c>
      <c r="FQ103" s="239">
        <v>-431639</v>
      </c>
      <c r="FR103" s="239">
        <v>0</v>
      </c>
      <c r="FS103" s="239">
        <v>0</v>
      </c>
      <c r="FT103" s="239">
        <v>0</v>
      </c>
      <c r="FU103" s="239">
        <v>-5049993</v>
      </c>
      <c r="FV103" s="239">
        <v>0</v>
      </c>
      <c r="FW103" s="239">
        <v>-5049993</v>
      </c>
      <c r="FX103" s="239">
        <v>25531889</v>
      </c>
      <c r="FY103" s="239">
        <v>0</v>
      </c>
      <c r="FZ103" s="239">
        <v>25531889</v>
      </c>
      <c r="GA103" s="214" t="s">
        <v>1294</v>
      </c>
    </row>
    <row r="104" spans="1:183" s="214" customFormat="1" x14ac:dyDescent="0.2">
      <c r="B104" s="610" t="s">
        <v>291</v>
      </c>
      <c r="C104" s="610" t="s">
        <v>290</v>
      </c>
      <c r="D104" s="239">
        <v>0</v>
      </c>
      <c r="E104" s="239">
        <v>0</v>
      </c>
      <c r="F104" s="239">
        <v>0</v>
      </c>
      <c r="G104" s="239">
        <v>133953</v>
      </c>
      <c r="H104" s="239">
        <v>0</v>
      </c>
      <c r="I104" s="239">
        <v>133953</v>
      </c>
      <c r="J104" s="239">
        <v>0</v>
      </c>
      <c r="K104" s="239">
        <v>0</v>
      </c>
      <c r="L104" s="239">
        <v>0</v>
      </c>
      <c r="M104" s="239">
        <v>20759</v>
      </c>
      <c r="N104" s="239">
        <v>0</v>
      </c>
      <c r="O104" s="239">
        <v>20759</v>
      </c>
      <c r="P104" s="239">
        <v>154712</v>
      </c>
      <c r="Q104" s="239">
        <v>0</v>
      </c>
      <c r="R104" s="239">
        <v>154712</v>
      </c>
      <c r="S104" s="239">
        <v>-2218495</v>
      </c>
      <c r="T104" s="239">
        <v>0</v>
      </c>
      <c r="U104" s="239">
        <v>-2218495</v>
      </c>
      <c r="V104" s="239">
        <v>-9398</v>
      </c>
      <c r="W104" s="239">
        <v>0</v>
      </c>
      <c r="X104" s="239">
        <v>-9398</v>
      </c>
      <c r="Y104" s="239">
        <v>-91725</v>
      </c>
      <c r="Z104" s="239">
        <v>0</v>
      </c>
      <c r="AA104" s="239">
        <v>-91725</v>
      </c>
      <c r="AB104" s="239">
        <v>-91981</v>
      </c>
      <c r="AC104" s="239">
        <v>0</v>
      </c>
      <c r="AD104" s="239">
        <v>-91981</v>
      </c>
      <c r="AE104" s="239">
        <v>256</v>
      </c>
      <c r="AF104" s="239">
        <v>0</v>
      </c>
      <c r="AG104" s="239">
        <v>256</v>
      </c>
      <c r="AH104" s="239">
        <v>2189819</v>
      </c>
      <c r="AI104" s="239">
        <v>0</v>
      </c>
      <c r="AJ104" s="239">
        <v>2189819</v>
      </c>
      <c r="AK104" s="239">
        <v>-22106</v>
      </c>
      <c r="AL104" s="239">
        <v>0</v>
      </c>
      <c r="AM104" s="239">
        <v>-22106</v>
      </c>
      <c r="AN104" s="239">
        <v>-6100269</v>
      </c>
      <c r="AO104" s="239">
        <v>0</v>
      </c>
      <c r="AP104" s="239">
        <v>-6100269</v>
      </c>
      <c r="AQ104" s="239">
        <v>-447837</v>
      </c>
      <c r="AR104" s="239">
        <v>0</v>
      </c>
      <c r="AS104" s="239">
        <v>-447837</v>
      </c>
      <c r="AT104" s="239">
        <v>-32481</v>
      </c>
      <c r="AU104" s="239">
        <v>0</v>
      </c>
      <c r="AV104" s="239">
        <v>-32481</v>
      </c>
      <c r="AW104" s="239">
        <v>0</v>
      </c>
      <c r="AX104" s="239">
        <v>0</v>
      </c>
      <c r="AY104" s="239">
        <v>0</v>
      </c>
      <c r="AZ104" s="239">
        <v>0</v>
      </c>
      <c r="BA104" s="239">
        <v>0</v>
      </c>
      <c r="BB104" s="239">
        <v>0</v>
      </c>
      <c r="BC104" s="239">
        <v>0</v>
      </c>
      <c r="BD104" s="239">
        <v>0</v>
      </c>
      <c r="BE104" s="239">
        <v>0</v>
      </c>
      <c r="BF104" s="239">
        <v>-6723094</v>
      </c>
      <c r="BG104" s="239">
        <v>0</v>
      </c>
      <c r="BH104" s="239">
        <v>-6723094</v>
      </c>
      <c r="BI104" s="239">
        <v>-8842</v>
      </c>
      <c r="BJ104" s="239">
        <v>0</v>
      </c>
      <c r="BK104" s="239">
        <v>-8842</v>
      </c>
      <c r="BL104" s="239">
        <v>0</v>
      </c>
      <c r="BM104" s="239">
        <v>0</v>
      </c>
      <c r="BN104" s="239">
        <v>0</v>
      </c>
      <c r="BO104" s="239">
        <v>-2221359</v>
      </c>
      <c r="BP104" s="239">
        <v>0</v>
      </c>
      <c r="BQ104" s="239">
        <v>-2221359</v>
      </c>
      <c r="BR104" s="239">
        <v>8162</v>
      </c>
      <c r="BS104" s="239">
        <v>0</v>
      </c>
      <c r="BT104" s="239">
        <v>8162</v>
      </c>
      <c r="BU104" s="239">
        <v>-2222039</v>
      </c>
      <c r="BV104" s="239">
        <v>0</v>
      </c>
      <c r="BW104" s="239">
        <v>-2222039</v>
      </c>
      <c r="BX104" s="239">
        <v>-218216</v>
      </c>
      <c r="BY104" s="239">
        <v>0</v>
      </c>
      <c r="BZ104" s="239">
        <v>-218216</v>
      </c>
      <c r="CA104" s="239">
        <v>1242</v>
      </c>
      <c r="CB104" s="239">
        <v>0</v>
      </c>
      <c r="CC104" s="239">
        <v>1242</v>
      </c>
      <c r="CD104" s="239">
        <v>-56428</v>
      </c>
      <c r="CE104" s="239">
        <v>0</v>
      </c>
      <c r="CF104" s="239">
        <v>-56428</v>
      </c>
      <c r="CG104" s="239">
        <v>1224</v>
      </c>
      <c r="CH104" s="239">
        <v>0</v>
      </c>
      <c r="CI104" s="239">
        <v>1224</v>
      </c>
      <c r="CJ104" s="239">
        <v>-2995</v>
      </c>
      <c r="CK104" s="239">
        <v>0</v>
      </c>
      <c r="CL104" s="239">
        <v>-2995</v>
      </c>
      <c r="CM104" s="239">
        <v>0</v>
      </c>
      <c r="CN104" s="239">
        <v>0</v>
      </c>
      <c r="CO104" s="239">
        <v>0</v>
      </c>
      <c r="CP104" s="239">
        <v>0</v>
      </c>
      <c r="CQ104" s="239">
        <v>0</v>
      </c>
      <c r="CR104" s="239">
        <v>0</v>
      </c>
      <c r="CS104" s="239">
        <v>0</v>
      </c>
      <c r="CT104" s="239">
        <v>0</v>
      </c>
      <c r="CU104" s="239">
        <v>0</v>
      </c>
      <c r="CV104" s="239">
        <v>0</v>
      </c>
      <c r="CW104" s="239">
        <v>0</v>
      </c>
      <c r="CX104" s="239">
        <v>0</v>
      </c>
      <c r="CY104" s="239">
        <v>0</v>
      </c>
      <c r="CZ104" s="239">
        <v>0</v>
      </c>
      <c r="DA104" s="239">
        <v>0</v>
      </c>
      <c r="DB104" s="239">
        <v>0</v>
      </c>
      <c r="DC104" s="239">
        <v>0</v>
      </c>
      <c r="DD104" s="239">
        <v>0</v>
      </c>
      <c r="DE104" s="239">
        <v>0</v>
      </c>
      <c r="DF104" s="239">
        <v>0</v>
      </c>
      <c r="DG104" s="239">
        <v>0</v>
      </c>
      <c r="DH104" s="239">
        <v>0</v>
      </c>
      <c r="DI104" s="239">
        <v>0</v>
      </c>
      <c r="DJ104" s="239">
        <v>-275173</v>
      </c>
      <c r="DK104" s="239">
        <v>0</v>
      </c>
      <c r="DL104" s="239">
        <v>-275173</v>
      </c>
      <c r="DM104" s="239">
        <v>-1821</v>
      </c>
      <c r="DN104" s="239">
        <v>0</v>
      </c>
      <c r="DO104" s="239">
        <v>-1821</v>
      </c>
      <c r="DP104" s="239">
        <v>0</v>
      </c>
      <c r="DQ104" s="239">
        <v>0</v>
      </c>
      <c r="DR104" s="239">
        <v>0</v>
      </c>
      <c r="DS104" s="239">
        <v>-12299</v>
      </c>
      <c r="DT104" s="239">
        <v>0</v>
      </c>
      <c r="DU104" s="239">
        <v>-12299</v>
      </c>
      <c r="DV104" s="239">
        <v>3646</v>
      </c>
      <c r="DW104" s="239">
        <v>0</v>
      </c>
      <c r="DX104" s="239">
        <v>3646</v>
      </c>
      <c r="DY104" s="239">
        <v>-1004350</v>
      </c>
      <c r="DZ104" s="239">
        <v>0</v>
      </c>
      <c r="EA104" s="239">
        <v>-1004350</v>
      </c>
      <c r="EB104" s="239">
        <v>-16675</v>
      </c>
      <c r="EC104" s="239">
        <v>0</v>
      </c>
      <c r="ED104" s="239">
        <v>-16675</v>
      </c>
      <c r="EE104" s="239">
        <v>0</v>
      </c>
      <c r="EF104" s="239">
        <v>0</v>
      </c>
      <c r="EG104" s="239">
        <v>0</v>
      </c>
      <c r="EH104" s="239">
        <v>0</v>
      </c>
      <c r="EI104" s="239">
        <v>0</v>
      </c>
      <c r="EJ104" s="239">
        <v>0</v>
      </c>
      <c r="EK104" s="239">
        <v>-23856</v>
      </c>
      <c r="EL104" s="239">
        <v>0</v>
      </c>
      <c r="EM104" s="239">
        <v>-23856</v>
      </c>
      <c r="EN104" s="239">
        <v>-1055355</v>
      </c>
      <c r="EO104" s="239">
        <v>0</v>
      </c>
      <c r="EP104" s="239">
        <v>-1055355</v>
      </c>
      <c r="EQ104" s="239">
        <v>-2785</v>
      </c>
      <c r="ER104" s="239">
        <v>0</v>
      </c>
      <c r="ES104" s="239">
        <v>-2785</v>
      </c>
      <c r="ET104" s="239">
        <v>0</v>
      </c>
      <c r="EU104" s="239">
        <v>0</v>
      </c>
      <c r="EV104" s="239">
        <v>0</v>
      </c>
      <c r="EW104" s="239">
        <v>-2785</v>
      </c>
      <c r="EX104" s="239">
        <v>0</v>
      </c>
      <c r="EY104" s="239">
        <v>-2785</v>
      </c>
      <c r="EZ104" s="239">
        <v>87895028</v>
      </c>
      <c r="FA104" s="239">
        <v>0</v>
      </c>
      <c r="FB104" s="239">
        <v>87895028</v>
      </c>
      <c r="FC104" s="239">
        <v>154712</v>
      </c>
      <c r="FD104" s="239">
        <v>0</v>
      </c>
      <c r="FE104" s="239">
        <v>154712</v>
      </c>
      <c r="FF104" s="239">
        <v>-6723094</v>
      </c>
      <c r="FG104" s="239">
        <v>0</v>
      </c>
      <c r="FH104" s="239">
        <v>-6723094</v>
      </c>
      <c r="FI104" s="239">
        <v>-2222039</v>
      </c>
      <c r="FJ104" s="239">
        <v>0</v>
      </c>
      <c r="FK104" s="239">
        <v>-2222039</v>
      </c>
      <c r="FL104" s="239">
        <v>-275173</v>
      </c>
      <c r="FM104" s="239">
        <v>0</v>
      </c>
      <c r="FN104" s="239">
        <v>-275173</v>
      </c>
      <c r="FO104" s="239">
        <v>-1055355</v>
      </c>
      <c r="FP104" s="239">
        <v>0</v>
      </c>
      <c r="FQ104" s="239">
        <v>-1055355</v>
      </c>
      <c r="FR104" s="239">
        <v>-2785</v>
      </c>
      <c r="FS104" s="239">
        <v>0</v>
      </c>
      <c r="FT104" s="239">
        <v>-2785</v>
      </c>
      <c r="FU104" s="239">
        <v>-10123734</v>
      </c>
      <c r="FV104" s="239">
        <v>0</v>
      </c>
      <c r="FW104" s="239">
        <v>-10123734</v>
      </c>
      <c r="FX104" s="239">
        <v>77771294</v>
      </c>
      <c r="FY104" s="239">
        <v>0</v>
      </c>
      <c r="FZ104" s="239">
        <v>77771294</v>
      </c>
      <c r="GA104" s="214" t="s">
        <v>1294</v>
      </c>
    </row>
    <row r="105" spans="1:183" s="214" customFormat="1" x14ac:dyDescent="0.2">
      <c r="B105" s="610" t="s">
        <v>293</v>
      </c>
      <c r="C105" s="610" t="s">
        <v>292</v>
      </c>
      <c r="D105" s="239">
        <v>0</v>
      </c>
      <c r="E105" s="239">
        <v>0</v>
      </c>
      <c r="F105" s="239">
        <v>0</v>
      </c>
      <c r="G105" s="239">
        <v>3556</v>
      </c>
      <c r="H105" s="239">
        <v>9710</v>
      </c>
      <c r="I105" s="239">
        <v>13266</v>
      </c>
      <c r="J105" s="239">
        <v>0</v>
      </c>
      <c r="K105" s="239">
        <v>0</v>
      </c>
      <c r="L105" s="239">
        <v>0</v>
      </c>
      <c r="M105" s="239">
        <v>10333</v>
      </c>
      <c r="N105" s="239">
        <v>0</v>
      </c>
      <c r="O105" s="239">
        <v>10333</v>
      </c>
      <c r="P105" s="239">
        <v>13889</v>
      </c>
      <c r="Q105" s="239">
        <v>9710</v>
      </c>
      <c r="R105" s="239">
        <v>23599</v>
      </c>
      <c r="S105" s="239">
        <v>-1743719</v>
      </c>
      <c r="T105" s="239">
        <v>0</v>
      </c>
      <c r="U105" s="239">
        <v>-1743719</v>
      </c>
      <c r="V105" s="239">
        <v>-8389</v>
      </c>
      <c r="W105" s="239">
        <v>0</v>
      </c>
      <c r="X105" s="239">
        <v>-8389</v>
      </c>
      <c r="Y105" s="239">
        <v>-24137</v>
      </c>
      <c r="Z105" s="239">
        <v>0</v>
      </c>
      <c r="AA105" s="239">
        <v>-24137</v>
      </c>
      <c r="AB105" s="239">
        <v>-14548</v>
      </c>
      <c r="AC105" s="239">
        <v>0</v>
      </c>
      <c r="AD105" s="239">
        <v>-14548</v>
      </c>
      <c r="AE105" s="239">
        <v>0</v>
      </c>
      <c r="AF105" s="239">
        <v>0</v>
      </c>
      <c r="AG105" s="239">
        <v>0</v>
      </c>
      <c r="AH105" s="239">
        <v>1210977</v>
      </c>
      <c r="AI105" s="239">
        <v>8062</v>
      </c>
      <c r="AJ105" s="239">
        <v>1219039</v>
      </c>
      <c r="AK105" s="239">
        <v>0</v>
      </c>
      <c r="AL105" s="239">
        <v>0</v>
      </c>
      <c r="AM105" s="239">
        <v>0</v>
      </c>
      <c r="AN105" s="239">
        <v>-2680439</v>
      </c>
      <c r="AO105" s="239">
        <v>-27963</v>
      </c>
      <c r="AP105" s="239">
        <v>-2708402</v>
      </c>
      <c r="AQ105" s="239">
        <v>4603</v>
      </c>
      <c r="AR105" s="239">
        <v>-9743</v>
      </c>
      <c r="AS105" s="239">
        <v>-5140</v>
      </c>
      <c r="AT105" s="239">
        <v>0</v>
      </c>
      <c r="AU105" s="239">
        <v>0</v>
      </c>
      <c r="AV105" s="239">
        <v>0</v>
      </c>
      <c r="AW105" s="239">
        <v>0</v>
      </c>
      <c r="AX105" s="239">
        <v>0</v>
      </c>
      <c r="AY105" s="239">
        <v>0</v>
      </c>
      <c r="AZ105" s="239">
        <v>0</v>
      </c>
      <c r="BA105" s="239">
        <v>0</v>
      </c>
      <c r="BB105" s="239">
        <v>0</v>
      </c>
      <c r="BC105" s="239">
        <v>0</v>
      </c>
      <c r="BD105" s="239">
        <v>0</v>
      </c>
      <c r="BE105" s="239">
        <v>0</v>
      </c>
      <c r="BF105" s="239">
        <v>-3232715</v>
      </c>
      <c r="BG105" s="239">
        <v>-29644</v>
      </c>
      <c r="BH105" s="239">
        <v>-3262359</v>
      </c>
      <c r="BI105" s="239">
        <v>-37002</v>
      </c>
      <c r="BJ105" s="239">
        <v>0</v>
      </c>
      <c r="BK105" s="239">
        <v>-37002</v>
      </c>
      <c r="BL105" s="239">
        <v>-4831</v>
      </c>
      <c r="BM105" s="239">
        <v>0</v>
      </c>
      <c r="BN105" s="239">
        <v>-4831</v>
      </c>
      <c r="BO105" s="239">
        <v>-1012362</v>
      </c>
      <c r="BP105" s="239">
        <v>-782</v>
      </c>
      <c r="BQ105" s="239">
        <v>-1013144</v>
      </c>
      <c r="BR105" s="239">
        <v>10544</v>
      </c>
      <c r="BS105" s="239">
        <v>0</v>
      </c>
      <c r="BT105" s="239">
        <v>10544</v>
      </c>
      <c r="BU105" s="239">
        <v>-1043651</v>
      </c>
      <c r="BV105" s="239">
        <v>-782</v>
      </c>
      <c r="BW105" s="239">
        <v>-1044433</v>
      </c>
      <c r="BX105" s="239">
        <v>-146407</v>
      </c>
      <c r="BY105" s="239">
        <v>-6991</v>
      </c>
      <c r="BZ105" s="239">
        <v>-153398</v>
      </c>
      <c r="CA105" s="239">
        <v>1151</v>
      </c>
      <c r="CB105" s="239">
        <v>-2436</v>
      </c>
      <c r="CC105" s="239">
        <v>-1285</v>
      </c>
      <c r="CD105" s="239">
        <v>-430287</v>
      </c>
      <c r="CE105" s="239">
        <v>-17536</v>
      </c>
      <c r="CF105" s="239">
        <v>-447823</v>
      </c>
      <c r="CG105" s="239">
        <v>-5865</v>
      </c>
      <c r="CH105" s="239">
        <v>0</v>
      </c>
      <c r="CI105" s="239">
        <v>-5865</v>
      </c>
      <c r="CJ105" s="239">
        <v>0</v>
      </c>
      <c r="CK105" s="239">
        <v>0</v>
      </c>
      <c r="CL105" s="239">
        <v>0</v>
      </c>
      <c r="CM105" s="239">
        <v>0</v>
      </c>
      <c r="CN105" s="239">
        <v>0</v>
      </c>
      <c r="CO105" s="239">
        <v>0</v>
      </c>
      <c r="CP105" s="239">
        <v>0</v>
      </c>
      <c r="CQ105" s="239">
        <v>0</v>
      </c>
      <c r="CR105" s="239">
        <v>0</v>
      </c>
      <c r="CS105" s="239">
        <v>0</v>
      </c>
      <c r="CT105" s="239">
        <v>0</v>
      </c>
      <c r="CU105" s="239">
        <v>0</v>
      </c>
      <c r="CV105" s="239">
        <v>0</v>
      </c>
      <c r="CW105" s="239">
        <v>0</v>
      </c>
      <c r="CX105" s="239">
        <v>0</v>
      </c>
      <c r="CY105" s="239">
        <v>0</v>
      </c>
      <c r="CZ105" s="239">
        <v>0</v>
      </c>
      <c r="DA105" s="239">
        <v>0</v>
      </c>
      <c r="DB105" s="239">
        <v>0</v>
      </c>
      <c r="DC105" s="239">
        <v>-248045</v>
      </c>
      <c r="DD105" s="239">
        <v>-248045</v>
      </c>
      <c r="DE105" s="239">
        <v>0</v>
      </c>
      <c r="DF105" s="239">
        <v>-24312</v>
      </c>
      <c r="DG105" s="239">
        <v>-24312</v>
      </c>
      <c r="DH105" s="239">
        <v>-272357</v>
      </c>
      <c r="DI105" s="239">
        <v>0</v>
      </c>
      <c r="DJ105" s="239">
        <v>-581408</v>
      </c>
      <c r="DK105" s="239">
        <v>-299320</v>
      </c>
      <c r="DL105" s="239">
        <v>-880728</v>
      </c>
      <c r="DM105" s="239">
        <v>-3352</v>
      </c>
      <c r="DN105" s="239">
        <v>-24139</v>
      </c>
      <c r="DO105" s="239">
        <v>-27491</v>
      </c>
      <c r="DP105" s="239">
        <v>0</v>
      </c>
      <c r="DQ105" s="239">
        <v>0</v>
      </c>
      <c r="DR105" s="239">
        <v>0</v>
      </c>
      <c r="DS105" s="239">
        <v>-36208</v>
      </c>
      <c r="DT105" s="239">
        <v>0</v>
      </c>
      <c r="DU105" s="239">
        <v>-36208</v>
      </c>
      <c r="DV105" s="239">
        <v>-737</v>
      </c>
      <c r="DW105" s="239">
        <v>0</v>
      </c>
      <c r="DX105" s="239">
        <v>-737</v>
      </c>
      <c r="DY105" s="239">
        <v>-524615</v>
      </c>
      <c r="DZ105" s="239">
        <v>0</v>
      </c>
      <c r="EA105" s="239">
        <v>-524615</v>
      </c>
      <c r="EB105" s="239">
        <v>-33531</v>
      </c>
      <c r="EC105" s="239">
        <v>0</v>
      </c>
      <c r="ED105" s="239">
        <v>-33531</v>
      </c>
      <c r="EE105" s="239">
        <v>0</v>
      </c>
      <c r="EF105" s="239">
        <v>0</v>
      </c>
      <c r="EG105" s="239">
        <v>0</v>
      </c>
      <c r="EH105" s="239">
        <v>0</v>
      </c>
      <c r="EI105" s="239">
        <v>0</v>
      </c>
      <c r="EJ105" s="239">
        <v>0</v>
      </c>
      <c r="EK105" s="239">
        <v>-9951</v>
      </c>
      <c r="EL105" s="239">
        <v>0</v>
      </c>
      <c r="EM105" s="239">
        <v>-9951</v>
      </c>
      <c r="EN105" s="239">
        <v>-608394</v>
      </c>
      <c r="EO105" s="239">
        <v>-24139</v>
      </c>
      <c r="EP105" s="239">
        <v>-632533</v>
      </c>
      <c r="EQ105" s="239">
        <v>0</v>
      </c>
      <c r="ER105" s="239">
        <v>0</v>
      </c>
      <c r="ES105" s="239">
        <v>0</v>
      </c>
      <c r="ET105" s="239">
        <v>0</v>
      </c>
      <c r="EU105" s="239">
        <v>0</v>
      </c>
      <c r="EV105" s="239">
        <v>0</v>
      </c>
      <c r="EW105" s="239">
        <v>0</v>
      </c>
      <c r="EX105" s="239">
        <v>0</v>
      </c>
      <c r="EY105" s="239">
        <v>0</v>
      </c>
      <c r="EZ105" s="239">
        <v>46965399</v>
      </c>
      <c r="FA105" s="239">
        <v>458454</v>
      </c>
      <c r="FB105" s="239">
        <v>47423853</v>
      </c>
      <c r="FC105" s="239">
        <v>13889</v>
      </c>
      <c r="FD105" s="239">
        <v>9710</v>
      </c>
      <c r="FE105" s="239">
        <v>23599</v>
      </c>
      <c r="FF105" s="239">
        <v>-3232715</v>
      </c>
      <c r="FG105" s="239">
        <v>-29644</v>
      </c>
      <c r="FH105" s="239">
        <v>-3262359</v>
      </c>
      <c r="FI105" s="239">
        <v>-1043651</v>
      </c>
      <c r="FJ105" s="239">
        <v>-782</v>
      </c>
      <c r="FK105" s="239">
        <v>-1044433</v>
      </c>
      <c r="FL105" s="239">
        <v>-581408</v>
      </c>
      <c r="FM105" s="239">
        <v>-299320</v>
      </c>
      <c r="FN105" s="239">
        <v>-880728</v>
      </c>
      <c r="FO105" s="239">
        <v>-608394</v>
      </c>
      <c r="FP105" s="239">
        <v>-24139</v>
      </c>
      <c r="FQ105" s="239">
        <v>-632533</v>
      </c>
      <c r="FR105" s="239">
        <v>0</v>
      </c>
      <c r="FS105" s="239">
        <v>0</v>
      </c>
      <c r="FT105" s="239">
        <v>0</v>
      </c>
      <c r="FU105" s="239">
        <v>-5452279</v>
      </c>
      <c r="FV105" s="239">
        <v>-344175</v>
      </c>
      <c r="FW105" s="239">
        <v>-5796454</v>
      </c>
      <c r="FX105" s="239">
        <v>41513120</v>
      </c>
      <c r="FY105" s="239">
        <v>114279</v>
      </c>
      <c r="FZ105" s="239">
        <v>41627399</v>
      </c>
      <c r="GA105" s="214" t="s">
        <v>1294</v>
      </c>
    </row>
    <row r="106" spans="1:183" s="214" customFormat="1" x14ac:dyDescent="0.2">
      <c r="B106" s="610" t="s">
        <v>295</v>
      </c>
      <c r="C106" s="610" t="s">
        <v>294</v>
      </c>
      <c r="D106" s="239">
        <v>0</v>
      </c>
      <c r="E106" s="239">
        <v>0</v>
      </c>
      <c r="F106" s="239">
        <v>0</v>
      </c>
      <c r="G106" s="239">
        <v>-19438</v>
      </c>
      <c r="H106" s="239">
        <v>0</v>
      </c>
      <c r="I106" s="239">
        <v>-19438</v>
      </c>
      <c r="J106" s="239">
        <v>0</v>
      </c>
      <c r="K106" s="239">
        <v>0</v>
      </c>
      <c r="L106" s="239">
        <v>0</v>
      </c>
      <c r="M106" s="239">
        <v>31708</v>
      </c>
      <c r="N106" s="239">
        <v>0</v>
      </c>
      <c r="O106" s="239">
        <v>31708</v>
      </c>
      <c r="P106" s="239">
        <v>12270</v>
      </c>
      <c r="Q106" s="239">
        <v>0</v>
      </c>
      <c r="R106" s="239">
        <v>12270</v>
      </c>
      <c r="S106" s="239">
        <v>-2422739</v>
      </c>
      <c r="T106" s="239">
        <v>0</v>
      </c>
      <c r="U106" s="239">
        <v>-2422739</v>
      </c>
      <c r="V106" s="239">
        <v>-1188</v>
      </c>
      <c r="W106" s="239">
        <v>0</v>
      </c>
      <c r="X106" s="239">
        <v>-1188</v>
      </c>
      <c r="Y106" s="239">
        <v>-98088</v>
      </c>
      <c r="Z106" s="239">
        <v>0</v>
      </c>
      <c r="AA106" s="239">
        <v>-98088</v>
      </c>
      <c r="AB106" s="239">
        <v>-98088</v>
      </c>
      <c r="AC106" s="239">
        <v>0</v>
      </c>
      <c r="AD106" s="239">
        <v>-98088</v>
      </c>
      <c r="AE106" s="239">
        <v>0</v>
      </c>
      <c r="AF106" s="239">
        <v>0</v>
      </c>
      <c r="AG106" s="239">
        <v>0</v>
      </c>
      <c r="AH106" s="239">
        <v>693844</v>
      </c>
      <c r="AI106" s="239">
        <v>0</v>
      </c>
      <c r="AJ106" s="239">
        <v>693844</v>
      </c>
      <c r="AK106" s="239">
        <v>-5572</v>
      </c>
      <c r="AL106" s="239">
        <v>0</v>
      </c>
      <c r="AM106" s="239">
        <v>-5572</v>
      </c>
      <c r="AN106" s="239">
        <v>-1926714</v>
      </c>
      <c r="AO106" s="239">
        <v>0</v>
      </c>
      <c r="AP106" s="239">
        <v>-1926714</v>
      </c>
      <c r="AQ106" s="239">
        <v>1725</v>
      </c>
      <c r="AR106" s="239">
        <v>0</v>
      </c>
      <c r="AS106" s="239">
        <v>1725</v>
      </c>
      <c r="AT106" s="239">
        <v>-33268</v>
      </c>
      <c r="AU106" s="239">
        <v>0</v>
      </c>
      <c r="AV106" s="239">
        <v>-33268</v>
      </c>
      <c r="AW106" s="239">
        <v>0</v>
      </c>
      <c r="AX106" s="239">
        <v>0</v>
      </c>
      <c r="AY106" s="239">
        <v>0</v>
      </c>
      <c r="AZ106" s="239">
        <v>-31708</v>
      </c>
      <c r="BA106" s="239">
        <v>0</v>
      </c>
      <c r="BB106" s="239">
        <v>-31708</v>
      </c>
      <c r="BC106" s="239">
        <v>25</v>
      </c>
      <c r="BD106" s="239">
        <v>0</v>
      </c>
      <c r="BE106" s="239">
        <v>25</v>
      </c>
      <c r="BF106" s="239">
        <v>-3822495</v>
      </c>
      <c r="BG106" s="239">
        <v>0</v>
      </c>
      <c r="BH106" s="239">
        <v>-3822495</v>
      </c>
      <c r="BI106" s="239">
        <v>-23385</v>
      </c>
      <c r="BJ106" s="239">
        <v>0</v>
      </c>
      <c r="BK106" s="239">
        <v>-23385</v>
      </c>
      <c r="BL106" s="239">
        <v>0</v>
      </c>
      <c r="BM106" s="239">
        <v>0</v>
      </c>
      <c r="BN106" s="239">
        <v>0</v>
      </c>
      <c r="BO106" s="239">
        <v>-684577</v>
      </c>
      <c r="BP106" s="239">
        <v>0</v>
      </c>
      <c r="BQ106" s="239">
        <v>-684577</v>
      </c>
      <c r="BR106" s="239">
        <v>25296</v>
      </c>
      <c r="BS106" s="239">
        <v>0</v>
      </c>
      <c r="BT106" s="239">
        <v>25296</v>
      </c>
      <c r="BU106" s="239">
        <v>-682666</v>
      </c>
      <c r="BV106" s="239">
        <v>0</v>
      </c>
      <c r="BW106" s="239">
        <v>-682666</v>
      </c>
      <c r="BX106" s="239">
        <v>-28212</v>
      </c>
      <c r="BY106" s="239">
        <v>0</v>
      </c>
      <c r="BZ106" s="239">
        <v>-28212</v>
      </c>
      <c r="CA106" s="239">
        <v>26</v>
      </c>
      <c r="CB106" s="239">
        <v>0</v>
      </c>
      <c r="CC106" s="239">
        <v>26</v>
      </c>
      <c r="CD106" s="239">
        <v>-70075</v>
      </c>
      <c r="CE106" s="239">
        <v>0</v>
      </c>
      <c r="CF106" s="239">
        <v>-70075</v>
      </c>
      <c r="CG106" s="239">
        <v>160</v>
      </c>
      <c r="CH106" s="239">
        <v>0</v>
      </c>
      <c r="CI106" s="239">
        <v>160</v>
      </c>
      <c r="CJ106" s="239">
        <v>-907</v>
      </c>
      <c r="CK106" s="239">
        <v>0</v>
      </c>
      <c r="CL106" s="239">
        <v>-907</v>
      </c>
      <c r="CM106" s="239">
        <v>0</v>
      </c>
      <c r="CN106" s="239">
        <v>0</v>
      </c>
      <c r="CO106" s="239">
        <v>0</v>
      </c>
      <c r="CP106" s="239">
        <v>-29311</v>
      </c>
      <c r="CQ106" s="239">
        <v>0</v>
      </c>
      <c r="CR106" s="239">
        <v>-29311</v>
      </c>
      <c r="CS106" s="239">
        <v>25</v>
      </c>
      <c r="CT106" s="239">
        <v>0</v>
      </c>
      <c r="CU106" s="239">
        <v>25</v>
      </c>
      <c r="CV106" s="239">
        <v>-22698</v>
      </c>
      <c r="CW106" s="239">
        <v>0</v>
      </c>
      <c r="CX106" s="239">
        <v>-22698</v>
      </c>
      <c r="CY106" s="239">
        <v>0</v>
      </c>
      <c r="CZ106" s="239">
        <v>0</v>
      </c>
      <c r="DA106" s="239">
        <v>0</v>
      </c>
      <c r="DB106" s="239">
        <v>0</v>
      </c>
      <c r="DC106" s="239">
        <v>0</v>
      </c>
      <c r="DD106" s="239">
        <v>0</v>
      </c>
      <c r="DE106" s="239">
        <v>0</v>
      </c>
      <c r="DF106" s="239">
        <v>0</v>
      </c>
      <c r="DG106" s="239">
        <v>0</v>
      </c>
      <c r="DH106" s="239">
        <v>0</v>
      </c>
      <c r="DI106" s="239">
        <v>0</v>
      </c>
      <c r="DJ106" s="239">
        <v>-150992</v>
      </c>
      <c r="DK106" s="239">
        <v>0</v>
      </c>
      <c r="DL106" s="239">
        <v>-150992</v>
      </c>
      <c r="DM106" s="239">
        <v>0</v>
      </c>
      <c r="DN106" s="239">
        <v>0</v>
      </c>
      <c r="DO106" s="239">
        <v>0</v>
      </c>
      <c r="DP106" s="239">
        <v>0</v>
      </c>
      <c r="DQ106" s="239">
        <v>0</v>
      </c>
      <c r="DR106" s="239">
        <v>0</v>
      </c>
      <c r="DS106" s="239">
        <v>-688</v>
      </c>
      <c r="DT106" s="239">
        <v>0</v>
      </c>
      <c r="DU106" s="239">
        <v>-688</v>
      </c>
      <c r="DV106" s="239">
        <v>0</v>
      </c>
      <c r="DW106" s="239">
        <v>0</v>
      </c>
      <c r="DX106" s="239">
        <v>0</v>
      </c>
      <c r="DY106" s="239">
        <v>-454686</v>
      </c>
      <c r="DZ106" s="239">
        <v>0</v>
      </c>
      <c r="EA106" s="239">
        <v>-454686</v>
      </c>
      <c r="EB106" s="239">
        <v>-1855</v>
      </c>
      <c r="EC106" s="239">
        <v>0</v>
      </c>
      <c r="ED106" s="239">
        <v>-1855</v>
      </c>
      <c r="EE106" s="239">
        <v>0</v>
      </c>
      <c r="EF106" s="239">
        <v>0</v>
      </c>
      <c r="EG106" s="239">
        <v>0</v>
      </c>
      <c r="EH106" s="239">
        <v>0</v>
      </c>
      <c r="EI106" s="239">
        <v>0</v>
      </c>
      <c r="EJ106" s="239">
        <v>0</v>
      </c>
      <c r="EK106" s="239">
        <v>-14787</v>
      </c>
      <c r="EL106" s="239">
        <v>0</v>
      </c>
      <c r="EM106" s="239">
        <v>-14787</v>
      </c>
      <c r="EN106" s="239">
        <v>-472016</v>
      </c>
      <c r="EO106" s="239">
        <v>0</v>
      </c>
      <c r="EP106" s="239">
        <v>-472016</v>
      </c>
      <c r="EQ106" s="239">
        <v>0</v>
      </c>
      <c r="ER106" s="239">
        <v>0</v>
      </c>
      <c r="ES106" s="239">
        <v>0</v>
      </c>
      <c r="ET106" s="239">
        <v>0</v>
      </c>
      <c r="EU106" s="239">
        <v>0</v>
      </c>
      <c r="EV106" s="239">
        <v>0</v>
      </c>
      <c r="EW106" s="239">
        <v>0</v>
      </c>
      <c r="EX106" s="239">
        <v>0</v>
      </c>
      <c r="EY106" s="239">
        <v>0</v>
      </c>
      <c r="EZ106" s="239">
        <v>31248028</v>
      </c>
      <c r="FA106" s="239">
        <v>0</v>
      </c>
      <c r="FB106" s="239">
        <v>31248028</v>
      </c>
      <c r="FC106" s="239">
        <v>12270</v>
      </c>
      <c r="FD106" s="239">
        <v>0</v>
      </c>
      <c r="FE106" s="239">
        <v>12270</v>
      </c>
      <c r="FF106" s="239">
        <v>-3822495</v>
      </c>
      <c r="FG106" s="239">
        <v>0</v>
      </c>
      <c r="FH106" s="239">
        <v>-3822495</v>
      </c>
      <c r="FI106" s="239">
        <v>-682666</v>
      </c>
      <c r="FJ106" s="239">
        <v>0</v>
      </c>
      <c r="FK106" s="239">
        <v>-682666</v>
      </c>
      <c r="FL106" s="239">
        <v>-150992</v>
      </c>
      <c r="FM106" s="239">
        <v>0</v>
      </c>
      <c r="FN106" s="239">
        <v>-150992</v>
      </c>
      <c r="FO106" s="239">
        <v>-472016</v>
      </c>
      <c r="FP106" s="239">
        <v>0</v>
      </c>
      <c r="FQ106" s="239">
        <v>-472016</v>
      </c>
      <c r="FR106" s="239">
        <v>0</v>
      </c>
      <c r="FS106" s="239">
        <v>0</v>
      </c>
      <c r="FT106" s="239">
        <v>0</v>
      </c>
      <c r="FU106" s="239">
        <v>-5115899</v>
      </c>
      <c r="FV106" s="239">
        <v>0</v>
      </c>
      <c r="FW106" s="239">
        <v>-5115899</v>
      </c>
      <c r="FX106" s="239">
        <v>26132129</v>
      </c>
      <c r="FY106" s="239">
        <v>0</v>
      </c>
      <c r="FZ106" s="239">
        <v>26132129</v>
      </c>
      <c r="GA106" s="214" t="s">
        <v>1294</v>
      </c>
    </row>
    <row r="107" spans="1:183" s="214" customFormat="1" x14ac:dyDescent="0.2">
      <c r="B107" s="610" t="s">
        <v>297</v>
      </c>
      <c r="C107" s="610" t="s">
        <v>296</v>
      </c>
      <c r="D107" s="239">
        <v>0</v>
      </c>
      <c r="E107" s="239">
        <v>0</v>
      </c>
      <c r="F107" s="239">
        <v>0</v>
      </c>
      <c r="G107" s="239">
        <v>1516</v>
      </c>
      <c r="H107" s="239">
        <v>0</v>
      </c>
      <c r="I107" s="239">
        <v>1516</v>
      </c>
      <c r="J107" s="239">
        <v>0</v>
      </c>
      <c r="K107" s="239">
        <v>0</v>
      </c>
      <c r="L107" s="239">
        <v>0</v>
      </c>
      <c r="M107" s="239">
        <v>20163</v>
      </c>
      <c r="N107" s="239">
        <v>0</v>
      </c>
      <c r="O107" s="239">
        <v>20163</v>
      </c>
      <c r="P107" s="239">
        <v>21679</v>
      </c>
      <c r="Q107" s="239">
        <v>0</v>
      </c>
      <c r="R107" s="239">
        <v>21679</v>
      </c>
      <c r="S107" s="239">
        <v>-1411435</v>
      </c>
      <c r="T107" s="239">
        <v>0</v>
      </c>
      <c r="U107" s="239">
        <v>-1411435</v>
      </c>
      <c r="V107" s="239">
        <v>-4581</v>
      </c>
      <c r="W107" s="239">
        <v>0</v>
      </c>
      <c r="X107" s="239">
        <v>-4581</v>
      </c>
      <c r="Y107" s="239">
        <v>-39908</v>
      </c>
      <c r="Z107" s="239">
        <v>0</v>
      </c>
      <c r="AA107" s="239">
        <v>-39908</v>
      </c>
      <c r="AB107" s="239">
        <v>-39908</v>
      </c>
      <c r="AC107" s="239">
        <v>0</v>
      </c>
      <c r="AD107" s="239">
        <v>-39908</v>
      </c>
      <c r="AE107" s="239">
        <v>0</v>
      </c>
      <c r="AF107" s="239">
        <v>0</v>
      </c>
      <c r="AG107" s="239">
        <v>0</v>
      </c>
      <c r="AH107" s="239">
        <v>582447</v>
      </c>
      <c r="AI107" s="239">
        <v>0</v>
      </c>
      <c r="AJ107" s="239">
        <v>582447</v>
      </c>
      <c r="AK107" s="239">
        <v>-3353</v>
      </c>
      <c r="AL107" s="239">
        <v>0</v>
      </c>
      <c r="AM107" s="239">
        <v>-3353</v>
      </c>
      <c r="AN107" s="239">
        <v>-1102364</v>
      </c>
      <c r="AO107" s="239">
        <v>0</v>
      </c>
      <c r="AP107" s="239">
        <v>-1102364</v>
      </c>
      <c r="AQ107" s="239">
        <v>-10991</v>
      </c>
      <c r="AR107" s="239">
        <v>0</v>
      </c>
      <c r="AS107" s="239">
        <v>-10991</v>
      </c>
      <c r="AT107" s="239">
        <v>-10844</v>
      </c>
      <c r="AU107" s="239">
        <v>0</v>
      </c>
      <c r="AV107" s="239">
        <v>-10844</v>
      </c>
      <c r="AW107" s="239">
        <v>0</v>
      </c>
      <c r="AX107" s="239">
        <v>0</v>
      </c>
      <c r="AY107" s="239">
        <v>0</v>
      </c>
      <c r="AZ107" s="239">
        <v>-16074</v>
      </c>
      <c r="BA107" s="239">
        <v>0</v>
      </c>
      <c r="BB107" s="239">
        <v>-16074</v>
      </c>
      <c r="BC107" s="239">
        <v>3688</v>
      </c>
      <c r="BD107" s="239">
        <v>0</v>
      </c>
      <c r="BE107" s="239">
        <v>3688</v>
      </c>
      <c r="BF107" s="239">
        <v>-2008834</v>
      </c>
      <c r="BG107" s="239">
        <v>0</v>
      </c>
      <c r="BH107" s="239">
        <v>-2008834</v>
      </c>
      <c r="BI107" s="239">
        <v>-15862</v>
      </c>
      <c r="BJ107" s="239">
        <v>0</v>
      </c>
      <c r="BK107" s="239">
        <v>-15862</v>
      </c>
      <c r="BL107" s="239">
        <v>-1244</v>
      </c>
      <c r="BM107" s="239">
        <v>0</v>
      </c>
      <c r="BN107" s="239">
        <v>-1244</v>
      </c>
      <c r="BO107" s="239">
        <v>-442723</v>
      </c>
      <c r="BP107" s="239">
        <v>0</v>
      </c>
      <c r="BQ107" s="239">
        <v>-442723</v>
      </c>
      <c r="BR107" s="239">
        <v>-49379</v>
      </c>
      <c r="BS107" s="239">
        <v>0</v>
      </c>
      <c r="BT107" s="239">
        <v>-49379</v>
      </c>
      <c r="BU107" s="239">
        <v>-509208</v>
      </c>
      <c r="BV107" s="239">
        <v>0</v>
      </c>
      <c r="BW107" s="239">
        <v>-509208</v>
      </c>
      <c r="BX107" s="239">
        <v>-15073</v>
      </c>
      <c r="BY107" s="239">
        <v>0</v>
      </c>
      <c r="BZ107" s="239">
        <v>-15073</v>
      </c>
      <c r="CA107" s="239">
        <v>-56</v>
      </c>
      <c r="CB107" s="239">
        <v>0</v>
      </c>
      <c r="CC107" s="239">
        <v>-56</v>
      </c>
      <c r="CD107" s="239">
        <v>-631</v>
      </c>
      <c r="CE107" s="239">
        <v>0</v>
      </c>
      <c r="CF107" s="239">
        <v>-631</v>
      </c>
      <c r="CG107" s="239">
        <v>0</v>
      </c>
      <c r="CH107" s="239">
        <v>0</v>
      </c>
      <c r="CI107" s="239">
        <v>0</v>
      </c>
      <c r="CJ107" s="239">
        <v>-574</v>
      </c>
      <c r="CK107" s="239">
        <v>0</v>
      </c>
      <c r="CL107" s="239">
        <v>-574</v>
      </c>
      <c r="CM107" s="239">
        <v>0</v>
      </c>
      <c r="CN107" s="239">
        <v>0</v>
      </c>
      <c r="CO107" s="239">
        <v>0</v>
      </c>
      <c r="CP107" s="239">
        <v>-3951</v>
      </c>
      <c r="CQ107" s="239">
        <v>0</v>
      </c>
      <c r="CR107" s="239">
        <v>-3951</v>
      </c>
      <c r="CS107" s="239">
        <v>0</v>
      </c>
      <c r="CT107" s="239">
        <v>0</v>
      </c>
      <c r="CU107" s="239">
        <v>0</v>
      </c>
      <c r="CV107" s="239">
        <v>0</v>
      </c>
      <c r="CW107" s="239">
        <v>0</v>
      </c>
      <c r="CX107" s="239">
        <v>0</v>
      </c>
      <c r="CY107" s="239">
        <v>0</v>
      </c>
      <c r="CZ107" s="239">
        <v>0</v>
      </c>
      <c r="DA107" s="239">
        <v>0</v>
      </c>
      <c r="DB107" s="239">
        <v>0</v>
      </c>
      <c r="DC107" s="239">
        <v>0</v>
      </c>
      <c r="DD107" s="239">
        <v>0</v>
      </c>
      <c r="DE107" s="239">
        <v>0</v>
      </c>
      <c r="DF107" s="239">
        <v>0</v>
      </c>
      <c r="DG107" s="239">
        <v>0</v>
      </c>
      <c r="DH107" s="239">
        <v>0</v>
      </c>
      <c r="DI107" s="239">
        <v>0</v>
      </c>
      <c r="DJ107" s="239">
        <v>-20285</v>
      </c>
      <c r="DK107" s="239">
        <v>0</v>
      </c>
      <c r="DL107" s="239">
        <v>-20285</v>
      </c>
      <c r="DM107" s="239">
        <v>0</v>
      </c>
      <c r="DN107" s="239">
        <v>0</v>
      </c>
      <c r="DO107" s="239">
        <v>0</v>
      </c>
      <c r="DP107" s="239">
        <v>0</v>
      </c>
      <c r="DQ107" s="239">
        <v>0</v>
      </c>
      <c r="DR107" s="239">
        <v>0</v>
      </c>
      <c r="DS107" s="239">
        <v>-7166</v>
      </c>
      <c r="DT107" s="239">
        <v>0</v>
      </c>
      <c r="DU107" s="239">
        <v>-7166</v>
      </c>
      <c r="DV107" s="239">
        <v>0</v>
      </c>
      <c r="DW107" s="239">
        <v>0</v>
      </c>
      <c r="DX107" s="239">
        <v>0</v>
      </c>
      <c r="DY107" s="239">
        <v>-339184</v>
      </c>
      <c r="DZ107" s="239">
        <v>0</v>
      </c>
      <c r="EA107" s="239">
        <v>-339184</v>
      </c>
      <c r="EB107" s="239">
        <v>948</v>
      </c>
      <c r="EC107" s="239">
        <v>0</v>
      </c>
      <c r="ED107" s="239">
        <v>948</v>
      </c>
      <c r="EE107" s="239">
        <v>0</v>
      </c>
      <c r="EF107" s="239">
        <v>0</v>
      </c>
      <c r="EG107" s="239">
        <v>0</v>
      </c>
      <c r="EH107" s="239">
        <v>0</v>
      </c>
      <c r="EI107" s="239">
        <v>0</v>
      </c>
      <c r="EJ107" s="239">
        <v>0</v>
      </c>
      <c r="EK107" s="239">
        <v>-2169</v>
      </c>
      <c r="EL107" s="239">
        <v>0</v>
      </c>
      <c r="EM107" s="239">
        <v>-2169</v>
      </c>
      <c r="EN107" s="239">
        <v>-347571</v>
      </c>
      <c r="EO107" s="239">
        <v>0</v>
      </c>
      <c r="EP107" s="239">
        <v>-347571</v>
      </c>
      <c r="EQ107" s="239">
        <v>0</v>
      </c>
      <c r="ER107" s="239">
        <v>0</v>
      </c>
      <c r="ES107" s="239">
        <v>0</v>
      </c>
      <c r="ET107" s="239">
        <v>0</v>
      </c>
      <c r="EU107" s="239">
        <v>0</v>
      </c>
      <c r="EV107" s="239">
        <v>0</v>
      </c>
      <c r="EW107" s="239">
        <v>0</v>
      </c>
      <c r="EX107" s="239">
        <v>0</v>
      </c>
      <c r="EY107" s="239">
        <v>0</v>
      </c>
      <c r="EZ107" s="239">
        <v>25528224</v>
      </c>
      <c r="FA107" s="239">
        <v>0</v>
      </c>
      <c r="FB107" s="239">
        <v>25528224</v>
      </c>
      <c r="FC107" s="239">
        <v>21679</v>
      </c>
      <c r="FD107" s="239">
        <v>0</v>
      </c>
      <c r="FE107" s="239">
        <v>21679</v>
      </c>
      <c r="FF107" s="239">
        <v>-2008834</v>
      </c>
      <c r="FG107" s="239">
        <v>0</v>
      </c>
      <c r="FH107" s="239">
        <v>-2008834</v>
      </c>
      <c r="FI107" s="239">
        <v>-509208</v>
      </c>
      <c r="FJ107" s="239">
        <v>0</v>
      </c>
      <c r="FK107" s="239">
        <v>-509208</v>
      </c>
      <c r="FL107" s="239">
        <v>-20285</v>
      </c>
      <c r="FM107" s="239">
        <v>0</v>
      </c>
      <c r="FN107" s="239">
        <v>-20285</v>
      </c>
      <c r="FO107" s="239">
        <v>-347571</v>
      </c>
      <c r="FP107" s="239">
        <v>0</v>
      </c>
      <c r="FQ107" s="239">
        <v>-347571</v>
      </c>
      <c r="FR107" s="239">
        <v>0</v>
      </c>
      <c r="FS107" s="239">
        <v>0</v>
      </c>
      <c r="FT107" s="239">
        <v>0</v>
      </c>
      <c r="FU107" s="239">
        <v>-2864219</v>
      </c>
      <c r="FV107" s="239">
        <v>0</v>
      </c>
      <c r="FW107" s="239">
        <v>-2864219</v>
      </c>
      <c r="FX107" s="239">
        <v>22664005</v>
      </c>
      <c r="FY107" s="239">
        <v>0</v>
      </c>
      <c r="FZ107" s="239">
        <v>22664005</v>
      </c>
      <c r="GA107" s="214" t="s">
        <v>1294</v>
      </c>
    </row>
    <row r="108" spans="1:183" s="214" customFormat="1" x14ac:dyDescent="0.2">
      <c r="B108" s="610" t="s">
        <v>299</v>
      </c>
      <c r="C108" s="610" t="s">
        <v>298</v>
      </c>
      <c r="D108" s="239">
        <v>0</v>
      </c>
      <c r="E108" s="239">
        <v>0</v>
      </c>
      <c r="F108" s="239">
        <v>0</v>
      </c>
      <c r="G108" s="239">
        <v>-36942</v>
      </c>
      <c r="H108" s="239">
        <v>0</v>
      </c>
      <c r="I108" s="239">
        <v>-36942</v>
      </c>
      <c r="J108" s="239">
        <v>0</v>
      </c>
      <c r="K108" s="239">
        <v>0</v>
      </c>
      <c r="L108" s="239">
        <v>0</v>
      </c>
      <c r="M108" s="239">
        <v>1248</v>
      </c>
      <c r="N108" s="239">
        <v>0</v>
      </c>
      <c r="O108" s="239">
        <v>1248</v>
      </c>
      <c r="P108" s="239">
        <v>-35694</v>
      </c>
      <c r="Q108" s="239">
        <v>0</v>
      </c>
      <c r="R108" s="239">
        <v>-35694</v>
      </c>
      <c r="S108" s="239">
        <v>-2388842</v>
      </c>
      <c r="T108" s="239">
        <v>0</v>
      </c>
      <c r="U108" s="239">
        <v>-2388842</v>
      </c>
      <c r="V108" s="239">
        <v>-1583</v>
      </c>
      <c r="W108" s="239">
        <v>0</v>
      </c>
      <c r="X108" s="239">
        <v>-1583</v>
      </c>
      <c r="Y108" s="239">
        <v>-146317</v>
      </c>
      <c r="Z108" s="239">
        <v>0</v>
      </c>
      <c r="AA108" s="239">
        <v>-146317</v>
      </c>
      <c r="AB108" s="239">
        <v>-97376</v>
      </c>
      <c r="AC108" s="239">
        <v>0</v>
      </c>
      <c r="AD108" s="239">
        <v>-97376</v>
      </c>
      <c r="AE108" s="239">
        <v>-1892</v>
      </c>
      <c r="AF108" s="239">
        <v>0</v>
      </c>
      <c r="AG108" s="239">
        <v>-1892</v>
      </c>
      <c r="AH108" s="239">
        <v>314930</v>
      </c>
      <c r="AI108" s="239">
        <v>0</v>
      </c>
      <c r="AJ108" s="239">
        <v>314930</v>
      </c>
      <c r="AK108" s="239">
        <v>-7319</v>
      </c>
      <c r="AL108" s="239">
        <v>0</v>
      </c>
      <c r="AM108" s="239">
        <v>-7319</v>
      </c>
      <c r="AN108" s="239">
        <v>-1529738</v>
      </c>
      <c r="AO108" s="239">
        <v>0</v>
      </c>
      <c r="AP108" s="239">
        <v>-1529738</v>
      </c>
      <c r="AQ108" s="239">
        <v>3081</v>
      </c>
      <c r="AR108" s="239">
        <v>0</v>
      </c>
      <c r="AS108" s="239">
        <v>3081</v>
      </c>
      <c r="AT108" s="239">
        <v>-5700</v>
      </c>
      <c r="AU108" s="239">
        <v>0</v>
      </c>
      <c r="AV108" s="239">
        <v>-5700</v>
      </c>
      <c r="AW108" s="239">
        <v>0</v>
      </c>
      <c r="AX108" s="239">
        <v>0</v>
      </c>
      <c r="AY108" s="239">
        <v>0</v>
      </c>
      <c r="AZ108" s="239">
        <v>-46589</v>
      </c>
      <c r="BA108" s="239">
        <v>0</v>
      </c>
      <c r="BB108" s="239">
        <v>-46589</v>
      </c>
      <c r="BC108" s="239">
        <v>-814</v>
      </c>
      <c r="BD108" s="239">
        <v>0</v>
      </c>
      <c r="BE108" s="239">
        <v>-814</v>
      </c>
      <c r="BF108" s="239">
        <v>-3807308</v>
      </c>
      <c r="BG108" s="239">
        <v>0</v>
      </c>
      <c r="BH108" s="239">
        <v>-3807308</v>
      </c>
      <c r="BI108" s="239">
        <v>-3013</v>
      </c>
      <c r="BJ108" s="239">
        <v>0</v>
      </c>
      <c r="BK108" s="239">
        <v>-3013</v>
      </c>
      <c r="BL108" s="239">
        <v>0</v>
      </c>
      <c r="BM108" s="239">
        <v>0</v>
      </c>
      <c r="BN108" s="239">
        <v>0</v>
      </c>
      <c r="BO108" s="239">
        <v>-362615</v>
      </c>
      <c r="BP108" s="239">
        <v>0</v>
      </c>
      <c r="BQ108" s="239">
        <v>-362615</v>
      </c>
      <c r="BR108" s="239">
        <v>25814</v>
      </c>
      <c r="BS108" s="239">
        <v>0</v>
      </c>
      <c r="BT108" s="239">
        <v>25814</v>
      </c>
      <c r="BU108" s="239">
        <v>-339814</v>
      </c>
      <c r="BV108" s="239">
        <v>0</v>
      </c>
      <c r="BW108" s="239">
        <v>-339814</v>
      </c>
      <c r="BX108" s="239">
        <v>-57426</v>
      </c>
      <c r="BY108" s="239">
        <v>0</v>
      </c>
      <c r="BZ108" s="239">
        <v>-57426</v>
      </c>
      <c r="CA108" s="239">
        <v>1796</v>
      </c>
      <c r="CB108" s="239">
        <v>0</v>
      </c>
      <c r="CC108" s="239">
        <v>1796</v>
      </c>
      <c r="CD108" s="239">
        <v>-47171</v>
      </c>
      <c r="CE108" s="239">
        <v>0</v>
      </c>
      <c r="CF108" s="239">
        <v>-47171</v>
      </c>
      <c r="CG108" s="239">
        <v>2278</v>
      </c>
      <c r="CH108" s="239">
        <v>0</v>
      </c>
      <c r="CI108" s="239">
        <v>2278</v>
      </c>
      <c r="CJ108" s="239">
        <v>-685</v>
      </c>
      <c r="CK108" s="239">
        <v>0</v>
      </c>
      <c r="CL108" s="239">
        <v>-685</v>
      </c>
      <c r="CM108" s="239">
        <v>0</v>
      </c>
      <c r="CN108" s="239">
        <v>0</v>
      </c>
      <c r="CO108" s="239">
        <v>0</v>
      </c>
      <c r="CP108" s="239">
        <v>-36288</v>
      </c>
      <c r="CQ108" s="239">
        <v>0</v>
      </c>
      <c r="CR108" s="239">
        <v>-36288</v>
      </c>
      <c r="CS108" s="239">
        <v>23</v>
      </c>
      <c r="CT108" s="239">
        <v>0</v>
      </c>
      <c r="CU108" s="239">
        <v>23</v>
      </c>
      <c r="CV108" s="239">
        <v>0</v>
      </c>
      <c r="CW108" s="239">
        <v>0</v>
      </c>
      <c r="CX108" s="239">
        <v>0</v>
      </c>
      <c r="CY108" s="239">
        <v>0</v>
      </c>
      <c r="CZ108" s="239">
        <v>0</v>
      </c>
      <c r="DA108" s="239">
        <v>0</v>
      </c>
      <c r="DB108" s="239">
        <v>0</v>
      </c>
      <c r="DC108" s="239">
        <v>0</v>
      </c>
      <c r="DD108" s="239">
        <v>0</v>
      </c>
      <c r="DE108" s="239">
        <v>0</v>
      </c>
      <c r="DF108" s="239">
        <v>0</v>
      </c>
      <c r="DG108" s="239">
        <v>0</v>
      </c>
      <c r="DH108" s="239">
        <v>0</v>
      </c>
      <c r="DI108" s="239">
        <v>0</v>
      </c>
      <c r="DJ108" s="239">
        <v>-137473</v>
      </c>
      <c r="DK108" s="239">
        <v>0</v>
      </c>
      <c r="DL108" s="239">
        <v>-137473</v>
      </c>
      <c r="DM108" s="239">
        <v>0</v>
      </c>
      <c r="DN108" s="239">
        <v>0</v>
      </c>
      <c r="DO108" s="239">
        <v>0</v>
      </c>
      <c r="DP108" s="239">
        <v>0</v>
      </c>
      <c r="DQ108" s="239">
        <v>0</v>
      </c>
      <c r="DR108" s="239">
        <v>0</v>
      </c>
      <c r="DS108" s="239">
        <v>-8843</v>
      </c>
      <c r="DT108" s="239">
        <v>0</v>
      </c>
      <c r="DU108" s="239">
        <v>-8843</v>
      </c>
      <c r="DV108" s="239">
        <v>0</v>
      </c>
      <c r="DW108" s="239">
        <v>0</v>
      </c>
      <c r="DX108" s="239">
        <v>0</v>
      </c>
      <c r="DY108" s="239">
        <v>-251409</v>
      </c>
      <c r="DZ108" s="239">
        <v>0</v>
      </c>
      <c r="EA108" s="239">
        <v>-251409</v>
      </c>
      <c r="EB108" s="239">
        <v>-5605</v>
      </c>
      <c r="EC108" s="239">
        <v>0</v>
      </c>
      <c r="ED108" s="239">
        <v>-5605</v>
      </c>
      <c r="EE108" s="239">
        <v>0</v>
      </c>
      <c r="EF108" s="239">
        <v>0</v>
      </c>
      <c r="EG108" s="239">
        <v>0</v>
      </c>
      <c r="EH108" s="239">
        <v>0</v>
      </c>
      <c r="EI108" s="239">
        <v>0</v>
      </c>
      <c r="EJ108" s="239">
        <v>0</v>
      </c>
      <c r="EK108" s="239">
        <v>-31285</v>
      </c>
      <c r="EL108" s="239">
        <v>0</v>
      </c>
      <c r="EM108" s="239">
        <v>-31285</v>
      </c>
      <c r="EN108" s="239">
        <v>-297142</v>
      </c>
      <c r="EO108" s="239">
        <v>0</v>
      </c>
      <c r="EP108" s="239">
        <v>-297142</v>
      </c>
      <c r="EQ108" s="239">
        <v>0</v>
      </c>
      <c r="ER108" s="239">
        <v>0</v>
      </c>
      <c r="ES108" s="239">
        <v>0</v>
      </c>
      <c r="ET108" s="239">
        <v>0</v>
      </c>
      <c r="EU108" s="239">
        <v>0</v>
      </c>
      <c r="EV108" s="239">
        <v>0</v>
      </c>
      <c r="EW108" s="239">
        <v>0</v>
      </c>
      <c r="EX108" s="239">
        <v>0</v>
      </c>
      <c r="EY108" s="239">
        <v>0</v>
      </c>
      <c r="EZ108" s="239">
        <v>16314781</v>
      </c>
      <c r="FA108" s="239">
        <v>0</v>
      </c>
      <c r="FB108" s="239">
        <v>16314781</v>
      </c>
      <c r="FC108" s="239">
        <v>-35694</v>
      </c>
      <c r="FD108" s="239">
        <v>0</v>
      </c>
      <c r="FE108" s="239">
        <v>-35694</v>
      </c>
      <c r="FF108" s="239">
        <v>-3807308</v>
      </c>
      <c r="FG108" s="239">
        <v>0</v>
      </c>
      <c r="FH108" s="239">
        <v>-3807308</v>
      </c>
      <c r="FI108" s="239">
        <v>-339814</v>
      </c>
      <c r="FJ108" s="239">
        <v>0</v>
      </c>
      <c r="FK108" s="239">
        <v>-339814</v>
      </c>
      <c r="FL108" s="239">
        <v>-137473</v>
      </c>
      <c r="FM108" s="239">
        <v>0</v>
      </c>
      <c r="FN108" s="239">
        <v>-137473</v>
      </c>
      <c r="FO108" s="239">
        <v>-297142</v>
      </c>
      <c r="FP108" s="239">
        <v>0</v>
      </c>
      <c r="FQ108" s="239">
        <v>-297142</v>
      </c>
      <c r="FR108" s="239">
        <v>0</v>
      </c>
      <c r="FS108" s="239">
        <v>0</v>
      </c>
      <c r="FT108" s="239">
        <v>0</v>
      </c>
      <c r="FU108" s="239">
        <v>-4617431</v>
      </c>
      <c r="FV108" s="239">
        <v>0</v>
      </c>
      <c r="FW108" s="239">
        <v>-4617431</v>
      </c>
      <c r="FX108" s="239">
        <v>11697350</v>
      </c>
      <c r="FY108" s="239">
        <v>0</v>
      </c>
      <c r="FZ108" s="239">
        <v>11697350</v>
      </c>
      <c r="GA108" s="214" t="s">
        <v>1294</v>
      </c>
    </row>
    <row r="109" spans="1:183" s="214" customFormat="1" x14ac:dyDescent="0.2">
      <c r="B109" s="610" t="s">
        <v>301</v>
      </c>
      <c r="C109" s="610" t="s">
        <v>300</v>
      </c>
      <c r="D109" s="239">
        <v>0</v>
      </c>
      <c r="E109" s="239">
        <v>0</v>
      </c>
      <c r="F109" s="239">
        <v>0</v>
      </c>
      <c r="G109" s="239">
        <v>-234232</v>
      </c>
      <c r="H109" s="239">
        <v>0</v>
      </c>
      <c r="I109" s="239">
        <v>-234232</v>
      </c>
      <c r="J109" s="239">
        <v>0</v>
      </c>
      <c r="K109" s="239">
        <v>0</v>
      </c>
      <c r="L109" s="239">
        <v>0</v>
      </c>
      <c r="M109" s="239">
        <v>100044</v>
      </c>
      <c r="N109" s="239">
        <v>0</v>
      </c>
      <c r="O109" s="239">
        <v>100044</v>
      </c>
      <c r="P109" s="239">
        <v>-134188</v>
      </c>
      <c r="Q109" s="239">
        <v>0</v>
      </c>
      <c r="R109" s="239">
        <v>-134188</v>
      </c>
      <c r="S109" s="239">
        <v>-2147597</v>
      </c>
      <c r="T109" s="239">
        <v>0</v>
      </c>
      <c r="U109" s="239">
        <v>-2147597</v>
      </c>
      <c r="V109" s="239">
        <v>-361</v>
      </c>
      <c r="W109" s="239">
        <v>0</v>
      </c>
      <c r="X109" s="239">
        <v>-361</v>
      </c>
      <c r="Y109" s="239">
        <v>-161170</v>
      </c>
      <c r="Z109" s="239">
        <v>0</v>
      </c>
      <c r="AA109" s="239">
        <v>-161170</v>
      </c>
      <c r="AB109" s="239">
        <v>-161170</v>
      </c>
      <c r="AC109" s="239">
        <v>0</v>
      </c>
      <c r="AD109" s="239">
        <v>-161170</v>
      </c>
      <c r="AE109" s="239">
        <v>0</v>
      </c>
      <c r="AF109" s="239">
        <v>0</v>
      </c>
      <c r="AG109" s="239">
        <v>0</v>
      </c>
      <c r="AH109" s="239">
        <v>624863</v>
      </c>
      <c r="AI109" s="239">
        <v>52422</v>
      </c>
      <c r="AJ109" s="239">
        <v>677285</v>
      </c>
      <c r="AK109" s="239">
        <v>20375</v>
      </c>
      <c r="AL109" s="239">
        <v>0</v>
      </c>
      <c r="AM109" s="239">
        <v>20375</v>
      </c>
      <c r="AN109" s="239">
        <v>-1256108</v>
      </c>
      <c r="AO109" s="239">
        <v>0</v>
      </c>
      <c r="AP109" s="239">
        <v>-1256108</v>
      </c>
      <c r="AQ109" s="239">
        <v>-67947</v>
      </c>
      <c r="AR109" s="239">
        <v>0</v>
      </c>
      <c r="AS109" s="239">
        <v>-67947</v>
      </c>
      <c r="AT109" s="239">
        <v>-7779</v>
      </c>
      <c r="AU109" s="239">
        <v>0</v>
      </c>
      <c r="AV109" s="239">
        <v>-7779</v>
      </c>
      <c r="AW109" s="239">
        <v>0</v>
      </c>
      <c r="AX109" s="239">
        <v>0</v>
      </c>
      <c r="AY109" s="239">
        <v>0</v>
      </c>
      <c r="AZ109" s="239">
        <v>-7388</v>
      </c>
      <c r="BA109" s="239">
        <v>0</v>
      </c>
      <c r="BB109" s="239">
        <v>-7388</v>
      </c>
      <c r="BC109" s="239">
        <v>0</v>
      </c>
      <c r="BD109" s="239">
        <v>0</v>
      </c>
      <c r="BE109" s="239">
        <v>0</v>
      </c>
      <c r="BF109" s="239">
        <v>-3002751</v>
      </c>
      <c r="BG109" s="239">
        <v>52422</v>
      </c>
      <c r="BH109" s="239">
        <v>-2950329</v>
      </c>
      <c r="BI109" s="239">
        <v>0</v>
      </c>
      <c r="BJ109" s="239">
        <v>0</v>
      </c>
      <c r="BK109" s="239">
        <v>0</v>
      </c>
      <c r="BL109" s="239">
        <v>0</v>
      </c>
      <c r="BM109" s="239">
        <v>0</v>
      </c>
      <c r="BN109" s="239">
        <v>0</v>
      </c>
      <c r="BO109" s="239">
        <v>-623841</v>
      </c>
      <c r="BP109" s="239">
        <v>-6039</v>
      </c>
      <c r="BQ109" s="239">
        <v>-629880</v>
      </c>
      <c r="BR109" s="239">
        <v>-53433</v>
      </c>
      <c r="BS109" s="239">
        <v>0</v>
      </c>
      <c r="BT109" s="239">
        <v>-53433</v>
      </c>
      <c r="BU109" s="239">
        <v>-677274</v>
      </c>
      <c r="BV109" s="239">
        <v>-6039</v>
      </c>
      <c r="BW109" s="239">
        <v>-683313</v>
      </c>
      <c r="BX109" s="239">
        <v>-61174</v>
      </c>
      <c r="BY109" s="239">
        <v>0</v>
      </c>
      <c r="BZ109" s="239">
        <v>-61174</v>
      </c>
      <c r="CA109" s="239">
        <v>-2572</v>
      </c>
      <c r="CB109" s="239">
        <v>0</v>
      </c>
      <c r="CC109" s="239">
        <v>-2572</v>
      </c>
      <c r="CD109" s="239">
        <v>-19644</v>
      </c>
      <c r="CE109" s="239">
        <v>0</v>
      </c>
      <c r="CF109" s="239">
        <v>-19644</v>
      </c>
      <c r="CG109" s="239">
        <v>2987</v>
      </c>
      <c r="CH109" s="239">
        <v>0</v>
      </c>
      <c r="CI109" s="239">
        <v>2987</v>
      </c>
      <c r="CJ109" s="239">
        <v>-1064</v>
      </c>
      <c r="CK109" s="239">
        <v>0</v>
      </c>
      <c r="CL109" s="239">
        <v>-1064</v>
      </c>
      <c r="CM109" s="239">
        <v>0</v>
      </c>
      <c r="CN109" s="239">
        <v>0</v>
      </c>
      <c r="CO109" s="239">
        <v>0</v>
      </c>
      <c r="CP109" s="239">
        <v>-6421</v>
      </c>
      <c r="CQ109" s="239">
        <v>0</v>
      </c>
      <c r="CR109" s="239">
        <v>-6421</v>
      </c>
      <c r="CS109" s="239">
        <v>0</v>
      </c>
      <c r="CT109" s="239">
        <v>0</v>
      </c>
      <c r="CU109" s="239">
        <v>0</v>
      </c>
      <c r="CV109" s="239">
        <v>-576</v>
      </c>
      <c r="CW109" s="239">
        <v>0</v>
      </c>
      <c r="CX109" s="239">
        <v>-576</v>
      </c>
      <c r="CY109" s="239">
        <v>0</v>
      </c>
      <c r="CZ109" s="239">
        <v>0</v>
      </c>
      <c r="DA109" s="239">
        <v>0</v>
      </c>
      <c r="DB109" s="239">
        <v>0</v>
      </c>
      <c r="DC109" s="239">
        <v>0</v>
      </c>
      <c r="DD109" s="239">
        <v>0</v>
      </c>
      <c r="DE109" s="239">
        <v>0</v>
      </c>
      <c r="DF109" s="239">
        <v>0</v>
      </c>
      <c r="DG109" s="239">
        <v>0</v>
      </c>
      <c r="DH109" s="239">
        <v>0</v>
      </c>
      <c r="DI109" s="239">
        <v>0</v>
      </c>
      <c r="DJ109" s="239">
        <v>-88464</v>
      </c>
      <c r="DK109" s="239">
        <v>0</v>
      </c>
      <c r="DL109" s="239">
        <v>-88464</v>
      </c>
      <c r="DM109" s="239">
        <v>-3286</v>
      </c>
      <c r="DN109" s="239">
        <v>0</v>
      </c>
      <c r="DO109" s="239">
        <v>-3286</v>
      </c>
      <c r="DP109" s="239">
        <v>0</v>
      </c>
      <c r="DQ109" s="239">
        <v>0</v>
      </c>
      <c r="DR109" s="239">
        <v>0</v>
      </c>
      <c r="DS109" s="239">
        <v>-10384</v>
      </c>
      <c r="DT109" s="239">
        <v>0</v>
      </c>
      <c r="DU109" s="239">
        <v>-10384</v>
      </c>
      <c r="DV109" s="239">
        <v>0</v>
      </c>
      <c r="DW109" s="239">
        <v>0</v>
      </c>
      <c r="DX109" s="239">
        <v>0</v>
      </c>
      <c r="DY109" s="239">
        <v>-477416</v>
      </c>
      <c r="DZ109" s="239">
        <v>0</v>
      </c>
      <c r="EA109" s="239">
        <v>-477416</v>
      </c>
      <c r="EB109" s="239">
        <v>-6901</v>
      </c>
      <c r="EC109" s="239">
        <v>0</v>
      </c>
      <c r="ED109" s="239">
        <v>-6901</v>
      </c>
      <c r="EE109" s="239">
        <v>0</v>
      </c>
      <c r="EF109" s="239">
        <v>0</v>
      </c>
      <c r="EG109" s="239">
        <v>0</v>
      </c>
      <c r="EH109" s="239">
        <v>0</v>
      </c>
      <c r="EI109" s="239">
        <v>0</v>
      </c>
      <c r="EJ109" s="239">
        <v>0</v>
      </c>
      <c r="EK109" s="239">
        <v>-11707</v>
      </c>
      <c r="EL109" s="239">
        <v>0</v>
      </c>
      <c r="EM109" s="239">
        <v>-11707</v>
      </c>
      <c r="EN109" s="239">
        <v>-509694</v>
      </c>
      <c r="EO109" s="239">
        <v>0</v>
      </c>
      <c r="EP109" s="239">
        <v>-509694</v>
      </c>
      <c r="EQ109" s="239">
        <v>0</v>
      </c>
      <c r="ER109" s="239">
        <v>0</v>
      </c>
      <c r="ES109" s="239">
        <v>0</v>
      </c>
      <c r="ET109" s="239">
        <v>0</v>
      </c>
      <c r="EU109" s="239">
        <v>0</v>
      </c>
      <c r="EV109" s="239">
        <v>0</v>
      </c>
      <c r="EW109" s="239">
        <v>0</v>
      </c>
      <c r="EX109" s="239">
        <v>0</v>
      </c>
      <c r="EY109" s="239">
        <v>0</v>
      </c>
      <c r="EZ109" s="239">
        <v>29406785</v>
      </c>
      <c r="FA109" s="239">
        <v>1939776</v>
      </c>
      <c r="FB109" s="239">
        <v>31346561</v>
      </c>
      <c r="FC109" s="239">
        <v>-134188</v>
      </c>
      <c r="FD109" s="239">
        <v>0</v>
      </c>
      <c r="FE109" s="239">
        <v>-134188</v>
      </c>
      <c r="FF109" s="239">
        <v>-3002751</v>
      </c>
      <c r="FG109" s="239">
        <v>52422</v>
      </c>
      <c r="FH109" s="239">
        <v>-2950329</v>
      </c>
      <c r="FI109" s="239">
        <v>-677274</v>
      </c>
      <c r="FJ109" s="239">
        <v>-6039</v>
      </c>
      <c r="FK109" s="239">
        <v>-683313</v>
      </c>
      <c r="FL109" s="239">
        <v>-88464</v>
      </c>
      <c r="FM109" s="239">
        <v>0</v>
      </c>
      <c r="FN109" s="239">
        <v>-88464</v>
      </c>
      <c r="FO109" s="239">
        <v>-509694</v>
      </c>
      <c r="FP109" s="239">
        <v>0</v>
      </c>
      <c r="FQ109" s="239">
        <v>-509694</v>
      </c>
      <c r="FR109" s="239">
        <v>0</v>
      </c>
      <c r="FS109" s="239">
        <v>0</v>
      </c>
      <c r="FT109" s="239">
        <v>0</v>
      </c>
      <c r="FU109" s="239">
        <v>-4412371</v>
      </c>
      <c r="FV109" s="239">
        <v>46383</v>
      </c>
      <c r="FW109" s="239">
        <v>-4365988</v>
      </c>
      <c r="FX109" s="239">
        <v>24994414</v>
      </c>
      <c r="FY109" s="239">
        <v>1986159</v>
      </c>
      <c r="FZ109" s="239">
        <v>26980573</v>
      </c>
      <c r="GA109" s="214" t="s">
        <v>1294</v>
      </c>
    </row>
    <row r="110" spans="1:183" s="214" customFormat="1" x14ac:dyDescent="0.2">
      <c r="B110" s="610" t="s">
        <v>303</v>
      </c>
      <c r="C110" s="610" t="s">
        <v>302</v>
      </c>
      <c r="D110" s="239">
        <v>0</v>
      </c>
      <c r="E110" s="239">
        <v>0</v>
      </c>
      <c r="F110" s="239">
        <v>0</v>
      </c>
      <c r="G110" s="239">
        <v>101085</v>
      </c>
      <c r="H110" s="239">
        <v>0</v>
      </c>
      <c r="I110" s="239">
        <v>101085</v>
      </c>
      <c r="J110" s="239">
        <v>0</v>
      </c>
      <c r="K110" s="239">
        <v>0</v>
      </c>
      <c r="L110" s="239">
        <v>0</v>
      </c>
      <c r="M110" s="239">
        <v>313519</v>
      </c>
      <c r="N110" s="239">
        <v>0</v>
      </c>
      <c r="O110" s="239">
        <v>313519</v>
      </c>
      <c r="P110" s="239">
        <v>414604</v>
      </c>
      <c r="Q110" s="239">
        <v>0</v>
      </c>
      <c r="R110" s="239">
        <v>414604</v>
      </c>
      <c r="S110" s="239">
        <v>-3957104</v>
      </c>
      <c r="T110" s="239">
        <v>-52587</v>
      </c>
      <c r="U110" s="239">
        <v>-4009691</v>
      </c>
      <c r="V110" s="239">
        <v>-3170</v>
      </c>
      <c r="W110" s="239">
        <v>0</v>
      </c>
      <c r="X110" s="239">
        <v>-3170</v>
      </c>
      <c r="Y110" s="239">
        <v>-144113</v>
      </c>
      <c r="Z110" s="239">
        <v>-852</v>
      </c>
      <c r="AA110" s="239">
        <v>-144965</v>
      </c>
      <c r="AB110" s="239">
        <v>-94654</v>
      </c>
      <c r="AC110" s="239">
        <v>0</v>
      </c>
      <c r="AD110" s="239">
        <v>-94654</v>
      </c>
      <c r="AE110" s="239">
        <v>0</v>
      </c>
      <c r="AF110" s="239">
        <v>0</v>
      </c>
      <c r="AG110" s="239">
        <v>0</v>
      </c>
      <c r="AH110" s="239">
        <v>2485857</v>
      </c>
      <c r="AI110" s="239">
        <v>58587</v>
      </c>
      <c r="AJ110" s="239">
        <v>2544444</v>
      </c>
      <c r="AK110" s="239">
        <v>-54098</v>
      </c>
      <c r="AL110" s="239">
        <v>-1063</v>
      </c>
      <c r="AM110" s="239">
        <v>-55161</v>
      </c>
      <c r="AN110" s="239">
        <v>-3199504</v>
      </c>
      <c r="AO110" s="239">
        <v>-743681</v>
      </c>
      <c r="AP110" s="239">
        <v>-3943185</v>
      </c>
      <c r="AQ110" s="239">
        <v>39416</v>
      </c>
      <c r="AR110" s="239">
        <v>0</v>
      </c>
      <c r="AS110" s="239">
        <v>39416</v>
      </c>
      <c r="AT110" s="239">
        <v>-101262</v>
      </c>
      <c r="AU110" s="239">
        <v>0</v>
      </c>
      <c r="AV110" s="239">
        <v>-101262</v>
      </c>
      <c r="AW110" s="239">
        <v>-876</v>
      </c>
      <c r="AX110" s="239">
        <v>0</v>
      </c>
      <c r="AY110" s="239">
        <v>-876</v>
      </c>
      <c r="AZ110" s="239">
        <v>-11191</v>
      </c>
      <c r="BA110" s="239">
        <v>0</v>
      </c>
      <c r="BB110" s="239">
        <v>-11191</v>
      </c>
      <c r="BC110" s="239">
        <v>0</v>
      </c>
      <c r="BD110" s="239">
        <v>0</v>
      </c>
      <c r="BE110" s="239">
        <v>0</v>
      </c>
      <c r="BF110" s="239">
        <v>-4942875</v>
      </c>
      <c r="BG110" s="239">
        <v>-739596</v>
      </c>
      <c r="BH110" s="239">
        <v>-5682471</v>
      </c>
      <c r="BI110" s="239">
        <v>-43775</v>
      </c>
      <c r="BJ110" s="239">
        <v>0</v>
      </c>
      <c r="BK110" s="239">
        <v>-43775</v>
      </c>
      <c r="BL110" s="239">
        <v>-23032</v>
      </c>
      <c r="BM110" s="239">
        <v>0</v>
      </c>
      <c r="BN110" s="239">
        <v>-23032</v>
      </c>
      <c r="BO110" s="239">
        <v>-4757925</v>
      </c>
      <c r="BP110" s="239">
        <v>-24236</v>
      </c>
      <c r="BQ110" s="239">
        <v>-4782161</v>
      </c>
      <c r="BR110" s="239">
        <v>-331878</v>
      </c>
      <c r="BS110" s="239">
        <v>1253</v>
      </c>
      <c r="BT110" s="239">
        <v>-330625</v>
      </c>
      <c r="BU110" s="239">
        <v>-5156610</v>
      </c>
      <c r="BV110" s="239">
        <v>-22983</v>
      </c>
      <c r="BW110" s="239">
        <v>-5179593</v>
      </c>
      <c r="BX110" s="239">
        <v>-104795</v>
      </c>
      <c r="BY110" s="239">
        <v>-651</v>
      </c>
      <c r="BZ110" s="239">
        <v>-105446</v>
      </c>
      <c r="CA110" s="239">
        <v>1460</v>
      </c>
      <c r="CB110" s="239">
        <v>0</v>
      </c>
      <c r="CC110" s="239">
        <v>1460</v>
      </c>
      <c r="CD110" s="239">
        <v>-41547</v>
      </c>
      <c r="CE110" s="239">
        <v>0</v>
      </c>
      <c r="CF110" s="239">
        <v>-41547</v>
      </c>
      <c r="CG110" s="239">
        <v>139</v>
      </c>
      <c r="CH110" s="239">
        <v>0</v>
      </c>
      <c r="CI110" s="239">
        <v>139</v>
      </c>
      <c r="CJ110" s="239">
        <v>-730</v>
      </c>
      <c r="CK110" s="239">
        <v>0</v>
      </c>
      <c r="CL110" s="239">
        <v>-730</v>
      </c>
      <c r="CM110" s="239">
        <v>-219</v>
      </c>
      <c r="CN110" s="239">
        <v>0</v>
      </c>
      <c r="CO110" s="239">
        <v>-219</v>
      </c>
      <c r="CP110" s="239">
        <v>0</v>
      </c>
      <c r="CQ110" s="239">
        <v>0</v>
      </c>
      <c r="CR110" s="239">
        <v>0</v>
      </c>
      <c r="CS110" s="239">
        <v>0</v>
      </c>
      <c r="CT110" s="239">
        <v>0</v>
      </c>
      <c r="CU110" s="239">
        <v>0</v>
      </c>
      <c r="CV110" s="239">
        <v>0</v>
      </c>
      <c r="CW110" s="239">
        <v>0</v>
      </c>
      <c r="CX110" s="239">
        <v>0</v>
      </c>
      <c r="CY110" s="239">
        <v>0</v>
      </c>
      <c r="CZ110" s="239">
        <v>0</v>
      </c>
      <c r="DA110" s="239">
        <v>0</v>
      </c>
      <c r="DB110" s="239">
        <v>0</v>
      </c>
      <c r="DC110" s="239">
        <v>0</v>
      </c>
      <c r="DD110" s="239">
        <v>0</v>
      </c>
      <c r="DE110" s="239">
        <v>0</v>
      </c>
      <c r="DF110" s="239">
        <v>0</v>
      </c>
      <c r="DG110" s="239">
        <v>0</v>
      </c>
      <c r="DH110" s="239">
        <v>0</v>
      </c>
      <c r="DI110" s="239">
        <v>0</v>
      </c>
      <c r="DJ110" s="239">
        <v>-145692</v>
      </c>
      <c r="DK110" s="239">
        <v>-651</v>
      </c>
      <c r="DL110" s="239">
        <v>-146343</v>
      </c>
      <c r="DM110" s="239">
        <v>0</v>
      </c>
      <c r="DN110" s="239">
        <v>0</v>
      </c>
      <c r="DO110" s="239">
        <v>0</v>
      </c>
      <c r="DP110" s="239">
        <v>0</v>
      </c>
      <c r="DQ110" s="239">
        <v>0</v>
      </c>
      <c r="DR110" s="239">
        <v>0</v>
      </c>
      <c r="DS110" s="239">
        <v>-50985</v>
      </c>
      <c r="DT110" s="239">
        <v>-1705</v>
      </c>
      <c r="DU110" s="239">
        <v>-52690</v>
      </c>
      <c r="DV110" s="239">
        <v>2892</v>
      </c>
      <c r="DW110" s="239">
        <v>0</v>
      </c>
      <c r="DX110" s="239">
        <v>2892</v>
      </c>
      <c r="DY110" s="239">
        <v>-923189</v>
      </c>
      <c r="DZ110" s="239">
        <v>-5979</v>
      </c>
      <c r="EA110" s="239">
        <v>-929168</v>
      </c>
      <c r="EB110" s="239">
        <v>-185130</v>
      </c>
      <c r="EC110" s="239">
        <v>-510</v>
      </c>
      <c r="ED110" s="239">
        <v>-185640</v>
      </c>
      <c r="EE110" s="239">
        <v>0</v>
      </c>
      <c r="EF110" s="239">
        <v>0</v>
      </c>
      <c r="EG110" s="239">
        <v>0</v>
      </c>
      <c r="EH110" s="239">
        <v>0</v>
      </c>
      <c r="EI110" s="239">
        <v>0</v>
      </c>
      <c r="EJ110" s="239">
        <v>0</v>
      </c>
      <c r="EK110" s="239">
        <v>-45486</v>
      </c>
      <c r="EL110" s="239">
        <v>0</v>
      </c>
      <c r="EM110" s="239">
        <v>-45486</v>
      </c>
      <c r="EN110" s="239">
        <v>-1201898</v>
      </c>
      <c r="EO110" s="239">
        <v>-8194</v>
      </c>
      <c r="EP110" s="239">
        <v>-1210092</v>
      </c>
      <c r="EQ110" s="239">
        <v>0</v>
      </c>
      <c r="ER110" s="239">
        <v>0</v>
      </c>
      <c r="ES110" s="239">
        <v>0</v>
      </c>
      <c r="ET110" s="239">
        <v>0</v>
      </c>
      <c r="EU110" s="239">
        <v>0</v>
      </c>
      <c r="EV110" s="239">
        <v>0</v>
      </c>
      <c r="EW110" s="239">
        <v>0</v>
      </c>
      <c r="EX110" s="239">
        <v>0</v>
      </c>
      <c r="EY110" s="239">
        <v>0</v>
      </c>
      <c r="EZ110" s="239">
        <v>99217354</v>
      </c>
      <c r="FA110" s="239">
        <v>2313118</v>
      </c>
      <c r="FB110" s="239">
        <v>101530472</v>
      </c>
      <c r="FC110" s="239">
        <v>414604</v>
      </c>
      <c r="FD110" s="239">
        <v>0</v>
      </c>
      <c r="FE110" s="239">
        <v>414604</v>
      </c>
      <c r="FF110" s="239">
        <v>-4942875</v>
      </c>
      <c r="FG110" s="239">
        <v>-739596</v>
      </c>
      <c r="FH110" s="239">
        <v>-5682471</v>
      </c>
      <c r="FI110" s="239">
        <v>-5156610</v>
      </c>
      <c r="FJ110" s="239">
        <v>-22983</v>
      </c>
      <c r="FK110" s="239">
        <v>-5179593</v>
      </c>
      <c r="FL110" s="239">
        <v>-145692</v>
      </c>
      <c r="FM110" s="239">
        <v>-651</v>
      </c>
      <c r="FN110" s="239">
        <v>-146343</v>
      </c>
      <c r="FO110" s="239">
        <v>-1201898</v>
      </c>
      <c r="FP110" s="239">
        <v>-8194</v>
      </c>
      <c r="FQ110" s="239">
        <v>-1210092</v>
      </c>
      <c r="FR110" s="239">
        <v>0</v>
      </c>
      <c r="FS110" s="239">
        <v>0</v>
      </c>
      <c r="FT110" s="239">
        <v>0</v>
      </c>
      <c r="FU110" s="239">
        <v>-11032471</v>
      </c>
      <c r="FV110" s="239">
        <v>-771424</v>
      </c>
      <c r="FW110" s="239">
        <v>-11803895</v>
      </c>
      <c r="FX110" s="239">
        <v>88184883</v>
      </c>
      <c r="FY110" s="239">
        <v>1541694</v>
      </c>
      <c r="FZ110" s="239">
        <v>89726577</v>
      </c>
      <c r="GA110" s="214" t="s">
        <v>1296</v>
      </c>
    </row>
    <row r="111" spans="1:183" s="214" customFormat="1" x14ac:dyDescent="0.2">
      <c r="B111" s="610" t="s">
        <v>305</v>
      </c>
      <c r="C111" s="610" t="s">
        <v>304</v>
      </c>
      <c r="D111" s="239">
        <v>0</v>
      </c>
      <c r="E111" s="239">
        <v>0</v>
      </c>
      <c r="F111" s="239">
        <v>0</v>
      </c>
      <c r="G111" s="239">
        <v>112</v>
      </c>
      <c r="H111" s="239">
        <v>0</v>
      </c>
      <c r="I111" s="239">
        <v>112</v>
      </c>
      <c r="J111" s="239">
        <v>0</v>
      </c>
      <c r="K111" s="239">
        <v>0</v>
      </c>
      <c r="L111" s="239">
        <v>0</v>
      </c>
      <c r="M111" s="239">
        <v>66648</v>
      </c>
      <c r="N111" s="239">
        <v>0</v>
      </c>
      <c r="O111" s="239">
        <v>66648</v>
      </c>
      <c r="P111" s="239">
        <v>66760</v>
      </c>
      <c r="Q111" s="239">
        <v>0</v>
      </c>
      <c r="R111" s="239">
        <v>66760</v>
      </c>
      <c r="S111" s="239">
        <v>-1691221</v>
      </c>
      <c r="T111" s="239">
        <v>0</v>
      </c>
      <c r="U111" s="239">
        <v>-1691221</v>
      </c>
      <c r="V111" s="239">
        <v>0</v>
      </c>
      <c r="W111" s="239">
        <v>0</v>
      </c>
      <c r="X111" s="239">
        <v>0</v>
      </c>
      <c r="Y111" s="239">
        <v>-76153</v>
      </c>
      <c r="Z111" s="239">
        <v>0</v>
      </c>
      <c r="AA111" s="239">
        <v>-76153</v>
      </c>
      <c r="AB111" s="239">
        <v>-46148</v>
      </c>
      <c r="AC111" s="239">
        <v>0</v>
      </c>
      <c r="AD111" s="239">
        <v>-46148</v>
      </c>
      <c r="AE111" s="239">
        <v>0</v>
      </c>
      <c r="AF111" s="239">
        <v>0</v>
      </c>
      <c r="AG111" s="239">
        <v>0</v>
      </c>
      <c r="AH111" s="239">
        <v>562265</v>
      </c>
      <c r="AI111" s="239">
        <v>0</v>
      </c>
      <c r="AJ111" s="239">
        <v>562265</v>
      </c>
      <c r="AK111" s="239">
        <v>-8500</v>
      </c>
      <c r="AL111" s="239">
        <v>0</v>
      </c>
      <c r="AM111" s="239">
        <v>-8500</v>
      </c>
      <c r="AN111" s="239">
        <v>-1201638</v>
      </c>
      <c r="AO111" s="239">
        <v>0</v>
      </c>
      <c r="AP111" s="239">
        <v>-1201638</v>
      </c>
      <c r="AQ111" s="239">
        <v>18322</v>
      </c>
      <c r="AR111" s="239">
        <v>0</v>
      </c>
      <c r="AS111" s="239">
        <v>18322</v>
      </c>
      <c r="AT111" s="239">
        <v>-49399</v>
      </c>
      <c r="AU111" s="239">
        <v>0</v>
      </c>
      <c r="AV111" s="239">
        <v>-49399</v>
      </c>
      <c r="AW111" s="239">
        <v>0</v>
      </c>
      <c r="AX111" s="239">
        <v>0</v>
      </c>
      <c r="AY111" s="239">
        <v>0</v>
      </c>
      <c r="AZ111" s="239">
        <v>-475</v>
      </c>
      <c r="BA111" s="239">
        <v>0</v>
      </c>
      <c r="BB111" s="239">
        <v>-475</v>
      </c>
      <c r="BC111" s="239">
        <v>0</v>
      </c>
      <c r="BD111" s="239">
        <v>0</v>
      </c>
      <c r="BE111" s="239">
        <v>0</v>
      </c>
      <c r="BF111" s="239">
        <v>-2446799</v>
      </c>
      <c r="BG111" s="239">
        <v>0</v>
      </c>
      <c r="BH111" s="239">
        <v>-2446799</v>
      </c>
      <c r="BI111" s="239">
        <v>0</v>
      </c>
      <c r="BJ111" s="239">
        <v>0</v>
      </c>
      <c r="BK111" s="239">
        <v>0</v>
      </c>
      <c r="BL111" s="239">
        <v>766</v>
      </c>
      <c r="BM111" s="239">
        <v>0</v>
      </c>
      <c r="BN111" s="239">
        <v>766</v>
      </c>
      <c r="BO111" s="239">
        <v>-466546</v>
      </c>
      <c r="BP111" s="239">
        <v>0</v>
      </c>
      <c r="BQ111" s="239">
        <v>-466546</v>
      </c>
      <c r="BR111" s="239">
        <v>1056</v>
      </c>
      <c r="BS111" s="239">
        <v>0</v>
      </c>
      <c r="BT111" s="239">
        <v>1056</v>
      </c>
      <c r="BU111" s="239">
        <v>-464724</v>
      </c>
      <c r="BV111" s="239">
        <v>0</v>
      </c>
      <c r="BW111" s="239">
        <v>-464724</v>
      </c>
      <c r="BX111" s="239">
        <v>-77638</v>
      </c>
      <c r="BY111" s="239">
        <v>0</v>
      </c>
      <c r="BZ111" s="239">
        <v>-77638</v>
      </c>
      <c r="CA111" s="239">
        <v>1930</v>
      </c>
      <c r="CB111" s="239">
        <v>0</v>
      </c>
      <c r="CC111" s="239">
        <v>1930</v>
      </c>
      <c r="CD111" s="239">
        <v>-44177</v>
      </c>
      <c r="CE111" s="239">
        <v>0</v>
      </c>
      <c r="CF111" s="239">
        <v>-44177</v>
      </c>
      <c r="CG111" s="239">
        <v>2398</v>
      </c>
      <c r="CH111" s="239">
        <v>0</v>
      </c>
      <c r="CI111" s="239">
        <v>2398</v>
      </c>
      <c r="CJ111" s="239">
        <v>-5941</v>
      </c>
      <c r="CK111" s="239">
        <v>0</v>
      </c>
      <c r="CL111" s="239">
        <v>-5941</v>
      </c>
      <c r="CM111" s="239">
        <v>0</v>
      </c>
      <c r="CN111" s="239">
        <v>0</v>
      </c>
      <c r="CO111" s="239">
        <v>0</v>
      </c>
      <c r="CP111" s="239">
        <v>-475</v>
      </c>
      <c r="CQ111" s="239">
        <v>0</v>
      </c>
      <c r="CR111" s="239">
        <v>-475</v>
      </c>
      <c r="CS111" s="239">
        <v>0</v>
      </c>
      <c r="CT111" s="239">
        <v>0</v>
      </c>
      <c r="CU111" s="239">
        <v>0</v>
      </c>
      <c r="CV111" s="239">
        <v>-4608</v>
      </c>
      <c r="CW111" s="239">
        <v>0</v>
      </c>
      <c r="CX111" s="239">
        <v>-4608</v>
      </c>
      <c r="CY111" s="239">
        <v>0</v>
      </c>
      <c r="CZ111" s="239">
        <v>0</v>
      </c>
      <c r="DA111" s="239">
        <v>0</v>
      </c>
      <c r="DB111" s="239">
        <v>0</v>
      </c>
      <c r="DC111" s="239">
        <v>0</v>
      </c>
      <c r="DD111" s="239">
        <v>0</v>
      </c>
      <c r="DE111" s="239">
        <v>0</v>
      </c>
      <c r="DF111" s="239">
        <v>0</v>
      </c>
      <c r="DG111" s="239">
        <v>0</v>
      </c>
      <c r="DH111" s="239">
        <v>0</v>
      </c>
      <c r="DI111" s="239">
        <v>0</v>
      </c>
      <c r="DJ111" s="239">
        <v>-128511</v>
      </c>
      <c r="DK111" s="239">
        <v>0</v>
      </c>
      <c r="DL111" s="239">
        <v>-128511</v>
      </c>
      <c r="DM111" s="239">
        <v>-4765</v>
      </c>
      <c r="DN111" s="239">
        <v>0</v>
      </c>
      <c r="DO111" s="239">
        <v>-4765</v>
      </c>
      <c r="DP111" s="239">
        <v>0</v>
      </c>
      <c r="DQ111" s="239">
        <v>0</v>
      </c>
      <c r="DR111" s="239">
        <v>0</v>
      </c>
      <c r="DS111" s="239">
        <v>-20805</v>
      </c>
      <c r="DT111" s="239">
        <v>0</v>
      </c>
      <c r="DU111" s="239">
        <v>-20805</v>
      </c>
      <c r="DV111" s="239">
        <v>-865</v>
      </c>
      <c r="DW111" s="239">
        <v>0</v>
      </c>
      <c r="DX111" s="239">
        <v>-865</v>
      </c>
      <c r="DY111" s="239">
        <v>-407558</v>
      </c>
      <c r="DZ111" s="239">
        <v>0</v>
      </c>
      <c r="EA111" s="239">
        <v>-407558</v>
      </c>
      <c r="EB111" s="239">
        <v>-11187</v>
      </c>
      <c r="EC111" s="239">
        <v>0</v>
      </c>
      <c r="ED111" s="239">
        <v>-11187</v>
      </c>
      <c r="EE111" s="239">
        <v>0</v>
      </c>
      <c r="EF111" s="239">
        <v>0</v>
      </c>
      <c r="EG111" s="239">
        <v>0</v>
      </c>
      <c r="EH111" s="239">
        <v>0</v>
      </c>
      <c r="EI111" s="239">
        <v>0</v>
      </c>
      <c r="EJ111" s="239">
        <v>0</v>
      </c>
      <c r="EK111" s="239">
        <v>-6922</v>
      </c>
      <c r="EL111" s="239">
        <v>0</v>
      </c>
      <c r="EM111" s="239">
        <v>-6922</v>
      </c>
      <c r="EN111" s="239">
        <v>-452102</v>
      </c>
      <c r="EO111" s="239">
        <v>0</v>
      </c>
      <c r="EP111" s="239">
        <v>-452102</v>
      </c>
      <c r="EQ111" s="239">
        <v>0</v>
      </c>
      <c r="ER111" s="239">
        <v>0</v>
      </c>
      <c r="ES111" s="239">
        <v>0</v>
      </c>
      <c r="ET111" s="239">
        <v>0</v>
      </c>
      <c r="EU111" s="239">
        <v>0</v>
      </c>
      <c r="EV111" s="239">
        <v>0</v>
      </c>
      <c r="EW111" s="239">
        <v>0</v>
      </c>
      <c r="EX111" s="239">
        <v>0</v>
      </c>
      <c r="EY111" s="239">
        <v>0</v>
      </c>
      <c r="EZ111" s="239">
        <v>25073284</v>
      </c>
      <c r="FA111" s="239">
        <v>0</v>
      </c>
      <c r="FB111" s="239">
        <v>25073284</v>
      </c>
      <c r="FC111" s="239">
        <v>66760</v>
      </c>
      <c r="FD111" s="239">
        <v>0</v>
      </c>
      <c r="FE111" s="239">
        <v>66760</v>
      </c>
      <c r="FF111" s="239">
        <v>-2446799</v>
      </c>
      <c r="FG111" s="239">
        <v>0</v>
      </c>
      <c r="FH111" s="239">
        <v>-2446799</v>
      </c>
      <c r="FI111" s="239">
        <v>-464724</v>
      </c>
      <c r="FJ111" s="239">
        <v>0</v>
      </c>
      <c r="FK111" s="239">
        <v>-464724</v>
      </c>
      <c r="FL111" s="239">
        <v>-128511</v>
      </c>
      <c r="FM111" s="239">
        <v>0</v>
      </c>
      <c r="FN111" s="239">
        <v>-128511</v>
      </c>
      <c r="FO111" s="239">
        <v>-452102</v>
      </c>
      <c r="FP111" s="239">
        <v>0</v>
      </c>
      <c r="FQ111" s="239">
        <v>-452102</v>
      </c>
      <c r="FR111" s="239">
        <v>0</v>
      </c>
      <c r="FS111" s="239">
        <v>0</v>
      </c>
      <c r="FT111" s="239">
        <v>0</v>
      </c>
      <c r="FU111" s="239">
        <v>-3425376</v>
      </c>
      <c r="FV111" s="239">
        <v>0</v>
      </c>
      <c r="FW111" s="239">
        <v>-3425376</v>
      </c>
      <c r="FX111" s="239">
        <v>21647908</v>
      </c>
      <c r="FY111" s="239">
        <v>0</v>
      </c>
      <c r="FZ111" s="239">
        <v>21647908</v>
      </c>
      <c r="GA111" s="214" t="s">
        <v>1294</v>
      </c>
    </row>
    <row r="112" spans="1:183" s="214" customFormat="1" x14ac:dyDescent="0.2">
      <c r="B112" s="610" t="s">
        <v>307</v>
      </c>
      <c r="C112" s="610" t="s">
        <v>306</v>
      </c>
      <c r="D112" s="239">
        <v>0</v>
      </c>
      <c r="E112" s="239">
        <v>0</v>
      </c>
      <c r="F112" s="239">
        <v>0</v>
      </c>
      <c r="G112" s="239">
        <v>-104520</v>
      </c>
      <c r="H112" s="239">
        <v>0</v>
      </c>
      <c r="I112" s="239">
        <v>-104520</v>
      </c>
      <c r="J112" s="239">
        <v>0</v>
      </c>
      <c r="K112" s="239">
        <v>0</v>
      </c>
      <c r="L112" s="239">
        <v>0</v>
      </c>
      <c r="M112" s="239">
        <v>185991</v>
      </c>
      <c r="N112" s="239">
        <v>0</v>
      </c>
      <c r="O112" s="239">
        <v>185991</v>
      </c>
      <c r="P112" s="239">
        <v>81471</v>
      </c>
      <c r="Q112" s="239">
        <v>0</v>
      </c>
      <c r="R112" s="239">
        <v>81471</v>
      </c>
      <c r="S112" s="239">
        <v>-1971586</v>
      </c>
      <c r="T112" s="239">
        <v>0</v>
      </c>
      <c r="U112" s="239">
        <v>-1971586</v>
      </c>
      <c r="V112" s="239">
        <v>-6455</v>
      </c>
      <c r="W112" s="239">
        <v>0</v>
      </c>
      <c r="X112" s="239">
        <v>-6455</v>
      </c>
      <c r="Y112" s="239">
        <v>-93028</v>
      </c>
      <c r="Z112" s="239">
        <v>0</v>
      </c>
      <c r="AA112" s="239">
        <v>-93028</v>
      </c>
      <c r="AB112" s="239">
        <v>-55586</v>
      </c>
      <c r="AC112" s="239">
        <v>0</v>
      </c>
      <c r="AD112" s="239">
        <v>-55586</v>
      </c>
      <c r="AE112" s="239">
        <v>144</v>
      </c>
      <c r="AF112" s="239">
        <v>0</v>
      </c>
      <c r="AG112" s="239">
        <v>144</v>
      </c>
      <c r="AH112" s="239">
        <v>1482482</v>
      </c>
      <c r="AI112" s="239">
        <v>0</v>
      </c>
      <c r="AJ112" s="239">
        <v>1482482</v>
      </c>
      <c r="AK112" s="239">
        <v>-28803</v>
      </c>
      <c r="AL112" s="239">
        <v>0</v>
      </c>
      <c r="AM112" s="239">
        <v>-28803</v>
      </c>
      <c r="AN112" s="239">
        <v>-3485349</v>
      </c>
      <c r="AO112" s="239">
        <v>0</v>
      </c>
      <c r="AP112" s="239">
        <v>-3485349</v>
      </c>
      <c r="AQ112" s="239">
        <v>-85194</v>
      </c>
      <c r="AR112" s="239">
        <v>0</v>
      </c>
      <c r="AS112" s="239">
        <v>-85194</v>
      </c>
      <c r="AT112" s="239">
        <v>-39953</v>
      </c>
      <c r="AU112" s="239">
        <v>0</v>
      </c>
      <c r="AV112" s="239">
        <v>-39953</v>
      </c>
      <c r="AW112" s="239">
        <v>0</v>
      </c>
      <c r="AX112" s="239">
        <v>0</v>
      </c>
      <c r="AY112" s="239">
        <v>0</v>
      </c>
      <c r="AZ112" s="239">
        <v>0</v>
      </c>
      <c r="BA112" s="239">
        <v>0</v>
      </c>
      <c r="BB112" s="239">
        <v>0</v>
      </c>
      <c r="BC112" s="239">
        <v>0</v>
      </c>
      <c r="BD112" s="239">
        <v>0</v>
      </c>
      <c r="BE112" s="239">
        <v>0</v>
      </c>
      <c r="BF112" s="239">
        <v>-4221431</v>
      </c>
      <c r="BG112" s="239">
        <v>0</v>
      </c>
      <c r="BH112" s="239">
        <v>-4221431</v>
      </c>
      <c r="BI112" s="239">
        <v>-50068</v>
      </c>
      <c r="BJ112" s="239">
        <v>0</v>
      </c>
      <c r="BK112" s="239">
        <v>-50068</v>
      </c>
      <c r="BL112" s="239">
        <v>816</v>
      </c>
      <c r="BM112" s="239">
        <v>0</v>
      </c>
      <c r="BN112" s="239">
        <v>816</v>
      </c>
      <c r="BO112" s="239">
        <v>-1799564</v>
      </c>
      <c r="BP112" s="239">
        <v>0</v>
      </c>
      <c r="BQ112" s="239">
        <v>-1799564</v>
      </c>
      <c r="BR112" s="239">
        <v>53125</v>
      </c>
      <c r="BS112" s="239">
        <v>0</v>
      </c>
      <c r="BT112" s="239">
        <v>53125</v>
      </c>
      <c r="BU112" s="239">
        <v>-1795691</v>
      </c>
      <c r="BV112" s="239">
        <v>0</v>
      </c>
      <c r="BW112" s="239">
        <v>-1795691</v>
      </c>
      <c r="BX112" s="239">
        <v>-2391</v>
      </c>
      <c r="BY112" s="239">
        <v>0</v>
      </c>
      <c r="BZ112" s="239">
        <v>-2391</v>
      </c>
      <c r="CA112" s="239">
        <v>0</v>
      </c>
      <c r="CB112" s="239">
        <v>0</v>
      </c>
      <c r="CC112" s="239">
        <v>0</v>
      </c>
      <c r="CD112" s="239">
        <v>-57294</v>
      </c>
      <c r="CE112" s="239">
        <v>0</v>
      </c>
      <c r="CF112" s="239">
        <v>-57294</v>
      </c>
      <c r="CG112" s="239">
        <v>0</v>
      </c>
      <c r="CH112" s="239">
        <v>0</v>
      </c>
      <c r="CI112" s="239">
        <v>0</v>
      </c>
      <c r="CJ112" s="239">
        <v>0</v>
      </c>
      <c r="CK112" s="239">
        <v>0</v>
      </c>
      <c r="CL112" s="239">
        <v>0</v>
      </c>
      <c r="CM112" s="239">
        <v>0</v>
      </c>
      <c r="CN112" s="239">
        <v>0</v>
      </c>
      <c r="CO112" s="239">
        <v>0</v>
      </c>
      <c r="CP112" s="239">
        <v>0</v>
      </c>
      <c r="CQ112" s="239">
        <v>0</v>
      </c>
      <c r="CR112" s="239">
        <v>0</v>
      </c>
      <c r="CS112" s="239">
        <v>0</v>
      </c>
      <c r="CT112" s="239">
        <v>0</v>
      </c>
      <c r="CU112" s="239">
        <v>0</v>
      </c>
      <c r="CV112" s="239">
        <v>0</v>
      </c>
      <c r="CW112" s="239">
        <v>0</v>
      </c>
      <c r="CX112" s="239">
        <v>0</v>
      </c>
      <c r="CY112" s="239">
        <v>0</v>
      </c>
      <c r="CZ112" s="239">
        <v>0</v>
      </c>
      <c r="DA112" s="239">
        <v>0</v>
      </c>
      <c r="DB112" s="239">
        <v>0</v>
      </c>
      <c r="DC112" s="239">
        <v>0</v>
      </c>
      <c r="DD112" s="239">
        <v>0</v>
      </c>
      <c r="DE112" s="239">
        <v>0</v>
      </c>
      <c r="DF112" s="239">
        <v>0</v>
      </c>
      <c r="DG112" s="239">
        <v>0</v>
      </c>
      <c r="DH112" s="239">
        <v>0</v>
      </c>
      <c r="DI112" s="239">
        <v>0</v>
      </c>
      <c r="DJ112" s="239">
        <v>-59685</v>
      </c>
      <c r="DK112" s="239">
        <v>0</v>
      </c>
      <c r="DL112" s="239">
        <v>-59685</v>
      </c>
      <c r="DM112" s="239">
        <v>0</v>
      </c>
      <c r="DN112" s="239">
        <v>0</v>
      </c>
      <c r="DO112" s="239">
        <v>0</v>
      </c>
      <c r="DP112" s="239">
        <v>0</v>
      </c>
      <c r="DQ112" s="239">
        <v>0</v>
      </c>
      <c r="DR112" s="239">
        <v>0</v>
      </c>
      <c r="DS112" s="239">
        <v>-7972</v>
      </c>
      <c r="DT112" s="239">
        <v>0</v>
      </c>
      <c r="DU112" s="239">
        <v>-7972</v>
      </c>
      <c r="DV112" s="239">
        <v>-7039</v>
      </c>
      <c r="DW112" s="239">
        <v>0</v>
      </c>
      <c r="DX112" s="239">
        <v>-7039</v>
      </c>
      <c r="DY112" s="239">
        <v>-367728</v>
      </c>
      <c r="DZ112" s="239">
        <v>0</v>
      </c>
      <c r="EA112" s="239">
        <v>-367728</v>
      </c>
      <c r="EB112" s="239">
        <v>-28139</v>
      </c>
      <c r="EC112" s="239">
        <v>0</v>
      </c>
      <c r="ED112" s="239">
        <v>-28139</v>
      </c>
      <c r="EE112" s="239">
        <v>0</v>
      </c>
      <c r="EF112" s="239">
        <v>0</v>
      </c>
      <c r="EG112" s="239">
        <v>0</v>
      </c>
      <c r="EH112" s="239">
        <v>0</v>
      </c>
      <c r="EI112" s="239">
        <v>0</v>
      </c>
      <c r="EJ112" s="239">
        <v>0</v>
      </c>
      <c r="EK112" s="239">
        <v>-15835</v>
      </c>
      <c r="EL112" s="239">
        <v>0</v>
      </c>
      <c r="EM112" s="239">
        <v>-15835</v>
      </c>
      <c r="EN112" s="239">
        <v>-426713</v>
      </c>
      <c r="EO112" s="239">
        <v>0</v>
      </c>
      <c r="EP112" s="239">
        <v>-426713</v>
      </c>
      <c r="EQ112" s="239">
        <v>0</v>
      </c>
      <c r="ER112" s="239">
        <v>0</v>
      </c>
      <c r="ES112" s="239">
        <v>0</v>
      </c>
      <c r="ET112" s="239">
        <v>0</v>
      </c>
      <c r="EU112" s="239">
        <v>0</v>
      </c>
      <c r="EV112" s="239">
        <v>0</v>
      </c>
      <c r="EW112" s="239">
        <v>0</v>
      </c>
      <c r="EX112" s="239">
        <v>0</v>
      </c>
      <c r="EY112" s="239">
        <v>0</v>
      </c>
      <c r="EZ112" s="239">
        <v>59488719</v>
      </c>
      <c r="FA112" s="239">
        <v>0</v>
      </c>
      <c r="FB112" s="239">
        <v>59488719</v>
      </c>
      <c r="FC112" s="239">
        <v>81471</v>
      </c>
      <c r="FD112" s="239">
        <v>0</v>
      </c>
      <c r="FE112" s="239">
        <v>81471</v>
      </c>
      <c r="FF112" s="239">
        <v>-4221431</v>
      </c>
      <c r="FG112" s="239">
        <v>0</v>
      </c>
      <c r="FH112" s="239">
        <v>-4221431</v>
      </c>
      <c r="FI112" s="239">
        <v>-1795691</v>
      </c>
      <c r="FJ112" s="239">
        <v>0</v>
      </c>
      <c r="FK112" s="239">
        <v>-1795691</v>
      </c>
      <c r="FL112" s="239">
        <v>-59685</v>
      </c>
      <c r="FM112" s="239">
        <v>0</v>
      </c>
      <c r="FN112" s="239">
        <v>-59685</v>
      </c>
      <c r="FO112" s="239">
        <v>-426713</v>
      </c>
      <c r="FP112" s="239">
        <v>0</v>
      </c>
      <c r="FQ112" s="239">
        <v>-426713</v>
      </c>
      <c r="FR112" s="239">
        <v>0</v>
      </c>
      <c r="FS112" s="239">
        <v>0</v>
      </c>
      <c r="FT112" s="239">
        <v>0</v>
      </c>
      <c r="FU112" s="239">
        <v>-6422049</v>
      </c>
      <c r="FV112" s="239">
        <v>0</v>
      </c>
      <c r="FW112" s="239">
        <v>-6422049</v>
      </c>
      <c r="FX112" s="239">
        <v>53066670</v>
      </c>
      <c r="FY112" s="239">
        <v>0</v>
      </c>
      <c r="FZ112" s="239">
        <v>53066670</v>
      </c>
      <c r="GA112" s="214" t="s">
        <v>1294</v>
      </c>
    </row>
    <row r="113" spans="1:183" s="214" customFormat="1" x14ac:dyDescent="0.2">
      <c r="B113" s="610" t="s">
        <v>309</v>
      </c>
      <c r="C113" s="610" t="s">
        <v>308</v>
      </c>
      <c r="D113" s="239">
        <v>0</v>
      </c>
      <c r="E113" s="239">
        <v>0</v>
      </c>
      <c r="F113" s="239">
        <v>0</v>
      </c>
      <c r="G113" s="239">
        <v>12680</v>
      </c>
      <c r="H113" s="239">
        <v>798</v>
      </c>
      <c r="I113" s="239">
        <v>13478</v>
      </c>
      <c r="J113" s="239">
        <v>0</v>
      </c>
      <c r="K113" s="239">
        <v>0</v>
      </c>
      <c r="L113" s="239">
        <v>0</v>
      </c>
      <c r="M113" s="239">
        <v>4875</v>
      </c>
      <c r="N113" s="239">
        <v>0</v>
      </c>
      <c r="O113" s="239">
        <v>4875</v>
      </c>
      <c r="P113" s="239">
        <v>17555</v>
      </c>
      <c r="Q113" s="239">
        <v>798</v>
      </c>
      <c r="R113" s="239">
        <v>18353</v>
      </c>
      <c r="S113" s="239">
        <v>-1408586</v>
      </c>
      <c r="T113" s="239">
        <v>-15109</v>
      </c>
      <c r="U113" s="239">
        <v>-1423695</v>
      </c>
      <c r="V113" s="239">
        <v>0</v>
      </c>
      <c r="W113" s="239">
        <v>0</v>
      </c>
      <c r="X113" s="239">
        <v>0</v>
      </c>
      <c r="Y113" s="239">
        <v>-88452</v>
      </c>
      <c r="Z113" s="239">
        <v>-5662</v>
      </c>
      <c r="AA113" s="239">
        <v>-94114</v>
      </c>
      <c r="AB113" s="239">
        <v>-68104</v>
      </c>
      <c r="AC113" s="239">
        <v>-3872</v>
      </c>
      <c r="AD113" s="239">
        <v>-71976</v>
      </c>
      <c r="AE113" s="239">
        <v>0</v>
      </c>
      <c r="AF113" s="239">
        <v>0</v>
      </c>
      <c r="AG113" s="239">
        <v>0</v>
      </c>
      <c r="AH113" s="239">
        <v>420985</v>
      </c>
      <c r="AI113" s="239">
        <v>11059</v>
      </c>
      <c r="AJ113" s="239">
        <v>432044</v>
      </c>
      <c r="AK113" s="239">
        <v>-2769</v>
      </c>
      <c r="AL113" s="239">
        <v>1009</v>
      </c>
      <c r="AM113" s="239">
        <v>-1760</v>
      </c>
      <c r="AN113" s="239">
        <v>-1172580</v>
      </c>
      <c r="AO113" s="239">
        <v>-40137</v>
      </c>
      <c r="AP113" s="239">
        <v>-1212717</v>
      </c>
      <c r="AQ113" s="239">
        <v>-102532</v>
      </c>
      <c r="AR113" s="239">
        <v>24877</v>
      </c>
      <c r="AS113" s="239">
        <v>-77655</v>
      </c>
      <c r="AT113" s="239">
        <v>-18566</v>
      </c>
      <c r="AU113" s="239">
        <v>0</v>
      </c>
      <c r="AV113" s="239">
        <v>-18566</v>
      </c>
      <c r="AW113" s="239">
        <v>-281</v>
      </c>
      <c r="AX113" s="239">
        <v>0</v>
      </c>
      <c r="AY113" s="239">
        <v>-281</v>
      </c>
      <c r="AZ113" s="239">
        <v>0</v>
      </c>
      <c r="BA113" s="239">
        <v>0</v>
      </c>
      <c r="BB113" s="239">
        <v>0</v>
      </c>
      <c r="BC113" s="239">
        <v>0</v>
      </c>
      <c r="BD113" s="239">
        <v>0</v>
      </c>
      <c r="BE113" s="239">
        <v>0</v>
      </c>
      <c r="BF113" s="239">
        <v>-2372781</v>
      </c>
      <c r="BG113" s="239">
        <v>-23963</v>
      </c>
      <c r="BH113" s="239">
        <v>-2396744</v>
      </c>
      <c r="BI113" s="239">
        <v>0</v>
      </c>
      <c r="BJ113" s="239">
        <v>0</v>
      </c>
      <c r="BK113" s="239">
        <v>0</v>
      </c>
      <c r="BL113" s="239">
        <v>0</v>
      </c>
      <c r="BM113" s="239">
        <v>0</v>
      </c>
      <c r="BN113" s="239">
        <v>0</v>
      </c>
      <c r="BO113" s="239">
        <v>-407390</v>
      </c>
      <c r="BP113" s="239">
        <v>-36983</v>
      </c>
      <c r="BQ113" s="239">
        <v>-444373</v>
      </c>
      <c r="BR113" s="239">
        <v>-3568</v>
      </c>
      <c r="BS113" s="239">
        <v>-75323</v>
      </c>
      <c r="BT113" s="239">
        <v>-78891</v>
      </c>
      <c r="BU113" s="239">
        <v>-410958</v>
      </c>
      <c r="BV113" s="239">
        <v>-112306</v>
      </c>
      <c r="BW113" s="239">
        <v>-523264</v>
      </c>
      <c r="BX113" s="239">
        <v>-107578</v>
      </c>
      <c r="BY113" s="239">
        <v>-10034</v>
      </c>
      <c r="BZ113" s="239">
        <v>-117612</v>
      </c>
      <c r="CA113" s="239">
        <v>-14877</v>
      </c>
      <c r="CB113" s="239">
        <v>6889</v>
      </c>
      <c r="CC113" s="239">
        <v>-7988</v>
      </c>
      <c r="CD113" s="239">
        <v>-67521</v>
      </c>
      <c r="CE113" s="239">
        <v>0</v>
      </c>
      <c r="CF113" s="239">
        <v>-67521</v>
      </c>
      <c r="CG113" s="239">
        <v>0</v>
      </c>
      <c r="CH113" s="239">
        <v>0</v>
      </c>
      <c r="CI113" s="239">
        <v>0</v>
      </c>
      <c r="CJ113" s="239">
        <v>-190</v>
      </c>
      <c r="CK113" s="239">
        <v>0</v>
      </c>
      <c r="CL113" s="239">
        <v>-190</v>
      </c>
      <c r="CM113" s="239">
        <v>0</v>
      </c>
      <c r="CN113" s="239">
        <v>0</v>
      </c>
      <c r="CO113" s="239">
        <v>0</v>
      </c>
      <c r="CP113" s="239">
        <v>0</v>
      </c>
      <c r="CQ113" s="239">
        <v>0</v>
      </c>
      <c r="CR113" s="239">
        <v>0</v>
      </c>
      <c r="CS113" s="239">
        <v>0</v>
      </c>
      <c r="CT113" s="239">
        <v>0</v>
      </c>
      <c r="CU113" s="239">
        <v>0</v>
      </c>
      <c r="CV113" s="239">
        <v>0</v>
      </c>
      <c r="CW113" s="239">
        <v>0</v>
      </c>
      <c r="CX113" s="239">
        <v>0</v>
      </c>
      <c r="CY113" s="239">
        <v>0</v>
      </c>
      <c r="CZ113" s="239">
        <v>0</v>
      </c>
      <c r="DA113" s="239">
        <v>0</v>
      </c>
      <c r="DB113" s="239">
        <v>0</v>
      </c>
      <c r="DC113" s="239">
        <v>-109189</v>
      </c>
      <c r="DD113" s="239">
        <v>-109189</v>
      </c>
      <c r="DE113" s="239">
        <v>0</v>
      </c>
      <c r="DF113" s="239">
        <v>2591</v>
      </c>
      <c r="DG113" s="239">
        <v>2591</v>
      </c>
      <c r="DH113" s="239">
        <v>-106598</v>
      </c>
      <c r="DI113" s="239">
        <v>0</v>
      </c>
      <c r="DJ113" s="239">
        <v>-190166</v>
      </c>
      <c r="DK113" s="239">
        <v>-109743</v>
      </c>
      <c r="DL113" s="239">
        <v>-299909</v>
      </c>
      <c r="DM113" s="239">
        <v>0</v>
      </c>
      <c r="DN113" s="239">
        <v>0</v>
      </c>
      <c r="DO113" s="239">
        <v>0</v>
      </c>
      <c r="DP113" s="239">
        <v>0</v>
      </c>
      <c r="DQ113" s="239">
        <v>0</v>
      </c>
      <c r="DR113" s="239">
        <v>0</v>
      </c>
      <c r="DS113" s="239">
        <v>-12367</v>
      </c>
      <c r="DT113" s="239">
        <v>0</v>
      </c>
      <c r="DU113" s="239">
        <v>-12367</v>
      </c>
      <c r="DV113" s="239">
        <v>0</v>
      </c>
      <c r="DW113" s="239">
        <v>0</v>
      </c>
      <c r="DX113" s="239">
        <v>0</v>
      </c>
      <c r="DY113" s="239">
        <v>-206393</v>
      </c>
      <c r="DZ113" s="239">
        <v>0</v>
      </c>
      <c r="EA113" s="239">
        <v>-206393</v>
      </c>
      <c r="EB113" s="239">
        <v>-27148</v>
      </c>
      <c r="EC113" s="239">
        <v>0</v>
      </c>
      <c r="ED113" s="239">
        <v>-27148</v>
      </c>
      <c r="EE113" s="239">
        <v>0</v>
      </c>
      <c r="EF113" s="239">
        <v>0</v>
      </c>
      <c r="EG113" s="239">
        <v>0</v>
      </c>
      <c r="EH113" s="239">
        <v>0</v>
      </c>
      <c r="EI113" s="239">
        <v>0</v>
      </c>
      <c r="EJ113" s="239">
        <v>0</v>
      </c>
      <c r="EK113" s="239">
        <v>0</v>
      </c>
      <c r="EL113" s="239">
        <v>-98</v>
      </c>
      <c r="EM113" s="239">
        <v>-98</v>
      </c>
      <c r="EN113" s="239">
        <v>-245908</v>
      </c>
      <c r="EO113" s="239">
        <v>-98</v>
      </c>
      <c r="EP113" s="239">
        <v>-246006</v>
      </c>
      <c r="EQ113" s="239">
        <v>0</v>
      </c>
      <c r="ER113" s="239">
        <v>0</v>
      </c>
      <c r="ES113" s="239">
        <v>0</v>
      </c>
      <c r="ET113" s="239">
        <v>0</v>
      </c>
      <c r="EU113" s="239">
        <v>0</v>
      </c>
      <c r="EV113" s="239">
        <v>0</v>
      </c>
      <c r="EW113" s="239">
        <v>0</v>
      </c>
      <c r="EX113" s="239">
        <v>0</v>
      </c>
      <c r="EY113" s="239">
        <v>0</v>
      </c>
      <c r="EZ113" s="239">
        <v>19060501</v>
      </c>
      <c r="FA113" s="239">
        <v>476354</v>
      </c>
      <c r="FB113" s="239">
        <v>19536855</v>
      </c>
      <c r="FC113" s="239">
        <v>17555</v>
      </c>
      <c r="FD113" s="239">
        <v>798</v>
      </c>
      <c r="FE113" s="239">
        <v>18353</v>
      </c>
      <c r="FF113" s="239">
        <v>-2372781</v>
      </c>
      <c r="FG113" s="239">
        <v>-23963</v>
      </c>
      <c r="FH113" s="239">
        <v>-2396744</v>
      </c>
      <c r="FI113" s="239">
        <v>-410958</v>
      </c>
      <c r="FJ113" s="239">
        <v>-112306</v>
      </c>
      <c r="FK113" s="239">
        <v>-523264</v>
      </c>
      <c r="FL113" s="239">
        <v>-190166</v>
      </c>
      <c r="FM113" s="239">
        <v>-109743</v>
      </c>
      <c r="FN113" s="239">
        <v>-299909</v>
      </c>
      <c r="FO113" s="239">
        <v>-245908</v>
      </c>
      <c r="FP113" s="239">
        <v>-98</v>
      </c>
      <c r="FQ113" s="239">
        <v>-246006</v>
      </c>
      <c r="FR113" s="239">
        <v>0</v>
      </c>
      <c r="FS113" s="239">
        <v>0</v>
      </c>
      <c r="FT113" s="239">
        <v>0</v>
      </c>
      <c r="FU113" s="239">
        <v>-3202258</v>
      </c>
      <c r="FV113" s="239">
        <v>-245312</v>
      </c>
      <c r="FW113" s="239">
        <v>-3447570</v>
      </c>
      <c r="FX113" s="239">
        <v>15858243</v>
      </c>
      <c r="FY113" s="239">
        <v>231042</v>
      </c>
      <c r="FZ113" s="239">
        <v>16089285</v>
      </c>
      <c r="GA113" s="214" t="s">
        <v>1294</v>
      </c>
    </row>
    <row r="114" spans="1:183" s="214" customFormat="1" x14ac:dyDescent="0.2">
      <c r="B114" s="610" t="s">
        <v>311</v>
      </c>
      <c r="C114" s="610" t="s">
        <v>310</v>
      </c>
      <c r="D114" s="239">
        <v>0</v>
      </c>
      <c r="E114" s="239">
        <v>0</v>
      </c>
      <c r="F114" s="239">
        <v>0</v>
      </c>
      <c r="G114" s="239">
        <v>-38937</v>
      </c>
      <c r="H114" s="239">
        <v>0</v>
      </c>
      <c r="I114" s="239">
        <v>-38937</v>
      </c>
      <c r="J114" s="239">
        <v>0</v>
      </c>
      <c r="K114" s="239">
        <v>0</v>
      </c>
      <c r="L114" s="239">
        <v>0</v>
      </c>
      <c r="M114" s="239">
        <v>0</v>
      </c>
      <c r="N114" s="239">
        <v>0</v>
      </c>
      <c r="O114" s="239">
        <v>0</v>
      </c>
      <c r="P114" s="239">
        <v>-38937</v>
      </c>
      <c r="Q114" s="239">
        <v>0</v>
      </c>
      <c r="R114" s="239">
        <v>-38937</v>
      </c>
      <c r="S114" s="239">
        <v>-1688199</v>
      </c>
      <c r="T114" s="239">
        <v>0</v>
      </c>
      <c r="U114" s="239">
        <v>-1688199</v>
      </c>
      <c r="V114" s="239">
        <v>-2384</v>
      </c>
      <c r="W114" s="239">
        <v>0</v>
      </c>
      <c r="X114" s="239">
        <v>-2384</v>
      </c>
      <c r="Y114" s="239">
        <v>-222797</v>
      </c>
      <c r="Z114" s="239">
        <v>0</v>
      </c>
      <c r="AA114" s="239">
        <v>-222797</v>
      </c>
      <c r="AB114" s="239">
        <v>-116353</v>
      </c>
      <c r="AC114" s="239">
        <v>0</v>
      </c>
      <c r="AD114" s="239">
        <v>-116353</v>
      </c>
      <c r="AE114" s="239">
        <v>0</v>
      </c>
      <c r="AF114" s="239">
        <v>0</v>
      </c>
      <c r="AG114" s="239">
        <v>0</v>
      </c>
      <c r="AH114" s="239">
        <v>683116</v>
      </c>
      <c r="AI114" s="239">
        <v>0</v>
      </c>
      <c r="AJ114" s="239">
        <v>683116</v>
      </c>
      <c r="AK114" s="239">
        <v>5131</v>
      </c>
      <c r="AL114" s="239">
        <v>0</v>
      </c>
      <c r="AM114" s="239">
        <v>5131</v>
      </c>
      <c r="AN114" s="239">
        <v>-2487433</v>
      </c>
      <c r="AO114" s="239">
        <v>0</v>
      </c>
      <c r="AP114" s="239">
        <v>-2487433</v>
      </c>
      <c r="AQ114" s="239">
        <v>-39822</v>
      </c>
      <c r="AR114" s="239">
        <v>0</v>
      </c>
      <c r="AS114" s="239">
        <v>-39822</v>
      </c>
      <c r="AT114" s="239">
        <v>-38957</v>
      </c>
      <c r="AU114" s="239">
        <v>0</v>
      </c>
      <c r="AV114" s="239">
        <v>-38957</v>
      </c>
      <c r="AW114" s="239">
        <v>0</v>
      </c>
      <c r="AX114" s="239">
        <v>0</v>
      </c>
      <c r="AY114" s="239">
        <v>0</v>
      </c>
      <c r="AZ114" s="239">
        <v>-8667</v>
      </c>
      <c r="BA114" s="239">
        <v>0</v>
      </c>
      <c r="BB114" s="239">
        <v>-8667</v>
      </c>
      <c r="BC114" s="239">
        <v>7920</v>
      </c>
      <c r="BD114" s="239">
        <v>0</v>
      </c>
      <c r="BE114" s="239">
        <v>7920</v>
      </c>
      <c r="BF114" s="239">
        <v>-3789708</v>
      </c>
      <c r="BG114" s="239">
        <v>0</v>
      </c>
      <c r="BH114" s="239">
        <v>-3789708</v>
      </c>
      <c r="BI114" s="239">
        <v>0</v>
      </c>
      <c r="BJ114" s="239">
        <v>0</v>
      </c>
      <c r="BK114" s="239">
        <v>0</v>
      </c>
      <c r="BL114" s="239">
        <v>0</v>
      </c>
      <c r="BM114" s="239">
        <v>0</v>
      </c>
      <c r="BN114" s="239">
        <v>0</v>
      </c>
      <c r="BO114" s="239">
        <v>-842255</v>
      </c>
      <c r="BP114" s="239">
        <v>0</v>
      </c>
      <c r="BQ114" s="239">
        <v>-842255</v>
      </c>
      <c r="BR114" s="239">
        <v>33762</v>
      </c>
      <c r="BS114" s="239">
        <v>0</v>
      </c>
      <c r="BT114" s="239">
        <v>33762</v>
      </c>
      <c r="BU114" s="239">
        <v>-808493</v>
      </c>
      <c r="BV114" s="239">
        <v>0</v>
      </c>
      <c r="BW114" s="239">
        <v>-808493</v>
      </c>
      <c r="BX114" s="239">
        <v>-130732</v>
      </c>
      <c r="BY114" s="239">
        <v>0</v>
      </c>
      <c r="BZ114" s="239">
        <v>-130732</v>
      </c>
      <c r="CA114" s="239">
        <v>0</v>
      </c>
      <c r="CB114" s="239">
        <v>0</v>
      </c>
      <c r="CC114" s="239">
        <v>0</v>
      </c>
      <c r="CD114" s="239">
        <v>-17505</v>
      </c>
      <c r="CE114" s="239">
        <v>0</v>
      </c>
      <c r="CF114" s="239">
        <v>-17505</v>
      </c>
      <c r="CG114" s="239">
        <v>-913</v>
      </c>
      <c r="CH114" s="239">
        <v>0</v>
      </c>
      <c r="CI114" s="239">
        <v>-913</v>
      </c>
      <c r="CJ114" s="239">
        <v>-224</v>
      </c>
      <c r="CK114" s="239">
        <v>0</v>
      </c>
      <c r="CL114" s="239">
        <v>-224</v>
      </c>
      <c r="CM114" s="239">
        <v>0</v>
      </c>
      <c r="CN114" s="239">
        <v>0</v>
      </c>
      <c r="CO114" s="239">
        <v>0</v>
      </c>
      <c r="CP114" s="239">
        <v>-2918</v>
      </c>
      <c r="CQ114" s="239">
        <v>0</v>
      </c>
      <c r="CR114" s="239">
        <v>-2918</v>
      </c>
      <c r="CS114" s="239">
        <v>0</v>
      </c>
      <c r="CT114" s="239">
        <v>0</v>
      </c>
      <c r="CU114" s="239">
        <v>0</v>
      </c>
      <c r="CV114" s="239">
        <v>0</v>
      </c>
      <c r="CW114" s="239">
        <v>0</v>
      </c>
      <c r="CX114" s="239">
        <v>0</v>
      </c>
      <c r="CY114" s="239">
        <v>0</v>
      </c>
      <c r="CZ114" s="239">
        <v>0</v>
      </c>
      <c r="DA114" s="239">
        <v>0</v>
      </c>
      <c r="DB114" s="239">
        <v>0</v>
      </c>
      <c r="DC114" s="239">
        <v>0</v>
      </c>
      <c r="DD114" s="239">
        <v>0</v>
      </c>
      <c r="DE114" s="239">
        <v>0</v>
      </c>
      <c r="DF114" s="239">
        <v>0</v>
      </c>
      <c r="DG114" s="239">
        <v>0</v>
      </c>
      <c r="DH114" s="239">
        <v>0</v>
      </c>
      <c r="DI114" s="239">
        <v>0</v>
      </c>
      <c r="DJ114" s="239">
        <v>-152292</v>
      </c>
      <c r="DK114" s="239">
        <v>0</v>
      </c>
      <c r="DL114" s="239">
        <v>-152292</v>
      </c>
      <c r="DM114" s="239">
        <v>0</v>
      </c>
      <c r="DN114" s="239">
        <v>0</v>
      </c>
      <c r="DO114" s="239">
        <v>0</v>
      </c>
      <c r="DP114" s="239">
        <v>0</v>
      </c>
      <c r="DQ114" s="239">
        <v>0</v>
      </c>
      <c r="DR114" s="239">
        <v>0</v>
      </c>
      <c r="DS114" s="239">
        <v>-14677</v>
      </c>
      <c r="DT114" s="239">
        <v>0</v>
      </c>
      <c r="DU114" s="239">
        <v>-14677</v>
      </c>
      <c r="DV114" s="239">
        <v>-4224</v>
      </c>
      <c r="DW114" s="239">
        <v>0</v>
      </c>
      <c r="DX114" s="239">
        <v>-4224</v>
      </c>
      <c r="DY114" s="239">
        <v>-533969</v>
      </c>
      <c r="DZ114" s="239">
        <v>0</v>
      </c>
      <c r="EA114" s="239">
        <v>-533969</v>
      </c>
      <c r="EB114" s="239">
        <v>816</v>
      </c>
      <c r="EC114" s="239">
        <v>0</v>
      </c>
      <c r="ED114" s="239">
        <v>816</v>
      </c>
      <c r="EE114" s="239">
        <v>0</v>
      </c>
      <c r="EF114" s="239">
        <v>0</v>
      </c>
      <c r="EG114" s="239">
        <v>0</v>
      </c>
      <c r="EH114" s="239">
        <v>0</v>
      </c>
      <c r="EI114" s="239">
        <v>0</v>
      </c>
      <c r="EJ114" s="239">
        <v>0</v>
      </c>
      <c r="EK114" s="239">
        <v>0</v>
      </c>
      <c r="EL114" s="239">
        <v>0</v>
      </c>
      <c r="EM114" s="239">
        <v>0</v>
      </c>
      <c r="EN114" s="239">
        <v>-552054</v>
      </c>
      <c r="EO114" s="239">
        <v>0</v>
      </c>
      <c r="EP114" s="239">
        <v>-552054</v>
      </c>
      <c r="EQ114" s="239">
        <v>0</v>
      </c>
      <c r="ER114" s="239">
        <v>0</v>
      </c>
      <c r="ES114" s="239">
        <v>0</v>
      </c>
      <c r="ET114" s="239">
        <v>0</v>
      </c>
      <c r="EU114" s="239">
        <v>0</v>
      </c>
      <c r="EV114" s="239">
        <v>0</v>
      </c>
      <c r="EW114" s="239">
        <v>0</v>
      </c>
      <c r="EX114" s="239">
        <v>0</v>
      </c>
      <c r="EY114" s="239">
        <v>0</v>
      </c>
      <c r="EZ114" s="239">
        <v>30046530</v>
      </c>
      <c r="FA114" s="239">
        <v>0</v>
      </c>
      <c r="FB114" s="239">
        <v>30046530</v>
      </c>
      <c r="FC114" s="239">
        <v>-38937</v>
      </c>
      <c r="FD114" s="239">
        <v>0</v>
      </c>
      <c r="FE114" s="239">
        <v>-38937</v>
      </c>
      <c r="FF114" s="239">
        <v>-3789708</v>
      </c>
      <c r="FG114" s="239">
        <v>0</v>
      </c>
      <c r="FH114" s="239">
        <v>-3789708</v>
      </c>
      <c r="FI114" s="239">
        <v>-808493</v>
      </c>
      <c r="FJ114" s="239">
        <v>0</v>
      </c>
      <c r="FK114" s="239">
        <v>-808493</v>
      </c>
      <c r="FL114" s="239">
        <v>-152292</v>
      </c>
      <c r="FM114" s="239">
        <v>0</v>
      </c>
      <c r="FN114" s="239">
        <v>-152292</v>
      </c>
      <c r="FO114" s="239">
        <v>-552054</v>
      </c>
      <c r="FP114" s="239">
        <v>0</v>
      </c>
      <c r="FQ114" s="239">
        <v>-552054</v>
      </c>
      <c r="FR114" s="239">
        <v>0</v>
      </c>
      <c r="FS114" s="239">
        <v>0</v>
      </c>
      <c r="FT114" s="239">
        <v>0</v>
      </c>
      <c r="FU114" s="239">
        <v>-5341484</v>
      </c>
      <c r="FV114" s="239">
        <v>0</v>
      </c>
      <c r="FW114" s="239">
        <v>-5341484</v>
      </c>
      <c r="FX114" s="239">
        <v>24705046</v>
      </c>
      <c r="FY114" s="239">
        <v>0</v>
      </c>
      <c r="FZ114" s="239">
        <v>24705046</v>
      </c>
      <c r="GA114" s="214" t="s">
        <v>1294</v>
      </c>
    </row>
    <row r="115" spans="1:183" s="214" customFormat="1" x14ac:dyDescent="0.2">
      <c r="A115" s="215" t="s">
        <v>1321</v>
      </c>
      <c r="B115" s="610" t="s">
        <v>313</v>
      </c>
      <c r="C115" s="610" t="s">
        <v>312</v>
      </c>
      <c r="D115" s="239">
        <v>0</v>
      </c>
      <c r="E115" s="239">
        <v>0</v>
      </c>
      <c r="F115" s="239">
        <v>0</v>
      </c>
      <c r="G115" s="239">
        <v>-46587</v>
      </c>
      <c r="H115" s="239">
        <v>0</v>
      </c>
      <c r="I115" s="239">
        <v>-46587</v>
      </c>
      <c r="J115" s="239">
        <v>0</v>
      </c>
      <c r="K115" s="239">
        <v>0</v>
      </c>
      <c r="L115" s="239">
        <v>0</v>
      </c>
      <c r="M115" s="239">
        <v>49350</v>
      </c>
      <c r="N115" s="239">
        <v>0</v>
      </c>
      <c r="O115" s="239">
        <v>49350</v>
      </c>
      <c r="P115" s="239">
        <v>2763</v>
      </c>
      <c r="Q115" s="239">
        <v>0</v>
      </c>
      <c r="R115" s="239">
        <v>2763</v>
      </c>
      <c r="S115" s="239">
        <v>-2821409</v>
      </c>
      <c r="T115" s="239">
        <v>0</v>
      </c>
      <c r="U115" s="239">
        <v>-2821409</v>
      </c>
      <c r="V115" s="239">
        <v>0</v>
      </c>
      <c r="W115" s="239">
        <v>0</v>
      </c>
      <c r="X115" s="239">
        <v>0</v>
      </c>
      <c r="Y115" s="239">
        <v>-215845</v>
      </c>
      <c r="Z115" s="239">
        <v>0</v>
      </c>
      <c r="AA115" s="239">
        <v>-215845</v>
      </c>
      <c r="AB115" s="239">
        <v>-120293</v>
      </c>
      <c r="AC115" s="239">
        <v>0</v>
      </c>
      <c r="AD115" s="239">
        <v>-120293</v>
      </c>
      <c r="AE115" s="239">
        <v>0</v>
      </c>
      <c r="AF115" s="239">
        <v>0</v>
      </c>
      <c r="AG115" s="239">
        <v>0</v>
      </c>
      <c r="AH115" s="239">
        <v>786931</v>
      </c>
      <c r="AI115" s="239">
        <v>14745</v>
      </c>
      <c r="AJ115" s="239">
        <v>801676</v>
      </c>
      <c r="AK115" s="239">
        <v>20534</v>
      </c>
      <c r="AL115" s="239">
        <v>0</v>
      </c>
      <c r="AM115" s="239">
        <v>20534</v>
      </c>
      <c r="AN115" s="239">
        <v>-1781438</v>
      </c>
      <c r="AO115" s="239">
        <v>0</v>
      </c>
      <c r="AP115" s="239">
        <v>-1781438</v>
      </c>
      <c r="AQ115" s="239">
        <v>-2671</v>
      </c>
      <c r="AR115" s="239">
        <v>0</v>
      </c>
      <c r="AS115" s="239">
        <v>-2671</v>
      </c>
      <c r="AT115" s="239">
        <v>-19720</v>
      </c>
      <c r="AU115" s="239">
        <v>0</v>
      </c>
      <c r="AV115" s="239">
        <v>-19720</v>
      </c>
      <c r="AW115" s="239">
        <v>0</v>
      </c>
      <c r="AX115" s="239">
        <v>0</v>
      </c>
      <c r="AY115" s="239">
        <v>0</v>
      </c>
      <c r="AZ115" s="239">
        <v>-1474</v>
      </c>
      <c r="BA115" s="239">
        <v>0</v>
      </c>
      <c r="BB115" s="239">
        <v>-1474</v>
      </c>
      <c r="BC115" s="239">
        <v>0</v>
      </c>
      <c r="BD115" s="239">
        <v>0</v>
      </c>
      <c r="BE115" s="239">
        <v>0</v>
      </c>
      <c r="BF115" s="239">
        <v>-4035092</v>
      </c>
      <c r="BG115" s="239">
        <v>14745</v>
      </c>
      <c r="BH115" s="239">
        <v>-4020347</v>
      </c>
      <c r="BI115" s="239">
        <v>0</v>
      </c>
      <c r="BJ115" s="239">
        <v>0</v>
      </c>
      <c r="BK115" s="239">
        <v>0</v>
      </c>
      <c r="BL115" s="239">
        <v>-93415</v>
      </c>
      <c r="BM115" s="239">
        <v>0</v>
      </c>
      <c r="BN115" s="239">
        <v>-93415</v>
      </c>
      <c r="BO115" s="239">
        <v>-1031369</v>
      </c>
      <c r="BP115" s="239">
        <v>-12950</v>
      </c>
      <c r="BQ115" s="239">
        <v>-1044319</v>
      </c>
      <c r="BR115" s="239">
        <v>-23808</v>
      </c>
      <c r="BS115" s="239">
        <v>0</v>
      </c>
      <c r="BT115" s="239">
        <v>-23808</v>
      </c>
      <c r="BU115" s="239">
        <v>-1148592</v>
      </c>
      <c r="BV115" s="239">
        <v>-12950</v>
      </c>
      <c r="BW115" s="239">
        <v>-1161542</v>
      </c>
      <c r="BX115" s="239">
        <v>-116202</v>
      </c>
      <c r="BY115" s="239">
        <v>0</v>
      </c>
      <c r="BZ115" s="239">
        <v>-116202</v>
      </c>
      <c r="CA115" s="239">
        <v>-827</v>
      </c>
      <c r="CB115" s="239">
        <v>0</v>
      </c>
      <c r="CC115" s="239">
        <v>-827</v>
      </c>
      <c r="CD115" s="239">
        <v>-38675</v>
      </c>
      <c r="CE115" s="239">
        <v>0</v>
      </c>
      <c r="CF115" s="239">
        <v>-38675</v>
      </c>
      <c r="CG115" s="239">
        <v>0</v>
      </c>
      <c r="CH115" s="239">
        <v>0</v>
      </c>
      <c r="CI115" s="239">
        <v>0</v>
      </c>
      <c r="CJ115" s="239">
        <v>0</v>
      </c>
      <c r="CK115" s="239">
        <v>0</v>
      </c>
      <c r="CL115" s="239">
        <v>0</v>
      </c>
      <c r="CM115" s="239">
        <v>0</v>
      </c>
      <c r="CN115" s="239">
        <v>0</v>
      </c>
      <c r="CO115" s="239">
        <v>0</v>
      </c>
      <c r="CP115" s="239">
        <v>-801</v>
      </c>
      <c r="CQ115" s="239">
        <v>0</v>
      </c>
      <c r="CR115" s="239">
        <v>-801</v>
      </c>
      <c r="CS115" s="239">
        <v>0</v>
      </c>
      <c r="CT115" s="239">
        <v>0</v>
      </c>
      <c r="CU115" s="239">
        <v>0</v>
      </c>
      <c r="CV115" s="239">
        <v>0</v>
      </c>
      <c r="CW115" s="239">
        <v>0</v>
      </c>
      <c r="CX115" s="239">
        <v>0</v>
      </c>
      <c r="CY115" s="239">
        <v>0</v>
      </c>
      <c r="CZ115" s="239">
        <v>0</v>
      </c>
      <c r="DA115" s="239">
        <v>0</v>
      </c>
      <c r="DB115" s="239">
        <v>0</v>
      </c>
      <c r="DC115" s="239">
        <v>-397150</v>
      </c>
      <c r="DD115" s="239">
        <v>-397150</v>
      </c>
      <c r="DE115" s="239">
        <v>0</v>
      </c>
      <c r="DF115" s="239">
        <v>-6439</v>
      </c>
      <c r="DG115" s="239">
        <v>-6439</v>
      </c>
      <c r="DH115" s="239">
        <v>-403589</v>
      </c>
      <c r="DI115" s="239">
        <v>0</v>
      </c>
      <c r="DJ115" s="239">
        <v>-156505</v>
      </c>
      <c r="DK115" s="239">
        <v>-403589</v>
      </c>
      <c r="DL115" s="239">
        <v>-560094</v>
      </c>
      <c r="DM115" s="239">
        <v>0</v>
      </c>
      <c r="DN115" s="239">
        <v>0</v>
      </c>
      <c r="DO115" s="239">
        <v>0</v>
      </c>
      <c r="DP115" s="239">
        <v>0</v>
      </c>
      <c r="DQ115" s="239">
        <v>0</v>
      </c>
      <c r="DR115" s="239">
        <v>0</v>
      </c>
      <c r="DS115" s="239">
        <v>-8686</v>
      </c>
      <c r="DT115" s="239">
        <v>0</v>
      </c>
      <c r="DU115" s="239">
        <v>-8686</v>
      </c>
      <c r="DV115" s="239">
        <v>-6429</v>
      </c>
      <c r="DW115" s="239">
        <v>0</v>
      </c>
      <c r="DX115" s="239">
        <v>-6429</v>
      </c>
      <c r="DY115" s="239">
        <v>-310610</v>
      </c>
      <c r="DZ115" s="239">
        <v>0</v>
      </c>
      <c r="EA115" s="239">
        <v>-310610</v>
      </c>
      <c r="EB115" s="239">
        <v>-60665</v>
      </c>
      <c r="EC115" s="239">
        <v>0</v>
      </c>
      <c r="ED115" s="239">
        <v>-60665</v>
      </c>
      <c r="EE115" s="239">
        <v>0</v>
      </c>
      <c r="EF115" s="239">
        <v>0</v>
      </c>
      <c r="EG115" s="239">
        <v>0</v>
      </c>
      <c r="EH115" s="239">
        <v>0</v>
      </c>
      <c r="EI115" s="239">
        <v>0</v>
      </c>
      <c r="EJ115" s="239">
        <v>0</v>
      </c>
      <c r="EK115" s="239">
        <v>-24139</v>
      </c>
      <c r="EL115" s="239">
        <v>0</v>
      </c>
      <c r="EM115" s="239">
        <v>-24139</v>
      </c>
      <c r="EN115" s="239">
        <v>-410529</v>
      </c>
      <c r="EO115" s="239">
        <v>0</v>
      </c>
      <c r="EP115" s="239">
        <v>-410529</v>
      </c>
      <c r="EQ115" s="239">
        <v>0</v>
      </c>
      <c r="ER115" s="239">
        <v>0</v>
      </c>
      <c r="ES115" s="239">
        <v>0</v>
      </c>
      <c r="ET115" s="239">
        <v>0</v>
      </c>
      <c r="EU115" s="239">
        <v>0</v>
      </c>
      <c r="EV115" s="239">
        <v>0</v>
      </c>
      <c r="EW115" s="239">
        <v>0</v>
      </c>
      <c r="EX115" s="239">
        <v>0</v>
      </c>
      <c r="EY115" s="239">
        <v>0</v>
      </c>
      <c r="EZ115" s="239">
        <v>35761048</v>
      </c>
      <c r="FA115" s="239">
        <v>570138</v>
      </c>
      <c r="FB115" s="239">
        <v>36331186</v>
      </c>
      <c r="FC115" s="239">
        <v>2763</v>
      </c>
      <c r="FD115" s="239">
        <v>0</v>
      </c>
      <c r="FE115" s="239">
        <v>2763</v>
      </c>
      <c r="FF115" s="239">
        <v>-4035092</v>
      </c>
      <c r="FG115" s="239">
        <v>14745</v>
      </c>
      <c r="FH115" s="239">
        <v>-4020347</v>
      </c>
      <c r="FI115" s="239">
        <v>-1148592</v>
      </c>
      <c r="FJ115" s="239">
        <v>-12950</v>
      </c>
      <c r="FK115" s="239">
        <v>-1161542</v>
      </c>
      <c r="FL115" s="239">
        <v>-156505</v>
      </c>
      <c r="FM115" s="239">
        <v>-403589</v>
      </c>
      <c r="FN115" s="239">
        <v>-560094</v>
      </c>
      <c r="FO115" s="239">
        <v>-410529</v>
      </c>
      <c r="FP115" s="239">
        <v>0</v>
      </c>
      <c r="FQ115" s="239">
        <v>-410529</v>
      </c>
      <c r="FR115" s="239">
        <v>0</v>
      </c>
      <c r="FS115" s="239">
        <v>0</v>
      </c>
      <c r="FT115" s="239">
        <v>0</v>
      </c>
      <c r="FU115" s="239">
        <v>-5747955</v>
      </c>
      <c r="FV115" s="239">
        <v>-401794</v>
      </c>
      <c r="FW115" s="239">
        <v>-6149749</v>
      </c>
      <c r="FX115" s="239">
        <v>30013093</v>
      </c>
      <c r="FY115" s="239">
        <v>168344</v>
      </c>
      <c r="FZ115" s="239">
        <v>30181437</v>
      </c>
      <c r="GA115" s="214" t="s">
        <v>1294</v>
      </c>
    </row>
    <row r="116" spans="1:183" s="214" customFormat="1" x14ac:dyDescent="0.2">
      <c r="B116" s="610" t="s">
        <v>315</v>
      </c>
      <c r="C116" s="610" t="s">
        <v>314</v>
      </c>
      <c r="D116" s="239">
        <v>0</v>
      </c>
      <c r="E116" s="239">
        <v>0</v>
      </c>
      <c r="F116" s="239">
        <v>0</v>
      </c>
      <c r="G116" s="239">
        <v>2366</v>
      </c>
      <c r="H116" s="239">
        <v>0</v>
      </c>
      <c r="I116" s="239">
        <v>2366</v>
      </c>
      <c r="J116" s="239">
        <v>0</v>
      </c>
      <c r="K116" s="239">
        <v>0</v>
      </c>
      <c r="L116" s="239">
        <v>0</v>
      </c>
      <c r="M116" s="239">
        <v>-6868</v>
      </c>
      <c r="N116" s="239">
        <v>0</v>
      </c>
      <c r="O116" s="239">
        <v>-6868</v>
      </c>
      <c r="P116" s="239">
        <v>-4502</v>
      </c>
      <c r="Q116" s="239">
        <v>0</v>
      </c>
      <c r="R116" s="239">
        <v>-4502</v>
      </c>
      <c r="S116" s="239">
        <v>-3390276</v>
      </c>
      <c r="T116" s="239">
        <v>0</v>
      </c>
      <c r="U116" s="239">
        <v>-3390276</v>
      </c>
      <c r="V116" s="239">
        <v>0</v>
      </c>
      <c r="W116" s="239">
        <v>0</v>
      </c>
      <c r="X116" s="239">
        <v>0</v>
      </c>
      <c r="Y116" s="239">
        <v>-88281</v>
      </c>
      <c r="Z116" s="239">
        <v>0</v>
      </c>
      <c r="AA116" s="239">
        <v>-88281</v>
      </c>
      <c r="AB116" s="239">
        <v>-50712</v>
      </c>
      <c r="AC116" s="239">
        <v>0</v>
      </c>
      <c r="AD116" s="239">
        <v>-50712</v>
      </c>
      <c r="AE116" s="239">
        <v>0</v>
      </c>
      <c r="AF116" s="239">
        <v>0</v>
      </c>
      <c r="AG116" s="239">
        <v>0</v>
      </c>
      <c r="AH116" s="239">
        <v>1950862</v>
      </c>
      <c r="AI116" s="239">
        <v>0</v>
      </c>
      <c r="AJ116" s="239">
        <v>1950862</v>
      </c>
      <c r="AK116" s="239">
        <v>-22976</v>
      </c>
      <c r="AL116" s="239">
        <v>0</v>
      </c>
      <c r="AM116" s="239">
        <v>-22976</v>
      </c>
      <c r="AN116" s="239">
        <v>-8028354</v>
      </c>
      <c r="AO116" s="239">
        <v>0</v>
      </c>
      <c r="AP116" s="239">
        <v>-8028354</v>
      </c>
      <c r="AQ116" s="239">
        <v>-436468</v>
      </c>
      <c r="AR116" s="239">
        <v>0</v>
      </c>
      <c r="AS116" s="239">
        <v>-436468</v>
      </c>
      <c r="AT116" s="239">
        <v>-120193</v>
      </c>
      <c r="AU116" s="239">
        <v>0</v>
      </c>
      <c r="AV116" s="239">
        <v>-120193</v>
      </c>
      <c r="AW116" s="239">
        <v>0</v>
      </c>
      <c r="AX116" s="239">
        <v>0</v>
      </c>
      <c r="AY116" s="239">
        <v>0</v>
      </c>
      <c r="AZ116" s="239">
        <v>0</v>
      </c>
      <c r="BA116" s="239">
        <v>0</v>
      </c>
      <c r="BB116" s="239">
        <v>0</v>
      </c>
      <c r="BC116" s="239">
        <v>0</v>
      </c>
      <c r="BD116" s="239">
        <v>0</v>
      </c>
      <c r="BE116" s="239">
        <v>0</v>
      </c>
      <c r="BF116" s="239">
        <v>-10135686</v>
      </c>
      <c r="BG116" s="239">
        <v>0</v>
      </c>
      <c r="BH116" s="239">
        <v>-10135686</v>
      </c>
      <c r="BI116" s="239">
        <v>-76440</v>
      </c>
      <c r="BJ116" s="239">
        <v>0</v>
      </c>
      <c r="BK116" s="239">
        <v>-76440</v>
      </c>
      <c r="BL116" s="239">
        <v>-34718</v>
      </c>
      <c r="BM116" s="239">
        <v>0</v>
      </c>
      <c r="BN116" s="239">
        <v>-34718</v>
      </c>
      <c r="BO116" s="239">
        <v>-1794932</v>
      </c>
      <c r="BP116" s="239">
        <v>0</v>
      </c>
      <c r="BQ116" s="239">
        <v>-1794932</v>
      </c>
      <c r="BR116" s="239">
        <v>1730045</v>
      </c>
      <c r="BS116" s="239">
        <v>0</v>
      </c>
      <c r="BT116" s="239">
        <v>1730045</v>
      </c>
      <c r="BU116" s="239">
        <v>-176045</v>
      </c>
      <c r="BV116" s="239">
        <v>0</v>
      </c>
      <c r="BW116" s="239">
        <v>-176045</v>
      </c>
      <c r="BX116" s="239">
        <v>-518943</v>
      </c>
      <c r="BY116" s="239">
        <v>0</v>
      </c>
      <c r="BZ116" s="239">
        <v>-518943</v>
      </c>
      <c r="CA116" s="239">
        <v>-6540</v>
      </c>
      <c r="CB116" s="239">
        <v>0</v>
      </c>
      <c r="CC116" s="239">
        <v>-6540</v>
      </c>
      <c r="CD116" s="239">
        <v>-51725</v>
      </c>
      <c r="CE116" s="239">
        <v>0</v>
      </c>
      <c r="CF116" s="239">
        <v>-51725</v>
      </c>
      <c r="CG116" s="239">
        <v>1668</v>
      </c>
      <c r="CH116" s="239">
        <v>0</v>
      </c>
      <c r="CI116" s="239">
        <v>1668</v>
      </c>
      <c r="CJ116" s="239">
        <v>0</v>
      </c>
      <c r="CK116" s="239">
        <v>0</v>
      </c>
      <c r="CL116" s="239">
        <v>0</v>
      </c>
      <c r="CM116" s="239">
        <v>0</v>
      </c>
      <c r="CN116" s="239">
        <v>0</v>
      </c>
      <c r="CO116" s="239">
        <v>0</v>
      </c>
      <c r="CP116" s="239">
        <v>0</v>
      </c>
      <c r="CQ116" s="239">
        <v>0</v>
      </c>
      <c r="CR116" s="239">
        <v>0</v>
      </c>
      <c r="CS116" s="239">
        <v>0</v>
      </c>
      <c r="CT116" s="239">
        <v>0</v>
      </c>
      <c r="CU116" s="239">
        <v>0</v>
      </c>
      <c r="CV116" s="239">
        <v>0</v>
      </c>
      <c r="CW116" s="239">
        <v>0</v>
      </c>
      <c r="CX116" s="239">
        <v>0</v>
      </c>
      <c r="CY116" s="239">
        <v>0</v>
      </c>
      <c r="CZ116" s="239">
        <v>0</v>
      </c>
      <c r="DA116" s="239">
        <v>0</v>
      </c>
      <c r="DB116" s="239">
        <v>0</v>
      </c>
      <c r="DC116" s="239">
        <v>0</v>
      </c>
      <c r="DD116" s="239">
        <v>0</v>
      </c>
      <c r="DE116" s="239">
        <v>0</v>
      </c>
      <c r="DF116" s="239">
        <v>0</v>
      </c>
      <c r="DG116" s="239">
        <v>0</v>
      </c>
      <c r="DH116" s="239">
        <v>0</v>
      </c>
      <c r="DI116" s="239">
        <v>0</v>
      </c>
      <c r="DJ116" s="239">
        <v>-575540</v>
      </c>
      <c r="DK116" s="239">
        <v>0</v>
      </c>
      <c r="DL116" s="239">
        <v>-575540</v>
      </c>
      <c r="DM116" s="239">
        <v>0</v>
      </c>
      <c r="DN116" s="239">
        <v>0</v>
      </c>
      <c r="DO116" s="239">
        <v>0</v>
      </c>
      <c r="DP116" s="239">
        <v>0</v>
      </c>
      <c r="DQ116" s="239">
        <v>0</v>
      </c>
      <c r="DR116" s="239">
        <v>0</v>
      </c>
      <c r="DS116" s="239">
        <v>-310868</v>
      </c>
      <c r="DT116" s="239">
        <v>0</v>
      </c>
      <c r="DU116" s="239">
        <v>-310868</v>
      </c>
      <c r="DV116" s="239">
        <v>17473</v>
      </c>
      <c r="DW116" s="239">
        <v>0</v>
      </c>
      <c r="DX116" s="239">
        <v>17473</v>
      </c>
      <c r="DY116" s="239">
        <v>-1113316</v>
      </c>
      <c r="DZ116" s="239">
        <v>0</v>
      </c>
      <c r="EA116" s="239">
        <v>-1113316</v>
      </c>
      <c r="EB116" s="239">
        <v>-28228</v>
      </c>
      <c r="EC116" s="239">
        <v>0</v>
      </c>
      <c r="ED116" s="239">
        <v>-28228</v>
      </c>
      <c r="EE116" s="239">
        <v>0</v>
      </c>
      <c r="EF116" s="239">
        <v>0</v>
      </c>
      <c r="EG116" s="239">
        <v>0</v>
      </c>
      <c r="EH116" s="239">
        <v>0</v>
      </c>
      <c r="EI116" s="239">
        <v>0</v>
      </c>
      <c r="EJ116" s="239">
        <v>0</v>
      </c>
      <c r="EK116" s="239">
        <v>0</v>
      </c>
      <c r="EL116" s="239">
        <v>0</v>
      </c>
      <c r="EM116" s="239">
        <v>0</v>
      </c>
      <c r="EN116" s="239">
        <v>-1434939</v>
      </c>
      <c r="EO116" s="239">
        <v>0</v>
      </c>
      <c r="EP116" s="239">
        <v>-1434939</v>
      </c>
      <c r="EQ116" s="239">
        <v>0</v>
      </c>
      <c r="ER116" s="239">
        <v>0</v>
      </c>
      <c r="ES116" s="239">
        <v>0</v>
      </c>
      <c r="ET116" s="239">
        <v>-6482</v>
      </c>
      <c r="EU116" s="239">
        <v>0</v>
      </c>
      <c r="EV116" s="239">
        <v>-6482</v>
      </c>
      <c r="EW116" s="239">
        <v>-6482</v>
      </c>
      <c r="EX116" s="239">
        <v>0</v>
      </c>
      <c r="EY116" s="239">
        <v>-6482</v>
      </c>
      <c r="EZ116" s="239">
        <v>83086870</v>
      </c>
      <c r="FA116" s="239">
        <v>0</v>
      </c>
      <c r="FB116" s="239">
        <v>83086870</v>
      </c>
      <c r="FC116" s="239">
        <v>-4502</v>
      </c>
      <c r="FD116" s="239">
        <v>0</v>
      </c>
      <c r="FE116" s="239">
        <v>-4502</v>
      </c>
      <c r="FF116" s="239">
        <v>-10135686</v>
      </c>
      <c r="FG116" s="239">
        <v>0</v>
      </c>
      <c r="FH116" s="239">
        <v>-10135686</v>
      </c>
      <c r="FI116" s="239">
        <v>-176045</v>
      </c>
      <c r="FJ116" s="239">
        <v>0</v>
      </c>
      <c r="FK116" s="239">
        <v>-176045</v>
      </c>
      <c r="FL116" s="239">
        <v>-575540</v>
      </c>
      <c r="FM116" s="239">
        <v>0</v>
      </c>
      <c r="FN116" s="239">
        <v>-575540</v>
      </c>
      <c r="FO116" s="239">
        <v>-1434939</v>
      </c>
      <c r="FP116" s="239">
        <v>0</v>
      </c>
      <c r="FQ116" s="239">
        <v>-1434939</v>
      </c>
      <c r="FR116" s="239">
        <v>-6482</v>
      </c>
      <c r="FS116" s="239">
        <v>0</v>
      </c>
      <c r="FT116" s="239">
        <v>-6482</v>
      </c>
      <c r="FU116" s="239">
        <v>-12333194</v>
      </c>
      <c r="FV116" s="239">
        <v>0</v>
      </c>
      <c r="FW116" s="239">
        <v>-12333194</v>
      </c>
      <c r="FX116" s="239">
        <v>70753676</v>
      </c>
      <c r="FY116" s="239">
        <v>0</v>
      </c>
      <c r="FZ116" s="239">
        <v>70753676</v>
      </c>
      <c r="GA116" s="214" t="s">
        <v>1297</v>
      </c>
    </row>
    <row r="117" spans="1:183" s="214" customFormat="1" x14ac:dyDescent="0.2">
      <c r="B117" s="610" t="s">
        <v>317</v>
      </c>
      <c r="C117" s="610" t="s">
        <v>316</v>
      </c>
      <c r="D117" s="239">
        <v>0</v>
      </c>
      <c r="E117" s="239">
        <v>0</v>
      </c>
      <c r="F117" s="239">
        <v>0</v>
      </c>
      <c r="G117" s="239">
        <v>-8472</v>
      </c>
      <c r="H117" s="239">
        <v>0</v>
      </c>
      <c r="I117" s="239">
        <v>-8472</v>
      </c>
      <c r="J117" s="239">
        <v>0</v>
      </c>
      <c r="K117" s="239">
        <v>0</v>
      </c>
      <c r="L117" s="239">
        <v>0</v>
      </c>
      <c r="M117" s="239">
        <v>-8673</v>
      </c>
      <c r="N117" s="239">
        <v>0</v>
      </c>
      <c r="O117" s="239">
        <v>-8673</v>
      </c>
      <c r="P117" s="239">
        <v>-17145</v>
      </c>
      <c r="Q117" s="239">
        <v>0</v>
      </c>
      <c r="R117" s="239">
        <v>-17145</v>
      </c>
      <c r="S117" s="239">
        <v>-1829595</v>
      </c>
      <c r="T117" s="239">
        <v>0</v>
      </c>
      <c r="U117" s="239">
        <v>-1829595</v>
      </c>
      <c r="V117" s="239">
        <v>-1725</v>
      </c>
      <c r="W117" s="239">
        <v>0</v>
      </c>
      <c r="X117" s="239">
        <v>-1725</v>
      </c>
      <c r="Y117" s="239">
        <v>-118765</v>
      </c>
      <c r="Z117" s="239">
        <v>0</v>
      </c>
      <c r="AA117" s="239">
        <v>-118765</v>
      </c>
      <c r="AB117" s="239">
        <v>-72122</v>
      </c>
      <c r="AC117" s="239">
        <v>0</v>
      </c>
      <c r="AD117" s="239">
        <v>-72122</v>
      </c>
      <c r="AE117" s="239">
        <v>0</v>
      </c>
      <c r="AF117" s="239">
        <v>0</v>
      </c>
      <c r="AG117" s="239">
        <v>0</v>
      </c>
      <c r="AH117" s="239">
        <v>2346594</v>
      </c>
      <c r="AI117" s="239">
        <v>0</v>
      </c>
      <c r="AJ117" s="239">
        <v>2346594</v>
      </c>
      <c r="AK117" s="239">
        <v>-13294</v>
      </c>
      <c r="AL117" s="239">
        <v>0</v>
      </c>
      <c r="AM117" s="239">
        <v>-13294</v>
      </c>
      <c r="AN117" s="239">
        <v>-8371959</v>
      </c>
      <c r="AO117" s="239">
        <v>0</v>
      </c>
      <c r="AP117" s="239">
        <v>-8371959</v>
      </c>
      <c r="AQ117" s="239">
        <v>-37041</v>
      </c>
      <c r="AR117" s="239">
        <v>0</v>
      </c>
      <c r="AS117" s="239">
        <v>-37041</v>
      </c>
      <c r="AT117" s="239">
        <v>-76112</v>
      </c>
      <c r="AU117" s="239">
        <v>0</v>
      </c>
      <c r="AV117" s="239">
        <v>-76112</v>
      </c>
      <c r="AW117" s="239">
        <v>0</v>
      </c>
      <c r="AX117" s="239">
        <v>0</v>
      </c>
      <c r="AY117" s="239">
        <v>0</v>
      </c>
      <c r="AZ117" s="239">
        <v>-19649</v>
      </c>
      <c r="BA117" s="239">
        <v>0</v>
      </c>
      <c r="BB117" s="239">
        <v>-19649</v>
      </c>
      <c r="BC117" s="239">
        <v>0</v>
      </c>
      <c r="BD117" s="239">
        <v>0</v>
      </c>
      <c r="BE117" s="239">
        <v>0</v>
      </c>
      <c r="BF117" s="239">
        <v>-8119821</v>
      </c>
      <c r="BG117" s="239">
        <v>0</v>
      </c>
      <c r="BH117" s="239">
        <v>-8119821</v>
      </c>
      <c r="BI117" s="239">
        <v>-31571</v>
      </c>
      <c r="BJ117" s="239">
        <v>0</v>
      </c>
      <c r="BK117" s="239">
        <v>-31571</v>
      </c>
      <c r="BL117" s="239">
        <v>-2076</v>
      </c>
      <c r="BM117" s="239">
        <v>0</v>
      </c>
      <c r="BN117" s="239">
        <v>-2076</v>
      </c>
      <c r="BO117" s="239">
        <v>-2508300</v>
      </c>
      <c r="BP117" s="239">
        <v>0</v>
      </c>
      <c r="BQ117" s="239">
        <v>-2508300</v>
      </c>
      <c r="BR117" s="239">
        <v>134093</v>
      </c>
      <c r="BS117" s="239">
        <v>0</v>
      </c>
      <c r="BT117" s="239">
        <v>134093</v>
      </c>
      <c r="BU117" s="239">
        <v>-2407854</v>
      </c>
      <c r="BV117" s="239">
        <v>0</v>
      </c>
      <c r="BW117" s="239">
        <v>-2407854</v>
      </c>
      <c r="BX117" s="239">
        <v>-140492</v>
      </c>
      <c r="BY117" s="239">
        <v>0</v>
      </c>
      <c r="BZ117" s="239">
        <v>-140492</v>
      </c>
      <c r="CA117" s="239">
        <v>1152</v>
      </c>
      <c r="CB117" s="239">
        <v>0</v>
      </c>
      <c r="CC117" s="239">
        <v>1152</v>
      </c>
      <c r="CD117" s="239">
        <v>-6420</v>
      </c>
      <c r="CE117" s="239">
        <v>0</v>
      </c>
      <c r="CF117" s="239">
        <v>-6420</v>
      </c>
      <c r="CG117" s="239">
        <v>0</v>
      </c>
      <c r="CH117" s="239">
        <v>0</v>
      </c>
      <c r="CI117" s="239">
        <v>0</v>
      </c>
      <c r="CJ117" s="239">
        <v>0</v>
      </c>
      <c r="CK117" s="239">
        <v>0</v>
      </c>
      <c r="CL117" s="239">
        <v>0</v>
      </c>
      <c r="CM117" s="239">
        <v>0</v>
      </c>
      <c r="CN117" s="239">
        <v>0</v>
      </c>
      <c r="CO117" s="239">
        <v>0</v>
      </c>
      <c r="CP117" s="239">
        <v>-19649</v>
      </c>
      <c r="CQ117" s="239">
        <v>0</v>
      </c>
      <c r="CR117" s="239">
        <v>-19649</v>
      </c>
      <c r="CS117" s="239">
        <v>0</v>
      </c>
      <c r="CT117" s="239">
        <v>0</v>
      </c>
      <c r="CU117" s="239">
        <v>0</v>
      </c>
      <c r="CV117" s="239">
        <v>-19299</v>
      </c>
      <c r="CW117" s="239">
        <v>0</v>
      </c>
      <c r="CX117" s="239">
        <v>-19299</v>
      </c>
      <c r="CY117" s="239">
        <v>539</v>
      </c>
      <c r="CZ117" s="239">
        <v>0</v>
      </c>
      <c r="DA117" s="239">
        <v>539</v>
      </c>
      <c r="DB117" s="239">
        <v>0</v>
      </c>
      <c r="DC117" s="239">
        <v>0</v>
      </c>
      <c r="DD117" s="239">
        <v>0</v>
      </c>
      <c r="DE117" s="239">
        <v>0</v>
      </c>
      <c r="DF117" s="239">
        <v>0</v>
      </c>
      <c r="DG117" s="239">
        <v>0</v>
      </c>
      <c r="DH117" s="239">
        <v>0</v>
      </c>
      <c r="DI117" s="239">
        <v>0</v>
      </c>
      <c r="DJ117" s="239">
        <v>-184169</v>
      </c>
      <c r="DK117" s="239">
        <v>0</v>
      </c>
      <c r="DL117" s="239">
        <v>-184169</v>
      </c>
      <c r="DM117" s="239">
        <v>0</v>
      </c>
      <c r="DN117" s="239">
        <v>0</v>
      </c>
      <c r="DO117" s="239">
        <v>0</v>
      </c>
      <c r="DP117" s="239">
        <v>0</v>
      </c>
      <c r="DQ117" s="239">
        <v>0</v>
      </c>
      <c r="DR117" s="239">
        <v>0</v>
      </c>
      <c r="DS117" s="239">
        <v>-70417</v>
      </c>
      <c r="DT117" s="239">
        <v>0</v>
      </c>
      <c r="DU117" s="239">
        <v>-70417</v>
      </c>
      <c r="DV117" s="239">
        <v>-6048</v>
      </c>
      <c r="DW117" s="239">
        <v>0</v>
      </c>
      <c r="DX117" s="239">
        <v>-6048</v>
      </c>
      <c r="DY117" s="239">
        <v>-524252</v>
      </c>
      <c r="DZ117" s="239">
        <v>0</v>
      </c>
      <c r="EA117" s="239">
        <v>-524252</v>
      </c>
      <c r="EB117" s="239">
        <v>-21786</v>
      </c>
      <c r="EC117" s="239">
        <v>0</v>
      </c>
      <c r="ED117" s="239">
        <v>-21786</v>
      </c>
      <c r="EE117" s="239">
        <v>0</v>
      </c>
      <c r="EF117" s="239">
        <v>0</v>
      </c>
      <c r="EG117" s="239">
        <v>0</v>
      </c>
      <c r="EH117" s="239">
        <v>0</v>
      </c>
      <c r="EI117" s="239">
        <v>0</v>
      </c>
      <c r="EJ117" s="239">
        <v>0</v>
      </c>
      <c r="EK117" s="239">
        <v>-10847</v>
      </c>
      <c r="EL117" s="239">
        <v>0</v>
      </c>
      <c r="EM117" s="239">
        <v>-10847</v>
      </c>
      <c r="EN117" s="239">
        <v>-633350</v>
      </c>
      <c r="EO117" s="239">
        <v>0</v>
      </c>
      <c r="EP117" s="239">
        <v>-633350</v>
      </c>
      <c r="EQ117" s="239">
        <v>0</v>
      </c>
      <c r="ER117" s="239">
        <v>0</v>
      </c>
      <c r="ES117" s="239">
        <v>0</v>
      </c>
      <c r="ET117" s="239">
        <v>668</v>
      </c>
      <c r="EU117" s="239">
        <v>0</v>
      </c>
      <c r="EV117" s="239">
        <v>668</v>
      </c>
      <c r="EW117" s="239">
        <v>668</v>
      </c>
      <c r="EX117" s="239">
        <v>0</v>
      </c>
      <c r="EY117" s="239">
        <v>668</v>
      </c>
      <c r="EZ117" s="239">
        <v>93204725</v>
      </c>
      <c r="FA117" s="239">
        <v>0</v>
      </c>
      <c r="FB117" s="239">
        <v>93204725</v>
      </c>
      <c r="FC117" s="239">
        <v>-17145</v>
      </c>
      <c r="FD117" s="239">
        <v>0</v>
      </c>
      <c r="FE117" s="239">
        <v>-17145</v>
      </c>
      <c r="FF117" s="239">
        <v>-8119821</v>
      </c>
      <c r="FG117" s="239">
        <v>0</v>
      </c>
      <c r="FH117" s="239">
        <v>-8119821</v>
      </c>
      <c r="FI117" s="239">
        <v>-2407854</v>
      </c>
      <c r="FJ117" s="239">
        <v>0</v>
      </c>
      <c r="FK117" s="239">
        <v>-2407854</v>
      </c>
      <c r="FL117" s="239">
        <v>-184169</v>
      </c>
      <c r="FM117" s="239">
        <v>0</v>
      </c>
      <c r="FN117" s="239">
        <v>-184169</v>
      </c>
      <c r="FO117" s="239">
        <v>-633350</v>
      </c>
      <c r="FP117" s="239">
        <v>0</v>
      </c>
      <c r="FQ117" s="239">
        <v>-633350</v>
      </c>
      <c r="FR117" s="239">
        <v>668</v>
      </c>
      <c r="FS117" s="239">
        <v>0</v>
      </c>
      <c r="FT117" s="239">
        <v>668</v>
      </c>
      <c r="FU117" s="239">
        <v>-11361671</v>
      </c>
      <c r="FV117" s="239">
        <v>0</v>
      </c>
      <c r="FW117" s="239">
        <v>-11361671</v>
      </c>
      <c r="FX117" s="239">
        <v>81843054</v>
      </c>
      <c r="FY117" s="239">
        <v>0</v>
      </c>
      <c r="FZ117" s="239">
        <v>81843054</v>
      </c>
      <c r="GA117" s="214" t="s">
        <v>1294</v>
      </c>
    </row>
    <row r="118" spans="1:183" s="214" customFormat="1" x14ac:dyDescent="0.2">
      <c r="B118" s="610" t="s">
        <v>319</v>
      </c>
      <c r="C118" s="610" t="s">
        <v>318</v>
      </c>
      <c r="D118" s="239">
        <v>0</v>
      </c>
      <c r="E118" s="239">
        <v>0</v>
      </c>
      <c r="F118" s="239">
        <v>0</v>
      </c>
      <c r="G118" s="239">
        <v>543526</v>
      </c>
      <c r="H118" s="239">
        <v>0</v>
      </c>
      <c r="I118" s="239">
        <v>543526</v>
      </c>
      <c r="J118" s="239">
        <v>0</v>
      </c>
      <c r="K118" s="239">
        <v>0</v>
      </c>
      <c r="L118" s="239">
        <v>0</v>
      </c>
      <c r="M118" s="239">
        <v>58519</v>
      </c>
      <c r="N118" s="239">
        <v>0</v>
      </c>
      <c r="O118" s="239">
        <v>58519</v>
      </c>
      <c r="P118" s="239">
        <v>602045</v>
      </c>
      <c r="Q118" s="239">
        <v>0</v>
      </c>
      <c r="R118" s="239">
        <v>602045</v>
      </c>
      <c r="S118" s="239">
        <v>-5769243</v>
      </c>
      <c r="T118" s="239">
        <v>0</v>
      </c>
      <c r="U118" s="239">
        <v>-5769243</v>
      </c>
      <c r="V118" s="239">
        <v>0</v>
      </c>
      <c r="W118" s="239">
        <v>0</v>
      </c>
      <c r="X118" s="239">
        <v>0</v>
      </c>
      <c r="Y118" s="239">
        <v>-429890</v>
      </c>
      <c r="Z118" s="239">
        <v>0</v>
      </c>
      <c r="AA118" s="239">
        <v>-429890</v>
      </c>
      <c r="AB118" s="239">
        <v>-302019</v>
      </c>
      <c r="AC118" s="239">
        <v>0</v>
      </c>
      <c r="AD118" s="239">
        <v>-302019</v>
      </c>
      <c r="AE118" s="239">
        <v>0</v>
      </c>
      <c r="AF118" s="239">
        <v>0</v>
      </c>
      <c r="AG118" s="239">
        <v>0</v>
      </c>
      <c r="AH118" s="239">
        <v>2310842</v>
      </c>
      <c r="AI118" s="239">
        <v>0</v>
      </c>
      <c r="AJ118" s="239">
        <v>2310842</v>
      </c>
      <c r="AK118" s="239">
        <v>-78283</v>
      </c>
      <c r="AL118" s="239">
        <v>0</v>
      </c>
      <c r="AM118" s="239">
        <v>-78283</v>
      </c>
      <c r="AN118" s="239">
        <v>-11812008</v>
      </c>
      <c r="AO118" s="239">
        <v>0</v>
      </c>
      <c r="AP118" s="239">
        <v>-11812008</v>
      </c>
      <c r="AQ118" s="239">
        <v>-1121768</v>
      </c>
      <c r="AR118" s="239">
        <v>0</v>
      </c>
      <c r="AS118" s="239">
        <v>-1121768</v>
      </c>
      <c r="AT118" s="239">
        <v>0</v>
      </c>
      <c r="AU118" s="239">
        <v>0</v>
      </c>
      <c r="AV118" s="239">
        <v>0</v>
      </c>
      <c r="AW118" s="239">
        <v>0</v>
      </c>
      <c r="AX118" s="239">
        <v>0</v>
      </c>
      <c r="AY118" s="239">
        <v>0</v>
      </c>
      <c r="AZ118" s="239">
        <v>0</v>
      </c>
      <c r="BA118" s="239">
        <v>0</v>
      </c>
      <c r="BB118" s="239">
        <v>0</v>
      </c>
      <c r="BC118" s="239">
        <v>0</v>
      </c>
      <c r="BD118" s="239">
        <v>0</v>
      </c>
      <c r="BE118" s="239">
        <v>0</v>
      </c>
      <c r="BF118" s="239">
        <v>-16900350</v>
      </c>
      <c r="BG118" s="239">
        <v>0</v>
      </c>
      <c r="BH118" s="239">
        <v>-16900350</v>
      </c>
      <c r="BI118" s="239">
        <v>-19874</v>
      </c>
      <c r="BJ118" s="239">
        <v>0</v>
      </c>
      <c r="BK118" s="239">
        <v>-19874</v>
      </c>
      <c r="BL118" s="239">
        <v>-308826</v>
      </c>
      <c r="BM118" s="239">
        <v>0</v>
      </c>
      <c r="BN118" s="239">
        <v>-308826</v>
      </c>
      <c r="BO118" s="239">
        <v>-3434551</v>
      </c>
      <c r="BP118" s="239">
        <v>0</v>
      </c>
      <c r="BQ118" s="239">
        <v>-3434551</v>
      </c>
      <c r="BR118" s="239">
        <v>6534</v>
      </c>
      <c r="BS118" s="239">
        <v>0</v>
      </c>
      <c r="BT118" s="239">
        <v>6534</v>
      </c>
      <c r="BU118" s="239">
        <v>-3756717</v>
      </c>
      <c r="BV118" s="239">
        <v>0</v>
      </c>
      <c r="BW118" s="239">
        <v>-3756717</v>
      </c>
      <c r="BX118" s="239">
        <v>-70551</v>
      </c>
      <c r="BY118" s="239">
        <v>0</v>
      </c>
      <c r="BZ118" s="239">
        <v>-70551</v>
      </c>
      <c r="CA118" s="239">
        <v>-50836</v>
      </c>
      <c r="CB118" s="239">
        <v>0</v>
      </c>
      <c r="CC118" s="239">
        <v>-50836</v>
      </c>
      <c r="CD118" s="239">
        <v>-13584</v>
      </c>
      <c r="CE118" s="239">
        <v>0</v>
      </c>
      <c r="CF118" s="239">
        <v>-13584</v>
      </c>
      <c r="CG118" s="239">
        <v>796</v>
      </c>
      <c r="CH118" s="239">
        <v>0</v>
      </c>
      <c r="CI118" s="239">
        <v>796</v>
      </c>
      <c r="CJ118" s="239">
        <v>0</v>
      </c>
      <c r="CK118" s="239">
        <v>0</v>
      </c>
      <c r="CL118" s="239">
        <v>0</v>
      </c>
      <c r="CM118" s="239">
        <v>0</v>
      </c>
      <c r="CN118" s="239">
        <v>0</v>
      </c>
      <c r="CO118" s="239">
        <v>0</v>
      </c>
      <c r="CP118" s="239">
        <v>0</v>
      </c>
      <c r="CQ118" s="239">
        <v>0</v>
      </c>
      <c r="CR118" s="239">
        <v>0</v>
      </c>
      <c r="CS118" s="239">
        <v>0</v>
      </c>
      <c r="CT118" s="239">
        <v>0</v>
      </c>
      <c r="CU118" s="239">
        <v>0</v>
      </c>
      <c r="CV118" s="239">
        <v>0</v>
      </c>
      <c r="CW118" s="239">
        <v>0</v>
      </c>
      <c r="CX118" s="239">
        <v>0</v>
      </c>
      <c r="CY118" s="239">
        <v>0</v>
      </c>
      <c r="CZ118" s="239">
        <v>0</v>
      </c>
      <c r="DA118" s="239">
        <v>0</v>
      </c>
      <c r="DB118" s="239">
        <v>0</v>
      </c>
      <c r="DC118" s="239">
        <v>0</v>
      </c>
      <c r="DD118" s="239">
        <v>0</v>
      </c>
      <c r="DE118" s="239">
        <v>0</v>
      </c>
      <c r="DF118" s="239">
        <v>0</v>
      </c>
      <c r="DG118" s="239">
        <v>0</v>
      </c>
      <c r="DH118" s="239">
        <v>0</v>
      </c>
      <c r="DI118" s="239">
        <v>0</v>
      </c>
      <c r="DJ118" s="239">
        <v>-134175</v>
      </c>
      <c r="DK118" s="239">
        <v>0</v>
      </c>
      <c r="DL118" s="239">
        <v>-134175</v>
      </c>
      <c r="DM118" s="239">
        <v>-2981</v>
      </c>
      <c r="DN118" s="239">
        <v>0</v>
      </c>
      <c r="DO118" s="239">
        <v>-2981</v>
      </c>
      <c r="DP118" s="239">
        <v>-6339</v>
      </c>
      <c r="DQ118" s="239">
        <v>0</v>
      </c>
      <c r="DR118" s="239">
        <v>-6339</v>
      </c>
      <c r="DS118" s="239">
        <v>-4320</v>
      </c>
      <c r="DT118" s="239">
        <v>0</v>
      </c>
      <c r="DU118" s="239">
        <v>-4320</v>
      </c>
      <c r="DV118" s="239">
        <v>-1289</v>
      </c>
      <c r="DW118" s="239">
        <v>0</v>
      </c>
      <c r="DX118" s="239">
        <v>-1289</v>
      </c>
      <c r="DY118" s="239">
        <v>-2274309</v>
      </c>
      <c r="DZ118" s="239">
        <v>0</v>
      </c>
      <c r="EA118" s="239">
        <v>-2274309</v>
      </c>
      <c r="EB118" s="239">
        <v>-234104</v>
      </c>
      <c r="EC118" s="239">
        <v>0</v>
      </c>
      <c r="ED118" s="239">
        <v>-234104</v>
      </c>
      <c r="EE118" s="239">
        <v>0</v>
      </c>
      <c r="EF118" s="239">
        <v>0</v>
      </c>
      <c r="EG118" s="239">
        <v>0</v>
      </c>
      <c r="EH118" s="239">
        <v>0</v>
      </c>
      <c r="EI118" s="239">
        <v>0</v>
      </c>
      <c r="EJ118" s="239">
        <v>0</v>
      </c>
      <c r="EK118" s="239">
        <v>-129250</v>
      </c>
      <c r="EL118" s="239">
        <v>0</v>
      </c>
      <c r="EM118" s="239">
        <v>-129250</v>
      </c>
      <c r="EN118" s="239">
        <v>-2652592</v>
      </c>
      <c r="EO118" s="239">
        <v>0</v>
      </c>
      <c r="EP118" s="239">
        <v>-2652592</v>
      </c>
      <c r="EQ118" s="239">
        <v>0</v>
      </c>
      <c r="ER118" s="239">
        <v>0</v>
      </c>
      <c r="ES118" s="239">
        <v>0</v>
      </c>
      <c r="ET118" s="239">
        <v>-5696</v>
      </c>
      <c r="EU118" s="239">
        <v>0</v>
      </c>
      <c r="EV118" s="239">
        <v>-5696</v>
      </c>
      <c r="EW118" s="239">
        <v>-5696</v>
      </c>
      <c r="EX118" s="239">
        <v>0</v>
      </c>
      <c r="EY118" s="239">
        <v>-5696</v>
      </c>
      <c r="EZ118" s="239">
        <v>110063301</v>
      </c>
      <c r="FA118" s="239">
        <v>0</v>
      </c>
      <c r="FB118" s="239">
        <v>110063301</v>
      </c>
      <c r="FC118" s="239">
        <v>602045</v>
      </c>
      <c r="FD118" s="239">
        <v>0</v>
      </c>
      <c r="FE118" s="239">
        <v>602045</v>
      </c>
      <c r="FF118" s="239">
        <v>-16900350</v>
      </c>
      <c r="FG118" s="239">
        <v>0</v>
      </c>
      <c r="FH118" s="239">
        <v>-16900350</v>
      </c>
      <c r="FI118" s="239">
        <v>-3756717</v>
      </c>
      <c r="FJ118" s="239">
        <v>0</v>
      </c>
      <c r="FK118" s="239">
        <v>-3756717</v>
      </c>
      <c r="FL118" s="239">
        <v>-134175</v>
      </c>
      <c r="FM118" s="239">
        <v>0</v>
      </c>
      <c r="FN118" s="239">
        <v>-134175</v>
      </c>
      <c r="FO118" s="239">
        <v>-2652592</v>
      </c>
      <c r="FP118" s="239">
        <v>0</v>
      </c>
      <c r="FQ118" s="239">
        <v>-2652592</v>
      </c>
      <c r="FR118" s="239">
        <v>-5696</v>
      </c>
      <c r="FS118" s="239">
        <v>0</v>
      </c>
      <c r="FT118" s="239">
        <v>-5696</v>
      </c>
      <c r="FU118" s="239">
        <v>-22847485</v>
      </c>
      <c r="FV118" s="239">
        <v>0</v>
      </c>
      <c r="FW118" s="239">
        <v>-22847485</v>
      </c>
      <c r="FX118" s="239">
        <v>87215816</v>
      </c>
      <c r="FY118" s="239">
        <v>0</v>
      </c>
      <c r="FZ118" s="239">
        <v>87215816</v>
      </c>
      <c r="GA118" s="214" t="s">
        <v>1297</v>
      </c>
    </row>
    <row r="119" spans="1:183" s="214" customFormat="1" x14ac:dyDescent="0.2">
      <c r="B119" s="610" t="s">
        <v>321</v>
      </c>
      <c r="C119" s="610" t="s">
        <v>320</v>
      </c>
      <c r="D119" s="239">
        <v>0</v>
      </c>
      <c r="E119" s="239">
        <v>0</v>
      </c>
      <c r="F119" s="239">
        <v>0</v>
      </c>
      <c r="G119" s="239">
        <v>4016</v>
      </c>
      <c r="H119" s="239">
        <v>0</v>
      </c>
      <c r="I119" s="239">
        <v>4016</v>
      </c>
      <c r="J119" s="239">
        <v>0</v>
      </c>
      <c r="K119" s="239">
        <v>0</v>
      </c>
      <c r="L119" s="239">
        <v>0</v>
      </c>
      <c r="M119" s="239">
        <v>85974</v>
      </c>
      <c r="N119" s="239">
        <v>0</v>
      </c>
      <c r="O119" s="239">
        <v>85974</v>
      </c>
      <c r="P119" s="239">
        <v>89990</v>
      </c>
      <c r="Q119" s="239">
        <v>0</v>
      </c>
      <c r="R119" s="239">
        <v>89990</v>
      </c>
      <c r="S119" s="239">
        <v>-1960084</v>
      </c>
      <c r="T119" s="239">
        <v>0</v>
      </c>
      <c r="U119" s="239">
        <v>-1960084</v>
      </c>
      <c r="V119" s="239">
        <v>-8657</v>
      </c>
      <c r="W119" s="239">
        <v>0</v>
      </c>
      <c r="X119" s="239">
        <v>-8657</v>
      </c>
      <c r="Y119" s="239">
        <v>-61650</v>
      </c>
      <c r="Z119" s="239">
        <v>0</v>
      </c>
      <c r="AA119" s="239">
        <v>-61650</v>
      </c>
      <c r="AB119" s="239">
        <v>-22886</v>
      </c>
      <c r="AC119" s="239">
        <v>0</v>
      </c>
      <c r="AD119" s="239">
        <v>-22886</v>
      </c>
      <c r="AE119" s="239">
        <v>-684</v>
      </c>
      <c r="AF119" s="239">
        <v>0</v>
      </c>
      <c r="AG119" s="239">
        <v>-684</v>
      </c>
      <c r="AH119" s="239">
        <v>1615927</v>
      </c>
      <c r="AI119" s="239">
        <v>0</v>
      </c>
      <c r="AJ119" s="239">
        <v>1615927</v>
      </c>
      <c r="AK119" s="239">
        <v>-18929</v>
      </c>
      <c r="AL119" s="239">
        <v>0</v>
      </c>
      <c r="AM119" s="239">
        <v>-18929</v>
      </c>
      <c r="AN119" s="239">
        <v>-2486944</v>
      </c>
      <c r="AO119" s="239">
        <v>0</v>
      </c>
      <c r="AP119" s="239">
        <v>-2486944</v>
      </c>
      <c r="AQ119" s="239">
        <v>-5980</v>
      </c>
      <c r="AR119" s="239">
        <v>0</v>
      </c>
      <c r="AS119" s="239">
        <v>-5980</v>
      </c>
      <c r="AT119" s="239">
        <v>-91205</v>
      </c>
      <c r="AU119" s="239">
        <v>0</v>
      </c>
      <c r="AV119" s="239">
        <v>-91205</v>
      </c>
      <c r="AW119" s="239">
        <v>0</v>
      </c>
      <c r="AX119" s="239">
        <v>0</v>
      </c>
      <c r="AY119" s="239">
        <v>0</v>
      </c>
      <c r="AZ119" s="239">
        <v>-1578</v>
      </c>
      <c r="BA119" s="239">
        <v>0</v>
      </c>
      <c r="BB119" s="239">
        <v>-1578</v>
      </c>
      <c r="BC119" s="239">
        <v>0</v>
      </c>
      <c r="BD119" s="239">
        <v>0</v>
      </c>
      <c r="BE119" s="239">
        <v>0</v>
      </c>
      <c r="BF119" s="239">
        <v>-3010443</v>
      </c>
      <c r="BG119" s="239">
        <v>0</v>
      </c>
      <c r="BH119" s="239">
        <v>-3010443</v>
      </c>
      <c r="BI119" s="239">
        <v>0</v>
      </c>
      <c r="BJ119" s="239">
        <v>0</v>
      </c>
      <c r="BK119" s="239">
        <v>0</v>
      </c>
      <c r="BL119" s="239">
        <v>97599</v>
      </c>
      <c r="BM119" s="239">
        <v>0</v>
      </c>
      <c r="BN119" s="239">
        <v>97599</v>
      </c>
      <c r="BO119" s="239">
        <v>-1563157</v>
      </c>
      <c r="BP119" s="239">
        <v>0</v>
      </c>
      <c r="BQ119" s="239">
        <v>-1563157</v>
      </c>
      <c r="BR119" s="239">
        <v>165512</v>
      </c>
      <c r="BS119" s="239">
        <v>0</v>
      </c>
      <c r="BT119" s="239">
        <v>165512</v>
      </c>
      <c r="BU119" s="239">
        <v>-1300046</v>
      </c>
      <c r="BV119" s="239">
        <v>0</v>
      </c>
      <c r="BW119" s="239">
        <v>-1300046</v>
      </c>
      <c r="BX119" s="239">
        <v>-82472</v>
      </c>
      <c r="BY119" s="239">
        <v>0</v>
      </c>
      <c r="BZ119" s="239">
        <v>-82472</v>
      </c>
      <c r="CA119" s="239">
        <v>-7114</v>
      </c>
      <c r="CB119" s="239">
        <v>0</v>
      </c>
      <c r="CC119" s="239">
        <v>-7114</v>
      </c>
      <c r="CD119" s="239">
        <v>-269898</v>
      </c>
      <c r="CE119" s="239">
        <v>0</v>
      </c>
      <c r="CF119" s="239">
        <v>-269898</v>
      </c>
      <c r="CG119" s="239">
        <v>264</v>
      </c>
      <c r="CH119" s="239">
        <v>0</v>
      </c>
      <c r="CI119" s="239">
        <v>264</v>
      </c>
      <c r="CJ119" s="239">
        <v>-13853</v>
      </c>
      <c r="CK119" s="239">
        <v>0</v>
      </c>
      <c r="CL119" s="239">
        <v>-13853</v>
      </c>
      <c r="CM119" s="239">
        <v>0</v>
      </c>
      <c r="CN119" s="239">
        <v>0</v>
      </c>
      <c r="CO119" s="239">
        <v>0</v>
      </c>
      <c r="CP119" s="239">
        <v>0</v>
      </c>
      <c r="CQ119" s="239">
        <v>0</v>
      </c>
      <c r="CR119" s="239">
        <v>0</v>
      </c>
      <c r="CS119" s="239">
        <v>0</v>
      </c>
      <c r="CT119" s="239">
        <v>0</v>
      </c>
      <c r="CU119" s="239">
        <v>0</v>
      </c>
      <c r="CV119" s="239">
        <v>0</v>
      </c>
      <c r="CW119" s="239">
        <v>0</v>
      </c>
      <c r="CX119" s="239">
        <v>0</v>
      </c>
      <c r="CY119" s="239">
        <v>0</v>
      </c>
      <c r="CZ119" s="239">
        <v>0</v>
      </c>
      <c r="DA119" s="239">
        <v>0</v>
      </c>
      <c r="DB119" s="239">
        <v>-33252</v>
      </c>
      <c r="DC119" s="239">
        <v>-139046</v>
      </c>
      <c r="DD119" s="239">
        <v>-172298</v>
      </c>
      <c r="DE119" s="239">
        <v>0</v>
      </c>
      <c r="DF119" s="239">
        <v>0</v>
      </c>
      <c r="DG119" s="239">
        <v>0</v>
      </c>
      <c r="DH119" s="239">
        <v>-145046</v>
      </c>
      <c r="DI119" s="239">
        <v>-33252</v>
      </c>
      <c r="DJ119" s="239">
        <v>-406325</v>
      </c>
      <c r="DK119" s="239">
        <v>-139046</v>
      </c>
      <c r="DL119" s="239">
        <v>-545371</v>
      </c>
      <c r="DM119" s="239">
        <v>0</v>
      </c>
      <c r="DN119" s="239">
        <v>0</v>
      </c>
      <c r="DO119" s="239">
        <v>0</v>
      </c>
      <c r="DP119" s="239">
        <v>0</v>
      </c>
      <c r="DQ119" s="239">
        <v>0</v>
      </c>
      <c r="DR119" s="239">
        <v>0</v>
      </c>
      <c r="DS119" s="239">
        <v>-25522</v>
      </c>
      <c r="DT119" s="239">
        <v>0</v>
      </c>
      <c r="DU119" s="239">
        <v>-25522</v>
      </c>
      <c r="DV119" s="239">
        <v>-499</v>
      </c>
      <c r="DW119" s="239">
        <v>0</v>
      </c>
      <c r="DX119" s="239">
        <v>-499</v>
      </c>
      <c r="DY119" s="239">
        <v>-512821</v>
      </c>
      <c r="DZ119" s="239">
        <v>0</v>
      </c>
      <c r="EA119" s="239">
        <v>-512821</v>
      </c>
      <c r="EB119" s="239">
        <v>11746</v>
      </c>
      <c r="EC119" s="239">
        <v>0</v>
      </c>
      <c r="ED119" s="239">
        <v>11746</v>
      </c>
      <c r="EE119" s="239">
        <v>0</v>
      </c>
      <c r="EF119" s="239">
        <v>0</v>
      </c>
      <c r="EG119" s="239">
        <v>0</v>
      </c>
      <c r="EH119" s="239">
        <v>0</v>
      </c>
      <c r="EI119" s="239">
        <v>0</v>
      </c>
      <c r="EJ119" s="239">
        <v>0</v>
      </c>
      <c r="EK119" s="239">
        <v>0</v>
      </c>
      <c r="EL119" s="239">
        <v>0</v>
      </c>
      <c r="EM119" s="239">
        <v>0</v>
      </c>
      <c r="EN119" s="239">
        <v>-527096</v>
      </c>
      <c r="EO119" s="239">
        <v>0</v>
      </c>
      <c r="EP119" s="239">
        <v>-527096</v>
      </c>
      <c r="EQ119" s="239">
        <v>0</v>
      </c>
      <c r="ER119" s="239">
        <v>0</v>
      </c>
      <c r="ES119" s="239">
        <v>0</v>
      </c>
      <c r="ET119" s="239">
        <v>0</v>
      </c>
      <c r="EU119" s="239">
        <v>0</v>
      </c>
      <c r="EV119" s="239">
        <v>0</v>
      </c>
      <c r="EW119" s="239">
        <v>0</v>
      </c>
      <c r="EX119" s="239">
        <v>0</v>
      </c>
      <c r="EY119" s="239">
        <v>0</v>
      </c>
      <c r="EZ119" s="239">
        <v>62445807</v>
      </c>
      <c r="FA119" s="239">
        <v>139046</v>
      </c>
      <c r="FB119" s="239">
        <v>62584853</v>
      </c>
      <c r="FC119" s="239">
        <v>89990</v>
      </c>
      <c r="FD119" s="239">
        <v>0</v>
      </c>
      <c r="FE119" s="239">
        <v>89990</v>
      </c>
      <c r="FF119" s="239">
        <v>-3010443</v>
      </c>
      <c r="FG119" s="239">
        <v>0</v>
      </c>
      <c r="FH119" s="239">
        <v>-3010443</v>
      </c>
      <c r="FI119" s="239">
        <v>-1300046</v>
      </c>
      <c r="FJ119" s="239">
        <v>0</v>
      </c>
      <c r="FK119" s="239">
        <v>-1300046</v>
      </c>
      <c r="FL119" s="239">
        <v>-406325</v>
      </c>
      <c r="FM119" s="239">
        <v>-139046</v>
      </c>
      <c r="FN119" s="239">
        <v>-545371</v>
      </c>
      <c r="FO119" s="239">
        <v>-527096</v>
      </c>
      <c r="FP119" s="239">
        <v>0</v>
      </c>
      <c r="FQ119" s="239">
        <v>-527096</v>
      </c>
      <c r="FR119" s="239">
        <v>0</v>
      </c>
      <c r="FS119" s="239">
        <v>0</v>
      </c>
      <c r="FT119" s="239">
        <v>0</v>
      </c>
      <c r="FU119" s="239">
        <v>-5153920</v>
      </c>
      <c r="FV119" s="239">
        <v>-139046</v>
      </c>
      <c r="FW119" s="239">
        <v>-5292966</v>
      </c>
      <c r="FX119" s="239">
        <v>57291887</v>
      </c>
      <c r="FY119" s="239">
        <v>0</v>
      </c>
      <c r="FZ119" s="239">
        <v>57291887</v>
      </c>
      <c r="GA119" s="214" t="s">
        <v>748</v>
      </c>
    </row>
    <row r="120" spans="1:183" s="214" customFormat="1" x14ac:dyDescent="0.2">
      <c r="B120" s="610" t="s">
        <v>323</v>
      </c>
      <c r="C120" s="610" t="s">
        <v>322</v>
      </c>
      <c r="D120" s="239">
        <v>0</v>
      </c>
      <c r="E120" s="239">
        <v>0</v>
      </c>
      <c r="F120" s="239">
        <v>0</v>
      </c>
      <c r="G120" s="239">
        <v>14055</v>
      </c>
      <c r="H120" s="239">
        <v>0</v>
      </c>
      <c r="I120" s="239">
        <v>14055</v>
      </c>
      <c r="J120" s="239">
        <v>0</v>
      </c>
      <c r="K120" s="239">
        <v>0</v>
      </c>
      <c r="L120" s="239">
        <v>0</v>
      </c>
      <c r="M120" s="239">
        <v>-6005</v>
      </c>
      <c r="N120" s="239">
        <v>0</v>
      </c>
      <c r="O120" s="239">
        <v>-6005</v>
      </c>
      <c r="P120" s="239">
        <v>8050</v>
      </c>
      <c r="Q120" s="239">
        <v>0</v>
      </c>
      <c r="R120" s="239">
        <v>8050</v>
      </c>
      <c r="S120" s="239">
        <v>-2858888</v>
      </c>
      <c r="T120" s="239">
        <v>0</v>
      </c>
      <c r="U120" s="239">
        <v>-2858888</v>
      </c>
      <c r="V120" s="239">
        <v>-13103</v>
      </c>
      <c r="W120" s="239">
        <v>0</v>
      </c>
      <c r="X120" s="239">
        <v>-13103</v>
      </c>
      <c r="Y120" s="239">
        <v>-360762</v>
      </c>
      <c r="Z120" s="239">
        <v>0</v>
      </c>
      <c r="AA120" s="239">
        <v>-360762</v>
      </c>
      <c r="AB120" s="239">
        <v>-160632</v>
      </c>
      <c r="AC120" s="239">
        <v>0</v>
      </c>
      <c r="AD120" s="239">
        <v>-160632</v>
      </c>
      <c r="AE120" s="239">
        <v>2265</v>
      </c>
      <c r="AF120" s="239">
        <v>0</v>
      </c>
      <c r="AG120" s="239">
        <v>2265</v>
      </c>
      <c r="AH120" s="239">
        <v>662986</v>
      </c>
      <c r="AI120" s="239">
        <v>0</v>
      </c>
      <c r="AJ120" s="239">
        <v>662986</v>
      </c>
      <c r="AK120" s="239">
        <v>11921</v>
      </c>
      <c r="AL120" s="239">
        <v>0</v>
      </c>
      <c r="AM120" s="239">
        <v>11921</v>
      </c>
      <c r="AN120" s="239">
        <v>-932471</v>
      </c>
      <c r="AO120" s="239">
        <v>0</v>
      </c>
      <c r="AP120" s="239">
        <v>-932471</v>
      </c>
      <c r="AQ120" s="239">
        <v>-11564</v>
      </c>
      <c r="AR120" s="239">
        <v>0</v>
      </c>
      <c r="AS120" s="239">
        <v>-11564</v>
      </c>
      <c r="AT120" s="239">
        <v>-101738</v>
      </c>
      <c r="AU120" s="239">
        <v>0</v>
      </c>
      <c r="AV120" s="239">
        <v>-101738</v>
      </c>
      <c r="AW120" s="239">
        <v>0</v>
      </c>
      <c r="AX120" s="239">
        <v>0</v>
      </c>
      <c r="AY120" s="239">
        <v>0</v>
      </c>
      <c r="AZ120" s="239">
        <v>-69397</v>
      </c>
      <c r="BA120" s="239">
        <v>0</v>
      </c>
      <c r="BB120" s="239">
        <v>-69397</v>
      </c>
      <c r="BC120" s="239">
        <v>-5652</v>
      </c>
      <c r="BD120" s="239">
        <v>0</v>
      </c>
      <c r="BE120" s="239">
        <v>-5652</v>
      </c>
      <c r="BF120" s="239">
        <v>-3665565</v>
      </c>
      <c r="BG120" s="239">
        <v>0</v>
      </c>
      <c r="BH120" s="239">
        <v>-3665565</v>
      </c>
      <c r="BI120" s="239">
        <v>-10436</v>
      </c>
      <c r="BJ120" s="239">
        <v>0</v>
      </c>
      <c r="BK120" s="239">
        <v>-10436</v>
      </c>
      <c r="BL120" s="239">
        <v>0</v>
      </c>
      <c r="BM120" s="239">
        <v>0</v>
      </c>
      <c r="BN120" s="239">
        <v>0</v>
      </c>
      <c r="BO120" s="239">
        <v>-805366</v>
      </c>
      <c r="BP120" s="239">
        <v>0</v>
      </c>
      <c r="BQ120" s="239">
        <v>-805366</v>
      </c>
      <c r="BR120" s="239">
        <v>-237953</v>
      </c>
      <c r="BS120" s="239">
        <v>0</v>
      </c>
      <c r="BT120" s="239">
        <v>-237953</v>
      </c>
      <c r="BU120" s="239">
        <v>-1053755</v>
      </c>
      <c r="BV120" s="239">
        <v>0</v>
      </c>
      <c r="BW120" s="239">
        <v>-1053755</v>
      </c>
      <c r="BX120" s="239">
        <v>-71857</v>
      </c>
      <c r="BY120" s="239">
        <v>0</v>
      </c>
      <c r="BZ120" s="239">
        <v>-71857</v>
      </c>
      <c r="CA120" s="239">
        <v>359</v>
      </c>
      <c r="CB120" s="239">
        <v>0</v>
      </c>
      <c r="CC120" s="239">
        <v>359</v>
      </c>
      <c r="CD120" s="239">
        <v>-24872</v>
      </c>
      <c r="CE120" s="239">
        <v>0</v>
      </c>
      <c r="CF120" s="239">
        <v>-24872</v>
      </c>
      <c r="CG120" s="239">
        <v>-1434</v>
      </c>
      <c r="CH120" s="239">
        <v>0</v>
      </c>
      <c r="CI120" s="239">
        <v>-1434</v>
      </c>
      <c r="CJ120" s="239">
        <v>-1404</v>
      </c>
      <c r="CK120" s="239">
        <v>0</v>
      </c>
      <c r="CL120" s="239">
        <v>-1404</v>
      </c>
      <c r="CM120" s="239">
        <v>0</v>
      </c>
      <c r="CN120" s="239">
        <v>0</v>
      </c>
      <c r="CO120" s="239">
        <v>0</v>
      </c>
      <c r="CP120" s="239">
        <v>-13224</v>
      </c>
      <c r="CQ120" s="239">
        <v>0</v>
      </c>
      <c r="CR120" s="239">
        <v>-13224</v>
      </c>
      <c r="CS120" s="239">
        <v>0</v>
      </c>
      <c r="CT120" s="239">
        <v>0</v>
      </c>
      <c r="CU120" s="239">
        <v>0</v>
      </c>
      <c r="CV120" s="239">
        <v>-371</v>
      </c>
      <c r="CW120" s="239">
        <v>0</v>
      </c>
      <c r="CX120" s="239">
        <v>-371</v>
      </c>
      <c r="CY120" s="239">
        <v>0</v>
      </c>
      <c r="CZ120" s="239">
        <v>0</v>
      </c>
      <c r="DA120" s="239">
        <v>0</v>
      </c>
      <c r="DB120" s="239">
        <v>0</v>
      </c>
      <c r="DC120" s="239">
        <v>0</v>
      </c>
      <c r="DD120" s="239">
        <v>0</v>
      </c>
      <c r="DE120" s="239">
        <v>0</v>
      </c>
      <c r="DF120" s="239">
        <v>0</v>
      </c>
      <c r="DG120" s="239">
        <v>0</v>
      </c>
      <c r="DH120" s="239">
        <v>0</v>
      </c>
      <c r="DI120" s="239">
        <v>0</v>
      </c>
      <c r="DJ120" s="239">
        <v>-112803</v>
      </c>
      <c r="DK120" s="239">
        <v>0</v>
      </c>
      <c r="DL120" s="239">
        <v>-112803</v>
      </c>
      <c r="DM120" s="239">
        <v>0</v>
      </c>
      <c r="DN120" s="239">
        <v>0</v>
      </c>
      <c r="DO120" s="239">
        <v>0</v>
      </c>
      <c r="DP120" s="239">
        <v>0</v>
      </c>
      <c r="DQ120" s="239">
        <v>0</v>
      </c>
      <c r="DR120" s="239">
        <v>0</v>
      </c>
      <c r="DS120" s="239">
        <v>-4570</v>
      </c>
      <c r="DT120" s="239">
        <v>0</v>
      </c>
      <c r="DU120" s="239">
        <v>-4570</v>
      </c>
      <c r="DV120" s="239">
        <v>196</v>
      </c>
      <c r="DW120" s="239">
        <v>0</v>
      </c>
      <c r="DX120" s="239">
        <v>196</v>
      </c>
      <c r="DY120" s="239">
        <v>-536072</v>
      </c>
      <c r="DZ120" s="239">
        <v>0</v>
      </c>
      <c r="EA120" s="239">
        <v>-536072</v>
      </c>
      <c r="EB120" s="239">
        <v>-28778</v>
      </c>
      <c r="EC120" s="239">
        <v>0</v>
      </c>
      <c r="ED120" s="239">
        <v>-28778</v>
      </c>
      <c r="EE120" s="239">
        <v>-12953</v>
      </c>
      <c r="EF120" s="239">
        <v>0</v>
      </c>
      <c r="EG120" s="239">
        <v>-12953</v>
      </c>
      <c r="EH120" s="239">
        <v>0</v>
      </c>
      <c r="EI120" s="239">
        <v>0</v>
      </c>
      <c r="EJ120" s="239">
        <v>0</v>
      </c>
      <c r="EK120" s="239">
        <v>-1848</v>
      </c>
      <c r="EL120" s="239">
        <v>0</v>
      </c>
      <c r="EM120" s="239">
        <v>-1848</v>
      </c>
      <c r="EN120" s="239">
        <v>-584025</v>
      </c>
      <c r="EO120" s="239">
        <v>0</v>
      </c>
      <c r="EP120" s="239">
        <v>-584025</v>
      </c>
      <c r="EQ120" s="239">
        <v>0</v>
      </c>
      <c r="ER120" s="239">
        <v>0</v>
      </c>
      <c r="ES120" s="239">
        <v>0</v>
      </c>
      <c r="ET120" s="239">
        <v>0</v>
      </c>
      <c r="EU120" s="239">
        <v>0</v>
      </c>
      <c r="EV120" s="239">
        <v>0</v>
      </c>
      <c r="EW120" s="239">
        <v>0</v>
      </c>
      <c r="EX120" s="239">
        <v>0</v>
      </c>
      <c r="EY120" s="239">
        <v>0</v>
      </c>
      <c r="EZ120" s="239">
        <v>32721901</v>
      </c>
      <c r="FA120" s="239">
        <v>0</v>
      </c>
      <c r="FB120" s="239">
        <v>32721901</v>
      </c>
      <c r="FC120" s="239">
        <v>8050</v>
      </c>
      <c r="FD120" s="239">
        <v>0</v>
      </c>
      <c r="FE120" s="239">
        <v>8050</v>
      </c>
      <c r="FF120" s="239">
        <v>-3665565</v>
      </c>
      <c r="FG120" s="239">
        <v>0</v>
      </c>
      <c r="FH120" s="239">
        <v>-3665565</v>
      </c>
      <c r="FI120" s="239">
        <v>-1053755</v>
      </c>
      <c r="FJ120" s="239">
        <v>0</v>
      </c>
      <c r="FK120" s="239">
        <v>-1053755</v>
      </c>
      <c r="FL120" s="239">
        <v>-112803</v>
      </c>
      <c r="FM120" s="239">
        <v>0</v>
      </c>
      <c r="FN120" s="239">
        <v>-112803</v>
      </c>
      <c r="FO120" s="239">
        <v>-584025</v>
      </c>
      <c r="FP120" s="239">
        <v>0</v>
      </c>
      <c r="FQ120" s="239">
        <v>-584025</v>
      </c>
      <c r="FR120" s="239">
        <v>0</v>
      </c>
      <c r="FS120" s="239">
        <v>0</v>
      </c>
      <c r="FT120" s="239">
        <v>0</v>
      </c>
      <c r="FU120" s="239">
        <v>-5408098</v>
      </c>
      <c r="FV120" s="239">
        <v>0</v>
      </c>
      <c r="FW120" s="239">
        <v>-5408098</v>
      </c>
      <c r="FX120" s="239">
        <v>27313803</v>
      </c>
      <c r="FY120" s="239">
        <v>0</v>
      </c>
      <c r="FZ120" s="239">
        <v>27313803</v>
      </c>
      <c r="GA120" s="214" t="s">
        <v>1294</v>
      </c>
    </row>
    <row r="121" spans="1:183" s="214" customFormat="1" x14ac:dyDescent="0.2">
      <c r="B121" s="610" t="s">
        <v>325</v>
      </c>
      <c r="C121" s="610" t="s">
        <v>324</v>
      </c>
      <c r="D121" s="239">
        <v>0</v>
      </c>
      <c r="E121" s="239">
        <v>0</v>
      </c>
      <c r="F121" s="239">
        <v>0</v>
      </c>
      <c r="G121" s="239">
        <v>74083</v>
      </c>
      <c r="H121" s="239">
        <v>0</v>
      </c>
      <c r="I121" s="239">
        <v>74083</v>
      </c>
      <c r="J121" s="239">
        <v>0</v>
      </c>
      <c r="K121" s="239">
        <v>0</v>
      </c>
      <c r="L121" s="239">
        <v>0</v>
      </c>
      <c r="M121" s="239">
        <v>186424</v>
      </c>
      <c r="N121" s="239">
        <v>0</v>
      </c>
      <c r="O121" s="239">
        <v>186424</v>
      </c>
      <c r="P121" s="239">
        <v>260507</v>
      </c>
      <c r="Q121" s="239">
        <v>0</v>
      </c>
      <c r="R121" s="239">
        <v>260507</v>
      </c>
      <c r="S121" s="239">
        <v>-2313749</v>
      </c>
      <c r="T121" s="239">
        <v>0</v>
      </c>
      <c r="U121" s="239">
        <v>-2313749</v>
      </c>
      <c r="V121" s="239">
        <v>0</v>
      </c>
      <c r="W121" s="239">
        <v>0</v>
      </c>
      <c r="X121" s="239">
        <v>0</v>
      </c>
      <c r="Y121" s="239">
        <v>-164042</v>
      </c>
      <c r="Z121" s="239">
        <v>0</v>
      </c>
      <c r="AA121" s="239">
        <v>-164042</v>
      </c>
      <c r="AB121" s="239">
        <v>-164042</v>
      </c>
      <c r="AC121" s="239">
        <v>0</v>
      </c>
      <c r="AD121" s="239">
        <v>-164042</v>
      </c>
      <c r="AE121" s="239">
        <v>0</v>
      </c>
      <c r="AF121" s="239">
        <v>0</v>
      </c>
      <c r="AG121" s="239">
        <v>0</v>
      </c>
      <c r="AH121" s="239">
        <v>4998707</v>
      </c>
      <c r="AI121" s="239">
        <v>0</v>
      </c>
      <c r="AJ121" s="239">
        <v>4998707</v>
      </c>
      <c r="AK121" s="239">
        <v>-110041</v>
      </c>
      <c r="AL121" s="239">
        <v>0</v>
      </c>
      <c r="AM121" s="239">
        <v>-110041</v>
      </c>
      <c r="AN121" s="239">
        <v>-8979047</v>
      </c>
      <c r="AO121" s="239">
        <v>0</v>
      </c>
      <c r="AP121" s="239">
        <v>-8979047</v>
      </c>
      <c r="AQ121" s="239">
        <v>22514</v>
      </c>
      <c r="AR121" s="239">
        <v>0</v>
      </c>
      <c r="AS121" s="239">
        <v>22514</v>
      </c>
      <c r="AT121" s="239">
        <v>0</v>
      </c>
      <c r="AU121" s="239">
        <v>0</v>
      </c>
      <c r="AV121" s="239">
        <v>0</v>
      </c>
      <c r="AW121" s="239">
        <v>0</v>
      </c>
      <c r="AX121" s="239">
        <v>0</v>
      </c>
      <c r="AY121" s="239">
        <v>0</v>
      </c>
      <c r="AZ121" s="239">
        <v>0</v>
      </c>
      <c r="BA121" s="239">
        <v>0</v>
      </c>
      <c r="BB121" s="239">
        <v>0</v>
      </c>
      <c r="BC121" s="239">
        <v>0</v>
      </c>
      <c r="BD121" s="239">
        <v>0</v>
      </c>
      <c r="BE121" s="239">
        <v>0</v>
      </c>
      <c r="BF121" s="239">
        <v>-6545658</v>
      </c>
      <c r="BG121" s="239">
        <v>0</v>
      </c>
      <c r="BH121" s="239">
        <v>-6545658</v>
      </c>
      <c r="BI121" s="239">
        <v>-69627</v>
      </c>
      <c r="BJ121" s="239">
        <v>0</v>
      </c>
      <c r="BK121" s="239">
        <v>-69627</v>
      </c>
      <c r="BL121" s="239">
        <v>-237714</v>
      </c>
      <c r="BM121" s="239">
        <v>0</v>
      </c>
      <c r="BN121" s="239">
        <v>-237714</v>
      </c>
      <c r="BO121" s="239">
        <v>-3910978</v>
      </c>
      <c r="BP121" s="239">
        <v>0</v>
      </c>
      <c r="BQ121" s="239">
        <v>-3910978</v>
      </c>
      <c r="BR121" s="239">
        <v>-522578</v>
      </c>
      <c r="BS121" s="239">
        <v>0</v>
      </c>
      <c r="BT121" s="239">
        <v>-522578</v>
      </c>
      <c r="BU121" s="239">
        <v>-4740897</v>
      </c>
      <c r="BV121" s="239">
        <v>0</v>
      </c>
      <c r="BW121" s="239">
        <v>-4740897</v>
      </c>
      <c r="BX121" s="239">
        <v>-51920</v>
      </c>
      <c r="BY121" s="239">
        <v>0</v>
      </c>
      <c r="BZ121" s="239">
        <v>-51920</v>
      </c>
      <c r="CA121" s="239">
        <v>-12002</v>
      </c>
      <c r="CB121" s="239">
        <v>0</v>
      </c>
      <c r="CC121" s="239">
        <v>-12002</v>
      </c>
      <c r="CD121" s="239">
        <v>-78917</v>
      </c>
      <c r="CE121" s="239">
        <v>0</v>
      </c>
      <c r="CF121" s="239">
        <v>-78917</v>
      </c>
      <c r="CG121" s="239">
        <v>0</v>
      </c>
      <c r="CH121" s="239">
        <v>0</v>
      </c>
      <c r="CI121" s="239">
        <v>0</v>
      </c>
      <c r="CJ121" s="239">
        <v>0</v>
      </c>
      <c r="CK121" s="239">
        <v>0</v>
      </c>
      <c r="CL121" s="239">
        <v>0</v>
      </c>
      <c r="CM121" s="239">
        <v>0</v>
      </c>
      <c r="CN121" s="239">
        <v>0</v>
      </c>
      <c r="CO121" s="239">
        <v>0</v>
      </c>
      <c r="CP121" s="239">
        <v>0</v>
      </c>
      <c r="CQ121" s="239">
        <v>0</v>
      </c>
      <c r="CR121" s="239">
        <v>0</v>
      </c>
      <c r="CS121" s="239">
        <v>0</v>
      </c>
      <c r="CT121" s="239">
        <v>0</v>
      </c>
      <c r="CU121" s="239">
        <v>0</v>
      </c>
      <c r="CV121" s="239">
        <v>0</v>
      </c>
      <c r="CW121" s="239">
        <v>0</v>
      </c>
      <c r="CX121" s="239">
        <v>0</v>
      </c>
      <c r="CY121" s="239">
        <v>0</v>
      </c>
      <c r="CZ121" s="239">
        <v>0</v>
      </c>
      <c r="DA121" s="239">
        <v>0</v>
      </c>
      <c r="DB121" s="239">
        <v>0</v>
      </c>
      <c r="DC121" s="239">
        <v>0</v>
      </c>
      <c r="DD121" s="239">
        <v>0</v>
      </c>
      <c r="DE121" s="239">
        <v>0</v>
      </c>
      <c r="DF121" s="239">
        <v>0</v>
      </c>
      <c r="DG121" s="239">
        <v>0</v>
      </c>
      <c r="DH121" s="239">
        <v>0</v>
      </c>
      <c r="DI121" s="239">
        <v>0</v>
      </c>
      <c r="DJ121" s="239">
        <v>-142839</v>
      </c>
      <c r="DK121" s="239">
        <v>0</v>
      </c>
      <c r="DL121" s="239">
        <v>-142839</v>
      </c>
      <c r="DM121" s="239">
        <v>0</v>
      </c>
      <c r="DN121" s="239">
        <v>0</v>
      </c>
      <c r="DO121" s="239">
        <v>0</v>
      </c>
      <c r="DP121" s="239">
        <v>0</v>
      </c>
      <c r="DQ121" s="239">
        <v>0</v>
      </c>
      <c r="DR121" s="239">
        <v>0</v>
      </c>
      <c r="DS121" s="239">
        <v>-48069</v>
      </c>
      <c r="DT121" s="239">
        <v>0</v>
      </c>
      <c r="DU121" s="239">
        <v>-48069</v>
      </c>
      <c r="DV121" s="239">
        <v>-614</v>
      </c>
      <c r="DW121" s="239">
        <v>0</v>
      </c>
      <c r="DX121" s="239">
        <v>-614</v>
      </c>
      <c r="DY121" s="239">
        <v>-1901754</v>
      </c>
      <c r="DZ121" s="239">
        <v>0</v>
      </c>
      <c r="EA121" s="239">
        <v>-1901754</v>
      </c>
      <c r="EB121" s="239">
        <v>-196326</v>
      </c>
      <c r="EC121" s="239">
        <v>0</v>
      </c>
      <c r="ED121" s="239">
        <v>-196326</v>
      </c>
      <c r="EE121" s="239">
        <v>0</v>
      </c>
      <c r="EF121" s="239">
        <v>0</v>
      </c>
      <c r="EG121" s="239">
        <v>0</v>
      </c>
      <c r="EH121" s="239">
        <v>0</v>
      </c>
      <c r="EI121" s="239">
        <v>0</v>
      </c>
      <c r="EJ121" s="239">
        <v>0</v>
      </c>
      <c r="EK121" s="239">
        <v>-19391</v>
      </c>
      <c r="EL121" s="239">
        <v>0</v>
      </c>
      <c r="EM121" s="239">
        <v>-19391</v>
      </c>
      <c r="EN121" s="239">
        <v>-2166154</v>
      </c>
      <c r="EO121" s="239">
        <v>0</v>
      </c>
      <c r="EP121" s="239">
        <v>-2166154</v>
      </c>
      <c r="EQ121" s="239">
        <v>0</v>
      </c>
      <c r="ER121" s="239">
        <v>0</v>
      </c>
      <c r="ES121" s="239">
        <v>0</v>
      </c>
      <c r="ET121" s="239">
        <v>0</v>
      </c>
      <c r="EU121" s="239">
        <v>0</v>
      </c>
      <c r="EV121" s="239">
        <v>0</v>
      </c>
      <c r="EW121" s="239">
        <v>0</v>
      </c>
      <c r="EX121" s="239">
        <v>0</v>
      </c>
      <c r="EY121" s="239">
        <v>0</v>
      </c>
      <c r="EZ121" s="239">
        <v>203087466</v>
      </c>
      <c r="FA121" s="239">
        <v>0</v>
      </c>
      <c r="FB121" s="239">
        <v>203087466</v>
      </c>
      <c r="FC121" s="239">
        <v>260507</v>
      </c>
      <c r="FD121" s="239">
        <v>0</v>
      </c>
      <c r="FE121" s="239">
        <v>260507</v>
      </c>
      <c r="FF121" s="239">
        <v>-6545658</v>
      </c>
      <c r="FG121" s="239">
        <v>0</v>
      </c>
      <c r="FH121" s="239">
        <v>-6545658</v>
      </c>
      <c r="FI121" s="239">
        <v>-4740897</v>
      </c>
      <c r="FJ121" s="239">
        <v>0</v>
      </c>
      <c r="FK121" s="239">
        <v>-4740897</v>
      </c>
      <c r="FL121" s="239">
        <v>-142839</v>
      </c>
      <c r="FM121" s="239">
        <v>0</v>
      </c>
      <c r="FN121" s="239">
        <v>-142839</v>
      </c>
      <c r="FO121" s="239">
        <v>-2166154</v>
      </c>
      <c r="FP121" s="239">
        <v>0</v>
      </c>
      <c r="FQ121" s="239">
        <v>-2166154</v>
      </c>
      <c r="FR121" s="239">
        <v>0</v>
      </c>
      <c r="FS121" s="239">
        <v>0</v>
      </c>
      <c r="FT121" s="239">
        <v>0</v>
      </c>
      <c r="FU121" s="239">
        <v>-13335041</v>
      </c>
      <c r="FV121" s="239">
        <v>0</v>
      </c>
      <c r="FW121" s="239">
        <v>-13335041</v>
      </c>
      <c r="FX121" s="239">
        <v>189752425</v>
      </c>
      <c r="FY121" s="239">
        <v>0</v>
      </c>
      <c r="FZ121" s="239">
        <v>189752425</v>
      </c>
      <c r="GA121" s="214" t="s">
        <v>1297</v>
      </c>
    </row>
    <row r="122" spans="1:183" s="214" customFormat="1" x14ac:dyDescent="0.2">
      <c r="B122" s="610" t="s">
        <v>327</v>
      </c>
      <c r="C122" s="610" t="s">
        <v>326</v>
      </c>
      <c r="D122" s="239">
        <v>0</v>
      </c>
      <c r="E122" s="239">
        <v>0</v>
      </c>
      <c r="F122" s="239">
        <v>0</v>
      </c>
      <c r="G122" s="239">
        <v>69</v>
      </c>
      <c r="H122" s="239">
        <v>0</v>
      </c>
      <c r="I122" s="239">
        <v>69</v>
      </c>
      <c r="J122" s="239">
        <v>0</v>
      </c>
      <c r="K122" s="239">
        <v>0</v>
      </c>
      <c r="L122" s="239">
        <v>0</v>
      </c>
      <c r="M122" s="239">
        <v>-1951</v>
      </c>
      <c r="N122" s="239">
        <v>0</v>
      </c>
      <c r="O122" s="239">
        <v>-1951</v>
      </c>
      <c r="P122" s="239">
        <v>-1882</v>
      </c>
      <c r="Q122" s="239">
        <v>0</v>
      </c>
      <c r="R122" s="239">
        <v>-1882</v>
      </c>
      <c r="S122" s="239">
        <v>-1828220</v>
      </c>
      <c r="T122" s="239">
        <v>0</v>
      </c>
      <c r="U122" s="239">
        <v>-1828220</v>
      </c>
      <c r="V122" s="239">
        <v>-5655</v>
      </c>
      <c r="W122" s="239">
        <v>0</v>
      </c>
      <c r="X122" s="239">
        <v>-5655</v>
      </c>
      <c r="Y122" s="239">
        <v>-81144</v>
      </c>
      <c r="Z122" s="239">
        <v>0</v>
      </c>
      <c r="AA122" s="239">
        <v>-81144</v>
      </c>
      <c r="AB122" s="239">
        <v>-49122</v>
      </c>
      <c r="AC122" s="239">
        <v>0</v>
      </c>
      <c r="AD122" s="239">
        <v>-49122</v>
      </c>
      <c r="AE122" s="239">
        <v>-120</v>
      </c>
      <c r="AF122" s="239">
        <v>0</v>
      </c>
      <c r="AG122" s="239">
        <v>-120</v>
      </c>
      <c r="AH122" s="239">
        <v>1019009</v>
      </c>
      <c r="AI122" s="239">
        <v>0</v>
      </c>
      <c r="AJ122" s="239">
        <v>1019009</v>
      </c>
      <c r="AK122" s="239">
        <v>-2171</v>
      </c>
      <c r="AL122" s="239">
        <v>0</v>
      </c>
      <c r="AM122" s="239">
        <v>-2171</v>
      </c>
      <c r="AN122" s="239">
        <v>-1635707</v>
      </c>
      <c r="AO122" s="239">
        <v>0</v>
      </c>
      <c r="AP122" s="239">
        <v>-1635707</v>
      </c>
      <c r="AQ122" s="239">
        <v>2292</v>
      </c>
      <c r="AR122" s="239">
        <v>0</v>
      </c>
      <c r="AS122" s="239">
        <v>2292</v>
      </c>
      <c r="AT122" s="239">
        <v>-42822</v>
      </c>
      <c r="AU122" s="239">
        <v>0</v>
      </c>
      <c r="AV122" s="239">
        <v>-42822</v>
      </c>
      <c r="AW122" s="239">
        <v>0</v>
      </c>
      <c r="AX122" s="239">
        <v>0</v>
      </c>
      <c r="AY122" s="239">
        <v>0</v>
      </c>
      <c r="AZ122" s="239">
        <v>-35066</v>
      </c>
      <c r="BA122" s="239">
        <v>0</v>
      </c>
      <c r="BB122" s="239">
        <v>-35066</v>
      </c>
      <c r="BC122" s="239">
        <v>0</v>
      </c>
      <c r="BD122" s="239">
        <v>0</v>
      </c>
      <c r="BE122" s="239">
        <v>0</v>
      </c>
      <c r="BF122" s="239">
        <v>-2603829</v>
      </c>
      <c r="BG122" s="239">
        <v>0</v>
      </c>
      <c r="BH122" s="239">
        <v>-2603829</v>
      </c>
      <c r="BI122" s="239">
        <v>-667623</v>
      </c>
      <c r="BJ122" s="239">
        <v>0</v>
      </c>
      <c r="BK122" s="239">
        <v>-667623</v>
      </c>
      <c r="BL122" s="239">
        <v>-2776</v>
      </c>
      <c r="BM122" s="239">
        <v>0</v>
      </c>
      <c r="BN122" s="239">
        <v>-2776</v>
      </c>
      <c r="BO122" s="239">
        <v>-1028513</v>
      </c>
      <c r="BP122" s="239">
        <v>0</v>
      </c>
      <c r="BQ122" s="239">
        <v>-1028513</v>
      </c>
      <c r="BR122" s="239">
        <v>20218</v>
      </c>
      <c r="BS122" s="239">
        <v>0</v>
      </c>
      <c r="BT122" s="239">
        <v>20218</v>
      </c>
      <c r="BU122" s="239">
        <v>-1678694</v>
      </c>
      <c r="BV122" s="239">
        <v>0</v>
      </c>
      <c r="BW122" s="239">
        <v>-1678694</v>
      </c>
      <c r="BX122" s="239">
        <v>-23387</v>
      </c>
      <c r="BY122" s="239">
        <v>0</v>
      </c>
      <c r="BZ122" s="239">
        <v>-23387</v>
      </c>
      <c r="CA122" s="239">
        <v>11</v>
      </c>
      <c r="CB122" s="239">
        <v>0</v>
      </c>
      <c r="CC122" s="239">
        <v>11</v>
      </c>
      <c r="CD122" s="239">
        <v>-34262</v>
      </c>
      <c r="CE122" s="239">
        <v>0</v>
      </c>
      <c r="CF122" s="239">
        <v>-34262</v>
      </c>
      <c r="CG122" s="239">
        <v>0</v>
      </c>
      <c r="CH122" s="239">
        <v>0</v>
      </c>
      <c r="CI122" s="239">
        <v>0</v>
      </c>
      <c r="CJ122" s="239">
        <v>-10706</v>
      </c>
      <c r="CK122" s="239">
        <v>0</v>
      </c>
      <c r="CL122" s="239">
        <v>-10706</v>
      </c>
      <c r="CM122" s="239">
        <v>0</v>
      </c>
      <c r="CN122" s="239">
        <v>0</v>
      </c>
      <c r="CO122" s="239">
        <v>0</v>
      </c>
      <c r="CP122" s="239">
        <v>-35066</v>
      </c>
      <c r="CQ122" s="239">
        <v>0</v>
      </c>
      <c r="CR122" s="239">
        <v>-35066</v>
      </c>
      <c r="CS122" s="239">
        <v>0</v>
      </c>
      <c r="CT122" s="239">
        <v>0</v>
      </c>
      <c r="CU122" s="239">
        <v>0</v>
      </c>
      <c r="CV122" s="239">
        <v>0</v>
      </c>
      <c r="CW122" s="239">
        <v>0</v>
      </c>
      <c r="CX122" s="239">
        <v>0</v>
      </c>
      <c r="CY122" s="239">
        <v>0</v>
      </c>
      <c r="CZ122" s="239">
        <v>0</v>
      </c>
      <c r="DA122" s="239">
        <v>0</v>
      </c>
      <c r="DB122" s="239">
        <v>0</v>
      </c>
      <c r="DC122" s="239">
        <v>0</v>
      </c>
      <c r="DD122" s="239">
        <v>0</v>
      </c>
      <c r="DE122" s="239">
        <v>0</v>
      </c>
      <c r="DF122" s="239">
        <v>0</v>
      </c>
      <c r="DG122" s="239">
        <v>0</v>
      </c>
      <c r="DH122" s="239">
        <v>0</v>
      </c>
      <c r="DI122" s="239">
        <v>0</v>
      </c>
      <c r="DJ122" s="239">
        <v>-103410</v>
      </c>
      <c r="DK122" s="239">
        <v>0</v>
      </c>
      <c r="DL122" s="239">
        <v>-103410</v>
      </c>
      <c r="DM122" s="239">
        <v>-12635</v>
      </c>
      <c r="DN122" s="239">
        <v>0</v>
      </c>
      <c r="DO122" s="239">
        <v>-12635</v>
      </c>
      <c r="DP122" s="239">
        <v>4652</v>
      </c>
      <c r="DQ122" s="239">
        <v>0</v>
      </c>
      <c r="DR122" s="239">
        <v>4652</v>
      </c>
      <c r="DS122" s="239">
        <v>0</v>
      </c>
      <c r="DT122" s="239">
        <v>0</v>
      </c>
      <c r="DU122" s="239">
        <v>0</v>
      </c>
      <c r="DV122" s="239">
        <v>0</v>
      </c>
      <c r="DW122" s="239">
        <v>0</v>
      </c>
      <c r="DX122" s="239">
        <v>0</v>
      </c>
      <c r="DY122" s="239">
        <v>-380169</v>
      </c>
      <c r="DZ122" s="239">
        <v>0</v>
      </c>
      <c r="EA122" s="239">
        <v>-380169</v>
      </c>
      <c r="EB122" s="239">
        <v>-12093</v>
      </c>
      <c r="EC122" s="239">
        <v>0</v>
      </c>
      <c r="ED122" s="239">
        <v>-12093</v>
      </c>
      <c r="EE122" s="239">
        <v>0</v>
      </c>
      <c r="EF122" s="239">
        <v>0</v>
      </c>
      <c r="EG122" s="239">
        <v>0</v>
      </c>
      <c r="EH122" s="239">
        <v>0</v>
      </c>
      <c r="EI122" s="239">
        <v>0</v>
      </c>
      <c r="EJ122" s="239">
        <v>0</v>
      </c>
      <c r="EK122" s="239">
        <v>-5139</v>
      </c>
      <c r="EL122" s="239">
        <v>0</v>
      </c>
      <c r="EM122" s="239">
        <v>-5139</v>
      </c>
      <c r="EN122" s="239">
        <v>-405384</v>
      </c>
      <c r="EO122" s="239">
        <v>0</v>
      </c>
      <c r="EP122" s="239">
        <v>-405384</v>
      </c>
      <c r="EQ122" s="239">
        <v>0</v>
      </c>
      <c r="ER122" s="239">
        <v>0</v>
      </c>
      <c r="ES122" s="239">
        <v>0</v>
      </c>
      <c r="ET122" s="239">
        <v>0</v>
      </c>
      <c r="EU122" s="239">
        <v>0</v>
      </c>
      <c r="EV122" s="239">
        <v>0</v>
      </c>
      <c r="EW122" s="239">
        <v>0</v>
      </c>
      <c r="EX122" s="239">
        <v>0</v>
      </c>
      <c r="EY122" s="239">
        <v>0</v>
      </c>
      <c r="EZ122" s="239">
        <v>43359131</v>
      </c>
      <c r="FA122" s="239">
        <v>0</v>
      </c>
      <c r="FB122" s="239">
        <v>43359131</v>
      </c>
      <c r="FC122" s="239">
        <v>-1882</v>
      </c>
      <c r="FD122" s="239">
        <v>0</v>
      </c>
      <c r="FE122" s="239">
        <v>-1882</v>
      </c>
      <c r="FF122" s="239">
        <v>-2603829</v>
      </c>
      <c r="FG122" s="239">
        <v>0</v>
      </c>
      <c r="FH122" s="239">
        <v>-2603829</v>
      </c>
      <c r="FI122" s="239">
        <v>-1678694</v>
      </c>
      <c r="FJ122" s="239">
        <v>0</v>
      </c>
      <c r="FK122" s="239">
        <v>-1678694</v>
      </c>
      <c r="FL122" s="239">
        <v>-103410</v>
      </c>
      <c r="FM122" s="239">
        <v>0</v>
      </c>
      <c r="FN122" s="239">
        <v>-103410</v>
      </c>
      <c r="FO122" s="239">
        <v>-405384</v>
      </c>
      <c r="FP122" s="239">
        <v>0</v>
      </c>
      <c r="FQ122" s="239">
        <v>-405384</v>
      </c>
      <c r="FR122" s="239">
        <v>0</v>
      </c>
      <c r="FS122" s="239">
        <v>0</v>
      </c>
      <c r="FT122" s="239">
        <v>0</v>
      </c>
      <c r="FU122" s="239">
        <v>-4793199</v>
      </c>
      <c r="FV122" s="239">
        <v>0</v>
      </c>
      <c r="FW122" s="239">
        <v>-4793199</v>
      </c>
      <c r="FX122" s="239">
        <v>38565932</v>
      </c>
      <c r="FY122" s="239">
        <v>0</v>
      </c>
      <c r="FZ122" s="239">
        <v>38565932</v>
      </c>
      <c r="GA122" s="214" t="s">
        <v>1294</v>
      </c>
    </row>
    <row r="123" spans="1:183" s="214" customFormat="1" x14ac:dyDescent="0.2">
      <c r="B123" s="610" t="s">
        <v>329</v>
      </c>
      <c r="C123" s="610" t="s">
        <v>328</v>
      </c>
      <c r="D123" s="239">
        <v>0</v>
      </c>
      <c r="E123" s="239">
        <v>0</v>
      </c>
      <c r="F123" s="239">
        <v>0</v>
      </c>
      <c r="G123" s="239">
        <v>-68450</v>
      </c>
      <c r="H123" s="239">
        <v>0</v>
      </c>
      <c r="I123" s="239">
        <v>-68450</v>
      </c>
      <c r="J123" s="239">
        <v>0</v>
      </c>
      <c r="K123" s="239">
        <v>0</v>
      </c>
      <c r="L123" s="239">
        <v>0</v>
      </c>
      <c r="M123" s="239">
        <v>100734</v>
      </c>
      <c r="N123" s="239">
        <v>0</v>
      </c>
      <c r="O123" s="239">
        <v>100734</v>
      </c>
      <c r="P123" s="239">
        <v>32284</v>
      </c>
      <c r="Q123" s="239">
        <v>0</v>
      </c>
      <c r="R123" s="239">
        <v>32284</v>
      </c>
      <c r="S123" s="239">
        <v>-4651773</v>
      </c>
      <c r="T123" s="239">
        <v>0</v>
      </c>
      <c r="U123" s="239">
        <v>-4651773</v>
      </c>
      <c r="V123" s="239">
        <v>-261197</v>
      </c>
      <c r="W123" s="239">
        <v>0</v>
      </c>
      <c r="X123" s="239">
        <v>-261197</v>
      </c>
      <c r="Y123" s="239">
        <v>0</v>
      </c>
      <c r="Z123" s="239">
        <v>0</v>
      </c>
      <c r="AA123" s="239">
        <v>0</v>
      </c>
      <c r="AB123" s="239">
        <v>0</v>
      </c>
      <c r="AC123" s="239">
        <v>0</v>
      </c>
      <c r="AD123" s="239">
        <v>0</v>
      </c>
      <c r="AE123" s="239">
        <v>-7672</v>
      </c>
      <c r="AF123" s="239">
        <v>0</v>
      </c>
      <c r="AG123" s="239">
        <v>-7672</v>
      </c>
      <c r="AH123" s="239">
        <v>1577528</v>
      </c>
      <c r="AI123" s="239">
        <v>0</v>
      </c>
      <c r="AJ123" s="239">
        <v>1577528</v>
      </c>
      <c r="AK123" s="239">
        <v>-17338</v>
      </c>
      <c r="AL123" s="239">
        <v>0</v>
      </c>
      <c r="AM123" s="239">
        <v>-17338</v>
      </c>
      <c r="AN123" s="239">
        <v>-5765807</v>
      </c>
      <c r="AO123" s="239">
        <v>0</v>
      </c>
      <c r="AP123" s="239">
        <v>-5765807</v>
      </c>
      <c r="AQ123" s="239">
        <v>-182045</v>
      </c>
      <c r="AR123" s="239">
        <v>0</v>
      </c>
      <c r="AS123" s="239">
        <v>-182045</v>
      </c>
      <c r="AT123" s="239">
        <v>-25399</v>
      </c>
      <c r="AU123" s="239">
        <v>0</v>
      </c>
      <c r="AV123" s="239">
        <v>-25399</v>
      </c>
      <c r="AW123" s="239">
        <v>0</v>
      </c>
      <c r="AX123" s="239">
        <v>0</v>
      </c>
      <c r="AY123" s="239">
        <v>0</v>
      </c>
      <c r="AZ123" s="239">
        <v>0</v>
      </c>
      <c r="BA123" s="239">
        <v>0</v>
      </c>
      <c r="BB123" s="239">
        <v>0</v>
      </c>
      <c r="BC123" s="239">
        <v>0</v>
      </c>
      <c r="BD123" s="239">
        <v>0</v>
      </c>
      <c r="BE123" s="239">
        <v>0</v>
      </c>
      <c r="BF123" s="239">
        <v>-9064834</v>
      </c>
      <c r="BG123" s="239">
        <v>0</v>
      </c>
      <c r="BH123" s="239">
        <v>-9064834</v>
      </c>
      <c r="BI123" s="239">
        <v>-6122</v>
      </c>
      <c r="BJ123" s="239">
        <v>0</v>
      </c>
      <c r="BK123" s="239">
        <v>-6122</v>
      </c>
      <c r="BL123" s="239">
        <v>-72137</v>
      </c>
      <c r="BM123" s="239">
        <v>0</v>
      </c>
      <c r="BN123" s="239">
        <v>-72137</v>
      </c>
      <c r="BO123" s="239">
        <v>-1541120</v>
      </c>
      <c r="BP123" s="239">
        <v>0</v>
      </c>
      <c r="BQ123" s="239">
        <v>-1541120</v>
      </c>
      <c r="BR123" s="239">
        <v>-38344</v>
      </c>
      <c r="BS123" s="239">
        <v>0</v>
      </c>
      <c r="BT123" s="239">
        <v>-38344</v>
      </c>
      <c r="BU123" s="239">
        <v>-1657723</v>
      </c>
      <c r="BV123" s="239">
        <v>0</v>
      </c>
      <c r="BW123" s="239">
        <v>-1657723</v>
      </c>
      <c r="BX123" s="239">
        <v>-456271</v>
      </c>
      <c r="BY123" s="239">
        <v>0</v>
      </c>
      <c r="BZ123" s="239">
        <v>-456271</v>
      </c>
      <c r="CA123" s="239">
        <v>2037</v>
      </c>
      <c r="CB123" s="239">
        <v>0</v>
      </c>
      <c r="CC123" s="239">
        <v>2037</v>
      </c>
      <c r="CD123" s="239">
        <v>-246919</v>
      </c>
      <c r="CE123" s="239">
        <v>0</v>
      </c>
      <c r="CF123" s="239">
        <v>-246919</v>
      </c>
      <c r="CG123" s="239">
        <v>5212</v>
      </c>
      <c r="CH123" s="239">
        <v>0</v>
      </c>
      <c r="CI123" s="239">
        <v>5212</v>
      </c>
      <c r="CJ123" s="239">
        <v>0</v>
      </c>
      <c r="CK123" s="239">
        <v>0</v>
      </c>
      <c r="CL123" s="239">
        <v>0</v>
      </c>
      <c r="CM123" s="239">
        <v>0</v>
      </c>
      <c r="CN123" s="239">
        <v>0</v>
      </c>
      <c r="CO123" s="239">
        <v>0</v>
      </c>
      <c r="CP123" s="239">
        <v>0</v>
      </c>
      <c r="CQ123" s="239">
        <v>0</v>
      </c>
      <c r="CR123" s="239">
        <v>0</v>
      </c>
      <c r="CS123" s="239">
        <v>0</v>
      </c>
      <c r="CT123" s="239">
        <v>0</v>
      </c>
      <c r="CU123" s="239">
        <v>0</v>
      </c>
      <c r="CV123" s="239">
        <v>0</v>
      </c>
      <c r="CW123" s="239">
        <v>0</v>
      </c>
      <c r="CX123" s="239">
        <v>0</v>
      </c>
      <c r="CY123" s="239">
        <v>0</v>
      </c>
      <c r="CZ123" s="239">
        <v>0</v>
      </c>
      <c r="DA123" s="239">
        <v>0</v>
      </c>
      <c r="DB123" s="239">
        <v>0</v>
      </c>
      <c r="DC123" s="239">
        <v>0</v>
      </c>
      <c r="DD123" s="239">
        <v>0</v>
      </c>
      <c r="DE123" s="239">
        <v>0</v>
      </c>
      <c r="DF123" s="239">
        <v>0</v>
      </c>
      <c r="DG123" s="239">
        <v>0</v>
      </c>
      <c r="DH123" s="239">
        <v>0</v>
      </c>
      <c r="DI123" s="239">
        <v>0</v>
      </c>
      <c r="DJ123" s="239">
        <v>-695941</v>
      </c>
      <c r="DK123" s="239">
        <v>0</v>
      </c>
      <c r="DL123" s="239">
        <v>-695941</v>
      </c>
      <c r="DM123" s="239">
        <v>-104701</v>
      </c>
      <c r="DN123" s="239">
        <v>0</v>
      </c>
      <c r="DO123" s="239">
        <v>-104701</v>
      </c>
      <c r="DP123" s="239">
        <v>18644</v>
      </c>
      <c r="DQ123" s="239">
        <v>0</v>
      </c>
      <c r="DR123" s="239">
        <v>18644</v>
      </c>
      <c r="DS123" s="239">
        <v>-21108</v>
      </c>
      <c r="DT123" s="239">
        <v>0</v>
      </c>
      <c r="DU123" s="239">
        <v>-21108</v>
      </c>
      <c r="DV123" s="239">
        <v>-1303</v>
      </c>
      <c r="DW123" s="239">
        <v>0</v>
      </c>
      <c r="DX123" s="239">
        <v>-1303</v>
      </c>
      <c r="DY123" s="239">
        <v>-2760219</v>
      </c>
      <c r="DZ123" s="239">
        <v>0</v>
      </c>
      <c r="EA123" s="239">
        <v>-2760219</v>
      </c>
      <c r="EB123" s="239">
        <v>4526</v>
      </c>
      <c r="EC123" s="239">
        <v>0</v>
      </c>
      <c r="ED123" s="239">
        <v>4526</v>
      </c>
      <c r="EE123" s="239">
        <v>0</v>
      </c>
      <c r="EF123" s="239">
        <v>0</v>
      </c>
      <c r="EG123" s="239">
        <v>0</v>
      </c>
      <c r="EH123" s="239">
        <v>0</v>
      </c>
      <c r="EI123" s="239">
        <v>0</v>
      </c>
      <c r="EJ123" s="239">
        <v>0</v>
      </c>
      <c r="EK123" s="239">
        <v>0</v>
      </c>
      <c r="EL123" s="239">
        <v>0</v>
      </c>
      <c r="EM123" s="239">
        <v>0</v>
      </c>
      <c r="EN123" s="239">
        <v>-2864161</v>
      </c>
      <c r="EO123" s="239">
        <v>0</v>
      </c>
      <c r="EP123" s="239">
        <v>-2864161</v>
      </c>
      <c r="EQ123" s="239">
        <v>0</v>
      </c>
      <c r="ER123" s="239">
        <v>0</v>
      </c>
      <c r="ES123" s="239">
        <v>0</v>
      </c>
      <c r="ET123" s="239">
        <v>11783</v>
      </c>
      <c r="EU123" s="239">
        <v>0</v>
      </c>
      <c r="EV123" s="239">
        <v>11783</v>
      </c>
      <c r="EW123" s="239">
        <v>11783</v>
      </c>
      <c r="EX123" s="239">
        <v>0</v>
      </c>
      <c r="EY123" s="239">
        <v>11783</v>
      </c>
      <c r="EZ123" s="239">
        <v>77319813</v>
      </c>
      <c r="FA123" s="239">
        <v>0</v>
      </c>
      <c r="FB123" s="239">
        <v>77319813</v>
      </c>
      <c r="FC123" s="239">
        <v>32284</v>
      </c>
      <c r="FD123" s="239">
        <v>0</v>
      </c>
      <c r="FE123" s="239">
        <v>32284</v>
      </c>
      <c r="FF123" s="239">
        <v>-9064834</v>
      </c>
      <c r="FG123" s="239">
        <v>0</v>
      </c>
      <c r="FH123" s="239">
        <v>-9064834</v>
      </c>
      <c r="FI123" s="239">
        <v>-1657723</v>
      </c>
      <c r="FJ123" s="239">
        <v>0</v>
      </c>
      <c r="FK123" s="239">
        <v>-1657723</v>
      </c>
      <c r="FL123" s="239">
        <v>-695941</v>
      </c>
      <c r="FM123" s="239">
        <v>0</v>
      </c>
      <c r="FN123" s="239">
        <v>-695941</v>
      </c>
      <c r="FO123" s="239">
        <v>-2864161</v>
      </c>
      <c r="FP123" s="239">
        <v>0</v>
      </c>
      <c r="FQ123" s="239">
        <v>-2864161</v>
      </c>
      <c r="FR123" s="239">
        <v>11783</v>
      </c>
      <c r="FS123" s="239">
        <v>0</v>
      </c>
      <c r="FT123" s="239">
        <v>11783</v>
      </c>
      <c r="FU123" s="239">
        <v>-14238592</v>
      </c>
      <c r="FV123" s="239">
        <v>0</v>
      </c>
      <c r="FW123" s="239">
        <v>-14238592</v>
      </c>
      <c r="FX123" s="239">
        <v>63081221</v>
      </c>
      <c r="FY123" s="239">
        <v>0</v>
      </c>
      <c r="FZ123" s="239">
        <v>63081221</v>
      </c>
      <c r="GA123" s="214" t="s">
        <v>1295</v>
      </c>
    </row>
    <row r="124" spans="1:183" s="214" customFormat="1" x14ac:dyDescent="0.2">
      <c r="B124" s="610" t="s">
        <v>331</v>
      </c>
      <c r="C124" s="610" t="s">
        <v>330</v>
      </c>
      <c r="D124" s="239">
        <v>0</v>
      </c>
      <c r="E124" s="239">
        <v>0</v>
      </c>
      <c r="F124" s="239">
        <v>0</v>
      </c>
      <c r="G124" s="239">
        <v>104219</v>
      </c>
      <c r="H124" s="239">
        <v>0</v>
      </c>
      <c r="I124" s="239">
        <v>104219</v>
      </c>
      <c r="J124" s="239">
        <v>0</v>
      </c>
      <c r="K124" s="239">
        <v>0</v>
      </c>
      <c r="L124" s="239">
        <v>0</v>
      </c>
      <c r="M124" s="239">
        <v>142659</v>
      </c>
      <c r="N124" s="239">
        <v>4074</v>
      </c>
      <c r="O124" s="239">
        <v>146733</v>
      </c>
      <c r="P124" s="239">
        <v>246878</v>
      </c>
      <c r="Q124" s="239">
        <v>4074</v>
      </c>
      <c r="R124" s="239">
        <v>250952</v>
      </c>
      <c r="S124" s="239">
        <v>-891455</v>
      </c>
      <c r="T124" s="239">
        <v>-38991</v>
      </c>
      <c r="U124" s="239">
        <v>-930446</v>
      </c>
      <c r="V124" s="239">
        <v>-84259</v>
      </c>
      <c r="W124" s="239">
        <v>0</v>
      </c>
      <c r="X124" s="239">
        <v>-84259</v>
      </c>
      <c r="Y124" s="239">
        <v>-64242</v>
      </c>
      <c r="Z124" s="239">
        <v>3</v>
      </c>
      <c r="AA124" s="239">
        <v>-64239</v>
      </c>
      <c r="AB124" s="239">
        <v>-43625</v>
      </c>
      <c r="AC124" s="239">
        <v>3</v>
      </c>
      <c r="AD124" s="239">
        <v>-43622</v>
      </c>
      <c r="AE124" s="239">
        <v>0</v>
      </c>
      <c r="AF124" s="239">
        <v>0</v>
      </c>
      <c r="AG124" s="239">
        <v>0</v>
      </c>
      <c r="AH124" s="239">
        <v>1222160</v>
      </c>
      <c r="AI124" s="239">
        <v>103774</v>
      </c>
      <c r="AJ124" s="239">
        <v>1325934</v>
      </c>
      <c r="AK124" s="239">
        <v>-33836</v>
      </c>
      <c r="AL124" s="239">
        <v>-4012</v>
      </c>
      <c r="AM124" s="239">
        <v>-37848</v>
      </c>
      <c r="AN124" s="239">
        <v>-2706757</v>
      </c>
      <c r="AO124" s="239">
        <v>0</v>
      </c>
      <c r="AP124" s="239">
        <v>-2706757</v>
      </c>
      <c r="AQ124" s="239">
        <v>-56842</v>
      </c>
      <c r="AR124" s="239">
        <v>0</v>
      </c>
      <c r="AS124" s="239">
        <v>-56842</v>
      </c>
      <c r="AT124" s="239">
        <v>-68921</v>
      </c>
      <c r="AU124" s="239">
        <v>0</v>
      </c>
      <c r="AV124" s="239">
        <v>-68921</v>
      </c>
      <c r="AW124" s="239">
        <v>0</v>
      </c>
      <c r="AX124" s="239">
        <v>0</v>
      </c>
      <c r="AY124" s="239">
        <v>0</v>
      </c>
      <c r="AZ124" s="239">
        <v>0</v>
      </c>
      <c r="BA124" s="239">
        <v>0</v>
      </c>
      <c r="BB124" s="239">
        <v>0</v>
      </c>
      <c r="BC124" s="239">
        <v>0</v>
      </c>
      <c r="BD124" s="239">
        <v>0</v>
      </c>
      <c r="BE124" s="239">
        <v>0</v>
      </c>
      <c r="BF124" s="239">
        <v>-2599893</v>
      </c>
      <c r="BG124" s="239">
        <v>60774</v>
      </c>
      <c r="BH124" s="239">
        <v>-2539119</v>
      </c>
      <c r="BI124" s="239">
        <v>-17501</v>
      </c>
      <c r="BJ124" s="239">
        <v>0</v>
      </c>
      <c r="BK124" s="239">
        <v>-17501</v>
      </c>
      <c r="BL124" s="239">
        <v>-237811</v>
      </c>
      <c r="BM124" s="239">
        <v>0</v>
      </c>
      <c r="BN124" s="239">
        <v>-237811</v>
      </c>
      <c r="BO124" s="239">
        <v>-836895</v>
      </c>
      <c r="BP124" s="239">
        <v>-1270029</v>
      </c>
      <c r="BQ124" s="239">
        <v>-2106924</v>
      </c>
      <c r="BR124" s="239">
        <v>-70188</v>
      </c>
      <c r="BS124" s="239">
        <v>20065</v>
      </c>
      <c r="BT124" s="239">
        <v>-50123</v>
      </c>
      <c r="BU124" s="239">
        <v>-1162395</v>
      </c>
      <c r="BV124" s="239">
        <v>-1249964</v>
      </c>
      <c r="BW124" s="239">
        <v>-2412359</v>
      </c>
      <c r="BX124" s="239">
        <v>-33084</v>
      </c>
      <c r="BY124" s="239">
        <v>0</v>
      </c>
      <c r="BZ124" s="239">
        <v>-33084</v>
      </c>
      <c r="CA124" s="239">
        <v>561</v>
      </c>
      <c r="CB124" s="239">
        <v>0</v>
      </c>
      <c r="CC124" s="239">
        <v>561</v>
      </c>
      <c r="CD124" s="239">
        <v>-17443</v>
      </c>
      <c r="CE124" s="239">
        <v>0</v>
      </c>
      <c r="CF124" s="239">
        <v>-17443</v>
      </c>
      <c r="CG124" s="239">
        <v>-4864</v>
      </c>
      <c r="CH124" s="239">
        <v>0</v>
      </c>
      <c r="CI124" s="239">
        <v>-4864</v>
      </c>
      <c r="CJ124" s="239">
        <v>0</v>
      </c>
      <c r="CK124" s="239">
        <v>0</v>
      </c>
      <c r="CL124" s="239">
        <v>0</v>
      </c>
      <c r="CM124" s="239">
        <v>0</v>
      </c>
      <c r="CN124" s="239">
        <v>0</v>
      </c>
      <c r="CO124" s="239">
        <v>0</v>
      </c>
      <c r="CP124" s="239">
        <v>0</v>
      </c>
      <c r="CQ124" s="239">
        <v>0</v>
      </c>
      <c r="CR124" s="239">
        <v>0</v>
      </c>
      <c r="CS124" s="239">
        <v>0</v>
      </c>
      <c r="CT124" s="239">
        <v>0</v>
      </c>
      <c r="CU124" s="239">
        <v>0</v>
      </c>
      <c r="CV124" s="239">
        <v>0</v>
      </c>
      <c r="CW124" s="239">
        <v>0</v>
      </c>
      <c r="CX124" s="239">
        <v>0</v>
      </c>
      <c r="CY124" s="239">
        <v>0</v>
      </c>
      <c r="CZ124" s="239">
        <v>0</v>
      </c>
      <c r="DA124" s="239">
        <v>0</v>
      </c>
      <c r="DB124" s="239">
        <v>0</v>
      </c>
      <c r="DC124" s="239">
        <v>-42059</v>
      </c>
      <c r="DD124" s="239">
        <v>-42059</v>
      </c>
      <c r="DE124" s="239">
        <v>0</v>
      </c>
      <c r="DF124" s="239">
        <v>-16147</v>
      </c>
      <c r="DG124" s="239">
        <v>-16147</v>
      </c>
      <c r="DH124" s="239">
        <v>0</v>
      </c>
      <c r="DI124" s="239">
        <v>0</v>
      </c>
      <c r="DJ124" s="239">
        <v>-54830</v>
      </c>
      <c r="DK124" s="239">
        <v>-58206</v>
      </c>
      <c r="DL124" s="239">
        <v>-113036</v>
      </c>
      <c r="DM124" s="239">
        <v>0</v>
      </c>
      <c r="DN124" s="239">
        <v>0</v>
      </c>
      <c r="DO124" s="239">
        <v>0</v>
      </c>
      <c r="DP124" s="239">
        <v>0</v>
      </c>
      <c r="DQ124" s="239">
        <v>0</v>
      </c>
      <c r="DR124" s="239">
        <v>0</v>
      </c>
      <c r="DS124" s="239">
        <v>-8809</v>
      </c>
      <c r="DT124" s="239">
        <v>0</v>
      </c>
      <c r="DU124" s="239">
        <v>-8809</v>
      </c>
      <c r="DV124" s="239">
        <v>0</v>
      </c>
      <c r="DW124" s="239">
        <v>0</v>
      </c>
      <c r="DX124" s="239">
        <v>0</v>
      </c>
      <c r="DY124" s="239">
        <v>-258237</v>
      </c>
      <c r="DZ124" s="239">
        <v>-274</v>
      </c>
      <c r="EA124" s="239">
        <v>-258511</v>
      </c>
      <c r="EB124" s="239">
        <v>-13658</v>
      </c>
      <c r="EC124" s="239">
        <v>0</v>
      </c>
      <c r="ED124" s="239">
        <v>-13658</v>
      </c>
      <c r="EE124" s="239">
        <v>0</v>
      </c>
      <c r="EF124" s="239">
        <v>0</v>
      </c>
      <c r="EG124" s="239">
        <v>0</v>
      </c>
      <c r="EH124" s="239">
        <v>0</v>
      </c>
      <c r="EI124" s="239">
        <v>0</v>
      </c>
      <c r="EJ124" s="239">
        <v>0</v>
      </c>
      <c r="EK124" s="239">
        <v>-7971</v>
      </c>
      <c r="EL124" s="239">
        <v>0</v>
      </c>
      <c r="EM124" s="239">
        <v>-7971</v>
      </c>
      <c r="EN124" s="239">
        <v>-288675</v>
      </c>
      <c r="EO124" s="239">
        <v>-274</v>
      </c>
      <c r="EP124" s="239">
        <v>-288949</v>
      </c>
      <c r="EQ124" s="239">
        <v>0</v>
      </c>
      <c r="ER124" s="239">
        <v>0</v>
      </c>
      <c r="ES124" s="239">
        <v>0</v>
      </c>
      <c r="ET124" s="239">
        <v>0</v>
      </c>
      <c r="EU124" s="239">
        <v>0</v>
      </c>
      <c r="EV124" s="239">
        <v>0</v>
      </c>
      <c r="EW124" s="239">
        <v>0</v>
      </c>
      <c r="EX124" s="239">
        <v>0</v>
      </c>
      <c r="EY124" s="239">
        <v>0</v>
      </c>
      <c r="EZ124" s="239">
        <v>47379745</v>
      </c>
      <c r="FA124" s="239">
        <v>3830706</v>
      </c>
      <c r="FB124" s="239">
        <v>51210451</v>
      </c>
      <c r="FC124" s="239">
        <v>246878</v>
      </c>
      <c r="FD124" s="239">
        <v>4074</v>
      </c>
      <c r="FE124" s="239">
        <v>250952</v>
      </c>
      <c r="FF124" s="239">
        <v>-2599893</v>
      </c>
      <c r="FG124" s="239">
        <v>60774</v>
      </c>
      <c r="FH124" s="239">
        <v>-2539119</v>
      </c>
      <c r="FI124" s="239">
        <v>-1162395</v>
      </c>
      <c r="FJ124" s="239">
        <v>-1249964</v>
      </c>
      <c r="FK124" s="239">
        <v>-2412359</v>
      </c>
      <c r="FL124" s="239">
        <v>-54830</v>
      </c>
      <c r="FM124" s="239">
        <v>-58206</v>
      </c>
      <c r="FN124" s="239">
        <v>-113036</v>
      </c>
      <c r="FO124" s="239">
        <v>-288675</v>
      </c>
      <c r="FP124" s="239">
        <v>-274</v>
      </c>
      <c r="FQ124" s="239">
        <v>-288949</v>
      </c>
      <c r="FR124" s="239">
        <v>0</v>
      </c>
      <c r="FS124" s="239">
        <v>0</v>
      </c>
      <c r="FT124" s="239">
        <v>0</v>
      </c>
      <c r="FU124" s="239">
        <v>-3858915</v>
      </c>
      <c r="FV124" s="239">
        <v>-1243596</v>
      </c>
      <c r="FW124" s="239">
        <v>-5102511</v>
      </c>
      <c r="FX124" s="239">
        <v>43520830</v>
      </c>
      <c r="FY124" s="239">
        <v>2587110</v>
      </c>
      <c r="FZ124" s="239">
        <v>46107940</v>
      </c>
      <c r="GA124" s="214" t="s">
        <v>1294</v>
      </c>
    </row>
    <row r="125" spans="1:183" s="214" customFormat="1" x14ac:dyDescent="0.2">
      <c r="B125" s="610" t="s">
        <v>333</v>
      </c>
      <c r="C125" s="610" t="s">
        <v>332</v>
      </c>
      <c r="D125" s="239">
        <v>0</v>
      </c>
      <c r="E125" s="239">
        <v>0</v>
      </c>
      <c r="F125" s="239">
        <v>0</v>
      </c>
      <c r="G125" s="239">
        <v>31085</v>
      </c>
      <c r="H125" s="239">
        <v>0</v>
      </c>
      <c r="I125" s="239">
        <v>31085</v>
      </c>
      <c r="J125" s="239">
        <v>0</v>
      </c>
      <c r="K125" s="239">
        <v>0</v>
      </c>
      <c r="L125" s="239">
        <v>0</v>
      </c>
      <c r="M125" s="239">
        <v>91481</v>
      </c>
      <c r="N125" s="239">
        <v>0</v>
      </c>
      <c r="O125" s="239">
        <v>91481</v>
      </c>
      <c r="P125" s="239">
        <v>122566</v>
      </c>
      <c r="Q125" s="239">
        <v>0</v>
      </c>
      <c r="R125" s="239">
        <v>122566</v>
      </c>
      <c r="S125" s="239">
        <v>-4963550</v>
      </c>
      <c r="T125" s="239">
        <v>0</v>
      </c>
      <c r="U125" s="239">
        <v>-4963550</v>
      </c>
      <c r="V125" s="239">
        <v>-6791</v>
      </c>
      <c r="W125" s="239">
        <v>0</v>
      </c>
      <c r="X125" s="239">
        <v>-6791</v>
      </c>
      <c r="Y125" s="239">
        <v>-405871</v>
      </c>
      <c r="Z125" s="239">
        <v>0</v>
      </c>
      <c r="AA125" s="239">
        <v>-405871</v>
      </c>
      <c r="AB125" s="239">
        <v>-248378</v>
      </c>
      <c r="AC125" s="239">
        <v>0</v>
      </c>
      <c r="AD125" s="239">
        <v>-248378</v>
      </c>
      <c r="AE125" s="239">
        <v>0</v>
      </c>
      <c r="AF125" s="239">
        <v>0</v>
      </c>
      <c r="AG125" s="239">
        <v>0</v>
      </c>
      <c r="AH125" s="239">
        <v>1606785</v>
      </c>
      <c r="AI125" s="239">
        <v>0</v>
      </c>
      <c r="AJ125" s="239">
        <v>1606785</v>
      </c>
      <c r="AK125" s="239">
        <v>28652</v>
      </c>
      <c r="AL125" s="239">
        <v>0</v>
      </c>
      <c r="AM125" s="239">
        <v>28652</v>
      </c>
      <c r="AN125" s="239">
        <v>-3099181</v>
      </c>
      <c r="AO125" s="239">
        <v>0</v>
      </c>
      <c r="AP125" s="239">
        <v>-3099181</v>
      </c>
      <c r="AQ125" s="239">
        <v>42014</v>
      </c>
      <c r="AR125" s="239">
        <v>0</v>
      </c>
      <c r="AS125" s="239">
        <v>42014</v>
      </c>
      <c r="AT125" s="239">
        <v>-125006</v>
      </c>
      <c r="AU125" s="239">
        <v>0</v>
      </c>
      <c r="AV125" s="239">
        <v>-125006</v>
      </c>
      <c r="AW125" s="239">
        <v>0</v>
      </c>
      <c r="AX125" s="239">
        <v>0</v>
      </c>
      <c r="AY125" s="239">
        <v>0</v>
      </c>
      <c r="AZ125" s="239">
        <v>-57737</v>
      </c>
      <c r="BA125" s="239">
        <v>0</v>
      </c>
      <c r="BB125" s="239">
        <v>-57737</v>
      </c>
      <c r="BC125" s="239">
        <v>-829</v>
      </c>
      <c r="BD125" s="239">
        <v>0</v>
      </c>
      <c r="BE125" s="239">
        <v>-829</v>
      </c>
      <c r="BF125" s="239">
        <v>-6974723</v>
      </c>
      <c r="BG125" s="239">
        <v>0</v>
      </c>
      <c r="BH125" s="239">
        <v>-6974723</v>
      </c>
      <c r="BI125" s="239">
        <v>-102319</v>
      </c>
      <c r="BJ125" s="239">
        <v>0</v>
      </c>
      <c r="BK125" s="239">
        <v>-102319</v>
      </c>
      <c r="BL125" s="239">
        <v>-8757</v>
      </c>
      <c r="BM125" s="239">
        <v>0</v>
      </c>
      <c r="BN125" s="239">
        <v>-8757</v>
      </c>
      <c r="BO125" s="239">
        <v>-1556523</v>
      </c>
      <c r="BP125" s="239">
        <v>0</v>
      </c>
      <c r="BQ125" s="239">
        <v>-1556523</v>
      </c>
      <c r="BR125" s="239">
        <v>-68443</v>
      </c>
      <c r="BS125" s="239">
        <v>0</v>
      </c>
      <c r="BT125" s="239">
        <v>-68443</v>
      </c>
      <c r="BU125" s="239">
        <v>-1736042</v>
      </c>
      <c r="BV125" s="239">
        <v>0</v>
      </c>
      <c r="BW125" s="239">
        <v>-1736042</v>
      </c>
      <c r="BX125" s="239">
        <v>-29737</v>
      </c>
      <c r="BY125" s="239">
        <v>0</v>
      </c>
      <c r="BZ125" s="239">
        <v>-29737</v>
      </c>
      <c r="CA125" s="239">
        <v>-734</v>
      </c>
      <c r="CB125" s="239">
        <v>0</v>
      </c>
      <c r="CC125" s="239">
        <v>-734</v>
      </c>
      <c r="CD125" s="239">
        <v>-146253</v>
      </c>
      <c r="CE125" s="239">
        <v>0</v>
      </c>
      <c r="CF125" s="239">
        <v>-146253</v>
      </c>
      <c r="CG125" s="239">
        <v>-1666</v>
      </c>
      <c r="CH125" s="239">
        <v>0</v>
      </c>
      <c r="CI125" s="239">
        <v>-1666</v>
      </c>
      <c r="CJ125" s="239">
        <v>0</v>
      </c>
      <c r="CK125" s="239">
        <v>0</v>
      </c>
      <c r="CL125" s="239">
        <v>0</v>
      </c>
      <c r="CM125" s="239">
        <v>0</v>
      </c>
      <c r="CN125" s="239">
        <v>0</v>
      </c>
      <c r="CO125" s="239">
        <v>0</v>
      </c>
      <c r="CP125" s="239">
        <v>-14539</v>
      </c>
      <c r="CQ125" s="239">
        <v>0</v>
      </c>
      <c r="CR125" s="239">
        <v>-14539</v>
      </c>
      <c r="CS125" s="239">
        <v>179</v>
      </c>
      <c r="CT125" s="239">
        <v>0</v>
      </c>
      <c r="CU125" s="239">
        <v>179</v>
      </c>
      <c r="CV125" s="239">
        <v>-26318</v>
      </c>
      <c r="CW125" s="239">
        <v>0</v>
      </c>
      <c r="CX125" s="239">
        <v>-26318</v>
      </c>
      <c r="CY125" s="239">
        <v>295</v>
      </c>
      <c r="CZ125" s="239">
        <v>0</v>
      </c>
      <c r="DA125" s="239">
        <v>295</v>
      </c>
      <c r="DB125" s="239">
        <v>0</v>
      </c>
      <c r="DC125" s="239">
        <v>0</v>
      </c>
      <c r="DD125" s="239">
        <v>0</v>
      </c>
      <c r="DE125" s="239">
        <v>0</v>
      </c>
      <c r="DF125" s="239">
        <v>0</v>
      </c>
      <c r="DG125" s="239">
        <v>0</v>
      </c>
      <c r="DH125" s="239">
        <v>0</v>
      </c>
      <c r="DI125" s="239">
        <v>0</v>
      </c>
      <c r="DJ125" s="239">
        <v>-218773</v>
      </c>
      <c r="DK125" s="239">
        <v>0</v>
      </c>
      <c r="DL125" s="239">
        <v>-218773</v>
      </c>
      <c r="DM125" s="239">
        <v>-28175</v>
      </c>
      <c r="DN125" s="239">
        <v>0</v>
      </c>
      <c r="DO125" s="239">
        <v>-28175</v>
      </c>
      <c r="DP125" s="239">
        <v>47947</v>
      </c>
      <c r="DQ125" s="239">
        <v>0</v>
      </c>
      <c r="DR125" s="239">
        <v>47947</v>
      </c>
      <c r="DS125" s="239">
        <v>-54807</v>
      </c>
      <c r="DT125" s="239">
        <v>0</v>
      </c>
      <c r="DU125" s="239">
        <v>-54807</v>
      </c>
      <c r="DV125" s="239">
        <v>-154</v>
      </c>
      <c r="DW125" s="239">
        <v>0</v>
      </c>
      <c r="DX125" s="239">
        <v>-154</v>
      </c>
      <c r="DY125" s="239">
        <v>-1198266</v>
      </c>
      <c r="DZ125" s="239">
        <v>0</v>
      </c>
      <c r="EA125" s="239">
        <v>-1198266</v>
      </c>
      <c r="EB125" s="239">
        <v>-17536</v>
      </c>
      <c r="EC125" s="239">
        <v>0</v>
      </c>
      <c r="ED125" s="239">
        <v>-17536</v>
      </c>
      <c r="EE125" s="239">
        <v>-59783</v>
      </c>
      <c r="EF125" s="239">
        <v>0</v>
      </c>
      <c r="EG125" s="239">
        <v>-59783</v>
      </c>
      <c r="EH125" s="239">
        <v>0</v>
      </c>
      <c r="EI125" s="239">
        <v>0</v>
      </c>
      <c r="EJ125" s="239">
        <v>0</v>
      </c>
      <c r="EK125" s="239">
        <v>-21208</v>
      </c>
      <c r="EL125" s="239">
        <v>0</v>
      </c>
      <c r="EM125" s="239">
        <v>-21208</v>
      </c>
      <c r="EN125" s="239">
        <v>-1331982</v>
      </c>
      <c r="EO125" s="239">
        <v>0</v>
      </c>
      <c r="EP125" s="239">
        <v>-1331982</v>
      </c>
      <c r="EQ125" s="239">
        <v>0</v>
      </c>
      <c r="ER125" s="239">
        <v>0</v>
      </c>
      <c r="ES125" s="239">
        <v>0</v>
      </c>
      <c r="ET125" s="239">
        <v>0</v>
      </c>
      <c r="EU125" s="239">
        <v>0</v>
      </c>
      <c r="EV125" s="239">
        <v>0</v>
      </c>
      <c r="EW125" s="239">
        <v>0</v>
      </c>
      <c r="EX125" s="239">
        <v>0</v>
      </c>
      <c r="EY125" s="239">
        <v>0</v>
      </c>
      <c r="EZ125" s="239">
        <v>71061183</v>
      </c>
      <c r="FA125" s="239">
        <v>0</v>
      </c>
      <c r="FB125" s="239">
        <v>71061183</v>
      </c>
      <c r="FC125" s="239">
        <v>122566</v>
      </c>
      <c r="FD125" s="239">
        <v>0</v>
      </c>
      <c r="FE125" s="239">
        <v>122566</v>
      </c>
      <c r="FF125" s="239">
        <v>-6974723</v>
      </c>
      <c r="FG125" s="239">
        <v>0</v>
      </c>
      <c r="FH125" s="239">
        <v>-6974723</v>
      </c>
      <c r="FI125" s="239">
        <v>-1736042</v>
      </c>
      <c r="FJ125" s="239">
        <v>0</v>
      </c>
      <c r="FK125" s="239">
        <v>-1736042</v>
      </c>
      <c r="FL125" s="239">
        <v>-218773</v>
      </c>
      <c r="FM125" s="239">
        <v>0</v>
      </c>
      <c r="FN125" s="239">
        <v>-218773</v>
      </c>
      <c r="FO125" s="239">
        <v>-1331982</v>
      </c>
      <c r="FP125" s="239">
        <v>0</v>
      </c>
      <c r="FQ125" s="239">
        <v>-1331982</v>
      </c>
      <c r="FR125" s="239">
        <v>0</v>
      </c>
      <c r="FS125" s="239">
        <v>0</v>
      </c>
      <c r="FT125" s="239">
        <v>0</v>
      </c>
      <c r="FU125" s="239">
        <v>-10138954</v>
      </c>
      <c r="FV125" s="239">
        <v>0</v>
      </c>
      <c r="FW125" s="239">
        <v>-10138954</v>
      </c>
      <c r="FX125" s="239">
        <v>60922229</v>
      </c>
      <c r="FY125" s="239">
        <v>0</v>
      </c>
      <c r="FZ125" s="239">
        <v>60922229</v>
      </c>
      <c r="GA125" s="214" t="s">
        <v>1294</v>
      </c>
    </row>
    <row r="126" spans="1:183" s="214" customFormat="1" x14ac:dyDescent="0.2">
      <c r="B126" s="610" t="s">
        <v>335</v>
      </c>
      <c r="C126" s="610" t="s">
        <v>334</v>
      </c>
      <c r="D126" s="239">
        <v>0</v>
      </c>
      <c r="E126" s="239">
        <v>0</v>
      </c>
      <c r="F126" s="239">
        <v>0</v>
      </c>
      <c r="G126" s="239">
        <v>5202</v>
      </c>
      <c r="H126" s="239">
        <v>0</v>
      </c>
      <c r="I126" s="239">
        <v>5202</v>
      </c>
      <c r="J126" s="239">
        <v>0</v>
      </c>
      <c r="K126" s="239">
        <v>0</v>
      </c>
      <c r="L126" s="239">
        <v>0</v>
      </c>
      <c r="M126" s="239">
        <v>406200</v>
      </c>
      <c r="N126" s="239">
        <v>0</v>
      </c>
      <c r="O126" s="239">
        <v>406200</v>
      </c>
      <c r="P126" s="239">
        <v>411402</v>
      </c>
      <c r="Q126" s="239">
        <v>0</v>
      </c>
      <c r="R126" s="239">
        <v>411402</v>
      </c>
      <c r="S126" s="239">
        <v>-2966004</v>
      </c>
      <c r="T126" s="239">
        <v>0</v>
      </c>
      <c r="U126" s="239">
        <v>-2966004</v>
      </c>
      <c r="V126" s="239">
        <v>0</v>
      </c>
      <c r="W126" s="239">
        <v>0</v>
      </c>
      <c r="X126" s="239">
        <v>0</v>
      </c>
      <c r="Y126" s="239">
        <v>-115969</v>
      </c>
      <c r="Z126" s="239">
        <v>0</v>
      </c>
      <c r="AA126" s="239">
        <v>-115969</v>
      </c>
      <c r="AB126" s="239">
        <v>-82531</v>
      </c>
      <c r="AC126" s="239">
        <v>0</v>
      </c>
      <c r="AD126" s="239">
        <v>-82531</v>
      </c>
      <c r="AE126" s="239">
        <v>0</v>
      </c>
      <c r="AF126" s="239">
        <v>0</v>
      </c>
      <c r="AG126" s="239">
        <v>0</v>
      </c>
      <c r="AH126" s="239">
        <v>1170556</v>
      </c>
      <c r="AI126" s="239">
        <v>0</v>
      </c>
      <c r="AJ126" s="239">
        <v>1170556</v>
      </c>
      <c r="AK126" s="239">
        <v>-7591</v>
      </c>
      <c r="AL126" s="239">
        <v>0</v>
      </c>
      <c r="AM126" s="239">
        <v>-7591</v>
      </c>
      <c r="AN126" s="239">
        <v>-4480202</v>
      </c>
      <c r="AO126" s="239">
        <v>0</v>
      </c>
      <c r="AP126" s="239">
        <v>-4480202</v>
      </c>
      <c r="AQ126" s="239">
        <v>-84078</v>
      </c>
      <c r="AR126" s="239">
        <v>0</v>
      </c>
      <c r="AS126" s="239">
        <v>-84078</v>
      </c>
      <c r="AT126" s="239">
        <v>-176149</v>
      </c>
      <c r="AU126" s="239">
        <v>0</v>
      </c>
      <c r="AV126" s="239">
        <v>-176149</v>
      </c>
      <c r="AW126" s="239">
        <v>36216</v>
      </c>
      <c r="AX126" s="239">
        <v>0</v>
      </c>
      <c r="AY126" s="239">
        <v>36216</v>
      </c>
      <c r="AZ126" s="239">
        <v>0</v>
      </c>
      <c r="BA126" s="239">
        <v>0</v>
      </c>
      <c r="BB126" s="239">
        <v>0</v>
      </c>
      <c r="BC126" s="239">
        <v>0</v>
      </c>
      <c r="BD126" s="239">
        <v>0</v>
      </c>
      <c r="BE126" s="239">
        <v>0</v>
      </c>
      <c r="BF126" s="239">
        <v>-6623221</v>
      </c>
      <c r="BG126" s="239">
        <v>0</v>
      </c>
      <c r="BH126" s="239">
        <v>-6623221</v>
      </c>
      <c r="BI126" s="239">
        <v>-270</v>
      </c>
      <c r="BJ126" s="239">
        <v>0</v>
      </c>
      <c r="BK126" s="239">
        <v>-270</v>
      </c>
      <c r="BL126" s="239">
        <v>-37251</v>
      </c>
      <c r="BM126" s="239">
        <v>0</v>
      </c>
      <c r="BN126" s="239">
        <v>-37251</v>
      </c>
      <c r="BO126" s="239">
        <v>-1254582</v>
      </c>
      <c r="BP126" s="239">
        <v>0</v>
      </c>
      <c r="BQ126" s="239">
        <v>-1254582</v>
      </c>
      <c r="BR126" s="239">
        <v>129095</v>
      </c>
      <c r="BS126" s="239">
        <v>0</v>
      </c>
      <c r="BT126" s="239">
        <v>129095</v>
      </c>
      <c r="BU126" s="239">
        <v>-1163008</v>
      </c>
      <c r="BV126" s="239">
        <v>0</v>
      </c>
      <c r="BW126" s="239">
        <v>-1163008</v>
      </c>
      <c r="BX126" s="239">
        <v>-45714</v>
      </c>
      <c r="BY126" s="239">
        <v>0</v>
      </c>
      <c r="BZ126" s="239">
        <v>-45714</v>
      </c>
      <c r="CA126" s="239">
        <v>2165</v>
      </c>
      <c r="CB126" s="239">
        <v>0</v>
      </c>
      <c r="CC126" s="239">
        <v>2165</v>
      </c>
      <c r="CD126" s="239">
        <v>-16872</v>
      </c>
      <c r="CE126" s="239">
        <v>0</v>
      </c>
      <c r="CF126" s="239">
        <v>-16872</v>
      </c>
      <c r="CG126" s="239">
        <v>907</v>
      </c>
      <c r="CH126" s="239">
        <v>0</v>
      </c>
      <c r="CI126" s="239">
        <v>907</v>
      </c>
      <c r="CJ126" s="239">
        <v>0</v>
      </c>
      <c r="CK126" s="239">
        <v>0</v>
      </c>
      <c r="CL126" s="239">
        <v>0</v>
      </c>
      <c r="CM126" s="239">
        <v>0</v>
      </c>
      <c r="CN126" s="239">
        <v>0</v>
      </c>
      <c r="CO126" s="239">
        <v>0</v>
      </c>
      <c r="CP126" s="239">
        <v>0</v>
      </c>
      <c r="CQ126" s="239">
        <v>0</v>
      </c>
      <c r="CR126" s="239">
        <v>0</v>
      </c>
      <c r="CS126" s="239">
        <v>0</v>
      </c>
      <c r="CT126" s="239">
        <v>0</v>
      </c>
      <c r="CU126" s="239">
        <v>0</v>
      </c>
      <c r="CV126" s="239">
        <v>0</v>
      </c>
      <c r="CW126" s="239">
        <v>0</v>
      </c>
      <c r="CX126" s="239">
        <v>0</v>
      </c>
      <c r="CY126" s="239">
        <v>0</v>
      </c>
      <c r="CZ126" s="239">
        <v>0</v>
      </c>
      <c r="DA126" s="239">
        <v>0</v>
      </c>
      <c r="DB126" s="239">
        <v>0</v>
      </c>
      <c r="DC126" s="239">
        <v>0</v>
      </c>
      <c r="DD126" s="239">
        <v>0</v>
      </c>
      <c r="DE126" s="239">
        <v>0</v>
      </c>
      <c r="DF126" s="239">
        <v>0</v>
      </c>
      <c r="DG126" s="239">
        <v>0</v>
      </c>
      <c r="DH126" s="239">
        <v>0</v>
      </c>
      <c r="DI126" s="239">
        <v>0</v>
      </c>
      <c r="DJ126" s="239">
        <v>-59514</v>
      </c>
      <c r="DK126" s="239">
        <v>0</v>
      </c>
      <c r="DL126" s="239">
        <v>-59514</v>
      </c>
      <c r="DM126" s="239">
        <v>0</v>
      </c>
      <c r="DN126" s="239">
        <v>0</v>
      </c>
      <c r="DO126" s="239">
        <v>0</v>
      </c>
      <c r="DP126" s="239">
        <v>0</v>
      </c>
      <c r="DQ126" s="239">
        <v>0</v>
      </c>
      <c r="DR126" s="239">
        <v>0</v>
      </c>
      <c r="DS126" s="239">
        <v>-8206</v>
      </c>
      <c r="DT126" s="239">
        <v>0</v>
      </c>
      <c r="DU126" s="239">
        <v>-8206</v>
      </c>
      <c r="DV126" s="239">
        <v>0</v>
      </c>
      <c r="DW126" s="239">
        <v>0</v>
      </c>
      <c r="DX126" s="239">
        <v>0</v>
      </c>
      <c r="DY126" s="239">
        <v>-1383215</v>
      </c>
      <c r="DZ126" s="239">
        <v>0</v>
      </c>
      <c r="EA126" s="239">
        <v>-1383215</v>
      </c>
      <c r="EB126" s="239">
        <v>-68463</v>
      </c>
      <c r="EC126" s="239">
        <v>0</v>
      </c>
      <c r="ED126" s="239">
        <v>-68463</v>
      </c>
      <c r="EE126" s="239">
        <v>0</v>
      </c>
      <c r="EF126" s="239">
        <v>0</v>
      </c>
      <c r="EG126" s="239">
        <v>0</v>
      </c>
      <c r="EH126" s="239">
        <v>0</v>
      </c>
      <c r="EI126" s="239">
        <v>0</v>
      </c>
      <c r="EJ126" s="239">
        <v>0</v>
      </c>
      <c r="EK126" s="239">
        <v>0</v>
      </c>
      <c r="EL126" s="239">
        <v>0</v>
      </c>
      <c r="EM126" s="239">
        <v>0</v>
      </c>
      <c r="EN126" s="239">
        <v>-1459884</v>
      </c>
      <c r="EO126" s="239">
        <v>0</v>
      </c>
      <c r="EP126" s="239">
        <v>-1459884</v>
      </c>
      <c r="EQ126" s="239">
        <v>0</v>
      </c>
      <c r="ER126" s="239">
        <v>0</v>
      </c>
      <c r="ES126" s="239">
        <v>0</v>
      </c>
      <c r="ET126" s="239">
        <v>0</v>
      </c>
      <c r="EU126" s="239">
        <v>0</v>
      </c>
      <c r="EV126" s="239">
        <v>0</v>
      </c>
      <c r="EW126" s="239">
        <v>0</v>
      </c>
      <c r="EX126" s="239">
        <v>0</v>
      </c>
      <c r="EY126" s="239">
        <v>0</v>
      </c>
      <c r="EZ126" s="239">
        <v>58879749</v>
      </c>
      <c r="FA126" s="239">
        <v>0</v>
      </c>
      <c r="FB126" s="239">
        <v>58879749</v>
      </c>
      <c r="FC126" s="239">
        <v>411402</v>
      </c>
      <c r="FD126" s="239">
        <v>0</v>
      </c>
      <c r="FE126" s="239">
        <v>411402</v>
      </c>
      <c r="FF126" s="239">
        <v>-6623221</v>
      </c>
      <c r="FG126" s="239">
        <v>0</v>
      </c>
      <c r="FH126" s="239">
        <v>-6623221</v>
      </c>
      <c r="FI126" s="239">
        <v>-1163008</v>
      </c>
      <c r="FJ126" s="239">
        <v>0</v>
      </c>
      <c r="FK126" s="239">
        <v>-1163008</v>
      </c>
      <c r="FL126" s="239">
        <v>-59514</v>
      </c>
      <c r="FM126" s="239">
        <v>0</v>
      </c>
      <c r="FN126" s="239">
        <v>-59514</v>
      </c>
      <c r="FO126" s="239">
        <v>-1459884</v>
      </c>
      <c r="FP126" s="239">
        <v>0</v>
      </c>
      <c r="FQ126" s="239">
        <v>-1459884</v>
      </c>
      <c r="FR126" s="239">
        <v>0</v>
      </c>
      <c r="FS126" s="239">
        <v>0</v>
      </c>
      <c r="FT126" s="239">
        <v>0</v>
      </c>
      <c r="FU126" s="239">
        <v>-8894225</v>
      </c>
      <c r="FV126" s="239">
        <v>0</v>
      </c>
      <c r="FW126" s="239">
        <v>-8894225</v>
      </c>
      <c r="FX126" s="239">
        <v>49985524</v>
      </c>
      <c r="FY126" s="239">
        <v>0</v>
      </c>
      <c r="FZ126" s="239">
        <v>49985524</v>
      </c>
      <c r="GA126" s="214" t="s">
        <v>1295</v>
      </c>
    </row>
    <row r="127" spans="1:183" s="214" customFormat="1" x14ac:dyDescent="0.2">
      <c r="B127" s="610" t="s">
        <v>337</v>
      </c>
      <c r="C127" s="610" t="s">
        <v>336</v>
      </c>
      <c r="D127" s="239">
        <v>0</v>
      </c>
      <c r="E127" s="239">
        <v>0</v>
      </c>
      <c r="F127" s="239">
        <v>0</v>
      </c>
      <c r="G127" s="239">
        <v>-525307</v>
      </c>
      <c r="H127" s="239">
        <v>0</v>
      </c>
      <c r="I127" s="239">
        <v>-525307</v>
      </c>
      <c r="J127" s="239">
        <v>0</v>
      </c>
      <c r="K127" s="239">
        <v>0</v>
      </c>
      <c r="L127" s="239">
        <v>0</v>
      </c>
      <c r="M127" s="239">
        <v>-11098</v>
      </c>
      <c r="N127" s="239">
        <v>0</v>
      </c>
      <c r="O127" s="239">
        <v>-11098</v>
      </c>
      <c r="P127" s="239">
        <v>-536405</v>
      </c>
      <c r="Q127" s="239">
        <v>0</v>
      </c>
      <c r="R127" s="239">
        <v>-536405</v>
      </c>
      <c r="S127" s="239">
        <v>-1119828</v>
      </c>
      <c r="T127" s="239">
        <v>0</v>
      </c>
      <c r="U127" s="239">
        <v>-1119828</v>
      </c>
      <c r="V127" s="239">
        <v>-11211</v>
      </c>
      <c r="W127" s="239">
        <v>0</v>
      </c>
      <c r="X127" s="239">
        <v>-11211</v>
      </c>
      <c r="Y127" s="239">
        <v>-77673</v>
      </c>
      <c r="Z127" s="239">
        <v>0</v>
      </c>
      <c r="AA127" s="239">
        <v>-77673</v>
      </c>
      <c r="AB127" s="239">
        <v>-34026</v>
      </c>
      <c r="AC127" s="239">
        <v>0</v>
      </c>
      <c r="AD127" s="239">
        <v>-34026</v>
      </c>
      <c r="AE127" s="239">
        <v>0</v>
      </c>
      <c r="AF127" s="239">
        <v>0</v>
      </c>
      <c r="AG127" s="239">
        <v>0</v>
      </c>
      <c r="AH127" s="239">
        <v>806810</v>
      </c>
      <c r="AI127" s="239">
        <v>0</v>
      </c>
      <c r="AJ127" s="239">
        <v>806810</v>
      </c>
      <c r="AK127" s="239">
        <v>-30534</v>
      </c>
      <c r="AL127" s="239">
        <v>0</v>
      </c>
      <c r="AM127" s="239">
        <v>-30534</v>
      </c>
      <c r="AN127" s="239">
        <v>-1378800</v>
      </c>
      <c r="AO127" s="239">
        <v>0</v>
      </c>
      <c r="AP127" s="239">
        <v>-1378800</v>
      </c>
      <c r="AQ127" s="239">
        <v>589</v>
      </c>
      <c r="AR127" s="239">
        <v>0</v>
      </c>
      <c r="AS127" s="239">
        <v>589</v>
      </c>
      <c r="AT127" s="239">
        <v>-36107</v>
      </c>
      <c r="AU127" s="239">
        <v>0</v>
      </c>
      <c r="AV127" s="239">
        <v>-36107</v>
      </c>
      <c r="AW127" s="239">
        <v>0</v>
      </c>
      <c r="AX127" s="239">
        <v>0</v>
      </c>
      <c r="AY127" s="239">
        <v>0</v>
      </c>
      <c r="AZ127" s="239">
        <v>-1701</v>
      </c>
      <c r="BA127" s="239">
        <v>0</v>
      </c>
      <c r="BB127" s="239">
        <v>-1701</v>
      </c>
      <c r="BC127" s="239">
        <v>0</v>
      </c>
      <c r="BD127" s="239">
        <v>0</v>
      </c>
      <c r="BE127" s="239">
        <v>0</v>
      </c>
      <c r="BF127" s="239">
        <v>-1837244</v>
      </c>
      <c r="BG127" s="239">
        <v>0</v>
      </c>
      <c r="BH127" s="239">
        <v>-1837244</v>
      </c>
      <c r="BI127" s="239">
        <v>-4006</v>
      </c>
      <c r="BJ127" s="239">
        <v>0</v>
      </c>
      <c r="BK127" s="239">
        <v>-4006</v>
      </c>
      <c r="BL127" s="239">
        <v>-33097</v>
      </c>
      <c r="BM127" s="239">
        <v>0</v>
      </c>
      <c r="BN127" s="239">
        <v>-33097</v>
      </c>
      <c r="BO127" s="239">
        <v>-2373218</v>
      </c>
      <c r="BP127" s="239">
        <v>0</v>
      </c>
      <c r="BQ127" s="239">
        <v>-2373218</v>
      </c>
      <c r="BR127" s="239">
        <v>155290</v>
      </c>
      <c r="BS127" s="239">
        <v>0</v>
      </c>
      <c r="BT127" s="239">
        <v>155290</v>
      </c>
      <c r="BU127" s="239">
        <v>-2255031</v>
      </c>
      <c r="BV127" s="239">
        <v>0</v>
      </c>
      <c r="BW127" s="239">
        <v>-2255031</v>
      </c>
      <c r="BX127" s="239">
        <v>-77346</v>
      </c>
      <c r="BY127" s="239">
        <v>0</v>
      </c>
      <c r="BZ127" s="239">
        <v>-77346</v>
      </c>
      <c r="CA127" s="239">
        <v>25</v>
      </c>
      <c r="CB127" s="239">
        <v>0</v>
      </c>
      <c r="CC127" s="239">
        <v>25</v>
      </c>
      <c r="CD127" s="239">
        <v>-21630</v>
      </c>
      <c r="CE127" s="239">
        <v>0</v>
      </c>
      <c r="CF127" s="239">
        <v>-21630</v>
      </c>
      <c r="CG127" s="239">
        <v>3680</v>
      </c>
      <c r="CH127" s="239">
        <v>0</v>
      </c>
      <c r="CI127" s="239">
        <v>3680</v>
      </c>
      <c r="CJ127" s="239">
        <v>0</v>
      </c>
      <c r="CK127" s="239">
        <v>0</v>
      </c>
      <c r="CL127" s="239">
        <v>0</v>
      </c>
      <c r="CM127" s="239">
        <v>0</v>
      </c>
      <c r="CN127" s="239">
        <v>0</v>
      </c>
      <c r="CO127" s="239">
        <v>0</v>
      </c>
      <c r="CP127" s="239">
        <v>-1701</v>
      </c>
      <c r="CQ127" s="239">
        <v>0</v>
      </c>
      <c r="CR127" s="239">
        <v>-1701</v>
      </c>
      <c r="CS127" s="239">
        <v>0</v>
      </c>
      <c r="CT127" s="239">
        <v>0</v>
      </c>
      <c r="CU127" s="239">
        <v>0</v>
      </c>
      <c r="CV127" s="239">
        <v>0</v>
      </c>
      <c r="CW127" s="239">
        <v>0</v>
      </c>
      <c r="CX127" s="239">
        <v>0</v>
      </c>
      <c r="CY127" s="239">
        <v>0</v>
      </c>
      <c r="CZ127" s="239">
        <v>0</v>
      </c>
      <c r="DA127" s="239">
        <v>0</v>
      </c>
      <c r="DB127" s="239">
        <v>0</v>
      </c>
      <c r="DC127" s="239">
        <v>0</v>
      </c>
      <c r="DD127" s="239">
        <v>0</v>
      </c>
      <c r="DE127" s="239">
        <v>0</v>
      </c>
      <c r="DF127" s="239">
        <v>0</v>
      </c>
      <c r="DG127" s="239">
        <v>0</v>
      </c>
      <c r="DH127" s="239">
        <v>0</v>
      </c>
      <c r="DI127" s="239">
        <v>0</v>
      </c>
      <c r="DJ127" s="239">
        <v>-96972</v>
      </c>
      <c r="DK127" s="239">
        <v>0</v>
      </c>
      <c r="DL127" s="239">
        <v>-96972</v>
      </c>
      <c r="DM127" s="239">
        <v>0</v>
      </c>
      <c r="DN127" s="239">
        <v>0</v>
      </c>
      <c r="DO127" s="239">
        <v>0</v>
      </c>
      <c r="DP127" s="239">
        <v>0</v>
      </c>
      <c r="DQ127" s="239">
        <v>0</v>
      </c>
      <c r="DR127" s="239">
        <v>0</v>
      </c>
      <c r="DS127" s="239">
        <v>0</v>
      </c>
      <c r="DT127" s="239">
        <v>0</v>
      </c>
      <c r="DU127" s="239">
        <v>0</v>
      </c>
      <c r="DV127" s="239">
        <v>0</v>
      </c>
      <c r="DW127" s="239">
        <v>0</v>
      </c>
      <c r="DX127" s="239">
        <v>0</v>
      </c>
      <c r="DY127" s="239">
        <v>-451962</v>
      </c>
      <c r="DZ127" s="239">
        <v>0</v>
      </c>
      <c r="EA127" s="239">
        <v>-451962</v>
      </c>
      <c r="EB127" s="239">
        <v>-17347</v>
      </c>
      <c r="EC127" s="239">
        <v>0</v>
      </c>
      <c r="ED127" s="239">
        <v>-17347</v>
      </c>
      <c r="EE127" s="239">
        <v>0</v>
      </c>
      <c r="EF127" s="239">
        <v>0</v>
      </c>
      <c r="EG127" s="239">
        <v>0</v>
      </c>
      <c r="EH127" s="239">
        <v>0</v>
      </c>
      <c r="EI127" s="239">
        <v>0</v>
      </c>
      <c r="EJ127" s="239">
        <v>0</v>
      </c>
      <c r="EK127" s="239">
        <v>-4501</v>
      </c>
      <c r="EL127" s="239">
        <v>0</v>
      </c>
      <c r="EM127" s="239">
        <v>-4501</v>
      </c>
      <c r="EN127" s="239">
        <v>-473810</v>
      </c>
      <c r="EO127" s="239">
        <v>0</v>
      </c>
      <c r="EP127" s="239">
        <v>-473810</v>
      </c>
      <c r="EQ127" s="239">
        <v>0</v>
      </c>
      <c r="ER127" s="239">
        <v>0</v>
      </c>
      <c r="ES127" s="239">
        <v>0</v>
      </c>
      <c r="ET127" s="239">
        <v>0</v>
      </c>
      <c r="EU127" s="239">
        <v>0</v>
      </c>
      <c r="EV127" s="239">
        <v>0</v>
      </c>
      <c r="EW127" s="239">
        <v>0</v>
      </c>
      <c r="EX127" s="239">
        <v>0</v>
      </c>
      <c r="EY127" s="239">
        <v>0</v>
      </c>
      <c r="EZ127" s="239">
        <v>31975216</v>
      </c>
      <c r="FA127" s="239">
        <v>0</v>
      </c>
      <c r="FB127" s="239">
        <v>31975216</v>
      </c>
      <c r="FC127" s="239">
        <v>-536405</v>
      </c>
      <c r="FD127" s="239">
        <v>0</v>
      </c>
      <c r="FE127" s="239">
        <v>-536405</v>
      </c>
      <c r="FF127" s="239">
        <v>-1837244</v>
      </c>
      <c r="FG127" s="239">
        <v>0</v>
      </c>
      <c r="FH127" s="239">
        <v>-1837244</v>
      </c>
      <c r="FI127" s="239">
        <v>-2255031</v>
      </c>
      <c r="FJ127" s="239">
        <v>0</v>
      </c>
      <c r="FK127" s="239">
        <v>-2255031</v>
      </c>
      <c r="FL127" s="239">
        <v>-96972</v>
      </c>
      <c r="FM127" s="239">
        <v>0</v>
      </c>
      <c r="FN127" s="239">
        <v>-96972</v>
      </c>
      <c r="FO127" s="239">
        <v>-473810</v>
      </c>
      <c r="FP127" s="239">
        <v>0</v>
      </c>
      <c r="FQ127" s="239">
        <v>-473810</v>
      </c>
      <c r="FR127" s="239">
        <v>0</v>
      </c>
      <c r="FS127" s="239">
        <v>0</v>
      </c>
      <c r="FT127" s="239">
        <v>0</v>
      </c>
      <c r="FU127" s="239">
        <v>-5199462</v>
      </c>
      <c r="FV127" s="239">
        <v>0</v>
      </c>
      <c r="FW127" s="239">
        <v>-5199462</v>
      </c>
      <c r="FX127" s="239">
        <v>26775754</v>
      </c>
      <c r="FY127" s="239">
        <v>0</v>
      </c>
      <c r="FZ127" s="239">
        <v>26775754</v>
      </c>
      <c r="GA127" s="214" t="s">
        <v>1294</v>
      </c>
    </row>
    <row r="128" spans="1:183" s="214" customFormat="1" x14ac:dyDescent="0.2">
      <c r="B128" s="610" t="s">
        <v>339</v>
      </c>
      <c r="C128" s="610" t="s">
        <v>338</v>
      </c>
      <c r="D128" s="239">
        <v>0</v>
      </c>
      <c r="E128" s="239">
        <v>0</v>
      </c>
      <c r="F128" s="239">
        <v>0</v>
      </c>
      <c r="G128" s="239">
        <v>35850548</v>
      </c>
      <c r="H128" s="239">
        <v>0</v>
      </c>
      <c r="I128" s="239">
        <v>35850548</v>
      </c>
      <c r="J128" s="239">
        <v>0</v>
      </c>
      <c r="K128" s="239">
        <v>0</v>
      </c>
      <c r="L128" s="239">
        <v>0</v>
      </c>
      <c r="M128" s="239">
        <v>19274</v>
      </c>
      <c r="N128" s="239">
        <v>0</v>
      </c>
      <c r="O128" s="239">
        <v>19274</v>
      </c>
      <c r="P128" s="239">
        <v>35869822</v>
      </c>
      <c r="Q128" s="239">
        <v>0</v>
      </c>
      <c r="R128" s="239">
        <v>35869822</v>
      </c>
      <c r="S128" s="239">
        <v>-2052844</v>
      </c>
      <c r="T128" s="239">
        <v>0</v>
      </c>
      <c r="U128" s="239">
        <v>-2052844</v>
      </c>
      <c r="V128" s="239">
        <v>-7130</v>
      </c>
      <c r="W128" s="239">
        <v>0</v>
      </c>
      <c r="X128" s="239">
        <v>-7130</v>
      </c>
      <c r="Y128" s="239">
        <v>-66816</v>
      </c>
      <c r="Z128" s="239">
        <v>0</v>
      </c>
      <c r="AA128" s="239">
        <v>-66816</v>
      </c>
      <c r="AB128" s="239">
        <v>-46040</v>
      </c>
      <c r="AC128" s="239">
        <v>0</v>
      </c>
      <c r="AD128" s="239">
        <v>-46040</v>
      </c>
      <c r="AE128" s="239">
        <v>0</v>
      </c>
      <c r="AF128" s="239">
        <v>0</v>
      </c>
      <c r="AG128" s="239">
        <v>0</v>
      </c>
      <c r="AH128" s="239">
        <v>893223</v>
      </c>
      <c r="AI128" s="239">
        <v>2691</v>
      </c>
      <c r="AJ128" s="239">
        <v>895914</v>
      </c>
      <c r="AK128" s="239">
        <v>-766107</v>
      </c>
      <c r="AL128" s="239">
        <v>101</v>
      </c>
      <c r="AM128" s="239">
        <v>-766006</v>
      </c>
      <c r="AN128" s="239">
        <v>-2042720</v>
      </c>
      <c r="AO128" s="239">
        <v>0</v>
      </c>
      <c r="AP128" s="239">
        <v>-2042720</v>
      </c>
      <c r="AQ128" s="239">
        <v>77015</v>
      </c>
      <c r="AR128" s="239">
        <v>0</v>
      </c>
      <c r="AS128" s="239">
        <v>77015</v>
      </c>
      <c r="AT128" s="239">
        <v>-52159</v>
      </c>
      <c r="AU128" s="239">
        <v>0</v>
      </c>
      <c r="AV128" s="239">
        <v>-52159</v>
      </c>
      <c r="AW128" s="239">
        <v>0</v>
      </c>
      <c r="AX128" s="239">
        <v>0</v>
      </c>
      <c r="AY128" s="239">
        <v>0</v>
      </c>
      <c r="AZ128" s="239">
        <v>0</v>
      </c>
      <c r="BA128" s="239">
        <v>0</v>
      </c>
      <c r="BB128" s="239">
        <v>0</v>
      </c>
      <c r="BC128" s="239">
        <v>0</v>
      </c>
      <c r="BD128" s="239">
        <v>0</v>
      </c>
      <c r="BE128" s="239">
        <v>0</v>
      </c>
      <c r="BF128" s="239">
        <v>-4010408</v>
      </c>
      <c r="BG128" s="239">
        <v>2792</v>
      </c>
      <c r="BH128" s="239">
        <v>-4007616</v>
      </c>
      <c r="BI128" s="239">
        <v>-11277</v>
      </c>
      <c r="BJ128" s="239">
        <v>0</v>
      </c>
      <c r="BK128" s="239">
        <v>-11277</v>
      </c>
      <c r="BL128" s="239">
        <v>915</v>
      </c>
      <c r="BM128" s="239">
        <v>0</v>
      </c>
      <c r="BN128" s="239">
        <v>915</v>
      </c>
      <c r="BO128" s="239">
        <v>-887665</v>
      </c>
      <c r="BP128" s="239">
        <v>0</v>
      </c>
      <c r="BQ128" s="239">
        <v>-887665</v>
      </c>
      <c r="BR128" s="239">
        <v>56931</v>
      </c>
      <c r="BS128" s="239">
        <v>0</v>
      </c>
      <c r="BT128" s="239">
        <v>56931</v>
      </c>
      <c r="BU128" s="239">
        <v>-841096</v>
      </c>
      <c r="BV128" s="239">
        <v>0</v>
      </c>
      <c r="BW128" s="239">
        <v>-841096</v>
      </c>
      <c r="BX128" s="239">
        <v>-133033</v>
      </c>
      <c r="BY128" s="239">
        <v>0</v>
      </c>
      <c r="BZ128" s="239">
        <v>-133033</v>
      </c>
      <c r="CA128" s="239">
        <v>4206</v>
      </c>
      <c r="CB128" s="239">
        <v>0</v>
      </c>
      <c r="CC128" s="239">
        <v>4206</v>
      </c>
      <c r="CD128" s="239">
        <v>-39388</v>
      </c>
      <c r="CE128" s="239">
        <v>0</v>
      </c>
      <c r="CF128" s="239">
        <v>-39388</v>
      </c>
      <c r="CG128" s="239">
        <v>0</v>
      </c>
      <c r="CH128" s="239">
        <v>0</v>
      </c>
      <c r="CI128" s="239">
        <v>0</v>
      </c>
      <c r="CJ128" s="239">
        <v>-3032</v>
      </c>
      <c r="CK128" s="239">
        <v>0</v>
      </c>
      <c r="CL128" s="239">
        <v>-3032</v>
      </c>
      <c r="CM128" s="239">
        <v>0</v>
      </c>
      <c r="CN128" s="239">
        <v>0</v>
      </c>
      <c r="CO128" s="239">
        <v>0</v>
      </c>
      <c r="CP128" s="239">
        <v>0</v>
      </c>
      <c r="CQ128" s="239">
        <v>0</v>
      </c>
      <c r="CR128" s="239">
        <v>0</v>
      </c>
      <c r="CS128" s="239">
        <v>0</v>
      </c>
      <c r="CT128" s="239">
        <v>0</v>
      </c>
      <c r="CU128" s="239">
        <v>0</v>
      </c>
      <c r="CV128" s="239">
        <v>0</v>
      </c>
      <c r="CW128" s="239">
        <v>0</v>
      </c>
      <c r="CX128" s="239">
        <v>0</v>
      </c>
      <c r="CY128" s="239">
        <v>0</v>
      </c>
      <c r="CZ128" s="239">
        <v>0</v>
      </c>
      <c r="DA128" s="239">
        <v>0</v>
      </c>
      <c r="DB128" s="239">
        <v>0</v>
      </c>
      <c r="DC128" s="239">
        <v>-109182</v>
      </c>
      <c r="DD128" s="239">
        <v>-109182</v>
      </c>
      <c r="DE128" s="239">
        <v>0</v>
      </c>
      <c r="DF128" s="239">
        <v>-4499</v>
      </c>
      <c r="DG128" s="239">
        <v>-4499</v>
      </c>
      <c r="DH128" s="239">
        <v>-113681</v>
      </c>
      <c r="DI128" s="239">
        <v>0</v>
      </c>
      <c r="DJ128" s="239">
        <v>-171247</v>
      </c>
      <c r="DK128" s="239">
        <v>-113681</v>
      </c>
      <c r="DL128" s="239">
        <v>-284928</v>
      </c>
      <c r="DM128" s="239">
        <v>0</v>
      </c>
      <c r="DN128" s="239">
        <v>0</v>
      </c>
      <c r="DO128" s="239">
        <v>0</v>
      </c>
      <c r="DP128" s="239">
        <v>0</v>
      </c>
      <c r="DQ128" s="239">
        <v>0</v>
      </c>
      <c r="DR128" s="239">
        <v>0</v>
      </c>
      <c r="DS128" s="239">
        <v>0</v>
      </c>
      <c r="DT128" s="239">
        <v>0</v>
      </c>
      <c r="DU128" s="239">
        <v>0</v>
      </c>
      <c r="DV128" s="239">
        <v>0</v>
      </c>
      <c r="DW128" s="239">
        <v>0</v>
      </c>
      <c r="DX128" s="239">
        <v>0</v>
      </c>
      <c r="DY128" s="239">
        <v>-425560</v>
      </c>
      <c r="DZ128" s="239">
        <v>0</v>
      </c>
      <c r="EA128" s="239">
        <v>-425560</v>
      </c>
      <c r="EB128" s="239">
        <v>-30434</v>
      </c>
      <c r="EC128" s="239">
        <v>0</v>
      </c>
      <c r="ED128" s="239">
        <v>-30434</v>
      </c>
      <c r="EE128" s="239">
        <v>0</v>
      </c>
      <c r="EF128" s="239">
        <v>0</v>
      </c>
      <c r="EG128" s="239">
        <v>0</v>
      </c>
      <c r="EH128" s="239">
        <v>0</v>
      </c>
      <c r="EI128" s="239">
        <v>0</v>
      </c>
      <c r="EJ128" s="239">
        <v>0</v>
      </c>
      <c r="EK128" s="239">
        <v>-14556</v>
      </c>
      <c r="EL128" s="239">
        <v>0</v>
      </c>
      <c r="EM128" s="239">
        <v>-14556</v>
      </c>
      <c r="EN128" s="239">
        <v>-470550</v>
      </c>
      <c r="EO128" s="239">
        <v>0</v>
      </c>
      <c r="EP128" s="239">
        <v>-470550</v>
      </c>
      <c r="EQ128" s="239">
        <v>0</v>
      </c>
      <c r="ER128" s="239">
        <v>0</v>
      </c>
      <c r="ES128" s="239">
        <v>0</v>
      </c>
      <c r="ET128" s="239">
        <v>0</v>
      </c>
      <c r="EU128" s="239">
        <v>0</v>
      </c>
      <c r="EV128" s="239">
        <v>0</v>
      </c>
      <c r="EW128" s="239">
        <v>0</v>
      </c>
      <c r="EX128" s="239">
        <v>0</v>
      </c>
      <c r="EY128" s="239">
        <v>0</v>
      </c>
      <c r="EZ128" s="239">
        <v>-2444444</v>
      </c>
      <c r="FA128" s="239">
        <v>110889</v>
      </c>
      <c r="FB128" s="239">
        <v>-2333555</v>
      </c>
      <c r="FC128" s="239">
        <v>35869822</v>
      </c>
      <c r="FD128" s="239">
        <v>0</v>
      </c>
      <c r="FE128" s="239">
        <v>35869822</v>
      </c>
      <c r="FF128" s="239">
        <v>-4010408</v>
      </c>
      <c r="FG128" s="239">
        <v>2792</v>
      </c>
      <c r="FH128" s="239">
        <v>-4007616</v>
      </c>
      <c r="FI128" s="239">
        <v>-841096</v>
      </c>
      <c r="FJ128" s="239">
        <v>0</v>
      </c>
      <c r="FK128" s="239">
        <v>-841096</v>
      </c>
      <c r="FL128" s="239">
        <v>-171247</v>
      </c>
      <c r="FM128" s="239">
        <v>-113681</v>
      </c>
      <c r="FN128" s="239">
        <v>-284928</v>
      </c>
      <c r="FO128" s="239">
        <v>-470550</v>
      </c>
      <c r="FP128" s="239">
        <v>0</v>
      </c>
      <c r="FQ128" s="239">
        <v>-470550</v>
      </c>
      <c r="FR128" s="239">
        <v>0</v>
      </c>
      <c r="FS128" s="239">
        <v>0</v>
      </c>
      <c r="FT128" s="239">
        <v>0</v>
      </c>
      <c r="FU128" s="239">
        <v>30376521</v>
      </c>
      <c r="FV128" s="239">
        <v>-110889</v>
      </c>
      <c r="FW128" s="239">
        <v>30265632</v>
      </c>
      <c r="FX128" s="239">
        <v>27932077</v>
      </c>
      <c r="FY128" s="239">
        <v>0</v>
      </c>
      <c r="FZ128" s="239">
        <v>27932077</v>
      </c>
      <c r="GA128" s="214" t="s">
        <v>748</v>
      </c>
    </row>
    <row r="129" spans="2:183" s="214" customFormat="1" x14ac:dyDescent="0.2">
      <c r="B129" s="610" t="s">
        <v>341</v>
      </c>
      <c r="C129" s="610" t="s">
        <v>340</v>
      </c>
      <c r="D129" s="239">
        <v>0</v>
      </c>
      <c r="E129" s="239">
        <v>0</v>
      </c>
      <c r="F129" s="239">
        <v>0</v>
      </c>
      <c r="G129" s="239">
        <v>0</v>
      </c>
      <c r="H129" s="239">
        <v>0</v>
      </c>
      <c r="I129" s="239">
        <v>0</v>
      </c>
      <c r="J129" s="239">
        <v>0</v>
      </c>
      <c r="K129" s="239">
        <v>0</v>
      </c>
      <c r="L129" s="239">
        <v>0</v>
      </c>
      <c r="M129" s="239">
        <v>29572</v>
      </c>
      <c r="N129" s="239">
        <v>0</v>
      </c>
      <c r="O129" s="239">
        <v>29572</v>
      </c>
      <c r="P129" s="239">
        <v>29572</v>
      </c>
      <c r="Q129" s="239">
        <v>0</v>
      </c>
      <c r="R129" s="239">
        <v>29572</v>
      </c>
      <c r="S129" s="239">
        <v>-2538338</v>
      </c>
      <c r="T129" s="239">
        <v>0</v>
      </c>
      <c r="U129" s="239">
        <v>-2538338</v>
      </c>
      <c r="V129" s="239">
        <v>0</v>
      </c>
      <c r="W129" s="239">
        <v>0</v>
      </c>
      <c r="X129" s="239">
        <v>0</v>
      </c>
      <c r="Y129" s="239">
        <v>-72660</v>
      </c>
      <c r="Z129" s="239">
        <v>0</v>
      </c>
      <c r="AA129" s="239">
        <v>-72660</v>
      </c>
      <c r="AB129" s="239">
        <v>-49292</v>
      </c>
      <c r="AC129" s="239">
        <v>0</v>
      </c>
      <c r="AD129" s="239">
        <v>-49292</v>
      </c>
      <c r="AE129" s="239">
        <v>0</v>
      </c>
      <c r="AF129" s="239">
        <v>0</v>
      </c>
      <c r="AG129" s="239">
        <v>0</v>
      </c>
      <c r="AH129" s="239">
        <v>594074</v>
      </c>
      <c r="AI129" s="239">
        <v>0</v>
      </c>
      <c r="AJ129" s="239">
        <v>594074</v>
      </c>
      <c r="AK129" s="239">
        <v>22836</v>
      </c>
      <c r="AL129" s="239">
        <v>0</v>
      </c>
      <c r="AM129" s="239">
        <v>22836</v>
      </c>
      <c r="AN129" s="239">
        <v>-2507592</v>
      </c>
      <c r="AO129" s="239">
        <v>0</v>
      </c>
      <c r="AP129" s="239">
        <v>-2507592</v>
      </c>
      <c r="AQ129" s="239">
        <v>-79953</v>
      </c>
      <c r="AR129" s="239">
        <v>0</v>
      </c>
      <c r="AS129" s="239">
        <v>-79953</v>
      </c>
      <c r="AT129" s="239">
        <v>-43877</v>
      </c>
      <c r="AU129" s="239">
        <v>0</v>
      </c>
      <c r="AV129" s="239">
        <v>-43877</v>
      </c>
      <c r="AW129" s="239">
        <v>9106</v>
      </c>
      <c r="AX129" s="239">
        <v>0</v>
      </c>
      <c r="AY129" s="239">
        <v>9106</v>
      </c>
      <c r="AZ129" s="239">
        <v>0</v>
      </c>
      <c r="BA129" s="239">
        <v>0</v>
      </c>
      <c r="BB129" s="239">
        <v>0</v>
      </c>
      <c r="BC129" s="239">
        <v>0</v>
      </c>
      <c r="BD129" s="239">
        <v>0</v>
      </c>
      <c r="BE129" s="239">
        <v>0</v>
      </c>
      <c r="BF129" s="239">
        <v>-4616404</v>
      </c>
      <c r="BG129" s="239">
        <v>0</v>
      </c>
      <c r="BH129" s="239">
        <v>-4616404</v>
      </c>
      <c r="BI129" s="239">
        <v>-2139</v>
      </c>
      <c r="BJ129" s="239">
        <v>0</v>
      </c>
      <c r="BK129" s="239">
        <v>-2139</v>
      </c>
      <c r="BL129" s="239">
        <v>-5126</v>
      </c>
      <c r="BM129" s="239">
        <v>0</v>
      </c>
      <c r="BN129" s="239">
        <v>-5126</v>
      </c>
      <c r="BO129" s="239">
        <v>-533765</v>
      </c>
      <c r="BP129" s="239">
        <v>0</v>
      </c>
      <c r="BQ129" s="239">
        <v>-533765</v>
      </c>
      <c r="BR129" s="239">
        <v>-1718</v>
      </c>
      <c r="BS129" s="239">
        <v>0</v>
      </c>
      <c r="BT129" s="239">
        <v>-1718</v>
      </c>
      <c r="BU129" s="239">
        <v>-542748</v>
      </c>
      <c r="BV129" s="239">
        <v>0</v>
      </c>
      <c r="BW129" s="239">
        <v>-542748</v>
      </c>
      <c r="BX129" s="239">
        <v>-103279</v>
      </c>
      <c r="BY129" s="239">
        <v>0</v>
      </c>
      <c r="BZ129" s="239">
        <v>-103279</v>
      </c>
      <c r="CA129" s="239">
        <v>151</v>
      </c>
      <c r="CB129" s="239">
        <v>0</v>
      </c>
      <c r="CC129" s="239">
        <v>151</v>
      </c>
      <c r="CD129" s="239">
        <v>-142670</v>
      </c>
      <c r="CE129" s="239">
        <v>0</v>
      </c>
      <c r="CF129" s="239">
        <v>-142670</v>
      </c>
      <c r="CG129" s="239">
        <v>1954</v>
      </c>
      <c r="CH129" s="239">
        <v>0</v>
      </c>
      <c r="CI129" s="239">
        <v>1954</v>
      </c>
      <c r="CJ129" s="239">
        <v>-1671</v>
      </c>
      <c r="CK129" s="239">
        <v>0</v>
      </c>
      <c r="CL129" s="239">
        <v>-1671</v>
      </c>
      <c r="CM129" s="239">
        <v>0</v>
      </c>
      <c r="CN129" s="239">
        <v>0</v>
      </c>
      <c r="CO129" s="239">
        <v>0</v>
      </c>
      <c r="CP129" s="239">
        <v>0</v>
      </c>
      <c r="CQ129" s="239">
        <v>0</v>
      </c>
      <c r="CR129" s="239">
        <v>0</v>
      </c>
      <c r="CS129" s="239">
        <v>0</v>
      </c>
      <c r="CT129" s="239">
        <v>0</v>
      </c>
      <c r="CU129" s="239">
        <v>0</v>
      </c>
      <c r="CV129" s="239">
        <v>0</v>
      </c>
      <c r="CW129" s="239">
        <v>0</v>
      </c>
      <c r="CX129" s="239">
        <v>0</v>
      </c>
      <c r="CY129" s="239">
        <v>0</v>
      </c>
      <c r="CZ129" s="239">
        <v>0</v>
      </c>
      <c r="DA129" s="239">
        <v>0</v>
      </c>
      <c r="DB129" s="239">
        <v>0</v>
      </c>
      <c r="DC129" s="239">
        <v>0</v>
      </c>
      <c r="DD129" s="239">
        <v>0</v>
      </c>
      <c r="DE129" s="239">
        <v>0</v>
      </c>
      <c r="DF129" s="239">
        <v>0</v>
      </c>
      <c r="DG129" s="239">
        <v>0</v>
      </c>
      <c r="DH129" s="239">
        <v>0</v>
      </c>
      <c r="DI129" s="239">
        <v>0</v>
      </c>
      <c r="DJ129" s="239">
        <v>-245515</v>
      </c>
      <c r="DK129" s="239">
        <v>0</v>
      </c>
      <c r="DL129" s="239">
        <v>-245515</v>
      </c>
      <c r="DM129" s="239">
        <v>-8988</v>
      </c>
      <c r="DN129" s="239">
        <v>0</v>
      </c>
      <c r="DO129" s="239">
        <v>-8988</v>
      </c>
      <c r="DP129" s="239">
        <v>0</v>
      </c>
      <c r="DQ129" s="239">
        <v>0</v>
      </c>
      <c r="DR129" s="239">
        <v>0</v>
      </c>
      <c r="DS129" s="239">
        <v>-1984</v>
      </c>
      <c r="DT129" s="239">
        <v>0</v>
      </c>
      <c r="DU129" s="239">
        <v>-1984</v>
      </c>
      <c r="DV129" s="239">
        <v>-1462</v>
      </c>
      <c r="DW129" s="239">
        <v>0</v>
      </c>
      <c r="DX129" s="239">
        <v>-1462</v>
      </c>
      <c r="DY129" s="239">
        <v>-507970</v>
      </c>
      <c r="DZ129" s="239">
        <v>0</v>
      </c>
      <c r="EA129" s="239">
        <v>-507970</v>
      </c>
      <c r="EB129" s="239">
        <v>-18027</v>
      </c>
      <c r="EC129" s="239">
        <v>0</v>
      </c>
      <c r="ED129" s="239">
        <v>-18027</v>
      </c>
      <c r="EE129" s="239">
        <v>0</v>
      </c>
      <c r="EF129" s="239">
        <v>0</v>
      </c>
      <c r="EG129" s="239">
        <v>0</v>
      </c>
      <c r="EH129" s="239">
        <v>0</v>
      </c>
      <c r="EI129" s="239">
        <v>0</v>
      </c>
      <c r="EJ129" s="239">
        <v>0</v>
      </c>
      <c r="EK129" s="239">
        <v>-15573</v>
      </c>
      <c r="EL129" s="239">
        <v>0</v>
      </c>
      <c r="EM129" s="239">
        <v>-15573</v>
      </c>
      <c r="EN129" s="239">
        <v>-554004</v>
      </c>
      <c r="EO129" s="239">
        <v>0</v>
      </c>
      <c r="EP129" s="239">
        <v>-554004</v>
      </c>
      <c r="EQ129" s="239">
        <v>0</v>
      </c>
      <c r="ER129" s="239">
        <v>0</v>
      </c>
      <c r="ES129" s="239">
        <v>0</v>
      </c>
      <c r="ET129" s="239">
        <v>0</v>
      </c>
      <c r="EU129" s="239">
        <v>0</v>
      </c>
      <c r="EV129" s="239">
        <v>0</v>
      </c>
      <c r="EW129" s="239">
        <v>0</v>
      </c>
      <c r="EX129" s="239">
        <v>0</v>
      </c>
      <c r="EY129" s="239">
        <v>0</v>
      </c>
      <c r="EZ129" s="239">
        <v>27491560</v>
      </c>
      <c r="FA129" s="239">
        <v>0</v>
      </c>
      <c r="FB129" s="239">
        <v>27491560</v>
      </c>
      <c r="FC129" s="239">
        <v>29572</v>
      </c>
      <c r="FD129" s="239">
        <v>0</v>
      </c>
      <c r="FE129" s="239">
        <v>29572</v>
      </c>
      <c r="FF129" s="239">
        <v>-4616404</v>
      </c>
      <c r="FG129" s="239">
        <v>0</v>
      </c>
      <c r="FH129" s="239">
        <v>-4616404</v>
      </c>
      <c r="FI129" s="239">
        <v>-542748</v>
      </c>
      <c r="FJ129" s="239">
        <v>0</v>
      </c>
      <c r="FK129" s="239">
        <v>-542748</v>
      </c>
      <c r="FL129" s="239">
        <v>-245515</v>
      </c>
      <c r="FM129" s="239">
        <v>0</v>
      </c>
      <c r="FN129" s="239">
        <v>-245515</v>
      </c>
      <c r="FO129" s="239">
        <v>-554004</v>
      </c>
      <c r="FP129" s="239">
        <v>0</v>
      </c>
      <c r="FQ129" s="239">
        <v>-554004</v>
      </c>
      <c r="FR129" s="239">
        <v>0</v>
      </c>
      <c r="FS129" s="239">
        <v>0</v>
      </c>
      <c r="FT129" s="239">
        <v>0</v>
      </c>
      <c r="FU129" s="239">
        <v>-5929099</v>
      </c>
      <c r="FV129" s="239">
        <v>0</v>
      </c>
      <c r="FW129" s="239">
        <v>-5929099</v>
      </c>
      <c r="FX129" s="239">
        <v>21562461</v>
      </c>
      <c r="FY129" s="239">
        <v>0</v>
      </c>
      <c r="FZ129" s="239">
        <v>21562461</v>
      </c>
      <c r="GA129" s="214" t="s">
        <v>1294</v>
      </c>
    </row>
    <row r="130" spans="2:183" s="214" customFormat="1" x14ac:dyDescent="0.2">
      <c r="B130" s="610" t="s">
        <v>343</v>
      </c>
      <c r="C130" s="610" t="s">
        <v>342</v>
      </c>
      <c r="D130" s="239">
        <v>0</v>
      </c>
      <c r="E130" s="239">
        <v>0</v>
      </c>
      <c r="F130" s="239">
        <v>0</v>
      </c>
      <c r="G130" s="239">
        <v>-379419</v>
      </c>
      <c r="H130" s="239">
        <v>0</v>
      </c>
      <c r="I130" s="239">
        <v>-379419</v>
      </c>
      <c r="J130" s="239">
        <v>0</v>
      </c>
      <c r="K130" s="239">
        <v>0</v>
      </c>
      <c r="L130" s="239">
        <v>0</v>
      </c>
      <c r="M130" s="239">
        <v>87085</v>
      </c>
      <c r="N130" s="239">
        <v>0</v>
      </c>
      <c r="O130" s="239">
        <v>87085</v>
      </c>
      <c r="P130" s="239">
        <v>-292334</v>
      </c>
      <c r="Q130" s="239">
        <v>0</v>
      </c>
      <c r="R130" s="239">
        <v>-292334</v>
      </c>
      <c r="S130" s="239">
        <v>-2110544</v>
      </c>
      <c r="T130" s="239">
        <v>0</v>
      </c>
      <c r="U130" s="239">
        <v>-2110544</v>
      </c>
      <c r="V130" s="239">
        <v>-338</v>
      </c>
      <c r="W130" s="239">
        <v>0</v>
      </c>
      <c r="X130" s="239">
        <v>-338</v>
      </c>
      <c r="Y130" s="239">
        <v>-40785</v>
      </c>
      <c r="Z130" s="239">
        <v>0</v>
      </c>
      <c r="AA130" s="239">
        <v>-40785</v>
      </c>
      <c r="AB130" s="239">
        <v>-28400</v>
      </c>
      <c r="AC130" s="239">
        <v>0</v>
      </c>
      <c r="AD130" s="239">
        <v>-28400</v>
      </c>
      <c r="AE130" s="239">
        <v>0</v>
      </c>
      <c r="AF130" s="239">
        <v>0</v>
      </c>
      <c r="AG130" s="239">
        <v>0</v>
      </c>
      <c r="AH130" s="239">
        <v>894645</v>
      </c>
      <c r="AI130" s="239">
        <v>0</v>
      </c>
      <c r="AJ130" s="239">
        <v>894645</v>
      </c>
      <c r="AK130" s="239">
        <v>-8060</v>
      </c>
      <c r="AL130" s="239">
        <v>0</v>
      </c>
      <c r="AM130" s="239">
        <v>-8060</v>
      </c>
      <c r="AN130" s="239">
        <v>-1942794</v>
      </c>
      <c r="AO130" s="239">
        <v>0</v>
      </c>
      <c r="AP130" s="239">
        <v>-1942794</v>
      </c>
      <c r="AQ130" s="239">
        <v>-9232</v>
      </c>
      <c r="AR130" s="239">
        <v>0</v>
      </c>
      <c r="AS130" s="239">
        <v>-9232</v>
      </c>
      <c r="AT130" s="239">
        <v>-3993</v>
      </c>
      <c r="AU130" s="239">
        <v>0</v>
      </c>
      <c r="AV130" s="239">
        <v>-3993</v>
      </c>
      <c r="AW130" s="239">
        <v>0</v>
      </c>
      <c r="AX130" s="239">
        <v>0</v>
      </c>
      <c r="AY130" s="239">
        <v>0</v>
      </c>
      <c r="AZ130" s="239">
        <v>-1972</v>
      </c>
      <c r="BA130" s="239">
        <v>0</v>
      </c>
      <c r="BB130" s="239">
        <v>-1972</v>
      </c>
      <c r="BC130" s="239">
        <v>0</v>
      </c>
      <c r="BD130" s="239">
        <v>0</v>
      </c>
      <c r="BE130" s="239">
        <v>0</v>
      </c>
      <c r="BF130" s="239">
        <v>-3222735</v>
      </c>
      <c r="BG130" s="239">
        <v>0</v>
      </c>
      <c r="BH130" s="239">
        <v>-3222735</v>
      </c>
      <c r="BI130" s="239">
        <v>0</v>
      </c>
      <c r="BJ130" s="239">
        <v>0</v>
      </c>
      <c r="BK130" s="239">
        <v>0</v>
      </c>
      <c r="BL130" s="239">
        <v>1360</v>
      </c>
      <c r="BM130" s="239">
        <v>0</v>
      </c>
      <c r="BN130" s="239">
        <v>1360</v>
      </c>
      <c r="BO130" s="239">
        <v>-565632</v>
      </c>
      <c r="BP130" s="239">
        <v>0</v>
      </c>
      <c r="BQ130" s="239">
        <v>-565632</v>
      </c>
      <c r="BR130" s="239">
        <v>61023</v>
      </c>
      <c r="BS130" s="239">
        <v>0</v>
      </c>
      <c r="BT130" s="239">
        <v>61023</v>
      </c>
      <c r="BU130" s="239">
        <v>-503249</v>
      </c>
      <c r="BV130" s="239">
        <v>0</v>
      </c>
      <c r="BW130" s="239">
        <v>-503249</v>
      </c>
      <c r="BX130" s="239">
        <v>-111665</v>
      </c>
      <c r="BY130" s="239">
        <v>0</v>
      </c>
      <c r="BZ130" s="239">
        <v>-111665</v>
      </c>
      <c r="CA130" s="239">
        <v>0</v>
      </c>
      <c r="CB130" s="239">
        <v>0</v>
      </c>
      <c r="CC130" s="239">
        <v>0</v>
      </c>
      <c r="CD130" s="239">
        <v>-92887</v>
      </c>
      <c r="CE130" s="239">
        <v>0</v>
      </c>
      <c r="CF130" s="239">
        <v>-92887</v>
      </c>
      <c r="CG130" s="239">
        <v>-44</v>
      </c>
      <c r="CH130" s="239">
        <v>0</v>
      </c>
      <c r="CI130" s="239">
        <v>-44</v>
      </c>
      <c r="CJ130" s="239">
        <v>0</v>
      </c>
      <c r="CK130" s="239">
        <v>0</v>
      </c>
      <c r="CL130" s="239">
        <v>0</v>
      </c>
      <c r="CM130" s="239">
        <v>0</v>
      </c>
      <c r="CN130" s="239">
        <v>0</v>
      </c>
      <c r="CO130" s="239">
        <v>0</v>
      </c>
      <c r="CP130" s="239">
        <v>-1972</v>
      </c>
      <c r="CQ130" s="239">
        <v>0</v>
      </c>
      <c r="CR130" s="239">
        <v>-1972</v>
      </c>
      <c r="CS130" s="239">
        <v>0</v>
      </c>
      <c r="CT130" s="239">
        <v>0</v>
      </c>
      <c r="CU130" s="239">
        <v>0</v>
      </c>
      <c r="CV130" s="239">
        <v>0</v>
      </c>
      <c r="CW130" s="239">
        <v>0</v>
      </c>
      <c r="CX130" s="239">
        <v>0</v>
      </c>
      <c r="CY130" s="239">
        <v>0</v>
      </c>
      <c r="CZ130" s="239">
        <v>0</v>
      </c>
      <c r="DA130" s="239">
        <v>0</v>
      </c>
      <c r="DB130" s="239">
        <v>0</v>
      </c>
      <c r="DC130" s="239">
        <v>0</v>
      </c>
      <c r="DD130" s="239">
        <v>0</v>
      </c>
      <c r="DE130" s="239">
        <v>0</v>
      </c>
      <c r="DF130" s="239">
        <v>0</v>
      </c>
      <c r="DG130" s="239">
        <v>0</v>
      </c>
      <c r="DH130" s="239">
        <v>0</v>
      </c>
      <c r="DI130" s="239">
        <v>0</v>
      </c>
      <c r="DJ130" s="239">
        <v>-206568</v>
      </c>
      <c r="DK130" s="239">
        <v>0</v>
      </c>
      <c r="DL130" s="239">
        <v>-206568</v>
      </c>
      <c r="DM130" s="239">
        <v>0</v>
      </c>
      <c r="DN130" s="239">
        <v>0</v>
      </c>
      <c r="DO130" s="239">
        <v>0</v>
      </c>
      <c r="DP130" s="239">
        <v>0</v>
      </c>
      <c r="DQ130" s="239">
        <v>0</v>
      </c>
      <c r="DR130" s="239">
        <v>0</v>
      </c>
      <c r="DS130" s="239">
        <v>-2119</v>
      </c>
      <c r="DT130" s="239">
        <v>0</v>
      </c>
      <c r="DU130" s="239">
        <v>-2119</v>
      </c>
      <c r="DV130" s="239">
        <v>0</v>
      </c>
      <c r="DW130" s="239">
        <v>0</v>
      </c>
      <c r="DX130" s="239">
        <v>0</v>
      </c>
      <c r="DY130" s="239">
        <v>-554758</v>
      </c>
      <c r="DZ130" s="239">
        <v>0</v>
      </c>
      <c r="EA130" s="239">
        <v>-554758</v>
      </c>
      <c r="EB130" s="239">
        <v>-19607</v>
      </c>
      <c r="EC130" s="239">
        <v>0</v>
      </c>
      <c r="ED130" s="239">
        <v>-19607</v>
      </c>
      <c r="EE130" s="239">
        <v>0</v>
      </c>
      <c r="EF130" s="239">
        <v>0</v>
      </c>
      <c r="EG130" s="239">
        <v>0</v>
      </c>
      <c r="EH130" s="239">
        <v>0</v>
      </c>
      <c r="EI130" s="239">
        <v>0</v>
      </c>
      <c r="EJ130" s="239">
        <v>0</v>
      </c>
      <c r="EK130" s="239">
        <v>-12635</v>
      </c>
      <c r="EL130" s="239">
        <v>0</v>
      </c>
      <c r="EM130" s="239">
        <v>-12635</v>
      </c>
      <c r="EN130" s="239">
        <v>-589119</v>
      </c>
      <c r="EO130" s="239">
        <v>0</v>
      </c>
      <c r="EP130" s="239">
        <v>-589119</v>
      </c>
      <c r="EQ130" s="239">
        <v>0</v>
      </c>
      <c r="ER130" s="239">
        <v>0</v>
      </c>
      <c r="ES130" s="239">
        <v>0</v>
      </c>
      <c r="ET130" s="239">
        <v>0</v>
      </c>
      <c r="EU130" s="239">
        <v>0</v>
      </c>
      <c r="EV130" s="239">
        <v>0</v>
      </c>
      <c r="EW130" s="239">
        <v>0</v>
      </c>
      <c r="EX130" s="239">
        <v>0</v>
      </c>
      <c r="EY130" s="239">
        <v>0</v>
      </c>
      <c r="EZ130" s="239">
        <v>38345951</v>
      </c>
      <c r="FA130" s="239">
        <v>0</v>
      </c>
      <c r="FB130" s="239">
        <v>38345951</v>
      </c>
      <c r="FC130" s="239">
        <v>-292334</v>
      </c>
      <c r="FD130" s="239">
        <v>0</v>
      </c>
      <c r="FE130" s="239">
        <v>-292334</v>
      </c>
      <c r="FF130" s="239">
        <v>-3222735</v>
      </c>
      <c r="FG130" s="239">
        <v>0</v>
      </c>
      <c r="FH130" s="239">
        <v>-3222735</v>
      </c>
      <c r="FI130" s="239">
        <v>-503249</v>
      </c>
      <c r="FJ130" s="239">
        <v>0</v>
      </c>
      <c r="FK130" s="239">
        <v>-503249</v>
      </c>
      <c r="FL130" s="239">
        <v>-206568</v>
      </c>
      <c r="FM130" s="239">
        <v>0</v>
      </c>
      <c r="FN130" s="239">
        <v>-206568</v>
      </c>
      <c r="FO130" s="239">
        <v>-589119</v>
      </c>
      <c r="FP130" s="239">
        <v>0</v>
      </c>
      <c r="FQ130" s="239">
        <v>-589119</v>
      </c>
      <c r="FR130" s="239">
        <v>0</v>
      </c>
      <c r="FS130" s="239">
        <v>0</v>
      </c>
      <c r="FT130" s="239">
        <v>0</v>
      </c>
      <c r="FU130" s="239">
        <v>-4814005</v>
      </c>
      <c r="FV130" s="239">
        <v>0</v>
      </c>
      <c r="FW130" s="239">
        <v>-4814005</v>
      </c>
      <c r="FX130" s="239">
        <v>33531946</v>
      </c>
      <c r="FY130" s="239">
        <v>0</v>
      </c>
      <c r="FZ130" s="239">
        <v>33531946</v>
      </c>
      <c r="GA130" s="214" t="s">
        <v>1294</v>
      </c>
    </row>
    <row r="131" spans="2:183" s="214" customFormat="1" x14ac:dyDescent="0.2">
      <c r="B131" s="610" t="s">
        <v>345</v>
      </c>
      <c r="C131" s="610" t="s">
        <v>344</v>
      </c>
      <c r="D131" s="239">
        <v>0</v>
      </c>
      <c r="E131" s="239">
        <v>0</v>
      </c>
      <c r="F131" s="239">
        <v>0</v>
      </c>
      <c r="G131" s="239">
        <v>38392</v>
      </c>
      <c r="H131" s="239">
        <v>0</v>
      </c>
      <c r="I131" s="239">
        <v>38392</v>
      </c>
      <c r="J131" s="239">
        <v>0</v>
      </c>
      <c r="K131" s="239">
        <v>0</v>
      </c>
      <c r="L131" s="239">
        <v>0</v>
      </c>
      <c r="M131" s="239">
        <v>286874</v>
      </c>
      <c r="N131" s="239">
        <v>0</v>
      </c>
      <c r="O131" s="239">
        <v>286874</v>
      </c>
      <c r="P131" s="239">
        <v>325266</v>
      </c>
      <c r="Q131" s="239">
        <v>0</v>
      </c>
      <c r="R131" s="239">
        <v>325266</v>
      </c>
      <c r="S131" s="239">
        <v>-3678578</v>
      </c>
      <c r="T131" s="239">
        <v>0</v>
      </c>
      <c r="U131" s="239">
        <v>-3678578</v>
      </c>
      <c r="V131" s="239">
        <v>0</v>
      </c>
      <c r="W131" s="239">
        <v>0</v>
      </c>
      <c r="X131" s="239">
        <v>0</v>
      </c>
      <c r="Y131" s="239">
        <v>-207323</v>
      </c>
      <c r="Z131" s="239">
        <v>0</v>
      </c>
      <c r="AA131" s="239">
        <v>-207323</v>
      </c>
      <c r="AB131" s="239">
        <v>0</v>
      </c>
      <c r="AC131" s="239">
        <v>0</v>
      </c>
      <c r="AD131" s="239">
        <v>0</v>
      </c>
      <c r="AE131" s="239">
        <v>0</v>
      </c>
      <c r="AF131" s="239">
        <v>0</v>
      </c>
      <c r="AG131" s="239">
        <v>0</v>
      </c>
      <c r="AH131" s="239">
        <v>1916885</v>
      </c>
      <c r="AI131" s="239">
        <v>0</v>
      </c>
      <c r="AJ131" s="239">
        <v>1916885</v>
      </c>
      <c r="AK131" s="239">
        <v>-32797</v>
      </c>
      <c r="AL131" s="239">
        <v>0</v>
      </c>
      <c r="AM131" s="239">
        <v>-32797</v>
      </c>
      <c r="AN131" s="239">
        <v>-4505227</v>
      </c>
      <c r="AO131" s="239">
        <v>0</v>
      </c>
      <c r="AP131" s="239">
        <v>-4505227</v>
      </c>
      <c r="AQ131" s="239">
        <v>320632</v>
      </c>
      <c r="AR131" s="239">
        <v>0</v>
      </c>
      <c r="AS131" s="239">
        <v>320632</v>
      </c>
      <c r="AT131" s="239">
        <v>-327233</v>
      </c>
      <c r="AU131" s="239">
        <v>0</v>
      </c>
      <c r="AV131" s="239">
        <v>-327233</v>
      </c>
      <c r="AW131" s="239">
        <v>0</v>
      </c>
      <c r="AX131" s="239">
        <v>0</v>
      </c>
      <c r="AY131" s="239">
        <v>0</v>
      </c>
      <c r="AZ131" s="239">
        <v>0</v>
      </c>
      <c r="BA131" s="239">
        <v>0</v>
      </c>
      <c r="BB131" s="239">
        <v>0</v>
      </c>
      <c r="BC131" s="239">
        <v>0</v>
      </c>
      <c r="BD131" s="239">
        <v>0</v>
      </c>
      <c r="BE131" s="239">
        <v>0</v>
      </c>
      <c r="BF131" s="239">
        <v>-6513641</v>
      </c>
      <c r="BG131" s="239">
        <v>0</v>
      </c>
      <c r="BH131" s="239">
        <v>-6513641</v>
      </c>
      <c r="BI131" s="239">
        <v>-24060</v>
      </c>
      <c r="BJ131" s="239">
        <v>0</v>
      </c>
      <c r="BK131" s="239">
        <v>-24060</v>
      </c>
      <c r="BL131" s="239">
        <v>-9202</v>
      </c>
      <c r="BM131" s="239">
        <v>0</v>
      </c>
      <c r="BN131" s="239">
        <v>-9202</v>
      </c>
      <c r="BO131" s="239">
        <v>-2961423</v>
      </c>
      <c r="BP131" s="239">
        <v>0</v>
      </c>
      <c r="BQ131" s="239">
        <v>-2961423</v>
      </c>
      <c r="BR131" s="239">
        <v>-423548</v>
      </c>
      <c r="BS131" s="239">
        <v>0</v>
      </c>
      <c r="BT131" s="239">
        <v>-423548</v>
      </c>
      <c r="BU131" s="239">
        <v>-3418233</v>
      </c>
      <c r="BV131" s="239">
        <v>0</v>
      </c>
      <c r="BW131" s="239">
        <v>-3418233</v>
      </c>
      <c r="BX131" s="239">
        <v>-131816</v>
      </c>
      <c r="BY131" s="239">
        <v>0</v>
      </c>
      <c r="BZ131" s="239">
        <v>-131816</v>
      </c>
      <c r="CA131" s="239">
        <v>17229</v>
      </c>
      <c r="CB131" s="239">
        <v>0</v>
      </c>
      <c r="CC131" s="239">
        <v>17229</v>
      </c>
      <c r="CD131" s="239">
        <v>-11206</v>
      </c>
      <c r="CE131" s="239">
        <v>0</v>
      </c>
      <c r="CF131" s="239">
        <v>-11206</v>
      </c>
      <c r="CG131" s="239">
        <v>0</v>
      </c>
      <c r="CH131" s="239">
        <v>0</v>
      </c>
      <c r="CI131" s="239">
        <v>0</v>
      </c>
      <c r="CJ131" s="239">
        <v>-73900</v>
      </c>
      <c r="CK131" s="239">
        <v>0</v>
      </c>
      <c r="CL131" s="239">
        <v>-73900</v>
      </c>
      <c r="CM131" s="239">
        <v>0</v>
      </c>
      <c r="CN131" s="239">
        <v>0</v>
      </c>
      <c r="CO131" s="239">
        <v>0</v>
      </c>
      <c r="CP131" s="239">
        <v>0</v>
      </c>
      <c r="CQ131" s="239">
        <v>0</v>
      </c>
      <c r="CR131" s="239">
        <v>0</v>
      </c>
      <c r="CS131" s="239">
        <v>0</v>
      </c>
      <c r="CT131" s="239">
        <v>0</v>
      </c>
      <c r="CU131" s="239">
        <v>0</v>
      </c>
      <c r="CV131" s="239">
        <v>0</v>
      </c>
      <c r="CW131" s="239">
        <v>0</v>
      </c>
      <c r="CX131" s="239">
        <v>0</v>
      </c>
      <c r="CY131" s="239">
        <v>0</v>
      </c>
      <c r="CZ131" s="239">
        <v>0</v>
      </c>
      <c r="DA131" s="239">
        <v>0</v>
      </c>
      <c r="DB131" s="239">
        <v>0</v>
      </c>
      <c r="DC131" s="239">
        <v>0</v>
      </c>
      <c r="DD131" s="239">
        <v>0</v>
      </c>
      <c r="DE131" s="239">
        <v>0</v>
      </c>
      <c r="DF131" s="239">
        <v>0</v>
      </c>
      <c r="DG131" s="239">
        <v>0</v>
      </c>
      <c r="DH131" s="239">
        <v>0</v>
      </c>
      <c r="DI131" s="239">
        <v>0</v>
      </c>
      <c r="DJ131" s="239">
        <v>-199693</v>
      </c>
      <c r="DK131" s="239">
        <v>0</v>
      </c>
      <c r="DL131" s="239">
        <v>-199693</v>
      </c>
      <c r="DM131" s="239">
        <v>-17378</v>
      </c>
      <c r="DN131" s="239">
        <v>0</v>
      </c>
      <c r="DO131" s="239">
        <v>-17378</v>
      </c>
      <c r="DP131" s="239">
        <v>-1310</v>
      </c>
      <c r="DQ131" s="239">
        <v>0</v>
      </c>
      <c r="DR131" s="239">
        <v>-1310</v>
      </c>
      <c r="DS131" s="239">
        <v>-9992</v>
      </c>
      <c r="DT131" s="239">
        <v>0</v>
      </c>
      <c r="DU131" s="239">
        <v>-9992</v>
      </c>
      <c r="DV131" s="239">
        <v>0</v>
      </c>
      <c r="DW131" s="239">
        <v>0</v>
      </c>
      <c r="DX131" s="239">
        <v>0</v>
      </c>
      <c r="DY131" s="239">
        <v>-1531433</v>
      </c>
      <c r="DZ131" s="239">
        <v>0</v>
      </c>
      <c r="EA131" s="239">
        <v>-1531433</v>
      </c>
      <c r="EB131" s="239">
        <v>-159987</v>
      </c>
      <c r="EC131" s="239">
        <v>0</v>
      </c>
      <c r="ED131" s="239">
        <v>-159987</v>
      </c>
      <c r="EE131" s="239">
        <v>0</v>
      </c>
      <c r="EF131" s="239">
        <v>0</v>
      </c>
      <c r="EG131" s="239">
        <v>0</v>
      </c>
      <c r="EH131" s="239">
        <v>0</v>
      </c>
      <c r="EI131" s="239">
        <v>0</v>
      </c>
      <c r="EJ131" s="239">
        <v>0</v>
      </c>
      <c r="EK131" s="239">
        <v>-12891</v>
      </c>
      <c r="EL131" s="239">
        <v>0</v>
      </c>
      <c r="EM131" s="239">
        <v>-12891</v>
      </c>
      <c r="EN131" s="239">
        <v>-1732991</v>
      </c>
      <c r="EO131" s="239">
        <v>0</v>
      </c>
      <c r="EP131" s="239">
        <v>-1732991</v>
      </c>
      <c r="EQ131" s="239">
        <v>0</v>
      </c>
      <c r="ER131" s="239">
        <v>0</v>
      </c>
      <c r="ES131" s="239">
        <v>0</v>
      </c>
      <c r="ET131" s="239">
        <v>0</v>
      </c>
      <c r="EU131" s="239">
        <v>0</v>
      </c>
      <c r="EV131" s="239">
        <v>0</v>
      </c>
      <c r="EW131" s="239">
        <v>0</v>
      </c>
      <c r="EX131" s="239">
        <v>0</v>
      </c>
      <c r="EY131" s="239">
        <v>0</v>
      </c>
      <c r="EZ131" s="239">
        <v>85356975</v>
      </c>
      <c r="FA131" s="239">
        <v>0</v>
      </c>
      <c r="FB131" s="239">
        <v>85356975</v>
      </c>
      <c r="FC131" s="239">
        <v>325266</v>
      </c>
      <c r="FD131" s="239">
        <v>0</v>
      </c>
      <c r="FE131" s="239">
        <v>325266</v>
      </c>
      <c r="FF131" s="239">
        <v>-6513641</v>
      </c>
      <c r="FG131" s="239">
        <v>0</v>
      </c>
      <c r="FH131" s="239">
        <v>-6513641</v>
      </c>
      <c r="FI131" s="239">
        <v>-3418233</v>
      </c>
      <c r="FJ131" s="239">
        <v>0</v>
      </c>
      <c r="FK131" s="239">
        <v>-3418233</v>
      </c>
      <c r="FL131" s="239">
        <v>-199693</v>
      </c>
      <c r="FM131" s="239">
        <v>0</v>
      </c>
      <c r="FN131" s="239">
        <v>-199693</v>
      </c>
      <c r="FO131" s="239">
        <v>-1732991</v>
      </c>
      <c r="FP131" s="239">
        <v>0</v>
      </c>
      <c r="FQ131" s="239">
        <v>-1732991</v>
      </c>
      <c r="FR131" s="239">
        <v>0</v>
      </c>
      <c r="FS131" s="239">
        <v>0</v>
      </c>
      <c r="FT131" s="239">
        <v>0</v>
      </c>
      <c r="FU131" s="239">
        <v>-11539292</v>
      </c>
      <c r="FV131" s="239">
        <v>0</v>
      </c>
      <c r="FW131" s="239">
        <v>-11539292</v>
      </c>
      <c r="FX131" s="239">
        <v>73817683</v>
      </c>
      <c r="FY131" s="239">
        <v>0</v>
      </c>
      <c r="FZ131" s="239">
        <v>73817683</v>
      </c>
      <c r="GA131" s="214" t="s">
        <v>1295</v>
      </c>
    </row>
    <row r="132" spans="2:183" s="214" customFormat="1" x14ac:dyDescent="0.2">
      <c r="B132" s="610" t="s">
        <v>347</v>
      </c>
      <c r="C132" s="610" t="s">
        <v>346</v>
      </c>
      <c r="D132" s="239">
        <v>0</v>
      </c>
      <c r="E132" s="239">
        <v>0</v>
      </c>
      <c r="F132" s="239">
        <v>0</v>
      </c>
      <c r="G132" s="239">
        <v>23294</v>
      </c>
      <c r="H132" s="239">
        <v>0</v>
      </c>
      <c r="I132" s="239">
        <v>23294</v>
      </c>
      <c r="J132" s="239">
        <v>0</v>
      </c>
      <c r="K132" s="239">
        <v>0</v>
      </c>
      <c r="L132" s="239">
        <v>0</v>
      </c>
      <c r="M132" s="239">
        <v>238540</v>
      </c>
      <c r="N132" s="239">
        <v>0</v>
      </c>
      <c r="O132" s="239">
        <v>238540</v>
      </c>
      <c r="P132" s="239">
        <v>261834</v>
      </c>
      <c r="Q132" s="239">
        <v>0</v>
      </c>
      <c r="R132" s="239">
        <v>261834</v>
      </c>
      <c r="S132" s="239">
        <v>-5562452</v>
      </c>
      <c r="T132" s="239">
        <v>-56998</v>
      </c>
      <c r="U132" s="239">
        <v>-5619450</v>
      </c>
      <c r="V132" s="239">
        <v>0</v>
      </c>
      <c r="W132" s="239">
        <v>0</v>
      </c>
      <c r="X132" s="239">
        <v>0</v>
      </c>
      <c r="Y132" s="239">
        <v>-285843</v>
      </c>
      <c r="Z132" s="239">
        <v>-3697</v>
      </c>
      <c r="AA132" s="239">
        <v>-289540</v>
      </c>
      <c r="AB132" s="239">
        <v>-174985</v>
      </c>
      <c r="AC132" s="239">
        <v>-3697</v>
      </c>
      <c r="AD132" s="239">
        <v>-178682</v>
      </c>
      <c r="AE132" s="239">
        <v>0</v>
      </c>
      <c r="AF132" s="239">
        <v>0</v>
      </c>
      <c r="AG132" s="239">
        <v>0</v>
      </c>
      <c r="AH132" s="239">
        <v>1298219</v>
      </c>
      <c r="AI132" s="239">
        <v>5461</v>
      </c>
      <c r="AJ132" s="239">
        <v>1303680</v>
      </c>
      <c r="AK132" s="239">
        <v>-15667</v>
      </c>
      <c r="AL132" s="239">
        <v>-36</v>
      </c>
      <c r="AM132" s="239">
        <v>-15703</v>
      </c>
      <c r="AN132" s="239">
        <v>-4351050</v>
      </c>
      <c r="AO132" s="239">
        <v>-631</v>
      </c>
      <c r="AP132" s="239">
        <v>-4351681</v>
      </c>
      <c r="AQ132" s="239">
        <v>-79937</v>
      </c>
      <c r="AR132" s="239">
        <v>0</v>
      </c>
      <c r="AS132" s="239">
        <v>-79937</v>
      </c>
      <c r="AT132" s="239">
        <v>-84018</v>
      </c>
      <c r="AU132" s="239">
        <v>0</v>
      </c>
      <c r="AV132" s="239">
        <v>-84018</v>
      </c>
      <c r="AW132" s="239">
        <v>-39508</v>
      </c>
      <c r="AX132" s="239">
        <v>0</v>
      </c>
      <c r="AY132" s="239">
        <v>-39508</v>
      </c>
      <c r="AZ132" s="239">
        <v>-94962</v>
      </c>
      <c r="BA132" s="239">
        <v>0</v>
      </c>
      <c r="BB132" s="239">
        <v>-94962</v>
      </c>
      <c r="BC132" s="239">
        <v>376</v>
      </c>
      <c r="BD132" s="239">
        <v>0</v>
      </c>
      <c r="BE132" s="239">
        <v>376</v>
      </c>
      <c r="BF132" s="239">
        <v>-9214842</v>
      </c>
      <c r="BG132" s="239">
        <v>-55901</v>
      </c>
      <c r="BH132" s="239">
        <v>-9270743</v>
      </c>
      <c r="BI132" s="239">
        <v>0</v>
      </c>
      <c r="BJ132" s="239">
        <v>0</v>
      </c>
      <c r="BK132" s="239">
        <v>0</v>
      </c>
      <c r="BL132" s="239">
        <v>10334</v>
      </c>
      <c r="BM132" s="239">
        <v>0</v>
      </c>
      <c r="BN132" s="239">
        <v>10334</v>
      </c>
      <c r="BO132" s="239">
        <v>-2052517</v>
      </c>
      <c r="BP132" s="239">
        <v>-10165</v>
      </c>
      <c r="BQ132" s="239">
        <v>-2062682</v>
      </c>
      <c r="BR132" s="239">
        <v>76655</v>
      </c>
      <c r="BS132" s="239">
        <v>214</v>
      </c>
      <c r="BT132" s="239">
        <v>76869</v>
      </c>
      <c r="BU132" s="239">
        <v>-1965528</v>
      </c>
      <c r="BV132" s="239">
        <v>-9951</v>
      </c>
      <c r="BW132" s="239">
        <v>-1975479</v>
      </c>
      <c r="BX132" s="239">
        <v>-349032</v>
      </c>
      <c r="BY132" s="239">
        <v>0</v>
      </c>
      <c r="BZ132" s="239">
        <v>-349032</v>
      </c>
      <c r="CA132" s="239">
        <v>-1452</v>
      </c>
      <c r="CB132" s="239">
        <v>0</v>
      </c>
      <c r="CC132" s="239">
        <v>-1452</v>
      </c>
      <c r="CD132" s="239">
        <v>-143417</v>
      </c>
      <c r="CE132" s="239">
        <v>0</v>
      </c>
      <c r="CF132" s="239">
        <v>-143417</v>
      </c>
      <c r="CG132" s="239">
        <v>34076</v>
      </c>
      <c r="CH132" s="239">
        <v>0</v>
      </c>
      <c r="CI132" s="239">
        <v>34076</v>
      </c>
      <c r="CJ132" s="239">
        <v>-11974</v>
      </c>
      <c r="CK132" s="239">
        <v>0</v>
      </c>
      <c r="CL132" s="239">
        <v>-11974</v>
      </c>
      <c r="CM132" s="239">
        <v>-6503</v>
      </c>
      <c r="CN132" s="239">
        <v>0</v>
      </c>
      <c r="CO132" s="239">
        <v>-6503</v>
      </c>
      <c r="CP132" s="239">
        <v>-51140</v>
      </c>
      <c r="CQ132" s="239">
        <v>0</v>
      </c>
      <c r="CR132" s="239">
        <v>-51140</v>
      </c>
      <c r="CS132" s="239">
        <v>222</v>
      </c>
      <c r="CT132" s="239">
        <v>0</v>
      </c>
      <c r="CU132" s="239">
        <v>222</v>
      </c>
      <c r="CV132" s="239">
        <v>0</v>
      </c>
      <c r="CW132" s="239">
        <v>0</v>
      </c>
      <c r="CX132" s="239">
        <v>0</v>
      </c>
      <c r="CY132" s="239">
        <v>0</v>
      </c>
      <c r="CZ132" s="239">
        <v>0</v>
      </c>
      <c r="DA132" s="239">
        <v>0</v>
      </c>
      <c r="DB132" s="239">
        <v>0</v>
      </c>
      <c r="DC132" s="239">
        <v>-162104</v>
      </c>
      <c r="DD132" s="239">
        <v>-162104</v>
      </c>
      <c r="DE132" s="239">
        <v>0</v>
      </c>
      <c r="DF132" s="239">
        <v>-3898</v>
      </c>
      <c r="DG132" s="239">
        <v>-3898</v>
      </c>
      <c r="DH132" s="239">
        <v>-166002</v>
      </c>
      <c r="DI132" s="239">
        <v>0</v>
      </c>
      <c r="DJ132" s="239">
        <v>-529220</v>
      </c>
      <c r="DK132" s="239">
        <v>-166002</v>
      </c>
      <c r="DL132" s="239">
        <v>-695222</v>
      </c>
      <c r="DM132" s="239">
        <v>-13676</v>
      </c>
      <c r="DN132" s="239">
        <v>0</v>
      </c>
      <c r="DO132" s="239">
        <v>-13676</v>
      </c>
      <c r="DP132" s="239">
        <v>-3433</v>
      </c>
      <c r="DQ132" s="239">
        <v>0</v>
      </c>
      <c r="DR132" s="239">
        <v>-3433</v>
      </c>
      <c r="DS132" s="239">
        <v>-19397</v>
      </c>
      <c r="DT132" s="239">
        <v>0</v>
      </c>
      <c r="DU132" s="239">
        <v>-19397</v>
      </c>
      <c r="DV132" s="239">
        <v>0</v>
      </c>
      <c r="DW132" s="239">
        <v>0</v>
      </c>
      <c r="DX132" s="239">
        <v>0</v>
      </c>
      <c r="DY132" s="239">
        <v>-1234871</v>
      </c>
      <c r="DZ132" s="239">
        <v>0</v>
      </c>
      <c r="EA132" s="239">
        <v>-1234871</v>
      </c>
      <c r="EB132" s="239">
        <v>-13568</v>
      </c>
      <c r="EC132" s="239">
        <v>0</v>
      </c>
      <c r="ED132" s="239">
        <v>-13568</v>
      </c>
      <c r="EE132" s="239">
        <v>0</v>
      </c>
      <c r="EF132" s="239">
        <v>0</v>
      </c>
      <c r="EG132" s="239">
        <v>0</v>
      </c>
      <c r="EH132" s="239">
        <v>0</v>
      </c>
      <c r="EI132" s="239">
        <v>0</v>
      </c>
      <c r="EJ132" s="239">
        <v>0</v>
      </c>
      <c r="EK132" s="239">
        <v>-39542</v>
      </c>
      <c r="EL132" s="239">
        <v>0</v>
      </c>
      <c r="EM132" s="239">
        <v>-39542</v>
      </c>
      <c r="EN132" s="239">
        <v>-1324487</v>
      </c>
      <c r="EO132" s="239">
        <v>0</v>
      </c>
      <c r="EP132" s="239">
        <v>-1324487</v>
      </c>
      <c r="EQ132" s="239">
        <v>-499</v>
      </c>
      <c r="ER132" s="239">
        <v>0</v>
      </c>
      <c r="ES132" s="239">
        <v>-499</v>
      </c>
      <c r="ET132" s="239">
        <v>0</v>
      </c>
      <c r="EU132" s="239">
        <v>0</v>
      </c>
      <c r="EV132" s="239">
        <v>0</v>
      </c>
      <c r="EW132" s="239">
        <v>-499</v>
      </c>
      <c r="EX132" s="239">
        <v>0</v>
      </c>
      <c r="EY132" s="239">
        <v>-499</v>
      </c>
      <c r="EZ132" s="239">
        <v>61144050</v>
      </c>
      <c r="FA132" s="239">
        <v>386347</v>
      </c>
      <c r="FB132" s="239">
        <v>61530397</v>
      </c>
      <c r="FC132" s="239">
        <v>261834</v>
      </c>
      <c r="FD132" s="239">
        <v>0</v>
      </c>
      <c r="FE132" s="239">
        <v>261834</v>
      </c>
      <c r="FF132" s="239">
        <v>-9214842</v>
      </c>
      <c r="FG132" s="239">
        <v>-55901</v>
      </c>
      <c r="FH132" s="239">
        <v>-9270743</v>
      </c>
      <c r="FI132" s="239">
        <v>-1965528</v>
      </c>
      <c r="FJ132" s="239">
        <v>-9951</v>
      </c>
      <c r="FK132" s="239">
        <v>-1975479</v>
      </c>
      <c r="FL132" s="239">
        <v>-529220</v>
      </c>
      <c r="FM132" s="239">
        <v>-166002</v>
      </c>
      <c r="FN132" s="239">
        <v>-695222</v>
      </c>
      <c r="FO132" s="239">
        <v>-1324487</v>
      </c>
      <c r="FP132" s="239">
        <v>0</v>
      </c>
      <c r="FQ132" s="239">
        <v>-1324487</v>
      </c>
      <c r="FR132" s="239">
        <v>-499</v>
      </c>
      <c r="FS132" s="239">
        <v>0</v>
      </c>
      <c r="FT132" s="239">
        <v>-499</v>
      </c>
      <c r="FU132" s="239">
        <v>-12772742</v>
      </c>
      <c r="FV132" s="239">
        <v>-231854</v>
      </c>
      <c r="FW132" s="239">
        <v>-13004596</v>
      </c>
      <c r="FX132" s="239">
        <v>48371308</v>
      </c>
      <c r="FY132" s="239">
        <v>154493</v>
      </c>
      <c r="FZ132" s="239">
        <v>48525801</v>
      </c>
      <c r="GA132" s="214" t="s">
        <v>748</v>
      </c>
    </row>
    <row r="133" spans="2:183" s="214" customFormat="1" x14ac:dyDescent="0.2">
      <c r="B133" s="610" t="s">
        <v>349</v>
      </c>
      <c r="C133" s="610" t="s">
        <v>348</v>
      </c>
      <c r="D133" s="239">
        <v>0</v>
      </c>
      <c r="E133" s="239">
        <v>0</v>
      </c>
      <c r="F133" s="239">
        <v>0</v>
      </c>
      <c r="G133" s="239">
        <v>-41699</v>
      </c>
      <c r="H133" s="239">
        <v>0</v>
      </c>
      <c r="I133" s="239">
        <v>-41699</v>
      </c>
      <c r="J133" s="239">
        <v>0</v>
      </c>
      <c r="K133" s="239">
        <v>0</v>
      </c>
      <c r="L133" s="239">
        <v>0</v>
      </c>
      <c r="M133" s="239">
        <v>152487</v>
      </c>
      <c r="N133" s="239">
        <v>0</v>
      </c>
      <c r="O133" s="239">
        <v>152487</v>
      </c>
      <c r="P133" s="239">
        <v>110788</v>
      </c>
      <c r="Q133" s="239">
        <v>0</v>
      </c>
      <c r="R133" s="239">
        <v>110788</v>
      </c>
      <c r="S133" s="239">
        <v>-1624758</v>
      </c>
      <c r="T133" s="239">
        <v>0</v>
      </c>
      <c r="U133" s="239">
        <v>-1624758</v>
      </c>
      <c r="V133" s="239">
        <v>0</v>
      </c>
      <c r="W133" s="239">
        <v>0</v>
      </c>
      <c r="X133" s="239">
        <v>0</v>
      </c>
      <c r="Y133" s="239">
        <v>-118372</v>
      </c>
      <c r="Z133" s="239">
        <v>0</v>
      </c>
      <c r="AA133" s="239">
        <v>-118372</v>
      </c>
      <c r="AB133" s="239">
        <v>0</v>
      </c>
      <c r="AC133" s="239">
        <v>0</v>
      </c>
      <c r="AD133" s="239">
        <v>0</v>
      </c>
      <c r="AE133" s="239">
        <v>0</v>
      </c>
      <c r="AF133" s="239">
        <v>0</v>
      </c>
      <c r="AG133" s="239">
        <v>0</v>
      </c>
      <c r="AH133" s="239">
        <v>1306992</v>
      </c>
      <c r="AI133" s="239">
        <v>0</v>
      </c>
      <c r="AJ133" s="239">
        <v>1306992</v>
      </c>
      <c r="AK133" s="239">
        <v>-20839</v>
      </c>
      <c r="AL133" s="239">
        <v>0</v>
      </c>
      <c r="AM133" s="239">
        <v>-20839</v>
      </c>
      <c r="AN133" s="239">
        <v>-4968098</v>
      </c>
      <c r="AO133" s="239">
        <v>0</v>
      </c>
      <c r="AP133" s="239">
        <v>-4968098</v>
      </c>
      <c r="AQ133" s="239">
        <v>38527</v>
      </c>
      <c r="AR133" s="239">
        <v>0</v>
      </c>
      <c r="AS133" s="239">
        <v>38527</v>
      </c>
      <c r="AT133" s="239">
        <v>-59239</v>
      </c>
      <c r="AU133" s="239">
        <v>0</v>
      </c>
      <c r="AV133" s="239">
        <v>-59239</v>
      </c>
      <c r="AW133" s="239">
        <v>0</v>
      </c>
      <c r="AX133" s="239">
        <v>0</v>
      </c>
      <c r="AY133" s="239">
        <v>0</v>
      </c>
      <c r="AZ133" s="239">
        <v>0</v>
      </c>
      <c r="BA133" s="239">
        <v>0</v>
      </c>
      <c r="BB133" s="239">
        <v>0</v>
      </c>
      <c r="BC133" s="239">
        <v>0</v>
      </c>
      <c r="BD133" s="239">
        <v>0</v>
      </c>
      <c r="BE133" s="239">
        <v>0</v>
      </c>
      <c r="BF133" s="239">
        <v>-5445787</v>
      </c>
      <c r="BG133" s="239">
        <v>0</v>
      </c>
      <c r="BH133" s="239">
        <v>-5445787</v>
      </c>
      <c r="BI133" s="239">
        <v>0</v>
      </c>
      <c r="BJ133" s="239">
        <v>0</v>
      </c>
      <c r="BK133" s="239">
        <v>0</v>
      </c>
      <c r="BL133" s="239">
        <v>28280</v>
      </c>
      <c r="BM133" s="239">
        <v>0</v>
      </c>
      <c r="BN133" s="239">
        <v>28280</v>
      </c>
      <c r="BO133" s="239">
        <v>-783985</v>
      </c>
      <c r="BP133" s="239">
        <v>0</v>
      </c>
      <c r="BQ133" s="239">
        <v>-783985</v>
      </c>
      <c r="BR133" s="239">
        <v>-145319</v>
      </c>
      <c r="BS133" s="239">
        <v>0</v>
      </c>
      <c r="BT133" s="239">
        <v>-145319</v>
      </c>
      <c r="BU133" s="239">
        <v>-901024</v>
      </c>
      <c r="BV133" s="239">
        <v>0</v>
      </c>
      <c r="BW133" s="239">
        <v>-901024</v>
      </c>
      <c r="BX133" s="239">
        <v>-102965</v>
      </c>
      <c r="BY133" s="239">
        <v>0</v>
      </c>
      <c r="BZ133" s="239">
        <v>-102965</v>
      </c>
      <c r="CA133" s="239">
        <v>749</v>
      </c>
      <c r="CB133" s="239">
        <v>0</v>
      </c>
      <c r="CC133" s="239">
        <v>749</v>
      </c>
      <c r="CD133" s="239">
        <v>-42895</v>
      </c>
      <c r="CE133" s="239">
        <v>0</v>
      </c>
      <c r="CF133" s="239">
        <v>-42895</v>
      </c>
      <c r="CG133" s="239">
        <v>0</v>
      </c>
      <c r="CH133" s="239">
        <v>0</v>
      </c>
      <c r="CI133" s="239">
        <v>0</v>
      </c>
      <c r="CJ133" s="239">
        <v>0</v>
      </c>
      <c r="CK133" s="239">
        <v>0</v>
      </c>
      <c r="CL133" s="239">
        <v>0</v>
      </c>
      <c r="CM133" s="239">
        <v>0</v>
      </c>
      <c r="CN133" s="239">
        <v>0</v>
      </c>
      <c r="CO133" s="239">
        <v>0</v>
      </c>
      <c r="CP133" s="239">
        <v>0</v>
      </c>
      <c r="CQ133" s="239">
        <v>0</v>
      </c>
      <c r="CR133" s="239">
        <v>0</v>
      </c>
      <c r="CS133" s="239">
        <v>0</v>
      </c>
      <c r="CT133" s="239">
        <v>0</v>
      </c>
      <c r="CU133" s="239">
        <v>0</v>
      </c>
      <c r="CV133" s="239">
        <v>0</v>
      </c>
      <c r="CW133" s="239">
        <v>0</v>
      </c>
      <c r="CX133" s="239">
        <v>0</v>
      </c>
      <c r="CY133" s="239">
        <v>0</v>
      </c>
      <c r="CZ133" s="239">
        <v>0</v>
      </c>
      <c r="DA133" s="239">
        <v>0</v>
      </c>
      <c r="DB133" s="239">
        <v>0</v>
      </c>
      <c r="DC133" s="239">
        <v>0</v>
      </c>
      <c r="DD133" s="239">
        <v>0</v>
      </c>
      <c r="DE133" s="239">
        <v>0</v>
      </c>
      <c r="DF133" s="239">
        <v>0</v>
      </c>
      <c r="DG133" s="239">
        <v>0</v>
      </c>
      <c r="DH133" s="239">
        <v>0</v>
      </c>
      <c r="DI133" s="239">
        <v>0</v>
      </c>
      <c r="DJ133" s="239">
        <v>-145111</v>
      </c>
      <c r="DK133" s="239">
        <v>0</v>
      </c>
      <c r="DL133" s="239">
        <v>-145111</v>
      </c>
      <c r="DM133" s="239">
        <v>-63041</v>
      </c>
      <c r="DN133" s="239">
        <v>0</v>
      </c>
      <c r="DO133" s="239">
        <v>-63041</v>
      </c>
      <c r="DP133" s="239">
        <v>0</v>
      </c>
      <c r="DQ133" s="239">
        <v>0</v>
      </c>
      <c r="DR133" s="239">
        <v>0</v>
      </c>
      <c r="DS133" s="239">
        <v>-39517</v>
      </c>
      <c r="DT133" s="239">
        <v>0</v>
      </c>
      <c r="DU133" s="239">
        <v>-39517</v>
      </c>
      <c r="DV133" s="239">
        <v>-2813</v>
      </c>
      <c r="DW133" s="239">
        <v>0</v>
      </c>
      <c r="DX133" s="239">
        <v>-2813</v>
      </c>
      <c r="DY133" s="239">
        <v>-752539</v>
      </c>
      <c r="DZ133" s="239">
        <v>0</v>
      </c>
      <c r="EA133" s="239">
        <v>-752539</v>
      </c>
      <c r="EB133" s="239">
        <v>-4756</v>
      </c>
      <c r="EC133" s="239">
        <v>0</v>
      </c>
      <c r="ED133" s="239">
        <v>-4756</v>
      </c>
      <c r="EE133" s="239">
        <v>0</v>
      </c>
      <c r="EF133" s="239">
        <v>0</v>
      </c>
      <c r="EG133" s="239">
        <v>0</v>
      </c>
      <c r="EH133" s="239">
        <v>0</v>
      </c>
      <c r="EI133" s="239">
        <v>0</v>
      </c>
      <c r="EJ133" s="239">
        <v>0</v>
      </c>
      <c r="EK133" s="239">
        <v>-5459</v>
      </c>
      <c r="EL133" s="239">
        <v>0</v>
      </c>
      <c r="EM133" s="239">
        <v>-5459</v>
      </c>
      <c r="EN133" s="239">
        <v>-868125</v>
      </c>
      <c r="EO133" s="239">
        <v>0</v>
      </c>
      <c r="EP133" s="239">
        <v>-868125</v>
      </c>
      <c r="EQ133" s="239">
        <v>0</v>
      </c>
      <c r="ER133" s="239">
        <v>0</v>
      </c>
      <c r="ES133" s="239">
        <v>0</v>
      </c>
      <c r="ET133" s="239">
        <v>0</v>
      </c>
      <c r="EU133" s="239">
        <v>0</v>
      </c>
      <c r="EV133" s="239">
        <v>0</v>
      </c>
      <c r="EW133" s="239">
        <v>0</v>
      </c>
      <c r="EX133" s="239">
        <v>0</v>
      </c>
      <c r="EY133" s="239">
        <v>0</v>
      </c>
      <c r="EZ133" s="239">
        <v>53713630</v>
      </c>
      <c r="FA133" s="239">
        <v>0</v>
      </c>
      <c r="FB133" s="239">
        <v>53713630</v>
      </c>
      <c r="FC133" s="239">
        <v>110788</v>
      </c>
      <c r="FD133" s="239">
        <v>0</v>
      </c>
      <c r="FE133" s="239">
        <v>110788</v>
      </c>
      <c r="FF133" s="239">
        <v>-5445787</v>
      </c>
      <c r="FG133" s="239">
        <v>0</v>
      </c>
      <c r="FH133" s="239">
        <v>-5445787</v>
      </c>
      <c r="FI133" s="239">
        <v>-901024</v>
      </c>
      <c r="FJ133" s="239">
        <v>0</v>
      </c>
      <c r="FK133" s="239">
        <v>-901024</v>
      </c>
      <c r="FL133" s="239">
        <v>-145111</v>
      </c>
      <c r="FM133" s="239">
        <v>0</v>
      </c>
      <c r="FN133" s="239">
        <v>-145111</v>
      </c>
      <c r="FO133" s="239">
        <v>-868125</v>
      </c>
      <c r="FP133" s="239">
        <v>0</v>
      </c>
      <c r="FQ133" s="239">
        <v>-868125</v>
      </c>
      <c r="FR133" s="239">
        <v>0</v>
      </c>
      <c r="FS133" s="239">
        <v>0</v>
      </c>
      <c r="FT133" s="239">
        <v>0</v>
      </c>
      <c r="FU133" s="239">
        <v>-7249259</v>
      </c>
      <c r="FV133" s="239">
        <v>0</v>
      </c>
      <c r="FW133" s="239">
        <v>-7249259</v>
      </c>
      <c r="FX133" s="239">
        <v>46464371</v>
      </c>
      <c r="FY133" s="239">
        <v>0</v>
      </c>
      <c r="FZ133" s="239">
        <v>46464371</v>
      </c>
      <c r="GA133" s="214" t="s">
        <v>1294</v>
      </c>
    </row>
    <row r="134" spans="2:183" s="214" customFormat="1" x14ac:dyDescent="0.2">
      <c r="B134" s="610" t="s">
        <v>351</v>
      </c>
      <c r="C134" s="610" t="s">
        <v>350</v>
      </c>
      <c r="D134" s="239">
        <v>0</v>
      </c>
      <c r="E134" s="239">
        <v>0</v>
      </c>
      <c r="F134" s="239">
        <v>0</v>
      </c>
      <c r="G134" s="239">
        <v>4482</v>
      </c>
      <c r="H134" s="239">
        <v>0</v>
      </c>
      <c r="I134" s="239">
        <v>4482</v>
      </c>
      <c r="J134" s="239">
        <v>0</v>
      </c>
      <c r="K134" s="239">
        <v>0</v>
      </c>
      <c r="L134" s="239">
        <v>0</v>
      </c>
      <c r="M134" s="239">
        <v>399</v>
      </c>
      <c r="N134" s="239">
        <v>0</v>
      </c>
      <c r="O134" s="239">
        <v>399</v>
      </c>
      <c r="P134" s="239">
        <v>4881</v>
      </c>
      <c r="Q134" s="239">
        <v>0</v>
      </c>
      <c r="R134" s="239">
        <v>4881</v>
      </c>
      <c r="S134" s="239">
        <v>-2708719</v>
      </c>
      <c r="T134" s="239">
        <v>0</v>
      </c>
      <c r="U134" s="239">
        <v>-2708719</v>
      </c>
      <c r="V134" s="239">
        <v>-65</v>
      </c>
      <c r="W134" s="239">
        <v>0</v>
      </c>
      <c r="X134" s="239">
        <v>-65</v>
      </c>
      <c r="Y134" s="239">
        <v>-222965</v>
      </c>
      <c r="Z134" s="239">
        <v>0</v>
      </c>
      <c r="AA134" s="239">
        <v>-222965</v>
      </c>
      <c r="AB134" s="239">
        <v>-124295</v>
      </c>
      <c r="AC134" s="239">
        <v>0</v>
      </c>
      <c r="AD134" s="239">
        <v>-124295</v>
      </c>
      <c r="AE134" s="239">
        <v>-99</v>
      </c>
      <c r="AF134" s="239">
        <v>0</v>
      </c>
      <c r="AG134" s="239">
        <v>-99</v>
      </c>
      <c r="AH134" s="239">
        <v>617971</v>
      </c>
      <c r="AI134" s="239">
        <v>0</v>
      </c>
      <c r="AJ134" s="239">
        <v>617971</v>
      </c>
      <c r="AK134" s="239">
        <v>-623</v>
      </c>
      <c r="AL134" s="239">
        <v>0</v>
      </c>
      <c r="AM134" s="239">
        <v>-623</v>
      </c>
      <c r="AN134" s="239">
        <v>-945118</v>
      </c>
      <c r="AO134" s="239">
        <v>0</v>
      </c>
      <c r="AP134" s="239">
        <v>-945118</v>
      </c>
      <c r="AQ134" s="239">
        <v>-59167</v>
      </c>
      <c r="AR134" s="239">
        <v>0</v>
      </c>
      <c r="AS134" s="239">
        <v>-59167</v>
      </c>
      <c r="AT134" s="239">
        <v>-71731</v>
      </c>
      <c r="AU134" s="239">
        <v>0</v>
      </c>
      <c r="AV134" s="239">
        <v>-71731</v>
      </c>
      <c r="AW134" s="239">
        <v>0</v>
      </c>
      <c r="AX134" s="239">
        <v>0</v>
      </c>
      <c r="AY134" s="239">
        <v>0</v>
      </c>
      <c r="AZ134" s="239">
        <v>-11111</v>
      </c>
      <c r="BA134" s="239">
        <v>0</v>
      </c>
      <c r="BB134" s="239">
        <v>-11111</v>
      </c>
      <c r="BC134" s="239">
        <v>0</v>
      </c>
      <c r="BD134" s="239">
        <v>0</v>
      </c>
      <c r="BE134" s="239">
        <v>0</v>
      </c>
      <c r="BF134" s="239">
        <v>-3401463</v>
      </c>
      <c r="BG134" s="239">
        <v>0</v>
      </c>
      <c r="BH134" s="239">
        <v>-3401463</v>
      </c>
      <c r="BI134" s="239">
        <v>-19401</v>
      </c>
      <c r="BJ134" s="239">
        <v>0</v>
      </c>
      <c r="BK134" s="239">
        <v>-19401</v>
      </c>
      <c r="BL134" s="239">
        <v>-643</v>
      </c>
      <c r="BM134" s="239">
        <v>0</v>
      </c>
      <c r="BN134" s="239">
        <v>-643</v>
      </c>
      <c r="BO134" s="239">
        <v>-383221</v>
      </c>
      <c r="BP134" s="239">
        <v>0</v>
      </c>
      <c r="BQ134" s="239">
        <v>-383221</v>
      </c>
      <c r="BR134" s="239">
        <v>-247615</v>
      </c>
      <c r="BS134" s="239">
        <v>0</v>
      </c>
      <c r="BT134" s="239">
        <v>-247615</v>
      </c>
      <c r="BU134" s="239">
        <v>-650880</v>
      </c>
      <c r="BV134" s="239">
        <v>0</v>
      </c>
      <c r="BW134" s="239">
        <v>-650880</v>
      </c>
      <c r="BX134" s="239">
        <v>-29965</v>
      </c>
      <c r="BY134" s="239">
        <v>0</v>
      </c>
      <c r="BZ134" s="239">
        <v>-29965</v>
      </c>
      <c r="CA134" s="239">
        <v>0</v>
      </c>
      <c r="CB134" s="239">
        <v>0</v>
      </c>
      <c r="CC134" s="239">
        <v>0</v>
      </c>
      <c r="CD134" s="239">
        <v>-174338</v>
      </c>
      <c r="CE134" s="239">
        <v>0</v>
      </c>
      <c r="CF134" s="239">
        <v>-174338</v>
      </c>
      <c r="CG134" s="239">
        <v>24</v>
      </c>
      <c r="CH134" s="239">
        <v>0</v>
      </c>
      <c r="CI134" s="239">
        <v>24</v>
      </c>
      <c r="CJ134" s="239">
        <v>0</v>
      </c>
      <c r="CK134" s="239">
        <v>0</v>
      </c>
      <c r="CL134" s="239">
        <v>0</v>
      </c>
      <c r="CM134" s="239">
        <v>0</v>
      </c>
      <c r="CN134" s="239">
        <v>0</v>
      </c>
      <c r="CO134" s="239">
        <v>0</v>
      </c>
      <c r="CP134" s="239">
        <v>-7335</v>
      </c>
      <c r="CQ134" s="239">
        <v>0</v>
      </c>
      <c r="CR134" s="239">
        <v>-7335</v>
      </c>
      <c r="CS134" s="239">
        <v>0</v>
      </c>
      <c r="CT134" s="239">
        <v>0</v>
      </c>
      <c r="CU134" s="239">
        <v>0</v>
      </c>
      <c r="CV134" s="239">
        <v>0</v>
      </c>
      <c r="CW134" s="239">
        <v>0</v>
      </c>
      <c r="CX134" s="239">
        <v>0</v>
      </c>
      <c r="CY134" s="239">
        <v>0</v>
      </c>
      <c r="CZ134" s="239">
        <v>0</v>
      </c>
      <c r="DA134" s="239">
        <v>0</v>
      </c>
      <c r="DB134" s="239">
        <v>0</v>
      </c>
      <c r="DC134" s="239">
        <v>0</v>
      </c>
      <c r="DD134" s="239">
        <v>0</v>
      </c>
      <c r="DE134" s="239">
        <v>0</v>
      </c>
      <c r="DF134" s="239">
        <v>0</v>
      </c>
      <c r="DG134" s="239">
        <v>0</v>
      </c>
      <c r="DH134" s="239">
        <v>0</v>
      </c>
      <c r="DI134" s="239">
        <v>0</v>
      </c>
      <c r="DJ134" s="239">
        <v>-211614</v>
      </c>
      <c r="DK134" s="239">
        <v>0</v>
      </c>
      <c r="DL134" s="239">
        <v>-211614</v>
      </c>
      <c r="DM134" s="239">
        <v>0</v>
      </c>
      <c r="DN134" s="239">
        <v>0</v>
      </c>
      <c r="DO134" s="239">
        <v>0</v>
      </c>
      <c r="DP134" s="239">
        <v>0</v>
      </c>
      <c r="DQ134" s="239">
        <v>0</v>
      </c>
      <c r="DR134" s="239">
        <v>0</v>
      </c>
      <c r="DS134" s="239">
        <v>-11247</v>
      </c>
      <c r="DT134" s="239">
        <v>0</v>
      </c>
      <c r="DU134" s="239">
        <v>-11247</v>
      </c>
      <c r="DV134" s="239">
        <v>173</v>
      </c>
      <c r="DW134" s="239">
        <v>0</v>
      </c>
      <c r="DX134" s="239">
        <v>173</v>
      </c>
      <c r="DY134" s="239">
        <v>-589647</v>
      </c>
      <c r="DZ134" s="239">
        <v>0</v>
      </c>
      <c r="EA134" s="239">
        <v>-589647</v>
      </c>
      <c r="EB134" s="239">
        <v>4109</v>
      </c>
      <c r="EC134" s="239">
        <v>0</v>
      </c>
      <c r="ED134" s="239">
        <v>4109</v>
      </c>
      <c r="EE134" s="239">
        <v>0</v>
      </c>
      <c r="EF134" s="239">
        <v>0</v>
      </c>
      <c r="EG134" s="239">
        <v>0</v>
      </c>
      <c r="EH134" s="239">
        <v>0</v>
      </c>
      <c r="EI134" s="239">
        <v>0</v>
      </c>
      <c r="EJ134" s="239">
        <v>0</v>
      </c>
      <c r="EK134" s="239">
        <v>-38351</v>
      </c>
      <c r="EL134" s="239">
        <v>0</v>
      </c>
      <c r="EM134" s="239">
        <v>-38351</v>
      </c>
      <c r="EN134" s="239">
        <v>-634963</v>
      </c>
      <c r="EO134" s="239">
        <v>0</v>
      </c>
      <c r="EP134" s="239">
        <v>-634963</v>
      </c>
      <c r="EQ134" s="239">
        <v>-48089</v>
      </c>
      <c r="ER134" s="239">
        <v>0</v>
      </c>
      <c r="ES134" s="239">
        <v>-48089</v>
      </c>
      <c r="ET134" s="239">
        <v>-72</v>
      </c>
      <c r="EU134" s="239">
        <v>0</v>
      </c>
      <c r="EV134" s="239">
        <v>-72</v>
      </c>
      <c r="EW134" s="239">
        <v>-48161</v>
      </c>
      <c r="EX134" s="239">
        <v>0</v>
      </c>
      <c r="EY134" s="239">
        <v>-48161</v>
      </c>
      <c r="EZ134" s="239">
        <v>29188249</v>
      </c>
      <c r="FA134" s="239">
        <v>0</v>
      </c>
      <c r="FB134" s="239">
        <v>29188249</v>
      </c>
      <c r="FC134" s="239">
        <v>4881</v>
      </c>
      <c r="FD134" s="239">
        <v>0</v>
      </c>
      <c r="FE134" s="239">
        <v>4881</v>
      </c>
      <c r="FF134" s="239">
        <v>-3401463</v>
      </c>
      <c r="FG134" s="239">
        <v>0</v>
      </c>
      <c r="FH134" s="239">
        <v>-3401463</v>
      </c>
      <c r="FI134" s="239">
        <v>-650880</v>
      </c>
      <c r="FJ134" s="239">
        <v>0</v>
      </c>
      <c r="FK134" s="239">
        <v>-650880</v>
      </c>
      <c r="FL134" s="239">
        <v>-211614</v>
      </c>
      <c r="FM134" s="239">
        <v>0</v>
      </c>
      <c r="FN134" s="239">
        <v>-211614</v>
      </c>
      <c r="FO134" s="239">
        <v>-634963</v>
      </c>
      <c r="FP134" s="239">
        <v>0</v>
      </c>
      <c r="FQ134" s="239">
        <v>-634963</v>
      </c>
      <c r="FR134" s="239">
        <v>-48161</v>
      </c>
      <c r="FS134" s="239">
        <v>0</v>
      </c>
      <c r="FT134" s="239">
        <v>-48161</v>
      </c>
      <c r="FU134" s="239">
        <v>-4942200</v>
      </c>
      <c r="FV134" s="239">
        <v>0</v>
      </c>
      <c r="FW134" s="239">
        <v>-4942200</v>
      </c>
      <c r="FX134" s="239">
        <v>24246049</v>
      </c>
      <c r="FY134" s="239">
        <v>0</v>
      </c>
      <c r="FZ134" s="239">
        <v>24246049</v>
      </c>
      <c r="GA134" s="214" t="s">
        <v>1294</v>
      </c>
    </row>
    <row r="135" spans="2:183" s="214" customFormat="1" x14ac:dyDescent="0.2">
      <c r="B135" s="610" t="s">
        <v>353</v>
      </c>
      <c r="C135" s="610" t="s">
        <v>352</v>
      </c>
      <c r="D135" s="239">
        <v>0</v>
      </c>
      <c r="E135" s="239">
        <v>0</v>
      </c>
      <c r="F135" s="239">
        <v>0</v>
      </c>
      <c r="G135" s="239">
        <v>71683</v>
      </c>
      <c r="H135" s="239">
        <v>0</v>
      </c>
      <c r="I135" s="239">
        <v>71683</v>
      </c>
      <c r="J135" s="239">
        <v>0</v>
      </c>
      <c r="K135" s="239">
        <v>0</v>
      </c>
      <c r="L135" s="239">
        <v>0</v>
      </c>
      <c r="M135" s="239">
        <v>0</v>
      </c>
      <c r="N135" s="239">
        <v>0</v>
      </c>
      <c r="O135" s="239">
        <v>0</v>
      </c>
      <c r="P135" s="239">
        <v>71683</v>
      </c>
      <c r="Q135" s="239">
        <v>0</v>
      </c>
      <c r="R135" s="239">
        <v>71683</v>
      </c>
      <c r="S135" s="239">
        <v>-3342000</v>
      </c>
      <c r="T135" s="239">
        <v>0</v>
      </c>
      <c r="U135" s="239">
        <v>-3342000</v>
      </c>
      <c r="V135" s="239">
        <v>0</v>
      </c>
      <c r="W135" s="239">
        <v>0</v>
      </c>
      <c r="X135" s="239">
        <v>0</v>
      </c>
      <c r="Y135" s="239">
        <v>-221460</v>
      </c>
      <c r="Z135" s="239">
        <v>0</v>
      </c>
      <c r="AA135" s="239">
        <v>-221460</v>
      </c>
      <c r="AB135" s="239">
        <v>0</v>
      </c>
      <c r="AC135" s="239">
        <v>0</v>
      </c>
      <c r="AD135" s="239">
        <v>0</v>
      </c>
      <c r="AE135" s="239">
        <v>0</v>
      </c>
      <c r="AF135" s="239">
        <v>0</v>
      </c>
      <c r="AG135" s="239">
        <v>0</v>
      </c>
      <c r="AH135" s="239">
        <v>9806958</v>
      </c>
      <c r="AI135" s="239">
        <v>0</v>
      </c>
      <c r="AJ135" s="239">
        <v>9806958</v>
      </c>
      <c r="AK135" s="239">
        <v>217114</v>
      </c>
      <c r="AL135" s="239">
        <v>0</v>
      </c>
      <c r="AM135" s="239">
        <v>217114</v>
      </c>
      <c r="AN135" s="239">
        <v>-8255000</v>
      </c>
      <c r="AO135" s="239">
        <v>0</v>
      </c>
      <c r="AP135" s="239">
        <v>-8255000</v>
      </c>
      <c r="AQ135" s="239">
        <v>81686</v>
      </c>
      <c r="AR135" s="239">
        <v>0</v>
      </c>
      <c r="AS135" s="239">
        <v>81686</v>
      </c>
      <c r="AT135" s="239">
        <v>-61000</v>
      </c>
      <c r="AU135" s="239">
        <v>0</v>
      </c>
      <c r="AV135" s="239">
        <v>-61000</v>
      </c>
      <c r="AW135" s="239">
        <v>-17589</v>
      </c>
      <c r="AX135" s="239">
        <v>0</v>
      </c>
      <c r="AY135" s="239">
        <v>-17589</v>
      </c>
      <c r="AZ135" s="239">
        <v>0</v>
      </c>
      <c r="BA135" s="239">
        <v>0</v>
      </c>
      <c r="BB135" s="239">
        <v>0</v>
      </c>
      <c r="BC135" s="239">
        <v>0</v>
      </c>
      <c r="BD135" s="239">
        <v>0</v>
      </c>
      <c r="BE135" s="239">
        <v>0</v>
      </c>
      <c r="BF135" s="239">
        <v>-1791291</v>
      </c>
      <c r="BG135" s="239">
        <v>0</v>
      </c>
      <c r="BH135" s="239">
        <v>-1791291</v>
      </c>
      <c r="BI135" s="239">
        <v>-17000</v>
      </c>
      <c r="BJ135" s="239">
        <v>0</v>
      </c>
      <c r="BK135" s="239">
        <v>-17000</v>
      </c>
      <c r="BL135" s="239">
        <v>-148939</v>
      </c>
      <c r="BM135" s="239">
        <v>0</v>
      </c>
      <c r="BN135" s="239">
        <v>-148939</v>
      </c>
      <c r="BO135" s="239">
        <v>-12816000</v>
      </c>
      <c r="BP135" s="239">
        <v>0</v>
      </c>
      <c r="BQ135" s="239">
        <v>-12816000</v>
      </c>
      <c r="BR135" s="239">
        <v>187441</v>
      </c>
      <c r="BS135" s="239">
        <v>0</v>
      </c>
      <c r="BT135" s="239">
        <v>187441</v>
      </c>
      <c r="BU135" s="239">
        <v>-12794498</v>
      </c>
      <c r="BV135" s="239">
        <v>0</v>
      </c>
      <c r="BW135" s="239">
        <v>-12794498</v>
      </c>
      <c r="BX135" s="239">
        <v>-216495</v>
      </c>
      <c r="BY135" s="239">
        <v>0</v>
      </c>
      <c r="BZ135" s="239">
        <v>-216495</v>
      </c>
      <c r="CA135" s="239">
        <v>22000</v>
      </c>
      <c r="CB135" s="239">
        <v>0</v>
      </c>
      <c r="CC135" s="239">
        <v>22000</v>
      </c>
      <c r="CD135" s="239">
        <v>-16000</v>
      </c>
      <c r="CE135" s="239">
        <v>0</v>
      </c>
      <c r="CF135" s="239">
        <v>-16000</v>
      </c>
      <c r="CG135" s="239">
        <v>4505</v>
      </c>
      <c r="CH135" s="239">
        <v>0</v>
      </c>
      <c r="CI135" s="239">
        <v>4505</v>
      </c>
      <c r="CJ135" s="239">
        <v>0</v>
      </c>
      <c r="CK135" s="239">
        <v>0</v>
      </c>
      <c r="CL135" s="239">
        <v>0</v>
      </c>
      <c r="CM135" s="239">
        <v>0</v>
      </c>
      <c r="CN135" s="239">
        <v>0</v>
      </c>
      <c r="CO135" s="239">
        <v>0</v>
      </c>
      <c r="CP135" s="239">
        <v>0</v>
      </c>
      <c r="CQ135" s="239">
        <v>0</v>
      </c>
      <c r="CR135" s="239">
        <v>0</v>
      </c>
      <c r="CS135" s="239">
        <v>0</v>
      </c>
      <c r="CT135" s="239">
        <v>0</v>
      </c>
      <c r="CU135" s="239">
        <v>0</v>
      </c>
      <c r="CV135" s="239">
        <v>0</v>
      </c>
      <c r="CW135" s="239">
        <v>0</v>
      </c>
      <c r="CX135" s="239">
        <v>0</v>
      </c>
      <c r="CY135" s="239">
        <v>0</v>
      </c>
      <c r="CZ135" s="239">
        <v>0</v>
      </c>
      <c r="DA135" s="239">
        <v>0</v>
      </c>
      <c r="DB135" s="239">
        <v>0</v>
      </c>
      <c r="DC135" s="239">
        <v>0</v>
      </c>
      <c r="DD135" s="239">
        <v>0</v>
      </c>
      <c r="DE135" s="239">
        <v>0</v>
      </c>
      <c r="DF135" s="239">
        <v>0</v>
      </c>
      <c r="DG135" s="239">
        <v>0</v>
      </c>
      <c r="DH135" s="239">
        <v>0</v>
      </c>
      <c r="DI135" s="239">
        <v>0</v>
      </c>
      <c r="DJ135" s="239">
        <v>-205990</v>
      </c>
      <c r="DK135" s="239">
        <v>0</v>
      </c>
      <c r="DL135" s="239">
        <v>-205990</v>
      </c>
      <c r="DM135" s="239">
        <v>0</v>
      </c>
      <c r="DN135" s="239">
        <v>0</v>
      </c>
      <c r="DO135" s="239">
        <v>0</v>
      </c>
      <c r="DP135" s="239">
        <v>0</v>
      </c>
      <c r="DQ135" s="239">
        <v>0</v>
      </c>
      <c r="DR135" s="239">
        <v>0</v>
      </c>
      <c r="DS135" s="239">
        <v>0</v>
      </c>
      <c r="DT135" s="239">
        <v>0</v>
      </c>
      <c r="DU135" s="239">
        <v>0</v>
      </c>
      <c r="DV135" s="239">
        <v>0</v>
      </c>
      <c r="DW135" s="239">
        <v>0</v>
      </c>
      <c r="DX135" s="239">
        <v>0</v>
      </c>
      <c r="DY135" s="239">
        <v>-1342000</v>
      </c>
      <c r="DZ135" s="239">
        <v>0</v>
      </c>
      <c r="EA135" s="239">
        <v>-1342000</v>
      </c>
      <c r="EB135" s="239">
        <v>-78166</v>
      </c>
      <c r="EC135" s="239">
        <v>0</v>
      </c>
      <c r="ED135" s="239">
        <v>-78166</v>
      </c>
      <c r="EE135" s="239">
        <v>0</v>
      </c>
      <c r="EF135" s="239">
        <v>0</v>
      </c>
      <c r="EG135" s="239">
        <v>0</v>
      </c>
      <c r="EH135" s="239">
        <v>0</v>
      </c>
      <c r="EI135" s="239">
        <v>0</v>
      </c>
      <c r="EJ135" s="239">
        <v>0</v>
      </c>
      <c r="EK135" s="239">
        <v>0</v>
      </c>
      <c r="EL135" s="239">
        <v>0</v>
      </c>
      <c r="EM135" s="239">
        <v>0</v>
      </c>
      <c r="EN135" s="239">
        <v>-1420166</v>
      </c>
      <c r="EO135" s="239">
        <v>0</v>
      </c>
      <c r="EP135" s="239">
        <v>-1420166</v>
      </c>
      <c r="EQ135" s="239">
        <v>0</v>
      </c>
      <c r="ER135" s="239">
        <v>0</v>
      </c>
      <c r="ES135" s="239">
        <v>0</v>
      </c>
      <c r="ET135" s="239">
        <v>0</v>
      </c>
      <c r="EU135" s="239">
        <v>0</v>
      </c>
      <c r="EV135" s="239">
        <v>0</v>
      </c>
      <c r="EW135" s="239">
        <v>0</v>
      </c>
      <c r="EX135" s="239">
        <v>0</v>
      </c>
      <c r="EY135" s="239">
        <v>0</v>
      </c>
      <c r="EZ135" s="239">
        <v>391379637</v>
      </c>
      <c r="FA135" s="239">
        <v>0</v>
      </c>
      <c r="FB135" s="239">
        <v>391379637</v>
      </c>
      <c r="FC135" s="239">
        <v>71683</v>
      </c>
      <c r="FD135" s="239">
        <v>0</v>
      </c>
      <c r="FE135" s="239">
        <v>71683</v>
      </c>
      <c r="FF135" s="239">
        <v>-1791291</v>
      </c>
      <c r="FG135" s="239">
        <v>0</v>
      </c>
      <c r="FH135" s="239">
        <v>-1791291</v>
      </c>
      <c r="FI135" s="239">
        <v>-12794498</v>
      </c>
      <c r="FJ135" s="239">
        <v>0</v>
      </c>
      <c r="FK135" s="239">
        <v>-12794498</v>
      </c>
      <c r="FL135" s="239">
        <v>-205990</v>
      </c>
      <c r="FM135" s="239">
        <v>0</v>
      </c>
      <c r="FN135" s="239">
        <v>-205990</v>
      </c>
      <c r="FO135" s="239">
        <v>-1420166</v>
      </c>
      <c r="FP135" s="239">
        <v>0</v>
      </c>
      <c r="FQ135" s="239">
        <v>-1420166</v>
      </c>
      <c r="FR135" s="239">
        <v>0</v>
      </c>
      <c r="FS135" s="239">
        <v>0</v>
      </c>
      <c r="FT135" s="239">
        <v>0</v>
      </c>
      <c r="FU135" s="239">
        <v>-16140262</v>
      </c>
      <c r="FV135" s="239">
        <v>0</v>
      </c>
      <c r="FW135" s="239">
        <v>-16140262</v>
      </c>
      <c r="FX135" s="239">
        <v>375239375</v>
      </c>
      <c r="FY135" s="239">
        <v>0</v>
      </c>
      <c r="FZ135" s="239">
        <v>375239375</v>
      </c>
      <c r="GA135" s="214" t="s">
        <v>1295</v>
      </c>
    </row>
    <row r="136" spans="2:183" s="214" customFormat="1" x14ac:dyDescent="0.2">
      <c r="B136" s="610" t="s">
        <v>355</v>
      </c>
      <c r="C136" s="610" t="s">
        <v>354</v>
      </c>
      <c r="D136" s="239">
        <v>0</v>
      </c>
      <c r="E136" s="239">
        <v>0</v>
      </c>
      <c r="F136" s="239">
        <v>0</v>
      </c>
      <c r="G136" s="239">
        <v>-188</v>
      </c>
      <c r="H136" s="239">
        <v>0</v>
      </c>
      <c r="I136" s="239">
        <v>-188</v>
      </c>
      <c r="J136" s="239">
        <v>0</v>
      </c>
      <c r="K136" s="239">
        <v>0</v>
      </c>
      <c r="L136" s="239">
        <v>0</v>
      </c>
      <c r="M136" s="239">
        <v>5526</v>
      </c>
      <c r="N136" s="239">
        <v>0</v>
      </c>
      <c r="O136" s="239">
        <v>5526</v>
      </c>
      <c r="P136" s="239">
        <v>5338</v>
      </c>
      <c r="Q136" s="239">
        <v>0</v>
      </c>
      <c r="R136" s="239">
        <v>5338</v>
      </c>
      <c r="S136" s="239">
        <v>-2396480</v>
      </c>
      <c r="T136" s="239">
        <v>0</v>
      </c>
      <c r="U136" s="239">
        <v>-2396480</v>
      </c>
      <c r="V136" s="239">
        <v>-11116</v>
      </c>
      <c r="W136" s="239">
        <v>0</v>
      </c>
      <c r="X136" s="239">
        <v>-11116</v>
      </c>
      <c r="Y136" s="239">
        <v>-232200</v>
      </c>
      <c r="Z136" s="239">
        <v>0</v>
      </c>
      <c r="AA136" s="239">
        <v>-232200</v>
      </c>
      <c r="AB136" s="239">
        <v>-153162</v>
      </c>
      <c r="AC136" s="239">
        <v>0</v>
      </c>
      <c r="AD136" s="239">
        <v>-153162</v>
      </c>
      <c r="AE136" s="239">
        <v>908</v>
      </c>
      <c r="AF136" s="239">
        <v>0</v>
      </c>
      <c r="AG136" s="239">
        <v>908</v>
      </c>
      <c r="AH136" s="239">
        <v>771013</v>
      </c>
      <c r="AI136" s="239">
        <v>0</v>
      </c>
      <c r="AJ136" s="239">
        <v>771013</v>
      </c>
      <c r="AK136" s="239">
        <v>-2261</v>
      </c>
      <c r="AL136" s="239">
        <v>0</v>
      </c>
      <c r="AM136" s="239">
        <v>-2261</v>
      </c>
      <c r="AN136" s="239">
        <v>-1826181</v>
      </c>
      <c r="AO136" s="239">
        <v>0</v>
      </c>
      <c r="AP136" s="239">
        <v>-1826181</v>
      </c>
      <c r="AQ136" s="239">
        <v>-47418</v>
      </c>
      <c r="AR136" s="239">
        <v>0</v>
      </c>
      <c r="AS136" s="239">
        <v>-47418</v>
      </c>
      <c r="AT136" s="239">
        <v>-6153</v>
      </c>
      <c r="AU136" s="239">
        <v>0</v>
      </c>
      <c r="AV136" s="239">
        <v>-6153</v>
      </c>
      <c r="AW136" s="239">
        <v>0</v>
      </c>
      <c r="AX136" s="239">
        <v>0</v>
      </c>
      <c r="AY136" s="239">
        <v>0</v>
      </c>
      <c r="AZ136" s="239">
        <v>-12732</v>
      </c>
      <c r="BA136" s="239">
        <v>0</v>
      </c>
      <c r="BB136" s="239">
        <v>-12732</v>
      </c>
      <c r="BC136" s="239">
        <v>0</v>
      </c>
      <c r="BD136" s="239">
        <v>0</v>
      </c>
      <c r="BE136" s="239">
        <v>0</v>
      </c>
      <c r="BF136" s="239">
        <v>-3752412</v>
      </c>
      <c r="BG136" s="239">
        <v>0</v>
      </c>
      <c r="BH136" s="239">
        <v>-3752412</v>
      </c>
      <c r="BI136" s="239">
        <v>-4725</v>
      </c>
      <c r="BJ136" s="239">
        <v>0</v>
      </c>
      <c r="BK136" s="239">
        <v>-4725</v>
      </c>
      <c r="BL136" s="239">
        <v>-678</v>
      </c>
      <c r="BM136" s="239">
        <v>0</v>
      </c>
      <c r="BN136" s="239">
        <v>-678</v>
      </c>
      <c r="BO136" s="239">
        <v>-435080</v>
      </c>
      <c r="BP136" s="239">
        <v>0</v>
      </c>
      <c r="BQ136" s="239">
        <v>-435080</v>
      </c>
      <c r="BR136" s="239">
        <v>53484</v>
      </c>
      <c r="BS136" s="239">
        <v>0</v>
      </c>
      <c r="BT136" s="239">
        <v>53484</v>
      </c>
      <c r="BU136" s="239">
        <v>-386999</v>
      </c>
      <c r="BV136" s="239">
        <v>0</v>
      </c>
      <c r="BW136" s="239">
        <v>-386999</v>
      </c>
      <c r="BX136" s="239">
        <v>-70439</v>
      </c>
      <c r="BY136" s="239">
        <v>0</v>
      </c>
      <c r="BZ136" s="239">
        <v>-70439</v>
      </c>
      <c r="CA136" s="239">
        <v>-12877</v>
      </c>
      <c r="CB136" s="239">
        <v>0</v>
      </c>
      <c r="CC136" s="239">
        <v>-12877</v>
      </c>
      <c r="CD136" s="239">
        <v>-79947</v>
      </c>
      <c r="CE136" s="239">
        <v>0</v>
      </c>
      <c r="CF136" s="239">
        <v>-79947</v>
      </c>
      <c r="CG136" s="239">
        <v>12013</v>
      </c>
      <c r="CH136" s="239">
        <v>0</v>
      </c>
      <c r="CI136" s="239">
        <v>12013</v>
      </c>
      <c r="CJ136" s="239">
        <v>-1538</v>
      </c>
      <c r="CK136" s="239">
        <v>0</v>
      </c>
      <c r="CL136" s="239">
        <v>-1538</v>
      </c>
      <c r="CM136" s="239">
        <v>0</v>
      </c>
      <c r="CN136" s="239">
        <v>0</v>
      </c>
      <c r="CO136" s="239">
        <v>0</v>
      </c>
      <c r="CP136" s="239">
        <v>0</v>
      </c>
      <c r="CQ136" s="239">
        <v>0</v>
      </c>
      <c r="CR136" s="239">
        <v>0</v>
      </c>
      <c r="CS136" s="239">
        <v>0</v>
      </c>
      <c r="CT136" s="239">
        <v>0</v>
      </c>
      <c r="CU136" s="239">
        <v>0</v>
      </c>
      <c r="CV136" s="239">
        <v>0</v>
      </c>
      <c r="CW136" s="239">
        <v>0</v>
      </c>
      <c r="CX136" s="239">
        <v>0</v>
      </c>
      <c r="CY136" s="239">
        <v>0</v>
      </c>
      <c r="CZ136" s="239">
        <v>0</v>
      </c>
      <c r="DA136" s="239">
        <v>0</v>
      </c>
      <c r="DB136" s="239">
        <v>0</v>
      </c>
      <c r="DC136" s="239">
        <v>-52751</v>
      </c>
      <c r="DD136" s="239">
        <v>-52751</v>
      </c>
      <c r="DE136" s="239">
        <v>0</v>
      </c>
      <c r="DF136" s="239">
        <v>-21054</v>
      </c>
      <c r="DG136" s="239">
        <v>-21054</v>
      </c>
      <c r="DH136" s="239">
        <v>-73805</v>
      </c>
      <c r="DI136" s="239">
        <v>0</v>
      </c>
      <c r="DJ136" s="239">
        <v>-152788</v>
      </c>
      <c r="DK136" s="239">
        <v>-73805</v>
      </c>
      <c r="DL136" s="239">
        <v>-226593</v>
      </c>
      <c r="DM136" s="239">
        <v>-11133</v>
      </c>
      <c r="DN136" s="239">
        <v>0</v>
      </c>
      <c r="DO136" s="239">
        <v>-11133</v>
      </c>
      <c r="DP136" s="239">
        <v>1393</v>
      </c>
      <c r="DQ136" s="239">
        <v>0</v>
      </c>
      <c r="DR136" s="239">
        <v>1393</v>
      </c>
      <c r="DS136" s="239">
        <v>-4720</v>
      </c>
      <c r="DT136" s="239">
        <v>0</v>
      </c>
      <c r="DU136" s="239">
        <v>-4720</v>
      </c>
      <c r="DV136" s="239">
        <v>0</v>
      </c>
      <c r="DW136" s="239">
        <v>0</v>
      </c>
      <c r="DX136" s="239">
        <v>0</v>
      </c>
      <c r="DY136" s="239">
        <v>-352938</v>
      </c>
      <c r="DZ136" s="239">
        <v>0</v>
      </c>
      <c r="EA136" s="239">
        <v>-352938</v>
      </c>
      <c r="EB136" s="239">
        <v>-19857</v>
      </c>
      <c r="EC136" s="239">
        <v>0</v>
      </c>
      <c r="ED136" s="239">
        <v>-19857</v>
      </c>
      <c r="EE136" s="239">
        <v>0</v>
      </c>
      <c r="EF136" s="239">
        <v>0</v>
      </c>
      <c r="EG136" s="239">
        <v>0</v>
      </c>
      <c r="EH136" s="239">
        <v>0</v>
      </c>
      <c r="EI136" s="239">
        <v>0</v>
      </c>
      <c r="EJ136" s="239">
        <v>0</v>
      </c>
      <c r="EK136" s="239">
        <v>-3307</v>
      </c>
      <c r="EL136" s="239">
        <v>0</v>
      </c>
      <c r="EM136" s="239">
        <v>-3307</v>
      </c>
      <c r="EN136" s="239">
        <v>-390562</v>
      </c>
      <c r="EO136" s="239">
        <v>0</v>
      </c>
      <c r="EP136" s="239">
        <v>-390562</v>
      </c>
      <c r="EQ136" s="239">
        <v>0</v>
      </c>
      <c r="ER136" s="239">
        <v>0</v>
      </c>
      <c r="ES136" s="239">
        <v>0</v>
      </c>
      <c r="ET136" s="239">
        <v>0</v>
      </c>
      <c r="EU136" s="239">
        <v>0</v>
      </c>
      <c r="EV136" s="239">
        <v>0</v>
      </c>
      <c r="EW136" s="239">
        <v>0</v>
      </c>
      <c r="EX136" s="239">
        <v>0</v>
      </c>
      <c r="EY136" s="239">
        <v>0</v>
      </c>
      <c r="EZ136" s="239">
        <v>34292188</v>
      </c>
      <c r="FA136" s="239">
        <v>1078191</v>
      </c>
      <c r="FB136" s="239">
        <v>35370379</v>
      </c>
      <c r="FC136" s="239">
        <v>5338</v>
      </c>
      <c r="FD136" s="239">
        <v>0</v>
      </c>
      <c r="FE136" s="239">
        <v>5338</v>
      </c>
      <c r="FF136" s="239">
        <v>-3752412</v>
      </c>
      <c r="FG136" s="239">
        <v>0</v>
      </c>
      <c r="FH136" s="239">
        <v>-3752412</v>
      </c>
      <c r="FI136" s="239">
        <v>-386999</v>
      </c>
      <c r="FJ136" s="239">
        <v>0</v>
      </c>
      <c r="FK136" s="239">
        <v>-386999</v>
      </c>
      <c r="FL136" s="239">
        <v>-152788</v>
      </c>
      <c r="FM136" s="239">
        <v>-73805</v>
      </c>
      <c r="FN136" s="239">
        <v>-226593</v>
      </c>
      <c r="FO136" s="239">
        <v>-390562</v>
      </c>
      <c r="FP136" s="239">
        <v>0</v>
      </c>
      <c r="FQ136" s="239">
        <v>-390562</v>
      </c>
      <c r="FR136" s="239">
        <v>0</v>
      </c>
      <c r="FS136" s="239">
        <v>0</v>
      </c>
      <c r="FT136" s="239">
        <v>0</v>
      </c>
      <c r="FU136" s="239">
        <v>-4677423</v>
      </c>
      <c r="FV136" s="239">
        <v>-73805</v>
      </c>
      <c r="FW136" s="239">
        <v>-4751228</v>
      </c>
      <c r="FX136" s="239">
        <v>29614765</v>
      </c>
      <c r="FY136" s="239">
        <v>1004386</v>
      </c>
      <c r="FZ136" s="239">
        <v>30619151</v>
      </c>
      <c r="GA136" s="214" t="s">
        <v>1294</v>
      </c>
    </row>
    <row r="137" spans="2:183" s="214" customFormat="1" x14ac:dyDescent="0.2">
      <c r="B137" s="610" t="s">
        <v>357</v>
      </c>
      <c r="C137" s="610" t="s">
        <v>356</v>
      </c>
      <c r="D137" s="239">
        <v>0</v>
      </c>
      <c r="E137" s="239">
        <v>0</v>
      </c>
      <c r="F137" s="239">
        <v>0</v>
      </c>
      <c r="G137" s="239">
        <v>-396242</v>
      </c>
      <c r="H137" s="239">
        <v>0</v>
      </c>
      <c r="I137" s="239">
        <v>-396242</v>
      </c>
      <c r="J137" s="239">
        <v>0</v>
      </c>
      <c r="K137" s="239">
        <v>0</v>
      </c>
      <c r="L137" s="239">
        <v>0</v>
      </c>
      <c r="M137" s="239">
        <v>56077</v>
      </c>
      <c r="N137" s="239">
        <v>0</v>
      </c>
      <c r="O137" s="239">
        <v>56077</v>
      </c>
      <c r="P137" s="239">
        <v>-340165</v>
      </c>
      <c r="Q137" s="239">
        <v>0</v>
      </c>
      <c r="R137" s="239">
        <v>-340165</v>
      </c>
      <c r="S137" s="239">
        <v>-2866419</v>
      </c>
      <c r="T137" s="239">
        <v>0</v>
      </c>
      <c r="U137" s="239">
        <v>-2866419</v>
      </c>
      <c r="V137" s="239">
        <v>-2725</v>
      </c>
      <c r="W137" s="239">
        <v>0</v>
      </c>
      <c r="X137" s="239">
        <v>-2725</v>
      </c>
      <c r="Y137" s="239">
        <v>-325707</v>
      </c>
      <c r="Z137" s="239">
        <v>0</v>
      </c>
      <c r="AA137" s="239">
        <v>-325707</v>
      </c>
      <c r="AB137" s="239">
        <v>-211166</v>
      </c>
      <c r="AC137" s="239">
        <v>0</v>
      </c>
      <c r="AD137" s="239">
        <v>-211166</v>
      </c>
      <c r="AE137" s="239">
        <v>0</v>
      </c>
      <c r="AF137" s="239">
        <v>0</v>
      </c>
      <c r="AG137" s="239">
        <v>0</v>
      </c>
      <c r="AH137" s="239">
        <v>1096293</v>
      </c>
      <c r="AI137" s="239">
        <v>0</v>
      </c>
      <c r="AJ137" s="239">
        <v>1096293</v>
      </c>
      <c r="AK137" s="239">
        <v>-6542</v>
      </c>
      <c r="AL137" s="239">
        <v>0</v>
      </c>
      <c r="AM137" s="239">
        <v>-6542</v>
      </c>
      <c r="AN137" s="239">
        <v>-2798343</v>
      </c>
      <c r="AO137" s="239">
        <v>0</v>
      </c>
      <c r="AP137" s="239">
        <v>-2798343</v>
      </c>
      <c r="AQ137" s="239">
        <v>-42967</v>
      </c>
      <c r="AR137" s="239">
        <v>0</v>
      </c>
      <c r="AS137" s="239">
        <v>-42967</v>
      </c>
      <c r="AT137" s="239">
        <v>-55351</v>
      </c>
      <c r="AU137" s="239">
        <v>0</v>
      </c>
      <c r="AV137" s="239">
        <v>-55351</v>
      </c>
      <c r="AW137" s="239">
        <v>3</v>
      </c>
      <c r="AX137" s="239">
        <v>0</v>
      </c>
      <c r="AY137" s="239">
        <v>3</v>
      </c>
      <c r="AZ137" s="239">
        <v>-17834</v>
      </c>
      <c r="BA137" s="239">
        <v>0</v>
      </c>
      <c r="BB137" s="239">
        <v>-17834</v>
      </c>
      <c r="BC137" s="239">
        <v>0</v>
      </c>
      <c r="BD137" s="239">
        <v>0</v>
      </c>
      <c r="BE137" s="239">
        <v>0</v>
      </c>
      <c r="BF137" s="239">
        <v>-5016867</v>
      </c>
      <c r="BG137" s="239">
        <v>0</v>
      </c>
      <c r="BH137" s="239">
        <v>-5016867</v>
      </c>
      <c r="BI137" s="239">
        <v>0</v>
      </c>
      <c r="BJ137" s="239">
        <v>0</v>
      </c>
      <c r="BK137" s="239">
        <v>0</v>
      </c>
      <c r="BL137" s="239">
        <v>-476387</v>
      </c>
      <c r="BM137" s="239">
        <v>0</v>
      </c>
      <c r="BN137" s="239">
        <v>-476387</v>
      </c>
      <c r="BO137" s="239">
        <v>-1132379</v>
      </c>
      <c r="BP137" s="239">
        <v>0</v>
      </c>
      <c r="BQ137" s="239">
        <v>-1132379</v>
      </c>
      <c r="BR137" s="239">
        <v>-98102</v>
      </c>
      <c r="BS137" s="239">
        <v>0</v>
      </c>
      <c r="BT137" s="239">
        <v>-98102</v>
      </c>
      <c r="BU137" s="239">
        <v>-1706868</v>
      </c>
      <c r="BV137" s="239">
        <v>0</v>
      </c>
      <c r="BW137" s="239">
        <v>-1706868</v>
      </c>
      <c r="BX137" s="239">
        <v>-73137</v>
      </c>
      <c r="BY137" s="239">
        <v>0</v>
      </c>
      <c r="BZ137" s="239">
        <v>-73137</v>
      </c>
      <c r="CA137" s="239">
        <v>-3966</v>
      </c>
      <c r="CB137" s="239">
        <v>0</v>
      </c>
      <c r="CC137" s="239">
        <v>-3966</v>
      </c>
      <c r="CD137" s="239">
        <v>-454229</v>
      </c>
      <c r="CE137" s="239">
        <v>0</v>
      </c>
      <c r="CF137" s="239">
        <v>-454229</v>
      </c>
      <c r="CG137" s="239">
        <v>0</v>
      </c>
      <c r="CH137" s="239">
        <v>0</v>
      </c>
      <c r="CI137" s="239">
        <v>0</v>
      </c>
      <c r="CJ137" s="239">
        <v>-2845</v>
      </c>
      <c r="CK137" s="239">
        <v>0</v>
      </c>
      <c r="CL137" s="239">
        <v>-2845</v>
      </c>
      <c r="CM137" s="239">
        <v>2</v>
      </c>
      <c r="CN137" s="239">
        <v>0</v>
      </c>
      <c r="CO137" s="239">
        <v>2</v>
      </c>
      <c r="CP137" s="239">
        <v>-1341</v>
      </c>
      <c r="CQ137" s="239">
        <v>0</v>
      </c>
      <c r="CR137" s="239">
        <v>-1341</v>
      </c>
      <c r="CS137" s="239">
        <v>0</v>
      </c>
      <c r="CT137" s="239">
        <v>0</v>
      </c>
      <c r="CU137" s="239">
        <v>0</v>
      </c>
      <c r="CV137" s="239">
        <v>0</v>
      </c>
      <c r="CW137" s="239">
        <v>0</v>
      </c>
      <c r="CX137" s="239">
        <v>0</v>
      </c>
      <c r="CY137" s="239">
        <v>0</v>
      </c>
      <c r="CZ137" s="239">
        <v>0</v>
      </c>
      <c r="DA137" s="239">
        <v>0</v>
      </c>
      <c r="DB137" s="239">
        <v>0</v>
      </c>
      <c r="DC137" s="239">
        <v>0</v>
      </c>
      <c r="DD137" s="239">
        <v>0</v>
      </c>
      <c r="DE137" s="239">
        <v>0</v>
      </c>
      <c r="DF137" s="239">
        <v>0</v>
      </c>
      <c r="DG137" s="239">
        <v>0</v>
      </c>
      <c r="DH137" s="239">
        <v>0</v>
      </c>
      <c r="DI137" s="239">
        <v>0</v>
      </c>
      <c r="DJ137" s="239">
        <v>-535516</v>
      </c>
      <c r="DK137" s="239">
        <v>0</v>
      </c>
      <c r="DL137" s="239">
        <v>-535516</v>
      </c>
      <c r="DM137" s="239">
        <v>-27005</v>
      </c>
      <c r="DN137" s="239">
        <v>0</v>
      </c>
      <c r="DO137" s="239">
        <v>-27005</v>
      </c>
      <c r="DP137" s="239">
        <v>-2372</v>
      </c>
      <c r="DQ137" s="239">
        <v>0</v>
      </c>
      <c r="DR137" s="239">
        <v>-2372</v>
      </c>
      <c r="DS137" s="239">
        <v>0</v>
      </c>
      <c r="DT137" s="239">
        <v>0</v>
      </c>
      <c r="DU137" s="239">
        <v>0</v>
      </c>
      <c r="DV137" s="239">
        <v>412</v>
      </c>
      <c r="DW137" s="239">
        <v>0</v>
      </c>
      <c r="DX137" s="239">
        <v>412</v>
      </c>
      <c r="DY137" s="239">
        <v>-719366</v>
      </c>
      <c r="DZ137" s="239">
        <v>0</v>
      </c>
      <c r="EA137" s="239">
        <v>-719366</v>
      </c>
      <c r="EB137" s="239">
        <v>-12701</v>
      </c>
      <c r="EC137" s="239">
        <v>0</v>
      </c>
      <c r="ED137" s="239">
        <v>-12701</v>
      </c>
      <c r="EE137" s="239">
        <v>0</v>
      </c>
      <c r="EF137" s="239">
        <v>0</v>
      </c>
      <c r="EG137" s="239">
        <v>0</v>
      </c>
      <c r="EH137" s="239">
        <v>352</v>
      </c>
      <c r="EI137" s="239">
        <v>0</v>
      </c>
      <c r="EJ137" s="239">
        <v>352</v>
      </c>
      <c r="EK137" s="239">
        <v>-2664</v>
      </c>
      <c r="EL137" s="239">
        <v>0</v>
      </c>
      <c r="EM137" s="239">
        <v>-2664</v>
      </c>
      <c r="EN137" s="239">
        <v>-763344</v>
      </c>
      <c r="EO137" s="239">
        <v>0</v>
      </c>
      <c r="EP137" s="239">
        <v>-763344</v>
      </c>
      <c r="EQ137" s="239">
        <v>0</v>
      </c>
      <c r="ER137" s="239">
        <v>0</v>
      </c>
      <c r="ES137" s="239">
        <v>0</v>
      </c>
      <c r="ET137" s="239">
        <v>0</v>
      </c>
      <c r="EU137" s="239">
        <v>0</v>
      </c>
      <c r="EV137" s="239">
        <v>0</v>
      </c>
      <c r="EW137" s="239">
        <v>0</v>
      </c>
      <c r="EX137" s="239">
        <v>0</v>
      </c>
      <c r="EY137" s="239">
        <v>0</v>
      </c>
      <c r="EZ137" s="239">
        <v>49402380</v>
      </c>
      <c r="FA137" s="239">
        <v>0</v>
      </c>
      <c r="FB137" s="239">
        <v>49402380</v>
      </c>
      <c r="FC137" s="239">
        <v>-340165</v>
      </c>
      <c r="FD137" s="239">
        <v>0</v>
      </c>
      <c r="FE137" s="239">
        <v>-340165</v>
      </c>
      <c r="FF137" s="239">
        <v>-5016867</v>
      </c>
      <c r="FG137" s="239">
        <v>0</v>
      </c>
      <c r="FH137" s="239">
        <v>-5016867</v>
      </c>
      <c r="FI137" s="239">
        <v>-1706868</v>
      </c>
      <c r="FJ137" s="239">
        <v>0</v>
      </c>
      <c r="FK137" s="239">
        <v>-1706868</v>
      </c>
      <c r="FL137" s="239">
        <v>-535516</v>
      </c>
      <c r="FM137" s="239">
        <v>0</v>
      </c>
      <c r="FN137" s="239">
        <v>-535516</v>
      </c>
      <c r="FO137" s="239">
        <v>-763344</v>
      </c>
      <c r="FP137" s="239">
        <v>0</v>
      </c>
      <c r="FQ137" s="239">
        <v>-763344</v>
      </c>
      <c r="FR137" s="239">
        <v>0</v>
      </c>
      <c r="FS137" s="239">
        <v>0</v>
      </c>
      <c r="FT137" s="239">
        <v>0</v>
      </c>
      <c r="FU137" s="239">
        <v>-8362760</v>
      </c>
      <c r="FV137" s="239">
        <v>0</v>
      </c>
      <c r="FW137" s="239">
        <v>-8362760</v>
      </c>
      <c r="FX137" s="239">
        <v>41039620</v>
      </c>
      <c r="FY137" s="239">
        <v>0</v>
      </c>
      <c r="FZ137" s="239">
        <v>41039620</v>
      </c>
      <c r="GA137" s="214" t="s">
        <v>1294</v>
      </c>
    </row>
    <row r="138" spans="2:183" s="214" customFormat="1" x14ac:dyDescent="0.2">
      <c r="B138" s="610" t="s">
        <v>359</v>
      </c>
      <c r="C138" s="610" t="s">
        <v>358</v>
      </c>
      <c r="D138" s="239">
        <v>0</v>
      </c>
      <c r="E138" s="239">
        <v>0</v>
      </c>
      <c r="F138" s="239">
        <v>0</v>
      </c>
      <c r="G138" s="239">
        <v>-139264</v>
      </c>
      <c r="H138" s="239">
        <v>0</v>
      </c>
      <c r="I138" s="239">
        <v>-139264</v>
      </c>
      <c r="J138" s="239">
        <v>0</v>
      </c>
      <c r="K138" s="239">
        <v>0</v>
      </c>
      <c r="L138" s="239">
        <v>0</v>
      </c>
      <c r="M138" s="239">
        <v>1277700</v>
      </c>
      <c r="N138" s="239">
        <v>0</v>
      </c>
      <c r="O138" s="239">
        <v>1277700</v>
      </c>
      <c r="P138" s="239">
        <v>1138436</v>
      </c>
      <c r="Q138" s="239">
        <v>0</v>
      </c>
      <c r="R138" s="239">
        <v>1138436</v>
      </c>
      <c r="S138" s="239">
        <v>-2947259</v>
      </c>
      <c r="T138" s="239">
        <v>0</v>
      </c>
      <c r="U138" s="239">
        <v>-2947259</v>
      </c>
      <c r="V138" s="239">
        <v>0</v>
      </c>
      <c r="W138" s="239">
        <v>0</v>
      </c>
      <c r="X138" s="239">
        <v>0</v>
      </c>
      <c r="Y138" s="239">
        <v>-379243</v>
      </c>
      <c r="Z138" s="239">
        <v>0</v>
      </c>
      <c r="AA138" s="239">
        <v>-379243</v>
      </c>
      <c r="AB138" s="239">
        <v>0</v>
      </c>
      <c r="AC138" s="239">
        <v>0</v>
      </c>
      <c r="AD138" s="239">
        <v>0</v>
      </c>
      <c r="AE138" s="239">
        <v>0</v>
      </c>
      <c r="AF138" s="239">
        <v>0</v>
      </c>
      <c r="AG138" s="239">
        <v>0</v>
      </c>
      <c r="AH138" s="239">
        <v>4339625</v>
      </c>
      <c r="AI138" s="239">
        <v>0</v>
      </c>
      <c r="AJ138" s="239">
        <v>4339625</v>
      </c>
      <c r="AK138" s="239">
        <v>-67089</v>
      </c>
      <c r="AL138" s="239">
        <v>0</v>
      </c>
      <c r="AM138" s="239">
        <v>-67089</v>
      </c>
      <c r="AN138" s="239">
        <v>-5358081</v>
      </c>
      <c r="AO138" s="239">
        <v>0</v>
      </c>
      <c r="AP138" s="239">
        <v>-5358081</v>
      </c>
      <c r="AQ138" s="239">
        <v>-484534</v>
      </c>
      <c r="AR138" s="239">
        <v>0</v>
      </c>
      <c r="AS138" s="239">
        <v>-484534</v>
      </c>
      <c r="AT138" s="239">
        <v>-54368</v>
      </c>
      <c r="AU138" s="239">
        <v>0</v>
      </c>
      <c r="AV138" s="239">
        <v>-54368</v>
      </c>
      <c r="AW138" s="239">
        <v>0</v>
      </c>
      <c r="AX138" s="239">
        <v>0</v>
      </c>
      <c r="AY138" s="239">
        <v>0</v>
      </c>
      <c r="AZ138" s="239">
        <v>0</v>
      </c>
      <c r="BA138" s="239">
        <v>0</v>
      </c>
      <c r="BB138" s="239">
        <v>0</v>
      </c>
      <c r="BC138" s="239">
        <v>0</v>
      </c>
      <c r="BD138" s="239">
        <v>0</v>
      </c>
      <c r="BE138" s="239">
        <v>0</v>
      </c>
      <c r="BF138" s="239">
        <v>-4950949</v>
      </c>
      <c r="BG138" s="239">
        <v>0</v>
      </c>
      <c r="BH138" s="239">
        <v>-4950949</v>
      </c>
      <c r="BI138" s="239">
        <v>-791454</v>
      </c>
      <c r="BJ138" s="239">
        <v>0</v>
      </c>
      <c r="BK138" s="239">
        <v>-791454</v>
      </c>
      <c r="BL138" s="239">
        <v>-105054</v>
      </c>
      <c r="BM138" s="239">
        <v>0</v>
      </c>
      <c r="BN138" s="239">
        <v>-105054</v>
      </c>
      <c r="BO138" s="239">
        <v>-6935970</v>
      </c>
      <c r="BP138" s="239">
        <v>0</v>
      </c>
      <c r="BQ138" s="239">
        <v>-6935970</v>
      </c>
      <c r="BR138" s="239">
        <v>116153</v>
      </c>
      <c r="BS138" s="239">
        <v>0</v>
      </c>
      <c r="BT138" s="239">
        <v>116153</v>
      </c>
      <c r="BU138" s="239">
        <v>-7716325</v>
      </c>
      <c r="BV138" s="239">
        <v>0</v>
      </c>
      <c r="BW138" s="239">
        <v>-7716325</v>
      </c>
      <c r="BX138" s="239">
        <v>-252036</v>
      </c>
      <c r="BY138" s="239">
        <v>0</v>
      </c>
      <c r="BZ138" s="239">
        <v>-252036</v>
      </c>
      <c r="CA138" s="239">
        <v>17832</v>
      </c>
      <c r="CB138" s="239">
        <v>0</v>
      </c>
      <c r="CC138" s="239">
        <v>17832</v>
      </c>
      <c r="CD138" s="239">
        <v>-526083</v>
      </c>
      <c r="CE138" s="239">
        <v>0</v>
      </c>
      <c r="CF138" s="239">
        <v>-526083</v>
      </c>
      <c r="CG138" s="239">
        <v>-313958</v>
      </c>
      <c r="CH138" s="239">
        <v>0</v>
      </c>
      <c r="CI138" s="239">
        <v>-313958</v>
      </c>
      <c r="CJ138" s="239">
        <v>-3574</v>
      </c>
      <c r="CK138" s="239">
        <v>0</v>
      </c>
      <c r="CL138" s="239">
        <v>-3574</v>
      </c>
      <c r="CM138" s="239">
        <v>0</v>
      </c>
      <c r="CN138" s="239">
        <v>0</v>
      </c>
      <c r="CO138" s="239">
        <v>0</v>
      </c>
      <c r="CP138" s="239">
        <v>0</v>
      </c>
      <c r="CQ138" s="239">
        <v>0</v>
      </c>
      <c r="CR138" s="239">
        <v>0</v>
      </c>
      <c r="CS138" s="239">
        <v>0</v>
      </c>
      <c r="CT138" s="239">
        <v>0</v>
      </c>
      <c r="CU138" s="239">
        <v>0</v>
      </c>
      <c r="CV138" s="239">
        <v>0</v>
      </c>
      <c r="CW138" s="239">
        <v>0</v>
      </c>
      <c r="CX138" s="239">
        <v>0</v>
      </c>
      <c r="CY138" s="239">
        <v>0</v>
      </c>
      <c r="CZ138" s="239">
        <v>0</v>
      </c>
      <c r="DA138" s="239">
        <v>0</v>
      </c>
      <c r="DB138" s="239">
        <v>0</v>
      </c>
      <c r="DC138" s="239">
        <v>0</v>
      </c>
      <c r="DD138" s="239">
        <v>0</v>
      </c>
      <c r="DE138" s="239">
        <v>0</v>
      </c>
      <c r="DF138" s="239">
        <v>0</v>
      </c>
      <c r="DG138" s="239">
        <v>0</v>
      </c>
      <c r="DH138" s="239">
        <v>0</v>
      </c>
      <c r="DI138" s="239">
        <v>0</v>
      </c>
      <c r="DJ138" s="239">
        <v>-1077819</v>
      </c>
      <c r="DK138" s="239">
        <v>0</v>
      </c>
      <c r="DL138" s="239">
        <v>-1077819</v>
      </c>
      <c r="DM138" s="239">
        <v>-24904</v>
      </c>
      <c r="DN138" s="239">
        <v>0</v>
      </c>
      <c r="DO138" s="239">
        <v>-24904</v>
      </c>
      <c r="DP138" s="239">
        <v>15656</v>
      </c>
      <c r="DQ138" s="239">
        <v>0</v>
      </c>
      <c r="DR138" s="239">
        <v>15656</v>
      </c>
      <c r="DS138" s="239">
        <v>-24344</v>
      </c>
      <c r="DT138" s="239">
        <v>0</v>
      </c>
      <c r="DU138" s="239">
        <v>-24344</v>
      </c>
      <c r="DV138" s="239">
        <v>-8999</v>
      </c>
      <c r="DW138" s="239">
        <v>0</v>
      </c>
      <c r="DX138" s="239">
        <v>-8999</v>
      </c>
      <c r="DY138" s="239">
        <v>-1208893</v>
      </c>
      <c r="DZ138" s="239">
        <v>0</v>
      </c>
      <c r="EA138" s="239">
        <v>-1208893</v>
      </c>
      <c r="EB138" s="239">
        <v>-131777</v>
      </c>
      <c r="EC138" s="239">
        <v>0</v>
      </c>
      <c r="ED138" s="239">
        <v>-131777</v>
      </c>
      <c r="EE138" s="239">
        <v>0</v>
      </c>
      <c r="EF138" s="239">
        <v>0</v>
      </c>
      <c r="EG138" s="239">
        <v>0</v>
      </c>
      <c r="EH138" s="239">
        <v>0</v>
      </c>
      <c r="EI138" s="239">
        <v>0</v>
      </c>
      <c r="EJ138" s="239">
        <v>0</v>
      </c>
      <c r="EK138" s="239">
        <v>-2700</v>
      </c>
      <c r="EL138" s="239">
        <v>0</v>
      </c>
      <c r="EM138" s="239">
        <v>-2700</v>
      </c>
      <c r="EN138" s="239">
        <v>-1385961</v>
      </c>
      <c r="EO138" s="239">
        <v>0</v>
      </c>
      <c r="EP138" s="239">
        <v>-1385961</v>
      </c>
      <c r="EQ138" s="239">
        <v>0</v>
      </c>
      <c r="ER138" s="239">
        <v>0</v>
      </c>
      <c r="ES138" s="239">
        <v>0</v>
      </c>
      <c r="ET138" s="239">
        <v>0</v>
      </c>
      <c r="EU138" s="239">
        <v>0</v>
      </c>
      <c r="EV138" s="239">
        <v>0</v>
      </c>
      <c r="EW138" s="239">
        <v>0</v>
      </c>
      <c r="EX138" s="239">
        <v>0</v>
      </c>
      <c r="EY138" s="239">
        <v>0</v>
      </c>
      <c r="EZ138" s="239">
        <v>173878003</v>
      </c>
      <c r="FA138" s="239">
        <v>0</v>
      </c>
      <c r="FB138" s="239">
        <v>173878003</v>
      </c>
      <c r="FC138" s="239">
        <v>1138436</v>
      </c>
      <c r="FD138" s="239">
        <v>0</v>
      </c>
      <c r="FE138" s="239">
        <v>1138436</v>
      </c>
      <c r="FF138" s="239">
        <v>-4950949</v>
      </c>
      <c r="FG138" s="239">
        <v>0</v>
      </c>
      <c r="FH138" s="239">
        <v>-4950949</v>
      </c>
      <c r="FI138" s="239">
        <v>-7716325</v>
      </c>
      <c r="FJ138" s="239">
        <v>0</v>
      </c>
      <c r="FK138" s="239">
        <v>-7716325</v>
      </c>
      <c r="FL138" s="239">
        <v>-1077819</v>
      </c>
      <c r="FM138" s="239">
        <v>0</v>
      </c>
      <c r="FN138" s="239">
        <v>-1077819</v>
      </c>
      <c r="FO138" s="239">
        <v>-1385961</v>
      </c>
      <c r="FP138" s="239">
        <v>0</v>
      </c>
      <c r="FQ138" s="239">
        <v>-1385961</v>
      </c>
      <c r="FR138" s="239">
        <v>0</v>
      </c>
      <c r="FS138" s="239">
        <v>0</v>
      </c>
      <c r="FT138" s="239">
        <v>0</v>
      </c>
      <c r="FU138" s="239">
        <v>-13992618</v>
      </c>
      <c r="FV138" s="239">
        <v>0</v>
      </c>
      <c r="FW138" s="239">
        <v>-13992618</v>
      </c>
      <c r="FX138" s="239">
        <v>159885385</v>
      </c>
      <c r="FY138" s="239">
        <v>0</v>
      </c>
      <c r="FZ138" s="239">
        <v>159885385</v>
      </c>
      <c r="GA138" s="214" t="s">
        <v>1295</v>
      </c>
    </row>
    <row r="139" spans="2:183" s="214" customFormat="1" x14ac:dyDescent="0.2">
      <c r="B139" s="610" t="s">
        <v>361</v>
      </c>
      <c r="C139" s="610" t="s">
        <v>360</v>
      </c>
      <c r="D139" s="239">
        <v>0</v>
      </c>
      <c r="E139" s="239">
        <v>0</v>
      </c>
      <c r="F139" s="239">
        <v>0</v>
      </c>
      <c r="G139" s="239">
        <v>298101</v>
      </c>
      <c r="H139" s="239">
        <v>0</v>
      </c>
      <c r="I139" s="239">
        <v>298101</v>
      </c>
      <c r="J139" s="239">
        <v>0</v>
      </c>
      <c r="K139" s="239">
        <v>0</v>
      </c>
      <c r="L139" s="239">
        <v>0</v>
      </c>
      <c r="M139" s="239">
        <v>6921</v>
      </c>
      <c r="N139" s="239">
        <v>0</v>
      </c>
      <c r="O139" s="239">
        <v>6921</v>
      </c>
      <c r="P139" s="239">
        <v>305022</v>
      </c>
      <c r="Q139" s="239">
        <v>0</v>
      </c>
      <c r="R139" s="239">
        <v>305022</v>
      </c>
      <c r="S139" s="239">
        <v>-3114749</v>
      </c>
      <c r="T139" s="239">
        <v>-160</v>
      </c>
      <c r="U139" s="239">
        <v>-3114909</v>
      </c>
      <c r="V139" s="239">
        <v>-20971</v>
      </c>
      <c r="W139" s="239">
        <v>0</v>
      </c>
      <c r="X139" s="239">
        <v>-20971</v>
      </c>
      <c r="Y139" s="239">
        <v>-104039</v>
      </c>
      <c r="Z139" s="239">
        <v>1</v>
      </c>
      <c r="AA139" s="239">
        <v>-104038</v>
      </c>
      <c r="AB139" s="239">
        <v>-67376</v>
      </c>
      <c r="AC139" s="239">
        <v>1</v>
      </c>
      <c r="AD139" s="239">
        <v>-67375</v>
      </c>
      <c r="AE139" s="239">
        <v>0</v>
      </c>
      <c r="AF139" s="239">
        <v>0</v>
      </c>
      <c r="AG139" s="239">
        <v>0</v>
      </c>
      <c r="AH139" s="239">
        <v>1555656</v>
      </c>
      <c r="AI139" s="239">
        <v>15529</v>
      </c>
      <c r="AJ139" s="239">
        <v>1571185</v>
      </c>
      <c r="AK139" s="239">
        <v>-15820</v>
      </c>
      <c r="AL139" s="239">
        <v>68</v>
      </c>
      <c r="AM139" s="239">
        <v>-15752</v>
      </c>
      <c r="AN139" s="239">
        <v>-2679741</v>
      </c>
      <c r="AO139" s="239">
        <v>-7202</v>
      </c>
      <c r="AP139" s="239">
        <v>-2686943</v>
      </c>
      <c r="AQ139" s="239">
        <v>-47046</v>
      </c>
      <c r="AR139" s="239">
        <v>-49</v>
      </c>
      <c r="AS139" s="239">
        <v>-47095</v>
      </c>
      <c r="AT139" s="239">
        <v>-203726</v>
      </c>
      <c r="AU139" s="239">
        <v>0</v>
      </c>
      <c r="AV139" s="239">
        <v>-203726</v>
      </c>
      <c r="AW139" s="239">
        <v>8722</v>
      </c>
      <c r="AX139" s="239">
        <v>0</v>
      </c>
      <c r="AY139" s="239">
        <v>8722</v>
      </c>
      <c r="AZ139" s="239">
        <v>-50748</v>
      </c>
      <c r="BA139" s="239">
        <v>0</v>
      </c>
      <c r="BB139" s="239">
        <v>-50748</v>
      </c>
      <c r="BC139" s="239">
        <v>0</v>
      </c>
      <c r="BD139" s="239">
        <v>0</v>
      </c>
      <c r="BE139" s="239">
        <v>0</v>
      </c>
      <c r="BF139" s="239">
        <v>-4651491</v>
      </c>
      <c r="BG139" s="239">
        <v>8187</v>
      </c>
      <c r="BH139" s="239">
        <v>-4643304</v>
      </c>
      <c r="BI139" s="239">
        <v>-10276</v>
      </c>
      <c r="BJ139" s="239">
        <v>0</v>
      </c>
      <c r="BK139" s="239">
        <v>-10276</v>
      </c>
      <c r="BL139" s="239">
        <v>-910</v>
      </c>
      <c r="BM139" s="239">
        <v>0</v>
      </c>
      <c r="BN139" s="239">
        <v>-910</v>
      </c>
      <c r="BO139" s="239">
        <v>-1986744</v>
      </c>
      <c r="BP139" s="239">
        <v>-122330</v>
      </c>
      <c r="BQ139" s="239">
        <v>-2109074</v>
      </c>
      <c r="BR139" s="239">
        <v>160835</v>
      </c>
      <c r="BS139" s="239">
        <v>1718</v>
      </c>
      <c r="BT139" s="239">
        <v>162553</v>
      </c>
      <c r="BU139" s="239">
        <v>-1837095</v>
      </c>
      <c r="BV139" s="239">
        <v>-120612</v>
      </c>
      <c r="BW139" s="239">
        <v>-1957707</v>
      </c>
      <c r="BX139" s="239">
        <v>-877</v>
      </c>
      <c r="BY139" s="239">
        <v>0</v>
      </c>
      <c r="BZ139" s="239">
        <v>-877</v>
      </c>
      <c r="CA139" s="239">
        <v>0</v>
      </c>
      <c r="CB139" s="239">
        <v>0</v>
      </c>
      <c r="CC139" s="239">
        <v>0</v>
      </c>
      <c r="CD139" s="239">
        <v>-58279</v>
      </c>
      <c r="CE139" s="239">
        <v>0</v>
      </c>
      <c r="CF139" s="239">
        <v>-58279</v>
      </c>
      <c r="CG139" s="239">
        <v>-4881</v>
      </c>
      <c r="CH139" s="239">
        <v>0</v>
      </c>
      <c r="CI139" s="239">
        <v>-4881</v>
      </c>
      <c r="CJ139" s="239">
        <v>0</v>
      </c>
      <c r="CK139" s="239">
        <v>0</v>
      </c>
      <c r="CL139" s="239">
        <v>0</v>
      </c>
      <c r="CM139" s="239">
        <v>0</v>
      </c>
      <c r="CN139" s="239">
        <v>0</v>
      </c>
      <c r="CO139" s="239">
        <v>0</v>
      </c>
      <c r="CP139" s="239">
        <v>-22915</v>
      </c>
      <c r="CQ139" s="239">
        <v>0</v>
      </c>
      <c r="CR139" s="239">
        <v>-22915</v>
      </c>
      <c r="CS139" s="239">
        <v>0</v>
      </c>
      <c r="CT139" s="239">
        <v>0</v>
      </c>
      <c r="CU139" s="239">
        <v>0</v>
      </c>
      <c r="CV139" s="239">
        <v>-18</v>
      </c>
      <c r="CW139" s="239">
        <v>0</v>
      </c>
      <c r="CX139" s="239">
        <v>-18</v>
      </c>
      <c r="CY139" s="239">
        <v>0</v>
      </c>
      <c r="CZ139" s="239">
        <v>0</v>
      </c>
      <c r="DA139" s="239">
        <v>0</v>
      </c>
      <c r="DB139" s="239">
        <v>0</v>
      </c>
      <c r="DC139" s="239">
        <v>-234595</v>
      </c>
      <c r="DD139" s="239">
        <v>-234595</v>
      </c>
      <c r="DE139" s="239">
        <v>0</v>
      </c>
      <c r="DF139" s="239">
        <v>-32955</v>
      </c>
      <c r="DG139" s="239">
        <v>-32955</v>
      </c>
      <c r="DH139" s="239">
        <v>-267550</v>
      </c>
      <c r="DI139" s="239">
        <v>0</v>
      </c>
      <c r="DJ139" s="239">
        <v>-86970</v>
      </c>
      <c r="DK139" s="239">
        <v>-267550</v>
      </c>
      <c r="DL139" s="239">
        <v>-354520</v>
      </c>
      <c r="DM139" s="239">
        <v>0</v>
      </c>
      <c r="DN139" s="239">
        <v>0</v>
      </c>
      <c r="DO139" s="239">
        <v>0</v>
      </c>
      <c r="DP139" s="239">
        <v>0</v>
      </c>
      <c r="DQ139" s="239">
        <v>0</v>
      </c>
      <c r="DR139" s="239">
        <v>0</v>
      </c>
      <c r="DS139" s="239">
        <v>-9953</v>
      </c>
      <c r="DT139" s="239">
        <v>0</v>
      </c>
      <c r="DU139" s="239">
        <v>-9953</v>
      </c>
      <c r="DV139" s="239">
        <v>0</v>
      </c>
      <c r="DW139" s="239">
        <v>0</v>
      </c>
      <c r="DX139" s="239">
        <v>0</v>
      </c>
      <c r="DY139" s="239">
        <v>-804317</v>
      </c>
      <c r="DZ139" s="239">
        <v>0</v>
      </c>
      <c r="EA139" s="239">
        <v>-804317</v>
      </c>
      <c r="EB139" s="239">
        <v>-58255</v>
      </c>
      <c r="EC139" s="239">
        <v>0</v>
      </c>
      <c r="ED139" s="239">
        <v>-58255</v>
      </c>
      <c r="EE139" s="239">
        <v>0</v>
      </c>
      <c r="EF139" s="239">
        <v>0</v>
      </c>
      <c r="EG139" s="239">
        <v>0</v>
      </c>
      <c r="EH139" s="239">
        <v>0</v>
      </c>
      <c r="EI139" s="239">
        <v>0</v>
      </c>
      <c r="EJ139" s="239">
        <v>0</v>
      </c>
      <c r="EK139" s="239">
        <v>0</v>
      </c>
      <c r="EL139" s="239">
        <v>0</v>
      </c>
      <c r="EM139" s="239">
        <v>0</v>
      </c>
      <c r="EN139" s="239">
        <v>-872525</v>
      </c>
      <c r="EO139" s="239">
        <v>0</v>
      </c>
      <c r="EP139" s="239">
        <v>-872525</v>
      </c>
      <c r="EQ139" s="239">
        <v>-13461</v>
      </c>
      <c r="ER139" s="239">
        <v>0</v>
      </c>
      <c r="ES139" s="239">
        <v>-13461</v>
      </c>
      <c r="ET139" s="239">
        <v>0</v>
      </c>
      <c r="EU139" s="239">
        <v>0</v>
      </c>
      <c r="EV139" s="239">
        <v>0</v>
      </c>
      <c r="EW139" s="239">
        <v>-13461</v>
      </c>
      <c r="EX139" s="239">
        <v>0</v>
      </c>
      <c r="EY139" s="239">
        <v>-13461</v>
      </c>
      <c r="EZ139" s="239">
        <v>64048880</v>
      </c>
      <c r="FA139" s="239">
        <v>698102</v>
      </c>
      <c r="FB139" s="239">
        <v>64746982</v>
      </c>
      <c r="FC139" s="239">
        <v>305022</v>
      </c>
      <c r="FD139" s="239">
        <v>0</v>
      </c>
      <c r="FE139" s="239">
        <v>305022</v>
      </c>
      <c r="FF139" s="239">
        <v>-4651491</v>
      </c>
      <c r="FG139" s="239">
        <v>8187</v>
      </c>
      <c r="FH139" s="239">
        <v>-4643304</v>
      </c>
      <c r="FI139" s="239">
        <v>-1837095</v>
      </c>
      <c r="FJ139" s="239">
        <v>-120612</v>
      </c>
      <c r="FK139" s="239">
        <v>-1957707</v>
      </c>
      <c r="FL139" s="239">
        <v>-86970</v>
      </c>
      <c r="FM139" s="239">
        <v>-267550</v>
      </c>
      <c r="FN139" s="239">
        <v>-354520</v>
      </c>
      <c r="FO139" s="239">
        <v>-872525</v>
      </c>
      <c r="FP139" s="239">
        <v>0</v>
      </c>
      <c r="FQ139" s="239">
        <v>-872525</v>
      </c>
      <c r="FR139" s="239">
        <v>-13461</v>
      </c>
      <c r="FS139" s="239">
        <v>0</v>
      </c>
      <c r="FT139" s="239">
        <v>-13461</v>
      </c>
      <c r="FU139" s="239">
        <v>-7156520</v>
      </c>
      <c r="FV139" s="239">
        <v>-379975</v>
      </c>
      <c r="FW139" s="239">
        <v>-7536495</v>
      </c>
      <c r="FX139" s="239">
        <v>56892360</v>
      </c>
      <c r="FY139" s="239">
        <v>318127</v>
      </c>
      <c r="FZ139" s="239">
        <v>57210487</v>
      </c>
      <c r="GA139" s="214" t="s">
        <v>1294</v>
      </c>
    </row>
    <row r="140" spans="2:183" s="214" customFormat="1" x14ac:dyDescent="0.2">
      <c r="B140" s="610" t="s">
        <v>363</v>
      </c>
      <c r="C140" s="610" t="s">
        <v>362</v>
      </c>
      <c r="D140" s="239">
        <v>0</v>
      </c>
      <c r="E140" s="239">
        <v>0</v>
      </c>
      <c r="F140" s="239">
        <v>0</v>
      </c>
      <c r="G140" s="239">
        <v>84776</v>
      </c>
      <c r="H140" s="239">
        <v>0</v>
      </c>
      <c r="I140" s="239">
        <v>84776</v>
      </c>
      <c r="J140" s="239">
        <v>0</v>
      </c>
      <c r="K140" s="239">
        <v>0</v>
      </c>
      <c r="L140" s="239">
        <v>0</v>
      </c>
      <c r="M140" s="239">
        <v>173481</v>
      </c>
      <c r="N140" s="239">
        <v>0</v>
      </c>
      <c r="O140" s="239">
        <v>173481</v>
      </c>
      <c r="P140" s="239">
        <v>258257</v>
      </c>
      <c r="Q140" s="239">
        <v>0</v>
      </c>
      <c r="R140" s="239">
        <v>258257</v>
      </c>
      <c r="S140" s="239">
        <v>-2553423</v>
      </c>
      <c r="T140" s="239">
        <v>0</v>
      </c>
      <c r="U140" s="239">
        <v>-2553423</v>
      </c>
      <c r="V140" s="239">
        <v>0</v>
      </c>
      <c r="W140" s="239">
        <v>0</v>
      </c>
      <c r="X140" s="239">
        <v>0</v>
      </c>
      <c r="Y140" s="239">
        <v>-226677</v>
      </c>
      <c r="Z140" s="239">
        <v>0</v>
      </c>
      <c r="AA140" s="239">
        <v>-226677</v>
      </c>
      <c r="AB140" s="239">
        <v>0</v>
      </c>
      <c r="AC140" s="239">
        <v>0</v>
      </c>
      <c r="AD140" s="239">
        <v>0</v>
      </c>
      <c r="AE140" s="239">
        <v>0</v>
      </c>
      <c r="AF140" s="239">
        <v>0</v>
      </c>
      <c r="AG140" s="239">
        <v>0</v>
      </c>
      <c r="AH140" s="239">
        <v>613227</v>
      </c>
      <c r="AI140" s="239">
        <v>0</v>
      </c>
      <c r="AJ140" s="239">
        <v>613227</v>
      </c>
      <c r="AK140" s="239">
        <v>-22926</v>
      </c>
      <c r="AL140" s="239">
        <v>0</v>
      </c>
      <c r="AM140" s="239">
        <v>-22926</v>
      </c>
      <c r="AN140" s="239">
        <v>-1468455</v>
      </c>
      <c r="AO140" s="239">
        <v>0</v>
      </c>
      <c r="AP140" s="239">
        <v>-1468455</v>
      </c>
      <c r="AQ140" s="239">
        <v>10384</v>
      </c>
      <c r="AR140" s="239">
        <v>0</v>
      </c>
      <c r="AS140" s="239">
        <v>10384</v>
      </c>
      <c r="AT140" s="239">
        <v>-43358</v>
      </c>
      <c r="AU140" s="239">
        <v>0</v>
      </c>
      <c r="AV140" s="239">
        <v>-43358</v>
      </c>
      <c r="AW140" s="239">
        <v>0</v>
      </c>
      <c r="AX140" s="239">
        <v>0</v>
      </c>
      <c r="AY140" s="239">
        <v>0</v>
      </c>
      <c r="AZ140" s="239">
        <v>0</v>
      </c>
      <c r="BA140" s="239">
        <v>0</v>
      </c>
      <c r="BB140" s="239">
        <v>0</v>
      </c>
      <c r="BC140" s="239">
        <v>0</v>
      </c>
      <c r="BD140" s="239">
        <v>0</v>
      </c>
      <c r="BE140" s="239">
        <v>0</v>
      </c>
      <c r="BF140" s="239">
        <v>-3691228</v>
      </c>
      <c r="BG140" s="239">
        <v>0</v>
      </c>
      <c r="BH140" s="239">
        <v>-3691228</v>
      </c>
      <c r="BI140" s="239">
        <v>-16423</v>
      </c>
      <c r="BJ140" s="239">
        <v>0</v>
      </c>
      <c r="BK140" s="239">
        <v>-16423</v>
      </c>
      <c r="BL140" s="239">
        <v>100765</v>
      </c>
      <c r="BM140" s="239">
        <v>0</v>
      </c>
      <c r="BN140" s="239">
        <v>100765</v>
      </c>
      <c r="BO140" s="239">
        <v>-1879478</v>
      </c>
      <c r="BP140" s="239">
        <v>0</v>
      </c>
      <c r="BQ140" s="239">
        <v>-1879478</v>
      </c>
      <c r="BR140" s="239">
        <v>-337</v>
      </c>
      <c r="BS140" s="239">
        <v>0</v>
      </c>
      <c r="BT140" s="239">
        <v>-337</v>
      </c>
      <c r="BU140" s="239">
        <v>-1795473</v>
      </c>
      <c r="BV140" s="239">
        <v>0</v>
      </c>
      <c r="BW140" s="239">
        <v>-1795473</v>
      </c>
      <c r="BX140" s="239">
        <v>-134956</v>
      </c>
      <c r="BY140" s="239">
        <v>0</v>
      </c>
      <c r="BZ140" s="239">
        <v>-134956</v>
      </c>
      <c r="CA140" s="239">
        <v>2413</v>
      </c>
      <c r="CB140" s="239">
        <v>0</v>
      </c>
      <c r="CC140" s="239">
        <v>2413</v>
      </c>
      <c r="CD140" s="239">
        <v>-100063</v>
      </c>
      <c r="CE140" s="239">
        <v>0</v>
      </c>
      <c r="CF140" s="239">
        <v>-100063</v>
      </c>
      <c r="CG140" s="239">
        <v>-2183</v>
      </c>
      <c r="CH140" s="239">
        <v>0</v>
      </c>
      <c r="CI140" s="239">
        <v>-2183</v>
      </c>
      <c r="CJ140" s="239">
        <v>0</v>
      </c>
      <c r="CK140" s="239">
        <v>0</v>
      </c>
      <c r="CL140" s="239">
        <v>0</v>
      </c>
      <c r="CM140" s="239">
        <v>0</v>
      </c>
      <c r="CN140" s="239">
        <v>0</v>
      </c>
      <c r="CO140" s="239">
        <v>0</v>
      </c>
      <c r="CP140" s="239">
        <v>0</v>
      </c>
      <c r="CQ140" s="239">
        <v>0</v>
      </c>
      <c r="CR140" s="239">
        <v>0</v>
      </c>
      <c r="CS140" s="239">
        <v>0</v>
      </c>
      <c r="CT140" s="239">
        <v>0</v>
      </c>
      <c r="CU140" s="239">
        <v>0</v>
      </c>
      <c r="CV140" s="239">
        <v>0</v>
      </c>
      <c r="CW140" s="239">
        <v>0</v>
      </c>
      <c r="CX140" s="239">
        <v>0</v>
      </c>
      <c r="CY140" s="239">
        <v>0</v>
      </c>
      <c r="CZ140" s="239">
        <v>0</v>
      </c>
      <c r="DA140" s="239">
        <v>0</v>
      </c>
      <c r="DB140" s="239">
        <v>0</v>
      </c>
      <c r="DC140" s="239">
        <v>0</v>
      </c>
      <c r="DD140" s="239">
        <v>0</v>
      </c>
      <c r="DE140" s="239">
        <v>0</v>
      </c>
      <c r="DF140" s="239">
        <v>0</v>
      </c>
      <c r="DG140" s="239">
        <v>0</v>
      </c>
      <c r="DH140" s="239">
        <v>0</v>
      </c>
      <c r="DI140" s="239">
        <v>0</v>
      </c>
      <c r="DJ140" s="239">
        <v>-234789</v>
      </c>
      <c r="DK140" s="239">
        <v>0</v>
      </c>
      <c r="DL140" s="239">
        <v>-234789</v>
      </c>
      <c r="DM140" s="239">
        <v>-2712</v>
      </c>
      <c r="DN140" s="239">
        <v>0</v>
      </c>
      <c r="DO140" s="239">
        <v>-2712</v>
      </c>
      <c r="DP140" s="239">
        <v>-232</v>
      </c>
      <c r="DQ140" s="239">
        <v>0</v>
      </c>
      <c r="DR140" s="239">
        <v>-232</v>
      </c>
      <c r="DS140" s="239">
        <v>-41989</v>
      </c>
      <c r="DT140" s="239">
        <v>0</v>
      </c>
      <c r="DU140" s="239">
        <v>-41989</v>
      </c>
      <c r="DV140" s="239">
        <v>-3274</v>
      </c>
      <c r="DW140" s="239">
        <v>0</v>
      </c>
      <c r="DX140" s="239">
        <v>-3274</v>
      </c>
      <c r="DY140" s="239">
        <v>-419952</v>
      </c>
      <c r="DZ140" s="239">
        <v>0</v>
      </c>
      <c r="EA140" s="239">
        <v>-419952</v>
      </c>
      <c r="EB140" s="239">
        <v>5380</v>
      </c>
      <c r="EC140" s="239">
        <v>0</v>
      </c>
      <c r="ED140" s="239">
        <v>5380</v>
      </c>
      <c r="EE140" s="239">
        <v>0</v>
      </c>
      <c r="EF140" s="239">
        <v>0</v>
      </c>
      <c r="EG140" s="239">
        <v>0</v>
      </c>
      <c r="EH140" s="239">
        <v>0</v>
      </c>
      <c r="EI140" s="239">
        <v>0</v>
      </c>
      <c r="EJ140" s="239">
        <v>0</v>
      </c>
      <c r="EK140" s="239">
        <v>-25437</v>
      </c>
      <c r="EL140" s="239">
        <v>0</v>
      </c>
      <c r="EM140" s="239">
        <v>-25437</v>
      </c>
      <c r="EN140" s="239">
        <v>-488216</v>
      </c>
      <c r="EO140" s="239">
        <v>0</v>
      </c>
      <c r="EP140" s="239">
        <v>-488216</v>
      </c>
      <c r="EQ140" s="239">
        <v>0</v>
      </c>
      <c r="ER140" s="239">
        <v>0</v>
      </c>
      <c r="ES140" s="239">
        <v>0</v>
      </c>
      <c r="ET140" s="239">
        <v>0</v>
      </c>
      <c r="EU140" s="239">
        <v>0</v>
      </c>
      <c r="EV140" s="239">
        <v>0</v>
      </c>
      <c r="EW140" s="239">
        <v>0</v>
      </c>
      <c r="EX140" s="239">
        <v>0</v>
      </c>
      <c r="EY140" s="239">
        <v>0</v>
      </c>
      <c r="EZ140" s="239">
        <v>27095113</v>
      </c>
      <c r="FA140" s="239">
        <v>0</v>
      </c>
      <c r="FB140" s="239">
        <v>27095113</v>
      </c>
      <c r="FC140" s="239">
        <v>258257</v>
      </c>
      <c r="FD140" s="239">
        <v>0</v>
      </c>
      <c r="FE140" s="239">
        <v>258257</v>
      </c>
      <c r="FF140" s="239">
        <v>-3691228</v>
      </c>
      <c r="FG140" s="239">
        <v>0</v>
      </c>
      <c r="FH140" s="239">
        <v>-3691228</v>
      </c>
      <c r="FI140" s="239">
        <v>-1795473</v>
      </c>
      <c r="FJ140" s="239">
        <v>0</v>
      </c>
      <c r="FK140" s="239">
        <v>-1795473</v>
      </c>
      <c r="FL140" s="239">
        <v>-234789</v>
      </c>
      <c r="FM140" s="239">
        <v>0</v>
      </c>
      <c r="FN140" s="239">
        <v>-234789</v>
      </c>
      <c r="FO140" s="239">
        <v>-488216</v>
      </c>
      <c r="FP140" s="239">
        <v>0</v>
      </c>
      <c r="FQ140" s="239">
        <v>-488216</v>
      </c>
      <c r="FR140" s="239">
        <v>0</v>
      </c>
      <c r="FS140" s="239">
        <v>0</v>
      </c>
      <c r="FT140" s="239">
        <v>0</v>
      </c>
      <c r="FU140" s="239">
        <v>-5951449</v>
      </c>
      <c r="FV140" s="239">
        <v>0</v>
      </c>
      <c r="FW140" s="239">
        <v>-5951449</v>
      </c>
      <c r="FX140" s="239">
        <v>21143664</v>
      </c>
      <c r="FY140" s="239">
        <v>0</v>
      </c>
      <c r="FZ140" s="239">
        <v>21143664</v>
      </c>
      <c r="GA140" s="214" t="s">
        <v>1294</v>
      </c>
    </row>
    <row r="141" spans="2:183" s="214" customFormat="1" x14ac:dyDescent="0.2">
      <c r="B141" s="610" t="s">
        <v>365</v>
      </c>
      <c r="C141" s="610" t="s">
        <v>364</v>
      </c>
      <c r="D141" s="239">
        <v>0</v>
      </c>
      <c r="E141" s="239">
        <v>0</v>
      </c>
      <c r="F141" s="239">
        <v>0</v>
      </c>
      <c r="G141" s="239">
        <v>28580</v>
      </c>
      <c r="H141" s="239">
        <v>0</v>
      </c>
      <c r="I141" s="239">
        <v>28580</v>
      </c>
      <c r="J141" s="239">
        <v>0</v>
      </c>
      <c r="K141" s="239">
        <v>0</v>
      </c>
      <c r="L141" s="239">
        <v>0</v>
      </c>
      <c r="M141" s="239">
        <v>26340</v>
      </c>
      <c r="N141" s="239">
        <v>0</v>
      </c>
      <c r="O141" s="239">
        <v>26340</v>
      </c>
      <c r="P141" s="239">
        <v>54920</v>
      </c>
      <c r="Q141" s="239">
        <v>0</v>
      </c>
      <c r="R141" s="239">
        <v>54920</v>
      </c>
      <c r="S141" s="239">
        <v>-2476540</v>
      </c>
      <c r="T141" s="239">
        <v>0</v>
      </c>
      <c r="U141" s="239">
        <v>-2476540</v>
      </c>
      <c r="V141" s="239">
        <v>-12499</v>
      </c>
      <c r="W141" s="239">
        <v>0</v>
      </c>
      <c r="X141" s="239">
        <v>-12499</v>
      </c>
      <c r="Y141" s="239">
        <v>-108564</v>
      </c>
      <c r="Z141" s="239">
        <v>0</v>
      </c>
      <c r="AA141" s="239">
        <v>-108564</v>
      </c>
      <c r="AB141" s="239">
        <v>-61078</v>
      </c>
      <c r="AC141" s="239">
        <v>0</v>
      </c>
      <c r="AD141" s="239">
        <v>-61078</v>
      </c>
      <c r="AE141" s="239">
        <v>2101</v>
      </c>
      <c r="AF141" s="239">
        <v>0</v>
      </c>
      <c r="AG141" s="239">
        <v>2101</v>
      </c>
      <c r="AH141" s="239">
        <v>1534217</v>
      </c>
      <c r="AI141" s="239">
        <v>0</v>
      </c>
      <c r="AJ141" s="239">
        <v>1534217</v>
      </c>
      <c r="AK141" s="239">
        <v>56942</v>
      </c>
      <c r="AL141" s="239">
        <v>0</v>
      </c>
      <c r="AM141" s="239">
        <v>56942</v>
      </c>
      <c r="AN141" s="239">
        <v>-3586516</v>
      </c>
      <c r="AO141" s="239">
        <v>0</v>
      </c>
      <c r="AP141" s="239">
        <v>-3586516</v>
      </c>
      <c r="AQ141" s="239">
        <v>80061</v>
      </c>
      <c r="AR141" s="239">
        <v>0</v>
      </c>
      <c r="AS141" s="239">
        <v>80061</v>
      </c>
      <c r="AT141" s="239">
        <v>-89529</v>
      </c>
      <c r="AU141" s="239">
        <v>0</v>
      </c>
      <c r="AV141" s="239">
        <v>-89529</v>
      </c>
      <c r="AW141" s="239">
        <v>0</v>
      </c>
      <c r="AX141" s="239">
        <v>0</v>
      </c>
      <c r="AY141" s="239">
        <v>0</v>
      </c>
      <c r="AZ141" s="239">
        <v>0</v>
      </c>
      <c r="BA141" s="239">
        <v>0</v>
      </c>
      <c r="BB141" s="239">
        <v>0</v>
      </c>
      <c r="BC141" s="239">
        <v>0</v>
      </c>
      <c r="BD141" s="239">
        <v>0</v>
      </c>
      <c r="BE141" s="239">
        <v>0</v>
      </c>
      <c r="BF141" s="239">
        <v>-4589929</v>
      </c>
      <c r="BG141" s="239">
        <v>0</v>
      </c>
      <c r="BH141" s="239">
        <v>-4589929</v>
      </c>
      <c r="BI141" s="239">
        <v>-4597</v>
      </c>
      <c r="BJ141" s="239">
        <v>0</v>
      </c>
      <c r="BK141" s="239">
        <v>-4597</v>
      </c>
      <c r="BL141" s="239">
        <v>-10</v>
      </c>
      <c r="BM141" s="239">
        <v>0</v>
      </c>
      <c r="BN141" s="239">
        <v>-10</v>
      </c>
      <c r="BO141" s="239">
        <v>-1715959</v>
      </c>
      <c r="BP141" s="239">
        <v>0</v>
      </c>
      <c r="BQ141" s="239">
        <v>-1715959</v>
      </c>
      <c r="BR141" s="239">
        <v>-28574</v>
      </c>
      <c r="BS141" s="239">
        <v>0</v>
      </c>
      <c r="BT141" s="239">
        <v>-28574</v>
      </c>
      <c r="BU141" s="239">
        <v>-1749140</v>
      </c>
      <c r="BV141" s="239">
        <v>0</v>
      </c>
      <c r="BW141" s="239">
        <v>-1749140</v>
      </c>
      <c r="BX141" s="239">
        <v>-122119</v>
      </c>
      <c r="BY141" s="239">
        <v>0</v>
      </c>
      <c r="BZ141" s="239">
        <v>-122119</v>
      </c>
      <c r="CA141" s="239">
        <v>1754</v>
      </c>
      <c r="CB141" s="239">
        <v>0</v>
      </c>
      <c r="CC141" s="239">
        <v>1754</v>
      </c>
      <c r="CD141" s="239">
        <v>-61486</v>
      </c>
      <c r="CE141" s="239">
        <v>0</v>
      </c>
      <c r="CF141" s="239">
        <v>-61486</v>
      </c>
      <c r="CG141" s="239">
        <v>-4568</v>
      </c>
      <c r="CH141" s="239">
        <v>0</v>
      </c>
      <c r="CI141" s="239">
        <v>-4568</v>
      </c>
      <c r="CJ141" s="239">
        <v>0</v>
      </c>
      <c r="CK141" s="239">
        <v>0</v>
      </c>
      <c r="CL141" s="239">
        <v>0</v>
      </c>
      <c r="CM141" s="239">
        <v>0</v>
      </c>
      <c r="CN141" s="239">
        <v>0</v>
      </c>
      <c r="CO141" s="239">
        <v>0</v>
      </c>
      <c r="CP141" s="239">
        <v>0</v>
      </c>
      <c r="CQ141" s="239">
        <v>0</v>
      </c>
      <c r="CR141" s="239">
        <v>0</v>
      </c>
      <c r="CS141" s="239">
        <v>0</v>
      </c>
      <c r="CT141" s="239">
        <v>0</v>
      </c>
      <c r="CU141" s="239">
        <v>0</v>
      </c>
      <c r="CV141" s="239">
        <v>0</v>
      </c>
      <c r="CW141" s="239">
        <v>0</v>
      </c>
      <c r="CX141" s="239">
        <v>0</v>
      </c>
      <c r="CY141" s="239">
        <v>0</v>
      </c>
      <c r="CZ141" s="239">
        <v>0</v>
      </c>
      <c r="DA141" s="239">
        <v>0</v>
      </c>
      <c r="DB141" s="239">
        <v>0</v>
      </c>
      <c r="DC141" s="239">
        <v>0</v>
      </c>
      <c r="DD141" s="239">
        <v>0</v>
      </c>
      <c r="DE141" s="239">
        <v>0</v>
      </c>
      <c r="DF141" s="239">
        <v>0</v>
      </c>
      <c r="DG141" s="239">
        <v>0</v>
      </c>
      <c r="DH141" s="239">
        <v>0</v>
      </c>
      <c r="DI141" s="239">
        <v>0</v>
      </c>
      <c r="DJ141" s="239">
        <v>-186419</v>
      </c>
      <c r="DK141" s="239">
        <v>0</v>
      </c>
      <c r="DL141" s="239">
        <v>-186419</v>
      </c>
      <c r="DM141" s="239">
        <v>0</v>
      </c>
      <c r="DN141" s="239">
        <v>0</v>
      </c>
      <c r="DO141" s="239">
        <v>0</v>
      </c>
      <c r="DP141" s="239">
        <v>0</v>
      </c>
      <c r="DQ141" s="239">
        <v>0</v>
      </c>
      <c r="DR141" s="239">
        <v>0</v>
      </c>
      <c r="DS141" s="239">
        <v>-85277</v>
      </c>
      <c r="DT141" s="239">
        <v>0</v>
      </c>
      <c r="DU141" s="239">
        <v>-85277</v>
      </c>
      <c r="DV141" s="239">
        <v>-493</v>
      </c>
      <c r="DW141" s="239">
        <v>0</v>
      </c>
      <c r="DX141" s="239">
        <v>-493</v>
      </c>
      <c r="DY141" s="239">
        <v>-724795</v>
      </c>
      <c r="DZ141" s="239">
        <v>0</v>
      </c>
      <c r="EA141" s="239">
        <v>-724795</v>
      </c>
      <c r="EB141" s="239">
        <v>-94740</v>
      </c>
      <c r="EC141" s="239">
        <v>0</v>
      </c>
      <c r="ED141" s="239">
        <v>-94740</v>
      </c>
      <c r="EE141" s="239">
        <v>0</v>
      </c>
      <c r="EF141" s="239">
        <v>0</v>
      </c>
      <c r="EG141" s="239">
        <v>0</v>
      </c>
      <c r="EH141" s="239">
        <v>0</v>
      </c>
      <c r="EI141" s="239">
        <v>0</v>
      </c>
      <c r="EJ141" s="239">
        <v>0</v>
      </c>
      <c r="EK141" s="239">
        <v>-18202</v>
      </c>
      <c r="EL141" s="239">
        <v>0</v>
      </c>
      <c r="EM141" s="239">
        <v>-18202</v>
      </c>
      <c r="EN141" s="239">
        <v>-923507</v>
      </c>
      <c r="EO141" s="239">
        <v>0</v>
      </c>
      <c r="EP141" s="239">
        <v>-923507</v>
      </c>
      <c r="EQ141" s="239">
        <v>0</v>
      </c>
      <c r="ER141" s="239">
        <v>0</v>
      </c>
      <c r="ES141" s="239">
        <v>0</v>
      </c>
      <c r="ET141" s="239">
        <v>1878</v>
      </c>
      <c r="EU141" s="239">
        <v>0</v>
      </c>
      <c r="EV141" s="239">
        <v>1878</v>
      </c>
      <c r="EW141" s="239">
        <v>1878</v>
      </c>
      <c r="EX141" s="239">
        <v>0</v>
      </c>
      <c r="EY141" s="239">
        <v>1878</v>
      </c>
      <c r="EZ141" s="239">
        <v>64075816</v>
      </c>
      <c r="FA141" s="239">
        <v>0</v>
      </c>
      <c r="FB141" s="239">
        <v>64075816</v>
      </c>
      <c r="FC141" s="239">
        <v>54920</v>
      </c>
      <c r="FD141" s="239">
        <v>0</v>
      </c>
      <c r="FE141" s="239">
        <v>54920</v>
      </c>
      <c r="FF141" s="239">
        <v>-4589929</v>
      </c>
      <c r="FG141" s="239">
        <v>0</v>
      </c>
      <c r="FH141" s="239">
        <v>-4589929</v>
      </c>
      <c r="FI141" s="239">
        <v>-1749140</v>
      </c>
      <c r="FJ141" s="239">
        <v>0</v>
      </c>
      <c r="FK141" s="239">
        <v>-1749140</v>
      </c>
      <c r="FL141" s="239">
        <v>-186419</v>
      </c>
      <c r="FM141" s="239">
        <v>0</v>
      </c>
      <c r="FN141" s="239">
        <v>-186419</v>
      </c>
      <c r="FO141" s="239">
        <v>-923507</v>
      </c>
      <c r="FP141" s="239">
        <v>0</v>
      </c>
      <c r="FQ141" s="239">
        <v>-923507</v>
      </c>
      <c r="FR141" s="239">
        <v>1878</v>
      </c>
      <c r="FS141" s="239">
        <v>0</v>
      </c>
      <c r="FT141" s="239">
        <v>1878</v>
      </c>
      <c r="FU141" s="239">
        <v>-7392197</v>
      </c>
      <c r="FV141" s="239">
        <v>0</v>
      </c>
      <c r="FW141" s="239">
        <v>-7392197</v>
      </c>
      <c r="FX141" s="239">
        <v>56683619</v>
      </c>
      <c r="FY141" s="239">
        <v>0</v>
      </c>
      <c r="FZ141" s="239">
        <v>56683619</v>
      </c>
      <c r="GA141" s="214" t="s">
        <v>1294</v>
      </c>
    </row>
    <row r="142" spans="2:183" s="214" customFormat="1" x14ac:dyDescent="0.2">
      <c r="B142" s="610" t="s">
        <v>367</v>
      </c>
      <c r="C142" s="610" t="s">
        <v>366</v>
      </c>
      <c r="D142" s="239">
        <v>0</v>
      </c>
      <c r="E142" s="239">
        <v>0</v>
      </c>
      <c r="F142" s="239">
        <v>0</v>
      </c>
      <c r="G142" s="239">
        <v>-78020</v>
      </c>
      <c r="H142" s="239">
        <v>0</v>
      </c>
      <c r="I142" s="239">
        <v>-78020</v>
      </c>
      <c r="J142" s="239">
        <v>0</v>
      </c>
      <c r="K142" s="239">
        <v>0</v>
      </c>
      <c r="L142" s="239">
        <v>0</v>
      </c>
      <c r="M142" s="239">
        <v>47446</v>
      </c>
      <c r="N142" s="239">
        <v>0</v>
      </c>
      <c r="O142" s="239">
        <v>47446</v>
      </c>
      <c r="P142" s="239">
        <v>-30574</v>
      </c>
      <c r="Q142" s="239">
        <v>0</v>
      </c>
      <c r="R142" s="239">
        <v>-30574</v>
      </c>
      <c r="S142" s="239">
        <v>-5085627</v>
      </c>
      <c r="T142" s="239">
        <v>0</v>
      </c>
      <c r="U142" s="239">
        <v>-5085627</v>
      </c>
      <c r="V142" s="239">
        <v>-25910</v>
      </c>
      <c r="W142" s="239">
        <v>0</v>
      </c>
      <c r="X142" s="239">
        <v>-25910</v>
      </c>
      <c r="Y142" s="239">
        <v>-314743</v>
      </c>
      <c r="Z142" s="239">
        <v>0</v>
      </c>
      <c r="AA142" s="239">
        <v>-314743</v>
      </c>
      <c r="AB142" s="239">
        <v>-172899</v>
      </c>
      <c r="AC142" s="239">
        <v>0</v>
      </c>
      <c r="AD142" s="239">
        <v>-172899</v>
      </c>
      <c r="AE142" s="239">
        <v>-178</v>
      </c>
      <c r="AF142" s="239">
        <v>0</v>
      </c>
      <c r="AG142" s="239">
        <v>-178</v>
      </c>
      <c r="AH142" s="239">
        <v>891406</v>
      </c>
      <c r="AI142" s="239">
        <v>0</v>
      </c>
      <c r="AJ142" s="239">
        <v>891406</v>
      </c>
      <c r="AK142" s="239">
        <v>-34037</v>
      </c>
      <c r="AL142" s="239">
        <v>0</v>
      </c>
      <c r="AM142" s="239">
        <v>-34037</v>
      </c>
      <c r="AN142" s="239">
        <v>-2933521</v>
      </c>
      <c r="AO142" s="239">
        <v>0</v>
      </c>
      <c r="AP142" s="239">
        <v>-2933521</v>
      </c>
      <c r="AQ142" s="239">
        <v>-530998</v>
      </c>
      <c r="AR142" s="239">
        <v>0</v>
      </c>
      <c r="AS142" s="239">
        <v>-530998</v>
      </c>
      <c r="AT142" s="239">
        <v>-91720</v>
      </c>
      <c r="AU142" s="239">
        <v>0</v>
      </c>
      <c r="AV142" s="239">
        <v>-91720</v>
      </c>
      <c r="AW142" s="239">
        <v>0</v>
      </c>
      <c r="AX142" s="239">
        <v>0</v>
      </c>
      <c r="AY142" s="239">
        <v>0</v>
      </c>
      <c r="AZ142" s="239">
        <v>-9888</v>
      </c>
      <c r="BA142" s="239">
        <v>0</v>
      </c>
      <c r="BB142" s="239">
        <v>-9888</v>
      </c>
      <c r="BC142" s="239">
        <v>0</v>
      </c>
      <c r="BD142" s="239">
        <v>0</v>
      </c>
      <c r="BE142" s="239">
        <v>0</v>
      </c>
      <c r="BF142" s="239">
        <v>-8109128</v>
      </c>
      <c r="BG142" s="239">
        <v>0</v>
      </c>
      <c r="BH142" s="239">
        <v>-8109128</v>
      </c>
      <c r="BI142" s="239">
        <v>-189</v>
      </c>
      <c r="BJ142" s="239">
        <v>0</v>
      </c>
      <c r="BK142" s="239">
        <v>-189</v>
      </c>
      <c r="BL142" s="239">
        <v>0</v>
      </c>
      <c r="BM142" s="239">
        <v>0</v>
      </c>
      <c r="BN142" s="239">
        <v>0</v>
      </c>
      <c r="BO142" s="239">
        <v>-809946</v>
      </c>
      <c r="BP142" s="239">
        <v>0</v>
      </c>
      <c r="BQ142" s="239">
        <v>-809946</v>
      </c>
      <c r="BR142" s="239">
        <v>-39182</v>
      </c>
      <c r="BS142" s="239">
        <v>0</v>
      </c>
      <c r="BT142" s="239">
        <v>-39182</v>
      </c>
      <c r="BU142" s="239">
        <v>-849317</v>
      </c>
      <c r="BV142" s="239">
        <v>0</v>
      </c>
      <c r="BW142" s="239">
        <v>-849317</v>
      </c>
      <c r="BX142" s="239">
        <v>-67979</v>
      </c>
      <c r="BY142" s="239">
        <v>0</v>
      </c>
      <c r="BZ142" s="239">
        <v>-67979</v>
      </c>
      <c r="CA142" s="239">
        <v>-343</v>
      </c>
      <c r="CB142" s="239">
        <v>0</v>
      </c>
      <c r="CC142" s="239">
        <v>-343</v>
      </c>
      <c r="CD142" s="239">
        <v>-87396</v>
      </c>
      <c r="CE142" s="239">
        <v>0</v>
      </c>
      <c r="CF142" s="239">
        <v>-87396</v>
      </c>
      <c r="CG142" s="239">
        <v>-5969</v>
      </c>
      <c r="CH142" s="239">
        <v>0</v>
      </c>
      <c r="CI142" s="239">
        <v>-5969</v>
      </c>
      <c r="CJ142" s="239">
        <v>-937</v>
      </c>
      <c r="CK142" s="239">
        <v>0</v>
      </c>
      <c r="CL142" s="239">
        <v>-937</v>
      </c>
      <c r="CM142" s="239">
        <v>0</v>
      </c>
      <c r="CN142" s="239">
        <v>0</v>
      </c>
      <c r="CO142" s="239">
        <v>0</v>
      </c>
      <c r="CP142" s="239">
        <v>-5191</v>
      </c>
      <c r="CQ142" s="239">
        <v>0</v>
      </c>
      <c r="CR142" s="239">
        <v>-5191</v>
      </c>
      <c r="CS142" s="239">
        <v>0</v>
      </c>
      <c r="CT142" s="239">
        <v>0</v>
      </c>
      <c r="CU142" s="239">
        <v>0</v>
      </c>
      <c r="CV142" s="239">
        <v>0</v>
      </c>
      <c r="CW142" s="239">
        <v>0</v>
      </c>
      <c r="CX142" s="239">
        <v>0</v>
      </c>
      <c r="CY142" s="239">
        <v>0</v>
      </c>
      <c r="CZ142" s="239">
        <v>0</v>
      </c>
      <c r="DA142" s="239">
        <v>0</v>
      </c>
      <c r="DB142" s="239">
        <v>0</v>
      </c>
      <c r="DC142" s="239">
        <v>0</v>
      </c>
      <c r="DD142" s="239">
        <v>0</v>
      </c>
      <c r="DE142" s="239">
        <v>0</v>
      </c>
      <c r="DF142" s="239">
        <v>0</v>
      </c>
      <c r="DG142" s="239">
        <v>0</v>
      </c>
      <c r="DH142" s="239">
        <v>0</v>
      </c>
      <c r="DI142" s="239">
        <v>0</v>
      </c>
      <c r="DJ142" s="239">
        <v>-167815</v>
      </c>
      <c r="DK142" s="239">
        <v>0</v>
      </c>
      <c r="DL142" s="239">
        <v>-167815</v>
      </c>
      <c r="DM142" s="239">
        <v>-4177</v>
      </c>
      <c r="DN142" s="239">
        <v>0</v>
      </c>
      <c r="DO142" s="239">
        <v>-4177</v>
      </c>
      <c r="DP142" s="239">
        <v>0</v>
      </c>
      <c r="DQ142" s="239">
        <v>0</v>
      </c>
      <c r="DR142" s="239">
        <v>0</v>
      </c>
      <c r="DS142" s="239">
        <v>-15359</v>
      </c>
      <c r="DT142" s="239">
        <v>0</v>
      </c>
      <c r="DU142" s="239">
        <v>-15359</v>
      </c>
      <c r="DV142" s="239">
        <v>-1113</v>
      </c>
      <c r="DW142" s="239">
        <v>0</v>
      </c>
      <c r="DX142" s="239">
        <v>-1113</v>
      </c>
      <c r="DY142" s="239">
        <v>-836077</v>
      </c>
      <c r="DZ142" s="239">
        <v>0</v>
      </c>
      <c r="EA142" s="239">
        <v>-836077</v>
      </c>
      <c r="EB142" s="239">
        <v>-12015</v>
      </c>
      <c r="EC142" s="239">
        <v>0</v>
      </c>
      <c r="ED142" s="239">
        <v>-12015</v>
      </c>
      <c r="EE142" s="239">
        <v>0</v>
      </c>
      <c r="EF142" s="239">
        <v>0</v>
      </c>
      <c r="EG142" s="239">
        <v>0</v>
      </c>
      <c r="EH142" s="239">
        <v>0</v>
      </c>
      <c r="EI142" s="239">
        <v>0</v>
      </c>
      <c r="EJ142" s="239">
        <v>0</v>
      </c>
      <c r="EK142" s="239">
        <v>-10297</v>
      </c>
      <c r="EL142" s="239">
        <v>0</v>
      </c>
      <c r="EM142" s="239">
        <v>-10297</v>
      </c>
      <c r="EN142" s="239">
        <v>-879038</v>
      </c>
      <c r="EO142" s="239">
        <v>0</v>
      </c>
      <c r="EP142" s="239">
        <v>-879038</v>
      </c>
      <c r="EQ142" s="239">
        <v>-33667</v>
      </c>
      <c r="ER142" s="239">
        <v>0</v>
      </c>
      <c r="ES142" s="239">
        <v>-33667</v>
      </c>
      <c r="ET142" s="239">
        <v>-8610</v>
      </c>
      <c r="EU142" s="239">
        <v>0</v>
      </c>
      <c r="EV142" s="239">
        <v>-8610</v>
      </c>
      <c r="EW142" s="239">
        <v>-42277</v>
      </c>
      <c r="EX142" s="239">
        <v>0</v>
      </c>
      <c r="EY142" s="239">
        <v>-42277</v>
      </c>
      <c r="EZ142" s="239">
        <v>41720666</v>
      </c>
      <c r="FA142" s="239">
        <v>0</v>
      </c>
      <c r="FB142" s="239">
        <v>41720666</v>
      </c>
      <c r="FC142" s="239">
        <v>-30574</v>
      </c>
      <c r="FD142" s="239">
        <v>0</v>
      </c>
      <c r="FE142" s="239">
        <v>-30574</v>
      </c>
      <c r="FF142" s="239">
        <v>-8109128</v>
      </c>
      <c r="FG142" s="239">
        <v>0</v>
      </c>
      <c r="FH142" s="239">
        <v>-8109128</v>
      </c>
      <c r="FI142" s="239">
        <v>-849317</v>
      </c>
      <c r="FJ142" s="239">
        <v>0</v>
      </c>
      <c r="FK142" s="239">
        <v>-849317</v>
      </c>
      <c r="FL142" s="239">
        <v>-167815</v>
      </c>
      <c r="FM142" s="239">
        <v>0</v>
      </c>
      <c r="FN142" s="239">
        <v>-167815</v>
      </c>
      <c r="FO142" s="239">
        <v>-879038</v>
      </c>
      <c r="FP142" s="239">
        <v>0</v>
      </c>
      <c r="FQ142" s="239">
        <v>-879038</v>
      </c>
      <c r="FR142" s="239">
        <v>-42277</v>
      </c>
      <c r="FS142" s="239">
        <v>0</v>
      </c>
      <c r="FT142" s="239">
        <v>-42277</v>
      </c>
      <c r="FU142" s="239">
        <v>-10078149</v>
      </c>
      <c r="FV142" s="239">
        <v>0</v>
      </c>
      <c r="FW142" s="239">
        <v>-10078149</v>
      </c>
      <c r="FX142" s="239">
        <v>31642517</v>
      </c>
      <c r="FY142" s="239">
        <v>0</v>
      </c>
      <c r="FZ142" s="239">
        <v>31642517</v>
      </c>
      <c r="GA142" s="214" t="s">
        <v>748</v>
      </c>
    </row>
    <row r="143" spans="2:183" s="214" customFormat="1" x14ac:dyDescent="0.2">
      <c r="B143" s="610" t="s">
        <v>369</v>
      </c>
      <c r="C143" s="610" t="s">
        <v>368</v>
      </c>
      <c r="D143" s="239">
        <v>0</v>
      </c>
      <c r="E143" s="239">
        <v>0</v>
      </c>
      <c r="F143" s="239">
        <v>0</v>
      </c>
      <c r="G143" s="239">
        <v>-2081</v>
      </c>
      <c r="H143" s="239">
        <v>0</v>
      </c>
      <c r="I143" s="239">
        <v>-2081</v>
      </c>
      <c r="J143" s="239">
        <v>0</v>
      </c>
      <c r="K143" s="239">
        <v>0</v>
      </c>
      <c r="L143" s="239">
        <v>0</v>
      </c>
      <c r="M143" s="239">
        <v>0</v>
      </c>
      <c r="N143" s="239">
        <v>0</v>
      </c>
      <c r="O143" s="239">
        <v>0</v>
      </c>
      <c r="P143" s="239">
        <v>-2081</v>
      </c>
      <c r="Q143" s="239">
        <v>0</v>
      </c>
      <c r="R143" s="239">
        <v>-2081</v>
      </c>
      <c r="S143" s="239">
        <v>-336424</v>
      </c>
      <c r="T143" s="239">
        <v>0</v>
      </c>
      <c r="U143" s="239">
        <v>-336424</v>
      </c>
      <c r="V143" s="239">
        <v>0</v>
      </c>
      <c r="W143" s="239">
        <v>0</v>
      </c>
      <c r="X143" s="239">
        <v>0</v>
      </c>
      <c r="Y143" s="239">
        <v>-12275</v>
      </c>
      <c r="Z143" s="239">
        <v>0</v>
      </c>
      <c r="AA143" s="239">
        <v>-12275</v>
      </c>
      <c r="AB143" s="239">
        <v>-12275</v>
      </c>
      <c r="AC143" s="239">
        <v>0</v>
      </c>
      <c r="AD143" s="239">
        <v>-12275</v>
      </c>
      <c r="AE143" s="239">
        <v>0</v>
      </c>
      <c r="AF143" s="239">
        <v>0</v>
      </c>
      <c r="AG143" s="239">
        <v>0</v>
      </c>
      <c r="AH143" s="239">
        <v>0</v>
      </c>
      <c r="AI143" s="239">
        <v>0</v>
      </c>
      <c r="AJ143" s="239">
        <v>0</v>
      </c>
      <c r="AK143" s="239">
        <v>0</v>
      </c>
      <c r="AL143" s="239">
        <v>0</v>
      </c>
      <c r="AM143" s="239">
        <v>0</v>
      </c>
      <c r="AN143" s="239">
        <v>-16202</v>
      </c>
      <c r="AO143" s="239">
        <v>0</v>
      </c>
      <c r="AP143" s="239">
        <v>-16202</v>
      </c>
      <c r="AQ143" s="239">
        <v>0</v>
      </c>
      <c r="AR143" s="239">
        <v>0</v>
      </c>
      <c r="AS143" s="239">
        <v>0</v>
      </c>
      <c r="AT143" s="239">
        <v>-6517</v>
      </c>
      <c r="AU143" s="239">
        <v>0</v>
      </c>
      <c r="AV143" s="239">
        <v>-6517</v>
      </c>
      <c r="AW143" s="239">
        <v>0</v>
      </c>
      <c r="AX143" s="239">
        <v>0</v>
      </c>
      <c r="AY143" s="239">
        <v>0</v>
      </c>
      <c r="AZ143" s="239">
        <v>-1799</v>
      </c>
      <c r="BA143" s="239">
        <v>0</v>
      </c>
      <c r="BB143" s="239">
        <v>-1799</v>
      </c>
      <c r="BC143" s="239">
        <v>0</v>
      </c>
      <c r="BD143" s="239">
        <v>0</v>
      </c>
      <c r="BE143" s="239">
        <v>0</v>
      </c>
      <c r="BF143" s="239">
        <v>-373217</v>
      </c>
      <c r="BG143" s="239">
        <v>0</v>
      </c>
      <c r="BH143" s="239">
        <v>-373217</v>
      </c>
      <c r="BI143" s="239">
        <v>0</v>
      </c>
      <c r="BJ143" s="239">
        <v>0</v>
      </c>
      <c r="BK143" s="239">
        <v>0</v>
      </c>
      <c r="BL143" s="239">
        <v>0</v>
      </c>
      <c r="BM143" s="239">
        <v>0</v>
      </c>
      <c r="BN143" s="239">
        <v>0</v>
      </c>
      <c r="BO143" s="239">
        <v>-16649</v>
      </c>
      <c r="BP143" s="239">
        <v>0</v>
      </c>
      <c r="BQ143" s="239">
        <v>-16649</v>
      </c>
      <c r="BR143" s="239">
        <v>0</v>
      </c>
      <c r="BS143" s="239">
        <v>0</v>
      </c>
      <c r="BT143" s="239">
        <v>0</v>
      </c>
      <c r="BU143" s="239">
        <v>-16649</v>
      </c>
      <c r="BV143" s="239">
        <v>0</v>
      </c>
      <c r="BW143" s="239">
        <v>-16649</v>
      </c>
      <c r="BX143" s="239">
        <v>-2455</v>
      </c>
      <c r="BY143" s="239">
        <v>0</v>
      </c>
      <c r="BZ143" s="239">
        <v>-2455</v>
      </c>
      <c r="CA143" s="239">
        <v>0</v>
      </c>
      <c r="CB143" s="239">
        <v>0</v>
      </c>
      <c r="CC143" s="239">
        <v>0</v>
      </c>
      <c r="CD143" s="239">
        <v>-5040</v>
      </c>
      <c r="CE143" s="239">
        <v>0</v>
      </c>
      <c r="CF143" s="239">
        <v>-5040</v>
      </c>
      <c r="CG143" s="239">
        <v>0</v>
      </c>
      <c r="CH143" s="239">
        <v>0</v>
      </c>
      <c r="CI143" s="239">
        <v>0</v>
      </c>
      <c r="CJ143" s="239">
        <v>-1435</v>
      </c>
      <c r="CK143" s="239">
        <v>0</v>
      </c>
      <c r="CL143" s="239">
        <v>-1435</v>
      </c>
      <c r="CM143" s="239">
        <v>0</v>
      </c>
      <c r="CN143" s="239">
        <v>0</v>
      </c>
      <c r="CO143" s="239">
        <v>0</v>
      </c>
      <c r="CP143" s="239">
        <v>-1257</v>
      </c>
      <c r="CQ143" s="239">
        <v>0</v>
      </c>
      <c r="CR143" s="239">
        <v>-1257</v>
      </c>
      <c r="CS143" s="239">
        <v>0</v>
      </c>
      <c r="CT143" s="239">
        <v>0</v>
      </c>
      <c r="CU143" s="239">
        <v>0</v>
      </c>
      <c r="CV143" s="239">
        <v>0</v>
      </c>
      <c r="CW143" s="239">
        <v>0</v>
      </c>
      <c r="CX143" s="239">
        <v>0</v>
      </c>
      <c r="CY143" s="239">
        <v>0</v>
      </c>
      <c r="CZ143" s="239">
        <v>0</v>
      </c>
      <c r="DA143" s="239">
        <v>0</v>
      </c>
      <c r="DB143" s="239">
        <v>0</v>
      </c>
      <c r="DC143" s="239">
        <v>0</v>
      </c>
      <c r="DD143" s="239">
        <v>0</v>
      </c>
      <c r="DE143" s="239">
        <v>0</v>
      </c>
      <c r="DF143" s="239">
        <v>0</v>
      </c>
      <c r="DG143" s="239">
        <v>0</v>
      </c>
      <c r="DH143" s="239">
        <v>0</v>
      </c>
      <c r="DI143" s="239">
        <v>0</v>
      </c>
      <c r="DJ143" s="239">
        <v>-10187</v>
      </c>
      <c r="DK143" s="239">
        <v>0</v>
      </c>
      <c r="DL143" s="239">
        <v>-10187</v>
      </c>
      <c r="DM143" s="239">
        <v>0</v>
      </c>
      <c r="DN143" s="239">
        <v>0</v>
      </c>
      <c r="DO143" s="239">
        <v>0</v>
      </c>
      <c r="DP143" s="239">
        <v>0</v>
      </c>
      <c r="DQ143" s="239">
        <v>0</v>
      </c>
      <c r="DR143" s="239">
        <v>0</v>
      </c>
      <c r="DS143" s="239">
        <v>0</v>
      </c>
      <c r="DT143" s="239">
        <v>0</v>
      </c>
      <c r="DU143" s="239">
        <v>0</v>
      </c>
      <c r="DV143" s="239">
        <v>0</v>
      </c>
      <c r="DW143" s="239">
        <v>0</v>
      </c>
      <c r="DX143" s="239">
        <v>0</v>
      </c>
      <c r="DY143" s="239">
        <v>-66334</v>
      </c>
      <c r="DZ143" s="239">
        <v>0</v>
      </c>
      <c r="EA143" s="239">
        <v>-66334</v>
      </c>
      <c r="EB143" s="239">
        <v>0</v>
      </c>
      <c r="EC143" s="239">
        <v>0</v>
      </c>
      <c r="ED143" s="239">
        <v>0</v>
      </c>
      <c r="EE143" s="239">
        <v>0</v>
      </c>
      <c r="EF143" s="239">
        <v>0</v>
      </c>
      <c r="EG143" s="239">
        <v>0</v>
      </c>
      <c r="EH143" s="239">
        <v>0</v>
      </c>
      <c r="EI143" s="239">
        <v>0</v>
      </c>
      <c r="EJ143" s="239">
        <v>0</v>
      </c>
      <c r="EK143" s="239">
        <v>0</v>
      </c>
      <c r="EL143" s="239">
        <v>0</v>
      </c>
      <c r="EM143" s="239">
        <v>0</v>
      </c>
      <c r="EN143" s="239">
        <v>-66334</v>
      </c>
      <c r="EO143" s="239">
        <v>0</v>
      </c>
      <c r="EP143" s="239">
        <v>-66334</v>
      </c>
      <c r="EQ143" s="239">
        <v>0</v>
      </c>
      <c r="ER143" s="239">
        <v>0</v>
      </c>
      <c r="ES143" s="239">
        <v>0</v>
      </c>
      <c r="ET143" s="239">
        <v>0</v>
      </c>
      <c r="EU143" s="239">
        <v>0</v>
      </c>
      <c r="EV143" s="239">
        <v>0</v>
      </c>
      <c r="EW143" s="239">
        <v>0</v>
      </c>
      <c r="EX143" s="239">
        <v>0</v>
      </c>
      <c r="EY143" s="239">
        <v>0</v>
      </c>
      <c r="EZ143" s="239">
        <v>2029099</v>
      </c>
      <c r="FA143" s="239">
        <v>0</v>
      </c>
      <c r="FB143" s="239">
        <v>2029099</v>
      </c>
      <c r="FC143" s="239">
        <v>-2081</v>
      </c>
      <c r="FD143" s="239">
        <v>0</v>
      </c>
      <c r="FE143" s="239">
        <v>-2081</v>
      </c>
      <c r="FF143" s="239">
        <v>-373217</v>
      </c>
      <c r="FG143" s="239">
        <v>0</v>
      </c>
      <c r="FH143" s="239">
        <v>-373217</v>
      </c>
      <c r="FI143" s="239">
        <v>-16649</v>
      </c>
      <c r="FJ143" s="239">
        <v>0</v>
      </c>
      <c r="FK143" s="239">
        <v>-16649</v>
      </c>
      <c r="FL143" s="239">
        <v>-10187</v>
      </c>
      <c r="FM143" s="239">
        <v>0</v>
      </c>
      <c r="FN143" s="239">
        <v>-10187</v>
      </c>
      <c r="FO143" s="239">
        <v>-66334</v>
      </c>
      <c r="FP143" s="239">
        <v>0</v>
      </c>
      <c r="FQ143" s="239">
        <v>-66334</v>
      </c>
      <c r="FR143" s="239">
        <v>0</v>
      </c>
      <c r="FS143" s="239">
        <v>0</v>
      </c>
      <c r="FT143" s="239">
        <v>0</v>
      </c>
      <c r="FU143" s="239">
        <v>-468468</v>
      </c>
      <c r="FV143" s="239">
        <v>0</v>
      </c>
      <c r="FW143" s="239">
        <v>-468468</v>
      </c>
      <c r="FX143" s="239">
        <v>1560631</v>
      </c>
      <c r="FY143" s="239">
        <v>0</v>
      </c>
      <c r="FZ143" s="239">
        <v>1560631</v>
      </c>
      <c r="GA143" s="214" t="s">
        <v>748</v>
      </c>
    </row>
    <row r="144" spans="2:183" s="214" customFormat="1" x14ac:dyDescent="0.2">
      <c r="B144" s="610" t="s">
        <v>371</v>
      </c>
      <c r="C144" s="610" t="s">
        <v>370</v>
      </c>
      <c r="D144" s="239">
        <v>0</v>
      </c>
      <c r="E144" s="239">
        <v>0</v>
      </c>
      <c r="F144" s="239">
        <v>0</v>
      </c>
      <c r="G144" s="239">
        <v>39225</v>
      </c>
      <c r="H144" s="239">
        <v>0</v>
      </c>
      <c r="I144" s="239">
        <v>39225</v>
      </c>
      <c r="J144" s="239">
        <v>0</v>
      </c>
      <c r="K144" s="239">
        <v>0</v>
      </c>
      <c r="L144" s="239">
        <v>0</v>
      </c>
      <c r="M144" s="239">
        <v>516014</v>
      </c>
      <c r="N144" s="239">
        <v>0</v>
      </c>
      <c r="O144" s="239">
        <v>516014</v>
      </c>
      <c r="P144" s="239">
        <v>555239</v>
      </c>
      <c r="Q144" s="239">
        <v>0</v>
      </c>
      <c r="R144" s="239">
        <v>555239</v>
      </c>
      <c r="S144" s="239">
        <v>-3330413</v>
      </c>
      <c r="T144" s="239">
        <v>0</v>
      </c>
      <c r="U144" s="239">
        <v>-3330413</v>
      </c>
      <c r="V144" s="239">
        <v>0</v>
      </c>
      <c r="W144" s="239">
        <v>0</v>
      </c>
      <c r="X144" s="239">
        <v>0</v>
      </c>
      <c r="Y144" s="239">
        <v>-158793</v>
      </c>
      <c r="Z144" s="239">
        <v>0</v>
      </c>
      <c r="AA144" s="239">
        <v>-158793</v>
      </c>
      <c r="AB144" s="239">
        <v>-119139</v>
      </c>
      <c r="AC144" s="239">
        <v>0</v>
      </c>
      <c r="AD144" s="239">
        <v>-119139</v>
      </c>
      <c r="AE144" s="239">
        <v>0</v>
      </c>
      <c r="AF144" s="239">
        <v>0</v>
      </c>
      <c r="AG144" s="239">
        <v>0</v>
      </c>
      <c r="AH144" s="239">
        <v>5455886</v>
      </c>
      <c r="AI144" s="239">
        <v>0</v>
      </c>
      <c r="AJ144" s="239">
        <v>5455886</v>
      </c>
      <c r="AK144" s="239">
        <v>119164</v>
      </c>
      <c r="AL144" s="239">
        <v>0</v>
      </c>
      <c r="AM144" s="239">
        <v>119164</v>
      </c>
      <c r="AN144" s="239">
        <v>-19838088</v>
      </c>
      <c r="AO144" s="239">
        <v>0</v>
      </c>
      <c r="AP144" s="239">
        <v>-19838088</v>
      </c>
      <c r="AQ144" s="239">
        <v>-454877</v>
      </c>
      <c r="AR144" s="239">
        <v>0</v>
      </c>
      <c r="AS144" s="239">
        <v>-454877</v>
      </c>
      <c r="AT144" s="239">
        <v>0</v>
      </c>
      <c r="AU144" s="239">
        <v>0</v>
      </c>
      <c r="AV144" s="239">
        <v>0</v>
      </c>
      <c r="AW144" s="239">
        <v>0</v>
      </c>
      <c r="AX144" s="239">
        <v>0</v>
      </c>
      <c r="AY144" s="239">
        <v>0</v>
      </c>
      <c r="AZ144" s="239">
        <v>0</v>
      </c>
      <c r="BA144" s="239">
        <v>0</v>
      </c>
      <c r="BB144" s="239">
        <v>0</v>
      </c>
      <c r="BC144" s="239">
        <v>0</v>
      </c>
      <c r="BD144" s="239">
        <v>0</v>
      </c>
      <c r="BE144" s="239">
        <v>0</v>
      </c>
      <c r="BF144" s="239">
        <v>-18207121</v>
      </c>
      <c r="BG144" s="239">
        <v>0</v>
      </c>
      <c r="BH144" s="239">
        <v>-18207121</v>
      </c>
      <c r="BI144" s="239">
        <v>-130689</v>
      </c>
      <c r="BJ144" s="239">
        <v>0</v>
      </c>
      <c r="BK144" s="239">
        <v>-130689</v>
      </c>
      <c r="BL144" s="239">
        <v>10215</v>
      </c>
      <c r="BM144" s="239">
        <v>0</v>
      </c>
      <c r="BN144" s="239">
        <v>10215</v>
      </c>
      <c r="BO144" s="239">
        <v>-5952519</v>
      </c>
      <c r="BP144" s="239">
        <v>0</v>
      </c>
      <c r="BQ144" s="239">
        <v>-5952519</v>
      </c>
      <c r="BR144" s="239">
        <v>-2649473</v>
      </c>
      <c r="BS144" s="239">
        <v>0</v>
      </c>
      <c r="BT144" s="239">
        <v>-2649473</v>
      </c>
      <c r="BU144" s="239">
        <v>-8722466</v>
      </c>
      <c r="BV144" s="239">
        <v>0</v>
      </c>
      <c r="BW144" s="239">
        <v>-8722466</v>
      </c>
      <c r="BX144" s="239">
        <v>-692070</v>
      </c>
      <c r="BY144" s="239">
        <v>0</v>
      </c>
      <c r="BZ144" s="239">
        <v>-692070</v>
      </c>
      <c r="CA144" s="239">
        <v>26784</v>
      </c>
      <c r="CB144" s="239">
        <v>0</v>
      </c>
      <c r="CC144" s="239">
        <v>26784</v>
      </c>
      <c r="CD144" s="239">
        <v>-281211</v>
      </c>
      <c r="CE144" s="239">
        <v>0</v>
      </c>
      <c r="CF144" s="239">
        <v>-281211</v>
      </c>
      <c r="CG144" s="239">
        <v>-9505</v>
      </c>
      <c r="CH144" s="239">
        <v>0</v>
      </c>
      <c r="CI144" s="239">
        <v>-9505</v>
      </c>
      <c r="CJ144" s="239">
        <v>0</v>
      </c>
      <c r="CK144" s="239">
        <v>0</v>
      </c>
      <c r="CL144" s="239">
        <v>0</v>
      </c>
      <c r="CM144" s="239">
        <v>0</v>
      </c>
      <c r="CN144" s="239">
        <v>0</v>
      </c>
      <c r="CO144" s="239">
        <v>0</v>
      </c>
      <c r="CP144" s="239">
        <v>0</v>
      </c>
      <c r="CQ144" s="239">
        <v>0</v>
      </c>
      <c r="CR144" s="239">
        <v>0</v>
      </c>
      <c r="CS144" s="239">
        <v>0</v>
      </c>
      <c r="CT144" s="239">
        <v>0</v>
      </c>
      <c r="CU144" s="239">
        <v>0</v>
      </c>
      <c r="CV144" s="239">
        <v>0</v>
      </c>
      <c r="CW144" s="239">
        <v>0</v>
      </c>
      <c r="CX144" s="239">
        <v>0</v>
      </c>
      <c r="CY144" s="239">
        <v>0</v>
      </c>
      <c r="CZ144" s="239">
        <v>0</v>
      </c>
      <c r="DA144" s="239">
        <v>0</v>
      </c>
      <c r="DB144" s="239">
        <v>0</v>
      </c>
      <c r="DC144" s="239">
        <v>0</v>
      </c>
      <c r="DD144" s="239">
        <v>0</v>
      </c>
      <c r="DE144" s="239">
        <v>0</v>
      </c>
      <c r="DF144" s="239">
        <v>0</v>
      </c>
      <c r="DG144" s="239">
        <v>0</v>
      </c>
      <c r="DH144" s="239">
        <v>0</v>
      </c>
      <c r="DI144" s="239">
        <v>0</v>
      </c>
      <c r="DJ144" s="239">
        <v>-956002</v>
      </c>
      <c r="DK144" s="239">
        <v>0</v>
      </c>
      <c r="DL144" s="239">
        <v>-956002</v>
      </c>
      <c r="DM144" s="239">
        <v>-225794</v>
      </c>
      <c r="DN144" s="239">
        <v>0</v>
      </c>
      <c r="DO144" s="239">
        <v>-225794</v>
      </c>
      <c r="DP144" s="239">
        <v>0</v>
      </c>
      <c r="DQ144" s="239">
        <v>0</v>
      </c>
      <c r="DR144" s="239">
        <v>0</v>
      </c>
      <c r="DS144" s="239">
        <v>-41451</v>
      </c>
      <c r="DT144" s="239">
        <v>0</v>
      </c>
      <c r="DU144" s="239">
        <v>-41451</v>
      </c>
      <c r="DV144" s="239">
        <v>-5445</v>
      </c>
      <c r="DW144" s="239">
        <v>0</v>
      </c>
      <c r="DX144" s="239">
        <v>-5445</v>
      </c>
      <c r="DY144" s="239">
        <v>-2439654</v>
      </c>
      <c r="DZ144" s="239">
        <v>0</v>
      </c>
      <c r="EA144" s="239">
        <v>-2439654</v>
      </c>
      <c r="EB144" s="239">
        <v>-89899</v>
      </c>
      <c r="EC144" s="239">
        <v>0</v>
      </c>
      <c r="ED144" s="239">
        <v>-89899</v>
      </c>
      <c r="EE144" s="239">
        <v>0</v>
      </c>
      <c r="EF144" s="239">
        <v>0</v>
      </c>
      <c r="EG144" s="239">
        <v>0</v>
      </c>
      <c r="EH144" s="239">
        <v>0</v>
      </c>
      <c r="EI144" s="239">
        <v>0</v>
      </c>
      <c r="EJ144" s="239">
        <v>0</v>
      </c>
      <c r="EK144" s="239">
        <v>0</v>
      </c>
      <c r="EL144" s="239">
        <v>0</v>
      </c>
      <c r="EM144" s="239">
        <v>0</v>
      </c>
      <c r="EN144" s="239">
        <v>-2802243</v>
      </c>
      <c r="EO144" s="239">
        <v>0</v>
      </c>
      <c r="EP144" s="239">
        <v>-2802243</v>
      </c>
      <c r="EQ144" s="239">
        <v>0</v>
      </c>
      <c r="ER144" s="239">
        <v>0</v>
      </c>
      <c r="ES144" s="239">
        <v>0</v>
      </c>
      <c r="ET144" s="239">
        <v>0</v>
      </c>
      <c r="EU144" s="239">
        <v>0</v>
      </c>
      <c r="EV144" s="239">
        <v>0</v>
      </c>
      <c r="EW144" s="239">
        <v>0</v>
      </c>
      <c r="EX144" s="239">
        <v>0</v>
      </c>
      <c r="EY144" s="239">
        <v>0</v>
      </c>
      <c r="EZ144" s="239">
        <v>225928127</v>
      </c>
      <c r="FA144" s="239">
        <v>0</v>
      </c>
      <c r="FB144" s="239">
        <v>225928127</v>
      </c>
      <c r="FC144" s="239">
        <v>555239</v>
      </c>
      <c r="FD144" s="239">
        <v>0</v>
      </c>
      <c r="FE144" s="239">
        <v>555239</v>
      </c>
      <c r="FF144" s="239">
        <v>-18207121</v>
      </c>
      <c r="FG144" s="239">
        <v>0</v>
      </c>
      <c r="FH144" s="239">
        <v>-18207121</v>
      </c>
      <c r="FI144" s="239">
        <v>-8722466</v>
      </c>
      <c r="FJ144" s="239">
        <v>0</v>
      </c>
      <c r="FK144" s="239">
        <v>-8722466</v>
      </c>
      <c r="FL144" s="239">
        <v>-956002</v>
      </c>
      <c r="FM144" s="239">
        <v>0</v>
      </c>
      <c r="FN144" s="239">
        <v>-956002</v>
      </c>
      <c r="FO144" s="239">
        <v>-2802243</v>
      </c>
      <c r="FP144" s="239">
        <v>0</v>
      </c>
      <c r="FQ144" s="239">
        <v>-2802243</v>
      </c>
      <c r="FR144" s="239">
        <v>0</v>
      </c>
      <c r="FS144" s="239">
        <v>0</v>
      </c>
      <c r="FT144" s="239">
        <v>0</v>
      </c>
      <c r="FU144" s="239">
        <v>-30132593</v>
      </c>
      <c r="FV144" s="239">
        <v>0</v>
      </c>
      <c r="FW144" s="239">
        <v>-30132593</v>
      </c>
      <c r="FX144" s="239">
        <v>195795534</v>
      </c>
      <c r="FY144" s="239">
        <v>0</v>
      </c>
      <c r="FZ144" s="239">
        <v>195795534</v>
      </c>
      <c r="GA144" s="214" t="s">
        <v>1297</v>
      </c>
    </row>
    <row r="145" spans="2:183" s="214" customFormat="1" x14ac:dyDescent="0.2">
      <c r="B145" s="610" t="s">
        <v>373</v>
      </c>
      <c r="C145" s="610" t="s">
        <v>372</v>
      </c>
      <c r="D145" s="239">
        <v>0</v>
      </c>
      <c r="E145" s="239">
        <v>0</v>
      </c>
      <c r="F145" s="239">
        <v>0</v>
      </c>
      <c r="G145" s="239">
        <v>827288</v>
      </c>
      <c r="H145" s="239">
        <v>0</v>
      </c>
      <c r="I145" s="239">
        <v>827288</v>
      </c>
      <c r="J145" s="239">
        <v>0</v>
      </c>
      <c r="K145" s="239">
        <v>0</v>
      </c>
      <c r="L145" s="239">
        <v>0</v>
      </c>
      <c r="M145" s="239">
        <v>1659850</v>
      </c>
      <c r="N145" s="239">
        <v>0</v>
      </c>
      <c r="O145" s="239">
        <v>1659850</v>
      </c>
      <c r="P145" s="239">
        <v>2487138</v>
      </c>
      <c r="Q145" s="239">
        <v>0</v>
      </c>
      <c r="R145" s="239">
        <v>2487138</v>
      </c>
      <c r="S145" s="239">
        <v>-1762076</v>
      </c>
      <c r="T145" s="239">
        <v>0</v>
      </c>
      <c r="U145" s="239">
        <v>-1762076</v>
      </c>
      <c r="V145" s="239">
        <v>-1536</v>
      </c>
      <c r="W145" s="239">
        <v>0</v>
      </c>
      <c r="X145" s="239">
        <v>-1536</v>
      </c>
      <c r="Y145" s="239">
        <v>-129554</v>
      </c>
      <c r="Z145" s="239">
        <v>0</v>
      </c>
      <c r="AA145" s="239">
        <v>-129554</v>
      </c>
      <c r="AB145" s="239">
        <v>-83520</v>
      </c>
      <c r="AC145" s="239">
        <v>0</v>
      </c>
      <c r="AD145" s="239">
        <v>-83520</v>
      </c>
      <c r="AE145" s="239">
        <v>0</v>
      </c>
      <c r="AF145" s="239">
        <v>0</v>
      </c>
      <c r="AG145" s="239">
        <v>0</v>
      </c>
      <c r="AH145" s="239">
        <v>7841794</v>
      </c>
      <c r="AI145" s="239">
        <v>0</v>
      </c>
      <c r="AJ145" s="239">
        <v>7841794</v>
      </c>
      <c r="AK145" s="239">
        <v>-245777</v>
      </c>
      <c r="AL145" s="239">
        <v>0</v>
      </c>
      <c r="AM145" s="239">
        <v>-245777</v>
      </c>
      <c r="AN145" s="239">
        <v>-16174555</v>
      </c>
      <c r="AO145" s="239">
        <v>0</v>
      </c>
      <c r="AP145" s="239">
        <v>-16174555</v>
      </c>
      <c r="AQ145" s="239">
        <v>2230997</v>
      </c>
      <c r="AR145" s="239">
        <v>0</v>
      </c>
      <c r="AS145" s="239">
        <v>2230997</v>
      </c>
      <c r="AT145" s="239">
        <v>0</v>
      </c>
      <c r="AU145" s="239">
        <v>0</v>
      </c>
      <c r="AV145" s="239">
        <v>0</v>
      </c>
      <c r="AW145" s="239">
        <v>0</v>
      </c>
      <c r="AX145" s="239">
        <v>0</v>
      </c>
      <c r="AY145" s="239">
        <v>0</v>
      </c>
      <c r="AZ145" s="239">
        <v>0</v>
      </c>
      <c r="BA145" s="239">
        <v>0</v>
      </c>
      <c r="BB145" s="239">
        <v>0</v>
      </c>
      <c r="BC145" s="239">
        <v>0</v>
      </c>
      <c r="BD145" s="239">
        <v>0</v>
      </c>
      <c r="BE145" s="239">
        <v>0</v>
      </c>
      <c r="BF145" s="239">
        <v>-8239171</v>
      </c>
      <c r="BG145" s="239">
        <v>0</v>
      </c>
      <c r="BH145" s="239">
        <v>-8239171</v>
      </c>
      <c r="BI145" s="239">
        <v>-2740</v>
      </c>
      <c r="BJ145" s="239">
        <v>0</v>
      </c>
      <c r="BK145" s="239">
        <v>-2740</v>
      </c>
      <c r="BL145" s="239">
        <v>2357</v>
      </c>
      <c r="BM145" s="239">
        <v>0</v>
      </c>
      <c r="BN145" s="239">
        <v>2357</v>
      </c>
      <c r="BO145" s="239">
        <v>-8284470</v>
      </c>
      <c r="BP145" s="239">
        <v>0</v>
      </c>
      <c r="BQ145" s="239">
        <v>-8284470</v>
      </c>
      <c r="BR145" s="239">
        <v>-163826</v>
      </c>
      <c r="BS145" s="239">
        <v>0</v>
      </c>
      <c r="BT145" s="239">
        <v>-163826</v>
      </c>
      <c r="BU145" s="239">
        <v>-8448679</v>
      </c>
      <c r="BV145" s="239">
        <v>0</v>
      </c>
      <c r="BW145" s="239">
        <v>-8448679</v>
      </c>
      <c r="BX145" s="239">
        <v>-76512</v>
      </c>
      <c r="BY145" s="239">
        <v>0</v>
      </c>
      <c r="BZ145" s="239">
        <v>-76512</v>
      </c>
      <c r="CA145" s="239">
        <v>-40</v>
      </c>
      <c r="CB145" s="239">
        <v>0</v>
      </c>
      <c r="CC145" s="239">
        <v>-40</v>
      </c>
      <c r="CD145" s="239">
        <v>-89204</v>
      </c>
      <c r="CE145" s="239">
        <v>0</v>
      </c>
      <c r="CF145" s="239">
        <v>-89204</v>
      </c>
      <c r="CG145" s="239">
        <v>0</v>
      </c>
      <c r="CH145" s="239">
        <v>0</v>
      </c>
      <c r="CI145" s="239">
        <v>0</v>
      </c>
      <c r="CJ145" s="239">
        <v>0</v>
      </c>
      <c r="CK145" s="239">
        <v>0</v>
      </c>
      <c r="CL145" s="239">
        <v>0</v>
      </c>
      <c r="CM145" s="239">
        <v>0</v>
      </c>
      <c r="CN145" s="239">
        <v>0</v>
      </c>
      <c r="CO145" s="239">
        <v>0</v>
      </c>
      <c r="CP145" s="239">
        <v>0</v>
      </c>
      <c r="CQ145" s="239">
        <v>0</v>
      </c>
      <c r="CR145" s="239">
        <v>0</v>
      </c>
      <c r="CS145" s="239">
        <v>0</v>
      </c>
      <c r="CT145" s="239">
        <v>0</v>
      </c>
      <c r="CU145" s="239">
        <v>0</v>
      </c>
      <c r="CV145" s="239">
        <v>0</v>
      </c>
      <c r="CW145" s="239">
        <v>0</v>
      </c>
      <c r="CX145" s="239">
        <v>0</v>
      </c>
      <c r="CY145" s="239">
        <v>0</v>
      </c>
      <c r="CZ145" s="239">
        <v>0</v>
      </c>
      <c r="DA145" s="239">
        <v>0</v>
      </c>
      <c r="DB145" s="239">
        <v>0</v>
      </c>
      <c r="DC145" s="239">
        <v>0</v>
      </c>
      <c r="DD145" s="239">
        <v>0</v>
      </c>
      <c r="DE145" s="239">
        <v>0</v>
      </c>
      <c r="DF145" s="239">
        <v>0</v>
      </c>
      <c r="DG145" s="239">
        <v>0</v>
      </c>
      <c r="DH145" s="239">
        <v>0</v>
      </c>
      <c r="DI145" s="239">
        <v>0</v>
      </c>
      <c r="DJ145" s="239">
        <v>-165756</v>
      </c>
      <c r="DK145" s="239">
        <v>0</v>
      </c>
      <c r="DL145" s="239">
        <v>-165756</v>
      </c>
      <c r="DM145" s="239">
        <v>0</v>
      </c>
      <c r="DN145" s="239">
        <v>0</v>
      </c>
      <c r="DO145" s="239">
        <v>0</v>
      </c>
      <c r="DP145" s="239">
        <v>0</v>
      </c>
      <c r="DQ145" s="239">
        <v>0</v>
      </c>
      <c r="DR145" s="239">
        <v>0</v>
      </c>
      <c r="DS145" s="239">
        <v>-113750</v>
      </c>
      <c r="DT145" s="239">
        <v>0</v>
      </c>
      <c r="DU145" s="239">
        <v>-113750</v>
      </c>
      <c r="DV145" s="239">
        <v>-3298</v>
      </c>
      <c r="DW145" s="239">
        <v>0</v>
      </c>
      <c r="DX145" s="239">
        <v>-3298</v>
      </c>
      <c r="DY145" s="239">
        <v>-1937655</v>
      </c>
      <c r="DZ145" s="239">
        <v>0</v>
      </c>
      <c r="EA145" s="239">
        <v>-1937655</v>
      </c>
      <c r="EB145" s="239">
        <v>-121897</v>
      </c>
      <c r="EC145" s="239">
        <v>0</v>
      </c>
      <c r="ED145" s="239">
        <v>-121897</v>
      </c>
      <c r="EE145" s="239">
        <v>0</v>
      </c>
      <c r="EF145" s="239">
        <v>0</v>
      </c>
      <c r="EG145" s="239">
        <v>0</v>
      </c>
      <c r="EH145" s="239">
        <v>0</v>
      </c>
      <c r="EI145" s="239">
        <v>0</v>
      </c>
      <c r="EJ145" s="239">
        <v>0</v>
      </c>
      <c r="EK145" s="239">
        <v>-31882</v>
      </c>
      <c r="EL145" s="239">
        <v>0</v>
      </c>
      <c r="EM145" s="239">
        <v>-31882</v>
      </c>
      <c r="EN145" s="239">
        <v>-2208482</v>
      </c>
      <c r="EO145" s="239">
        <v>0</v>
      </c>
      <c r="EP145" s="239">
        <v>-2208482</v>
      </c>
      <c r="EQ145" s="239">
        <v>-4427</v>
      </c>
      <c r="ER145" s="239">
        <v>0</v>
      </c>
      <c r="ES145" s="239">
        <v>-4427</v>
      </c>
      <c r="ET145" s="239">
        <v>-18881</v>
      </c>
      <c r="EU145" s="239">
        <v>0</v>
      </c>
      <c r="EV145" s="239">
        <v>-18881</v>
      </c>
      <c r="EW145" s="239">
        <v>-23308</v>
      </c>
      <c r="EX145" s="239">
        <v>0</v>
      </c>
      <c r="EY145" s="239">
        <v>-23308</v>
      </c>
      <c r="EZ145" s="239">
        <v>294052924</v>
      </c>
      <c r="FA145" s="239">
        <v>0</v>
      </c>
      <c r="FB145" s="239">
        <v>294052924</v>
      </c>
      <c r="FC145" s="239">
        <v>2487138</v>
      </c>
      <c r="FD145" s="239">
        <v>0</v>
      </c>
      <c r="FE145" s="239">
        <v>2487138</v>
      </c>
      <c r="FF145" s="239">
        <v>-8239171</v>
      </c>
      <c r="FG145" s="239">
        <v>0</v>
      </c>
      <c r="FH145" s="239">
        <v>-8239171</v>
      </c>
      <c r="FI145" s="239">
        <v>-8448679</v>
      </c>
      <c r="FJ145" s="239">
        <v>0</v>
      </c>
      <c r="FK145" s="239">
        <v>-8448679</v>
      </c>
      <c r="FL145" s="239">
        <v>-165756</v>
      </c>
      <c r="FM145" s="239">
        <v>0</v>
      </c>
      <c r="FN145" s="239">
        <v>-165756</v>
      </c>
      <c r="FO145" s="239">
        <v>-2208482</v>
      </c>
      <c r="FP145" s="239">
        <v>0</v>
      </c>
      <c r="FQ145" s="239">
        <v>-2208482</v>
      </c>
      <c r="FR145" s="239">
        <v>-23308</v>
      </c>
      <c r="FS145" s="239">
        <v>0</v>
      </c>
      <c r="FT145" s="239">
        <v>-23308</v>
      </c>
      <c r="FU145" s="239">
        <v>-16598258</v>
      </c>
      <c r="FV145" s="239">
        <v>0</v>
      </c>
      <c r="FW145" s="239">
        <v>-16598258</v>
      </c>
      <c r="FX145" s="239">
        <v>277454666</v>
      </c>
      <c r="FY145" s="239">
        <v>0</v>
      </c>
      <c r="FZ145" s="239">
        <v>277454666</v>
      </c>
      <c r="GA145" s="214" t="s">
        <v>1297</v>
      </c>
    </row>
    <row r="146" spans="2:183" s="214" customFormat="1" x14ac:dyDescent="0.2">
      <c r="B146" s="610" t="s">
        <v>375</v>
      </c>
      <c r="C146" s="610" t="s">
        <v>374</v>
      </c>
      <c r="D146" s="239">
        <v>0</v>
      </c>
      <c r="E146" s="239">
        <v>0</v>
      </c>
      <c r="F146" s="239">
        <v>0</v>
      </c>
      <c r="G146" s="239">
        <v>58193</v>
      </c>
      <c r="H146" s="239">
        <v>0</v>
      </c>
      <c r="I146" s="239">
        <v>58193</v>
      </c>
      <c r="J146" s="239">
        <v>0</v>
      </c>
      <c r="K146" s="239">
        <v>0</v>
      </c>
      <c r="L146" s="239">
        <v>0</v>
      </c>
      <c r="M146" s="239">
        <v>40712</v>
      </c>
      <c r="N146" s="239">
        <v>0</v>
      </c>
      <c r="O146" s="239">
        <v>40712</v>
      </c>
      <c r="P146" s="239">
        <v>98905</v>
      </c>
      <c r="Q146" s="239">
        <v>0</v>
      </c>
      <c r="R146" s="239">
        <v>98905</v>
      </c>
      <c r="S146" s="239">
        <v>-1677078</v>
      </c>
      <c r="T146" s="239">
        <v>0</v>
      </c>
      <c r="U146" s="239">
        <v>-1677078</v>
      </c>
      <c r="V146" s="239">
        <v>-11469</v>
      </c>
      <c r="W146" s="239">
        <v>0</v>
      </c>
      <c r="X146" s="239">
        <v>-11469</v>
      </c>
      <c r="Y146" s="239">
        <v>-29863</v>
      </c>
      <c r="Z146" s="239">
        <v>0</v>
      </c>
      <c r="AA146" s="239">
        <v>-29863</v>
      </c>
      <c r="AB146" s="239">
        <v>-29863</v>
      </c>
      <c r="AC146" s="239">
        <v>0</v>
      </c>
      <c r="AD146" s="239">
        <v>-29863</v>
      </c>
      <c r="AE146" s="239">
        <v>0</v>
      </c>
      <c r="AF146" s="239">
        <v>0</v>
      </c>
      <c r="AG146" s="239">
        <v>0</v>
      </c>
      <c r="AH146" s="239">
        <v>872893</v>
      </c>
      <c r="AI146" s="239">
        <v>0</v>
      </c>
      <c r="AJ146" s="239">
        <v>872893</v>
      </c>
      <c r="AK146" s="239">
        <v>-15467</v>
      </c>
      <c r="AL146" s="239">
        <v>0</v>
      </c>
      <c r="AM146" s="239">
        <v>-15467</v>
      </c>
      <c r="AN146" s="239">
        <v>-2668741</v>
      </c>
      <c r="AO146" s="239">
        <v>0</v>
      </c>
      <c r="AP146" s="239">
        <v>-2668741</v>
      </c>
      <c r="AQ146" s="239">
        <v>-32114</v>
      </c>
      <c r="AR146" s="239">
        <v>0</v>
      </c>
      <c r="AS146" s="239">
        <v>-32114</v>
      </c>
      <c r="AT146" s="239">
        <v>-70322</v>
      </c>
      <c r="AU146" s="239">
        <v>0</v>
      </c>
      <c r="AV146" s="239">
        <v>-70322</v>
      </c>
      <c r="AW146" s="239">
        <v>0</v>
      </c>
      <c r="AX146" s="239">
        <v>0</v>
      </c>
      <c r="AY146" s="239">
        <v>0</v>
      </c>
      <c r="AZ146" s="239">
        <v>-5341</v>
      </c>
      <c r="BA146" s="239">
        <v>0</v>
      </c>
      <c r="BB146" s="239">
        <v>-5341</v>
      </c>
      <c r="BC146" s="239">
        <v>0</v>
      </c>
      <c r="BD146" s="239">
        <v>0</v>
      </c>
      <c r="BE146" s="239">
        <v>0</v>
      </c>
      <c r="BF146" s="239">
        <v>-3626033</v>
      </c>
      <c r="BG146" s="239">
        <v>0</v>
      </c>
      <c r="BH146" s="239">
        <v>-3626033</v>
      </c>
      <c r="BI146" s="239">
        <v>0</v>
      </c>
      <c r="BJ146" s="239">
        <v>0</v>
      </c>
      <c r="BK146" s="239">
        <v>0</v>
      </c>
      <c r="BL146" s="239">
        <v>0</v>
      </c>
      <c r="BM146" s="239">
        <v>0</v>
      </c>
      <c r="BN146" s="239">
        <v>0</v>
      </c>
      <c r="BO146" s="239">
        <v>-427159</v>
      </c>
      <c r="BP146" s="239">
        <v>0</v>
      </c>
      <c r="BQ146" s="239">
        <v>-427159</v>
      </c>
      <c r="BR146" s="239">
        <v>-2607</v>
      </c>
      <c r="BS146" s="239">
        <v>0</v>
      </c>
      <c r="BT146" s="239">
        <v>-2607</v>
      </c>
      <c r="BU146" s="239">
        <v>-429766</v>
      </c>
      <c r="BV146" s="239">
        <v>0</v>
      </c>
      <c r="BW146" s="239">
        <v>-429766</v>
      </c>
      <c r="BX146" s="239">
        <v>-10667</v>
      </c>
      <c r="BY146" s="239">
        <v>0</v>
      </c>
      <c r="BZ146" s="239">
        <v>-10667</v>
      </c>
      <c r="CA146" s="239">
        <v>-86</v>
      </c>
      <c r="CB146" s="239">
        <v>0</v>
      </c>
      <c r="CC146" s="239">
        <v>-86</v>
      </c>
      <c r="CD146" s="239">
        <v>-32467</v>
      </c>
      <c r="CE146" s="239">
        <v>0</v>
      </c>
      <c r="CF146" s="239">
        <v>-32467</v>
      </c>
      <c r="CG146" s="239">
        <v>1059</v>
      </c>
      <c r="CH146" s="239">
        <v>0</v>
      </c>
      <c r="CI146" s="239">
        <v>1059</v>
      </c>
      <c r="CJ146" s="239">
        <v>-1787</v>
      </c>
      <c r="CK146" s="239">
        <v>0</v>
      </c>
      <c r="CL146" s="239">
        <v>-1787</v>
      </c>
      <c r="CM146" s="239">
        <v>0</v>
      </c>
      <c r="CN146" s="239">
        <v>0</v>
      </c>
      <c r="CO146" s="239">
        <v>0</v>
      </c>
      <c r="CP146" s="239">
        <v>-1331</v>
      </c>
      <c r="CQ146" s="239">
        <v>0</v>
      </c>
      <c r="CR146" s="239">
        <v>-1331</v>
      </c>
      <c r="CS146" s="239">
        <v>0</v>
      </c>
      <c r="CT146" s="239">
        <v>0</v>
      </c>
      <c r="CU146" s="239">
        <v>0</v>
      </c>
      <c r="CV146" s="239">
        <v>0</v>
      </c>
      <c r="CW146" s="239">
        <v>0</v>
      </c>
      <c r="CX146" s="239">
        <v>0</v>
      </c>
      <c r="CY146" s="239">
        <v>0</v>
      </c>
      <c r="CZ146" s="239">
        <v>0</v>
      </c>
      <c r="DA146" s="239">
        <v>0</v>
      </c>
      <c r="DB146" s="239">
        <v>0</v>
      </c>
      <c r="DC146" s="239">
        <v>0</v>
      </c>
      <c r="DD146" s="239">
        <v>0</v>
      </c>
      <c r="DE146" s="239">
        <v>0</v>
      </c>
      <c r="DF146" s="239">
        <v>0</v>
      </c>
      <c r="DG146" s="239">
        <v>0</v>
      </c>
      <c r="DH146" s="239">
        <v>0</v>
      </c>
      <c r="DI146" s="239">
        <v>0</v>
      </c>
      <c r="DJ146" s="239">
        <v>-45279</v>
      </c>
      <c r="DK146" s="239">
        <v>0</v>
      </c>
      <c r="DL146" s="239">
        <v>-45279</v>
      </c>
      <c r="DM146" s="239">
        <v>0</v>
      </c>
      <c r="DN146" s="239">
        <v>0</v>
      </c>
      <c r="DO146" s="239">
        <v>0</v>
      </c>
      <c r="DP146" s="239">
        <v>0</v>
      </c>
      <c r="DQ146" s="239">
        <v>0</v>
      </c>
      <c r="DR146" s="239">
        <v>0</v>
      </c>
      <c r="DS146" s="239">
        <v>-10448</v>
      </c>
      <c r="DT146" s="239">
        <v>0</v>
      </c>
      <c r="DU146" s="239">
        <v>-10448</v>
      </c>
      <c r="DV146" s="239">
        <v>-227</v>
      </c>
      <c r="DW146" s="239">
        <v>0</v>
      </c>
      <c r="DX146" s="239">
        <v>-227</v>
      </c>
      <c r="DY146" s="239">
        <v>-392085</v>
      </c>
      <c r="DZ146" s="239">
        <v>0</v>
      </c>
      <c r="EA146" s="239">
        <v>-392085</v>
      </c>
      <c r="EB146" s="239">
        <v>-5981</v>
      </c>
      <c r="EC146" s="239">
        <v>0</v>
      </c>
      <c r="ED146" s="239">
        <v>-5981</v>
      </c>
      <c r="EE146" s="239">
        <v>0</v>
      </c>
      <c r="EF146" s="239">
        <v>0</v>
      </c>
      <c r="EG146" s="239">
        <v>0</v>
      </c>
      <c r="EH146" s="239">
        <v>0</v>
      </c>
      <c r="EI146" s="239">
        <v>0</v>
      </c>
      <c r="EJ146" s="239">
        <v>0</v>
      </c>
      <c r="EK146" s="239">
        <v>0</v>
      </c>
      <c r="EL146" s="239">
        <v>0</v>
      </c>
      <c r="EM146" s="239">
        <v>0</v>
      </c>
      <c r="EN146" s="239">
        <v>-408741</v>
      </c>
      <c r="EO146" s="239">
        <v>0</v>
      </c>
      <c r="EP146" s="239">
        <v>-408741</v>
      </c>
      <c r="EQ146" s="239">
        <v>0</v>
      </c>
      <c r="ER146" s="239">
        <v>0</v>
      </c>
      <c r="ES146" s="239">
        <v>0</v>
      </c>
      <c r="ET146" s="239">
        <v>0</v>
      </c>
      <c r="EU146" s="239">
        <v>0</v>
      </c>
      <c r="EV146" s="239">
        <v>0</v>
      </c>
      <c r="EW146" s="239">
        <v>0</v>
      </c>
      <c r="EX146" s="239">
        <v>0</v>
      </c>
      <c r="EY146" s="239">
        <v>0</v>
      </c>
      <c r="EZ146" s="239">
        <v>36449271</v>
      </c>
      <c r="FA146" s="239">
        <v>0</v>
      </c>
      <c r="FB146" s="239">
        <v>36449271</v>
      </c>
      <c r="FC146" s="239">
        <v>98905</v>
      </c>
      <c r="FD146" s="239">
        <v>0</v>
      </c>
      <c r="FE146" s="239">
        <v>98905</v>
      </c>
      <c r="FF146" s="239">
        <v>-3626033</v>
      </c>
      <c r="FG146" s="239">
        <v>0</v>
      </c>
      <c r="FH146" s="239">
        <v>-3626033</v>
      </c>
      <c r="FI146" s="239">
        <v>-429766</v>
      </c>
      <c r="FJ146" s="239">
        <v>0</v>
      </c>
      <c r="FK146" s="239">
        <v>-429766</v>
      </c>
      <c r="FL146" s="239">
        <v>-45279</v>
      </c>
      <c r="FM146" s="239">
        <v>0</v>
      </c>
      <c r="FN146" s="239">
        <v>-45279</v>
      </c>
      <c r="FO146" s="239">
        <v>-408741</v>
      </c>
      <c r="FP146" s="239">
        <v>0</v>
      </c>
      <c r="FQ146" s="239">
        <v>-408741</v>
      </c>
      <c r="FR146" s="239">
        <v>0</v>
      </c>
      <c r="FS146" s="239">
        <v>0</v>
      </c>
      <c r="FT146" s="239">
        <v>0</v>
      </c>
      <c r="FU146" s="239">
        <v>-4410914</v>
      </c>
      <c r="FV146" s="239">
        <v>0</v>
      </c>
      <c r="FW146" s="239">
        <v>-4410914</v>
      </c>
      <c r="FX146" s="239">
        <v>32038357</v>
      </c>
      <c r="FY146" s="239">
        <v>0</v>
      </c>
      <c r="FZ146" s="239">
        <v>32038357</v>
      </c>
      <c r="GA146" s="214" t="s">
        <v>1294</v>
      </c>
    </row>
    <row r="147" spans="2:183" s="214" customFormat="1" x14ac:dyDescent="0.2">
      <c r="B147" s="610" t="s">
        <v>377</v>
      </c>
      <c r="C147" s="610" t="s">
        <v>376</v>
      </c>
      <c r="D147" s="239">
        <v>0</v>
      </c>
      <c r="E147" s="239">
        <v>0</v>
      </c>
      <c r="F147" s="239">
        <v>0</v>
      </c>
      <c r="G147" s="239">
        <v>-11413</v>
      </c>
      <c r="H147" s="239">
        <v>0</v>
      </c>
      <c r="I147" s="239">
        <v>-11413</v>
      </c>
      <c r="J147" s="239">
        <v>0</v>
      </c>
      <c r="K147" s="239">
        <v>0</v>
      </c>
      <c r="L147" s="239">
        <v>0</v>
      </c>
      <c r="M147" s="239">
        <v>-2470</v>
      </c>
      <c r="N147" s="239">
        <v>0</v>
      </c>
      <c r="O147" s="239">
        <v>-2470</v>
      </c>
      <c r="P147" s="239">
        <v>-13883</v>
      </c>
      <c r="Q147" s="239">
        <v>0</v>
      </c>
      <c r="R147" s="239">
        <v>-13883</v>
      </c>
      <c r="S147" s="239">
        <v>-3505124</v>
      </c>
      <c r="T147" s="239">
        <v>0</v>
      </c>
      <c r="U147" s="239">
        <v>-3505124</v>
      </c>
      <c r="V147" s="239">
        <v>-22602</v>
      </c>
      <c r="W147" s="239">
        <v>0</v>
      </c>
      <c r="X147" s="239">
        <v>-22602</v>
      </c>
      <c r="Y147" s="239">
        <v>-302513</v>
      </c>
      <c r="Z147" s="239">
        <v>0</v>
      </c>
      <c r="AA147" s="239">
        <v>-302513</v>
      </c>
      <c r="AB147" s="239">
        <v>-151470</v>
      </c>
      <c r="AC147" s="239">
        <v>0</v>
      </c>
      <c r="AD147" s="239">
        <v>-151470</v>
      </c>
      <c r="AE147" s="239">
        <v>0</v>
      </c>
      <c r="AF147" s="239">
        <v>0</v>
      </c>
      <c r="AG147" s="239">
        <v>0</v>
      </c>
      <c r="AH147" s="239">
        <v>1199572</v>
      </c>
      <c r="AI147" s="239">
        <v>0</v>
      </c>
      <c r="AJ147" s="239">
        <v>1199572</v>
      </c>
      <c r="AK147" s="239">
        <v>-4380</v>
      </c>
      <c r="AL147" s="239">
        <v>0</v>
      </c>
      <c r="AM147" s="239">
        <v>-4380</v>
      </c>
      <c r="AN147" s="239">
        <v>-2881567</v>
      </c>
      <c r="AO147" s="239">
        <v>0</v>
      </c>
      <c r="AP147" s="239">
        <v>-2881567</v>
      </c>
      <c r="AQ147" s="239">
        <v>-19434</v>
      </c>
      <c r="AR147" s="239">
        <v>0</v>
      </c>
      <c r="AS147" s="239">
        <v>-19434</v>
      </c>
      <c r="AT147" s="239">
        <v>-26218</v>
      </c>
      <c r="AU147" s="239">
        <v>0</v>
      </c>
      <c r="AV147" s="239">
        <v>-26218</v>
      </c>
      <c r="AW147" s="239">
        <v>0</v>
      </c>
      <c r="AX147" s="239">
        <v>0</v>
      </c>
      <c r="AY147" s="239">
        <v>0</v>
      </c>
      <c r="AZ147" s="239">
        <v>-84885</v>
      </c>
      <c r="BA147" s="239">
        <v>0</v>
      </c>
      <c r="BB147" s="239">
        <v>-84885</v>
      </c>
      <c r="BC147" s="239">
        <v>1410</v>
      </c>
      <c r="BD147" s="239">
        <v>0</v>
      </c>
      <c r="BE147" s="239">
        <v>1410</v>
      </c>
      <c r="BF147" s="239">
        <v>-5623139</v>
      </c>
      <c r="BG147" s="239">
        <v>0</v>
      </c>
      <c r="BH147" s="239">
        <v>-5623139</v>
      </c>
      <c r="BI147" s="239">
        <v>-9797</v>
      </c>
      <c r="BJ147" s="239">
        <v>0</v>
      </c>
      <c r="BK147" s="239">
        <v>-9797</v>
      </c>
      <c r="BL147" s="239">
        <v>1750</v>
      </c>
      <c r="BM147" s="239">
        <v>0</v>
      </c>
      <c r="BN147" s="239">
        <v>1750</v>
      </c>
      <c r="BO147" s="239">
        <v>-1019472</v>
      </c>
      <c r="BP147" s="239">
        <v>0</v>
      </c>
      <c r="BQ147" s="239">
        <v>-1019472</v>
      </c>
      <c r="BR147" s="239">
        <v>-77376</v>
      </c>
      <c r="BS147" s="239">
        <v>0</v>
      </c>
      <c r="BT147" s="239">
        <v>-77376</v>
      </c>
      <c r="BU147" s="239">
        <v>-1104895</v>
      </c>
      <c r="BV147" s="239">
        <v>0</v>
      </c>
      <c r="BW147" s="239">
        <v>-1104895</v>
      </c>
      <c r="BX147" s="239">
        <v>-214065</v>
      </c>
      <c r="BY147" s="239">
        <v>0</v>
      </c>
      <c r="BZ147" s="239">
        <v>-214065</v>
      </c>
      <c r="CA147" s="239">
        <v>-2748</v>
      </c>
      <c r="CB147" s="239">
        <v>0</v>
      </c>
      <c r="CC147" s="239">
        <v>-2748</v>
      </c>
      <c r="CD147" s="239">
        <v>-46762</v>
      </c>
      <c r="CE147" s="239">
        <v>0</v>
      </c>
      <c r="CF147" s="239">
        <v>-46762</v>
      </c>
      <c r="CG147" s="239">
        <v>-1171</v>
      </c>
      <c r="CH147" s="239">
        <v>0</v>
      </c>
      <c r="CI147" s="239">
        <v>-1171</v>
      </c>
      <c r="CJ147" s="239">
        <v>0</v>
      </c>
      <c r="CK147" s="239">
        <v>0</v>
      </c>
      <c r="CL147" s="239">
        <v>0</v>
      </c>
      <c r="CM147" s="239">
        <v>0</v>
      </c>
      <c r="CN147" s="239">
        <v>0</v>
      </c>
      <c r="CO147" s="239">
        <v>0</v>
      </c>
      <c r="CP147" s="239">
        <v>-28821</v>
      </c>
      <c r="CQ147" s="239">
        <v>0</v>
      </c>
      <c r="CR147" s="239">
        <v>-28821</v>
      </c>
      <c r="CS147" s="239">
        <v>1715</v>
      </c>
      <c r="CT147" s="239">
        <v>0</v>
      </c>
      <c r="CU147" s="239">
        <v>1715</v>
      </c>
      <c r="CV147" s="239">
        <v>-21343</v>
      </c>
      <c r="CW147" s="239">
        <v>0</v>
      </c>
      <c r="CX147" s="239">
        <v>-21343</v>
      </c>
      <c r="CY147" s="239">
        <v>11430</v>
      </c>
      <c r="CZ147" s="239">
        <v>0</v>
      </c>
      <c r="DA147" s="239">
        <v>11430</v>
      </c>
      <c r="DB147" s="239">
        <v>0</v>
      </c>
      <c r="DC147" s="239">
        <v>0</v>
      </c>
      <c r="DD147" s="239">
        <v>0</v>
      </c>
      <c r="DE147" s="239">
        <v>0</v>
      </c>
      <c r="DF147" s="239">
        <v>0</v>
      </c>
      <c r="DG147" s="239">
        <v>0</v>
      </c>
      <c r="DH147" s="239">
        <v>0</v>
      </c>
      <c r="DI147" s="239">
        <v>0</v>
      </c>
      <c r="DJ147" s="239">
        <v>-301765</v>
      </c>
      <c r="DK147" s="239">
        <v>0</v>
      </c>
      <c r="DL147" s="239">
        <v>-301765</v>
      </c>
      <c r="DM147" s="239">
        <v>-1849</v>
      </c>
      <c r="DN147" s="239">
        <v>0</v>
      </c>
      <c r="DO147" s="239">
        <v>-1849</v>
      </c>
      <c r="DP147" s="239">
        <v>0</v>
      </c>
      <c r="DQ147" s="239">
        <v>0</v>
      </c>
      <c r="DR147" s="239">
        <v>0</v>
      </c>
      <c r="DS147" s="239">
        <v>-8100</v>
      </c>
      <c r="DT147" s="239">
        <v>0</v>
      </c>
      <c r="DU147" s="239">
        <v>-8100</v>
      </c>
      <c r="DV147" s="239">
        <v>-937</v>
      </c>
      <c r="DW147" s="239">
        <v>0</v>
      </c>
      <c r="DX147" s="239">
        <v>-937</v>
      </c>
      <c r="DY147" s="239">
        <v>-701405</v>
      </c>
      <c r="DZ147" s="239">
        <v>0</v>
      </c>
      <c r="EA147" s="239">
        <v>-701405</v>
      </c>
      <c r="EB147" s="239">
        <v>-36930</v>
      </c>
      <c r="EC147" s="239">
        <v>0</v>
      </c>
      <c r="ED147" s="239">
        <v>-36930</v>
      </c>
      <c r="EE147" s="239">
        <v>0</v>
      </c>
      <c r="EF147" s="239">
        <v>0</v>
      </c>
      <c r="EG147" s="239">
        <v>0</v>
      </c>
      <c r="EH147" s="239">
        <v>0</v>
      </c>
      <c r="EI147" s="239">
        <v>0</v>
      </c>
      <c r="EJ147" s="239">
        <v>0</v>
      </c>
      <c r="EK147" s="239">
        <v>-43028</v>
      </c>
      <c r="EL147" s="239">
        <v>0</v>
      </c>
      <c r="EM147" s="239">
        <v>-43028</v>
      </c>
      <c r="EN147" s="239">
        <v>-792249</v>
      </c>
      <c r="EO147" s="239">
        <v>0</v>
      </c>
      <c r="EP147" s="239">
        <v>-792249</v>
      </c>
      <c r="EQ147" s="239">
        <v>-9269</v>
      </c>
      <c r="ER147" s="239">
        <v>0</v>
      </c>
      <c r="ES147" s="239">
        <v>-9269</v>
      </c>
      <c r="ET147" s="239">
        <v>0</v>
      </c>
      <c r="EU147" s="239">
        <v>0</v>
      </c>
      <c r="EV147" s="239">
        <v>0</v>
      </c>
      <c r="EW147" s="239">
        <v>-9269</v>
      </c>
      <c r="EX147" s="239">
        <v>0</v>
      </c>
      <c r="EY147" s="239">
        <v>-9269</v>
      </c>
      <c r="EZ147" s="239">
        <v>53159076</v>
      </c>
      <c r="FA147" s="239">
        <v>0</v>
      </c>
      <c r="FB147" s="239">
        <v>53159076</v>
      </c>
      <c r="FC147" s="239">
        <v>-13883</v>
      </c>
      <c r="FD147" s="239">
        <v>0</v>
      </c>
      <c r="FE147" s="239">
        <v>-13883</v>
      </c>
      <c r="FF147" s="239">
        <v>-5623139</v>
      </c>
      <c r="FG147" s="239">
        <v>0</v>
      </c>
      <c r="FH147" s="239">
        <v>-5623139</v>
      </c>
      <c r="FI147" s="239">
        <v>-1104895</v>
      </c>
      <c r="FJ147" s="239">
        <v>0</v>
      </c>
      <c r="FK147" s="239">
        <v>-1104895</v>
      </c>
      <c r="FL147" s="239">
        <v>-301765</v>
      </c>
      <c r="FM147" s="239">
        <v>0</v>
      </c>
      <c r="FN147" s="239">
        <v>-301765</v>
      </c>
      <c r="FO147" s="239">
        <v>-792249</v>
      </c>
      <c r="FP147" s="239">
        <v>0</v>
      </c>
      <c r="FQ147" s="239">
        <v>-792249</v>
      </c>
      <c r="FR147" s="239">
        <v>-9269</v>
      </c>
      <c r="FS147" s="239">
        <v>0</v>
      </c>
      <c r="FT147" s="239">
        <v>-9269</v>
      </c>
      <c r="FU147" s="239">
        <v>-7845200</v>
      </c>
      <c r="FV147" s="239">
        <v>0</v>
      </c>
      <c r="FW147" s="239">
        <v>-7845200</v>
      </c>
      <c r="FX147" s="239">
        <v>45313876</v>
      </c>
      <c r="FY147" s="239">
        <v>0</v>
      </c>
      <c r="FZ147" s="239">
        <v>45313876</v>
      </c>
      <c r="GA147" s="214" t="s">
        <v>1294</v>
      </c>
    </row>
    <row r="148" spans="2:183" s="214" customFormat="1" x14ac:dyDescent="0.2">
      <c r="B148" s="610" t="s">
        <v>379</v>
      </c>
      <c r="C148" s="610" t="s">
        <v>378</v>
      </c>
      <c r="D148" s="239">
        <v>0</v>
      </c>
      <c r="E148" s="239">
        <v>0</v>
      </c>
      <c r="F148" s="239">
        <v>0</v>
      </c>
      <c r="G148" s="239">
        <v>-766453</v>
      </c>
      <c r="H148" s="239">
        <v>0</v>
      </c>
      <c r="I148" s="239">
        <v>-766453</v>
      </c>
      <c r="J148" s="239">
        <v>0</v>
      </c>
      <c r="K148" s="239">
        <v>0</v>
      </c>
      <c r="L148" s="239">
        <v>0</v>
      </c>
      <c r="M148" s="239">
        <v>220903</v>
      </c>
      <c r="N148" s="239">
        <v>0</v>
      </c>
      <c r="O148" s="239">
        <v>220903</v>
      </c>
      <c r="P148" s="239">
        <v>-545550</v>
      </c>
      <c r="Q148" s="239">
        <v>0</v>
      </c>
      <c r="R148" s="239">
        <v>-545550</v>
      </c>
      <c r="S148" s="239">
        <v>-5893028</v>
      </c>
      <c r="T148" s="239">
        <v>0</v>
      </c>
      <c r="U148" s="239">
        <v>-5893028</v>
      </c>
      <c r="V148" s="239">
        <v>-614</v>
      </c>
      <c r="W148" s="239">
        <v>0</v>
      </c>
      <c r="X148" s="239">
        <v>-614</v>
      </c>
      <c r="Y148" s="239">
        <v>-181762</v>
      </c>
      <c r="Z148" s="239">
        <v>0</v>
      </c>
      <c r="AA148" s="239">
        <v>-181762</v>
      </c>
      <c r="AB148" s="239">
        <v>-122299</v>
      </c>
      <c r="AC148" s="239">
        <v>0</v>
      </c>
      <c r="AD148" s="239">
        <v>-122299</v>
      </c>
      <c r="AE148" s="239">
        <v>0</v>
      </c>
      <c r="AF148" s="239">
        <v>0</v>
      </c>
      <c r="AG148" s="239">
        <v>0</v>
      </c>
      <c r="AH148" s="239">
        <v>2345891</v>
      </c>
      <c r="AI148" s="239">
        <v>0</v>
      </c>
      <c r="AJ148" s="239">
        <v>2345891</v>
      </c>
      <c r="AK148" s="239">
        <v>65126</v>
      </c>
      <c r="AL148" s="239">
        <v>0</v>
      </c>
      <c r="AM148" s="239">
        <v>65126</v>
      </c>
      <c r="AN148" s="239">
        <v>-7173748</v>
      </c>
      <c r="AO148" s="239">
        <v>0</v>
      </c>
      <c r="AP148" s="239">
        <v>-7173748</v>
      </c>
      <c r="AQ148" s="239">
        <v>-201413</v>
      </c>
      <c r="AR148" s="239">
        <v>0</v>
      </c>
      <c r="AS148" s="239">
        <v>-201413</v>
      </c>
      <c r="AT148" s="239">
        <v>-24519</v>
      </c>
      <c r="AU148" s="239">
        <v>0</v>
      </c>
      <c r="AV148" s="239">
        <v>-24519</v>
      </c>
      <c r="AW148" s="239">
        <v>0</v>
      </c>
      <c r="AX148" s="239">
        <v>0</v>
      </c>
      <c r="AY148" s="239">
        <v>0</v>
      </c>
      <c r="AZ148" s="239">
        <v>0</v>
      </c>
      <c r="BA148" s="239">
        <v>0</v>
      </c>
      <c r="BB148" s="239">
        <v>0</v>
      </c>
      <c r="BC148" s="239">
        <v>0</v>
      </c>
      <c r="BD148" s="239">
        <v>0</v>
      </c>
      <c r="BE148" s="239">
        <v>0</v>
      </c>
      <c r="BF148" s="239">
        <v>-11063453</v>
      </c>
      <c r="BG148" s="239">
        <v>0</v>
      </c>
      <c r="BH148" s="239">
        <v>-11063453</v>
      </c>
      <c r="BI148" s="239">
        <v>0</v>
      </c>
      <c r="BJ148" s="239">
        <v>0</v>
      </c>
      <c r="BK148" s="239">
        <v>0</v>
      </c>
      <c r="BL148" s="239">
        <v>0</v>
      </c>
      <c r="BM148" s="239">
        <v>0</v>
      </c>
      <c r="BN148" s="239">
        <v>0</v>
      </c>
      <c r="BO148" s="239">
        <v>-3841532</v>
      </c>
      <c r="BP148" s="239">
        <v>0</v>
      </c>
      <c r="BQ148" s="239">
        <v>-3841532</v>
      </c>
      <c r="BR148" s="239">
        <v>0</v>
      </c>
      <c r="BS148" s="239">
        <v>0</v>
      </c>
      <c r="BT148" s="239">
        <v>0</v>
      </c>
      <c r="BU148" s="239">
        <v>-3841532</v>
      </c>
      <c r="BV148" s="239">
        <v>0</v>
      </c>
      <c r="BW148" s="239">
        <v>-3841532</v>
      </c>
      <c r="BX148" s="239">
        <v>0</v>
      </c>
      <c r="BY148" s="239">
        <v>0</v>
      </c>
      <c r="BZ148" s="239">
        <v>0</v>
      </c>
      <c r="CA148" s="239">
        <v>0</v>
      </c>
      <c r="CB148" s="239">
        <v>0</v>
      </c>
      <c r="CC148" s="239">
        <v>0</v>
      </c>
      <c r="CD148" s="239">
        <v>-1039570</v>
      </c>
      <c r="CE148" s="239">
        <v>0</v>
      </c>
      <c r="CF148" s="239">
        <v>-1039570</v>
      </c>
      <c r="CG148" s="239">
        <v>0</v>
      </c>
      <c r="CH148" s="239">
        <v>0</v>
      </c>
      <c r="CI148" s="239">
        <v>0</v>
      </c>
      <c r="CJ148" s="239">
        <v>0</v>
      </c>
      <c r="CK148" s="239">
        <v>0</v>
      </c>
      <c r="CL148" s="239">
        <v>0</v>
      </c>
      <c r="CM148" s="239">
        <v>0</v>
      </c>
      <c r="CN148" s="239">
        <v>0</v>
      </c>
      <c r="CO148" s="239">
        <v>0</v>
      </c>
      <c r="CP148" s="239">
        <v>0</v>
      </c>
      <c r="CQ148" s="239">
        <v>0</v>
      </c>
      <c r="CR148" s="239">
        <v>0</v>
      </c>
      <c r="CS148" s="239">
        <v>0</v>
      </c>
      <c r="CT148" s="239">
        <v>0</v>
      </c>
      <c r="CU148" s="239">
        <v>0</v>
      </c>
      <c r="CV148" s="239">
        <v>0</v>
      </c>
      <c r="CW148" s="239">
        <v>0</v>
      </c>
      <c r="CX148" s="239">
        <v>0</v>
      </c>
      <c r="CY148" s="239">
        <v>0</v>
      </c>
      <c r="CZ148" s="239">
        <v>0</v>
      </c>
      <c r="DA148" s="239">
        <v>0</v>
      </c>
      <c r="DB148" s="239">
        <v>0</v>
      </c>
      <c r="DC148" s="239">
        <v>0</v>
      </c>
      <c r="DD148" s="239">
        <v>0</v>
      </c>
      <c r="DE148" s="239">
        <v>0</v>
      </c>
      <c r="DF148" s="239">
        <v>0</v>
      </c>
      <c r="DG148" s="239">
        <v>0</v>
      </c>
      <c r="DH148" s="239">
        <v>0</v>
      </c>
      <c r="DI148" s="239">
        <v>0</v>
      </c>
      <c r="DJ148" s="239">
        <v>-1039570</v>
      </c>
      <c r="DK148" s="239">
        <v>0</v>
      </c>
      <c r="DL148" s="239">
        <v>-1039570</v>
      </c>
      <c r="DM148" s="239">
        <v>0</v>
      </c>
      <c r="DN148" s="239">
        <v>0</v>
      </c>
      <c r="DO148" s="239">
        <v>0</v>
      </c>
      <c r="DP148" s="239">
        <v>0</v>
      </c>
      <c r="DQ148" s="239">
        <v>0</v>
      </c>
      <c r="DR148" s="239">
        <v>0</v>
      </c>
      <c r="DS148" s="239">
        <v>-62270</v>
      </c>
      <c r="DT148" s="239">
        <v>0</v>
      </c>
      <c r="DU148" s="239">
        <v>-62270</v>
      </c>
      <c r="DV148" s="239">
        <v>419</v>
      </c>
      <c r="DW148" s="239">
        <v>0</v>
      </c>
      <c r="DX148" s="239">
        <v>419</v>
      </c>
      <c r="DY148" s="239">
        <v>-1579193</v>
      </c>
      <c r="DZ148" s="239">
        <v>0</v>
      </c>
      <c r="EA148" s="239">
        <v>-1579193</v>
      </c>
      <c r="EB148" s="239">
        <v>1652</v>
      </c>
      <c r="EC148" s="239">
        <v>0</v>
      </c>
      <c r="ED148" s="239">
        <v>1652</v>
      </c>
      <c r="EE148" s="239">
        <v>-95000</v>
      </c>
      <c r="EF148" s="239">
        <v>0</v>
      </c>
      <c r="EG148" s="239">
        <v>-95000</v>
      </c>
      <c r="EH148" s="239">
        <v>0</v>
      </c>
      <c r="EI148" s="239">
        <v>0</v>
      </c>
      <c r="EJ148" s="239">
        <v>0</v>
      </c>
      <c r="EK148" s="239">
        <v>-18483</v>
      </c>
      <c r="EL148" s="239">
        <v>0</v>
      </c>
      <c r="EM148" s="239">
        <v>-18483</v>
      </c>
      <c r="EN148" s="239">
        <v>-1752875</v>
      </c>
      <c r="EO148" s="239">
        <v>0</v>
      </c>
      <c r="EP148" s="239">
        <v>-1752875</v>
      </c>
      <c r="EQ148" s="239">
        <v>0</v>
      </c>
      <c r="ER148" s="239">
        <v>0</v>
      </c>
      <c r="ES148" s="239">
        <v>0</v>
      </c>
      <c r="ET148" s="239">
        <v>0</v>
      </c>
      <c r="EU148" s="239">
        <v>0</v>
      </c>
      <c r="EV148" s="239">
        <v>0</v>
      </c>
      <c r="EW148" s="239">
        <v>0</v>
      </c>
      <c r="EX148" s="239">
        <v>0</v>
      </c>
      <c r="EY148" s="239">
        <v>0</v>
      </c>
      <c r="EZ148" s="239">
        <v>107840428</v>
      </c>
      <c r="FA148" s="239">
        <v>173109</v>
      </c>
      <c r="FB148" s="239">
        <v>108013537</v>
      </c>
      <c r="FC148" s="239">
        <v>-545550</v>
      </c>
      <c r="FD148" s="239">
        <v>0</v>
      </c>
      <c r="FE148" s="239">
        <v>-545550</v>
      </c>
      <c r="FF148" s="239">
        <v>-11063453</v>
      </c>
      <c r="FG148" s="239">
        <v>0</v>
      </c>
      <c r="FH148" s="239">
        <v>-11063453</v>
      </c>
      <c r="FI148" s="239">
        <v>-3841532</v>
      </c>
      <c r="FJ148" s="239">
        <v>0</v>
      </c>
      <c r="FK148" s="239">
        <v>-3841532</v>
      </c>
      <c r="FL148" s="239">
        <v>-1039570</v>
      </c>
      <c r="FM148" s="239">
        <v>0</v>
      </c>
      <c r="FN148" s="239">
        <v>-1039570</v>
      </c>
      <c r="FO148" s="239">
        <v>-1752875</v>
      </c>
      <c r="FP148" s="239">
        <v>0</v>
      </c>
      <c r="FQ148" s="239">
        <v>-1752875</v>
      </c>
      <c r="FR148" s="239">
        <v>0</v>
      </c>
      <c r="FS148" s="239">
        <v>0</v>
      </c>
      <c r="FT148" s="239">
        <v>0</v>
      </c>
      <c r="FU148" s="239">
        <v>-18242980</v>
      </c>
      <c r="FV148" s="239">
        <v>0</v>
      </c>
      <c r="FW148" s="239">
        <v>-18242980</v>
      </c>
      <c r="FX148" s="239">
        <v>89597448</v>
      </c>
      <c r="FY148" s="239">
        <v>173109</v>
      </c>
      <c r="FZ148" s="239">
        <v>89770557</v>
      </c>
      <c r="GA148" s="214" t="s">
        <v>748</v>
      </c>
    </row>
    <row r="149" spans="2:183" s="214" customFormat="1" x14ac:dyDescent="0.2">
      <c r="B149" s="610" t="s">
        <v>381</v>
      </c>
      <c r="C149" s="610" t="s">
        <v>380</v>
      </c>
      <c r="D149" s="239">
        <v>0</v>
      </c>
      <c r="E149" s="239">
        <v>0</v>
      </c>
      <c r="F149" s="239">
        <v>0</v>
      </c>
      <c r="G149" s="239">
        <v>174692</v>
      </c>
      <c r="H149" s="239">
        <v>0</v>
      </c>
      <c r="I149" s="239">
        <v>174692</v>
      </c>
      <c r="J149" s="239">
        <v>0</v>
      </c>
      <c r="K149" s="239">
        <v>0</v>
      </c>
      <c r="L149" s="239">
        <v>0</v>
      </c>
      <c r="M149" s="239">
        <v>43910</v>
      </c>
      <c r="N149" s="239">
        <v>0</v>
      </c>
      <c r="O149" s="239">
        <v>43910</v>
      </c>
      <c r="P149" s="239">
        <v>218602</v>
      </c>
      <c r="Q149" s="239">
        <v>0</v>
      </c>
      <c r="R149" s="239">
        <v>218602</v>
      </c>
      <c r="S149" s="239">
        <v>-2402514</v>
      </c>
      <c r="T149" s="239">
        <v>0</v>
      </c>
      <c r="U149" s="239">
        <v>-2402514</v>
      </c>
      <c r="V149" s="239">
        <v>-3293</v>
      </c>
      <c r="W149" s="239">
        <v>0</v>
      </c>
      <c r="X149" s="239">
        <v>-3293</v>
      </c>
      <c r="Y149" s="239">
        <v>-137992</v>
      </c>
      <c r="Z149" s="239">
        <v>0</v>
      </c>
      <c r="AA149" s="239">
        <v>-137992</v>
      </c>
      <c r="AB149" s="239">
        <v>-75315</v>
      </c>
      <c r="AC149" s="239">
        <v>0</v>
      </c>
      <c r="AD149" s="239">
        <v>-75315</v>
      </c>
      <c r="AE149" s="239">
        <v>-4615</v>
      </c>
      <c r="AF149" s="239">
        <v>0</v>
      </c>
      <c r="AG149" s="239">
        <v>-4615</v>
      </c>
      <c r="AH149" s="239">
        <v>2309360</v>
      </c>
      <c r="AI149" s="239">
        <v>0</v>
      </c>
      <c r="AJ149" s="239">
        <v>2309360</v>
      </c>
      <c r="AK149" s="239">
        <v>-38507</v>
      </c>
      <c r="AL149" s="239">
        <v>0</v>
      </c>
      <c r="AM149" s="239">
        <v>-38507</v>
      </c>
      <c r="AN149" s="239">
        <v>-6007069</v>
      </c>
      <c r="AO149" s="239">
        <v>0</v>
      </c>
      <c r="AP149" s="239">
        <v>-6007069</v>
      </c>
      <c r="AQ149" s="239">
        <v>-53250</v>
      </c>
      <c r="AR149" s="239">
        <v>0</v>
      </c>
      <c r="AS149" s="239">
        <v>-53250</v>
      </c>
      <c r="AT149" s="239">
        <v>-123802</v>
      </c>
      <c r="AU149" s="239">
        <v>0</v>
      </c>
      <c r="AV149" s="239">
        <v>-123802</v>
      </c>
      <c r="AW149" s="239">
        <v>24804</v>
      </c>
      <c r="AX149" s="239">
        <v>0</v>
      </c>
      <c r="AY149" s="239">
        <v>24804</v>
      </c>
      <c r="AZ149" s="239">
        <v>0</v>
      </c>
      <c r="BA149" s="239">
        <v>0</v>
      </c>
      <c r="BB149" s="239">
        <v>0</v>
      </c>
      <c r="BC149" s="239">
        <v>0</v>
      </c>
      <c r="BD149" s="239">
        <v>0</v>
      </c>
      <c r="BE149" s="239">
        <v>0</v>
      </c>
      <c r="BF149" s="239">
        <v>-6428970</v>
      </c>
      <c r="BG149" s="239">
        <v>0</v>
      </c>
      <c r="BH149" s="239">
        <v>-6428970</v>
      </c>
      <c r="BI149" s="239">
        <v>-20618</v>
      </c>
      <c r="BJ149" s="239">
        <v>0</v>
      </c>
      <c r="BK149" s="239">
        <v>-20618</v>
      </c>
      <c r="BL149" s="239">
        <v>-1055</v>
      </c>
      <c r="BM149" s="239">
        <v>0</v>
      </c>
      <c r="BN149" s="239">
        <v>-1055</v>
      </c>
      <c r="BO149" s="239">
        <v>-3613682</v>
      </c>
      <c r="BP149" s="239">
        <v>0</v>
      </c>
      <c r="BQ149" s="239">
        <v>-3613682</v>
      </c>
      <c r="BR149" s="239">
        <v>-267520</v>
      </c>
      <c r="BS149" s="239">
        <v>0</v>
      </c>
      <c r="BT149" s="239">
        <v>-267520</v>
      </c>
      <c r="BU149" s="239">
        <v>-3902875</v>
      </c>
      <c r="BV149" s="239">
        <v>0</v>
      </c>
      <c r="BW149" s="239">
        <v>-3902875</v>
      </c>
      <c r="BX149" s="239">
        <v>-53180</v>
      </c>
      <c r="BY149" s="239">
        <v>0</v>
      </c>
      <c r="BZ149" s="239">
        <v>-53180</v>
      </c>
      <c r="CA149" s="239">
        <v>0</v>
      </c>
      <c r="CB149" s="239">
        <v>0</v>
      </c>
      <c r="CC149" s="239">
        <v>0</v>
      </c>
      <c r="CD149" s="239">
        <v>-390117</v>
      </c>
      <c r="CE149" s="239">
        <v>0</v>
      </c>
      <c r="CF149" s="239">
        <v>-390117</v>
      </c>
      <c r="CG149" s="239">
        <v>0</v>
      </c>
      <c r="CH149" s="239">
        <v>0</v>
      </c>
      <c r="CI149" s="239">
        <v>0</v>
      </c>
      <c r="CJ149" s="239">
        <v>0</v>
      </c>
      <c r="CK149" s="239">
        <v>0</v>
      </c>
      <c r="CL149" s="239">
        <v>0</v>
      </c>
      <c r="CM149" s="239">
        <v>0</v>
      </c>
      <c r="CN149" s="239">
        <v>0</v>
      </c>
      <c r="CO149" s="239">
        <v>0</v>
      </c>
      <c r="CP149" s="239">
        <v>0</v>
      </c>
      <c r="CQ149" s="239">
        <v>0</v>
      </c>
      <c r="CR149" s="239">
        <v>0</v>
      </c>
      <c r="CS149" s="239">
        <v>0</v>
      </c>
      <c r="CT149" s="239">
        <v>0</v>
      </c>
      <c r="CU149" s="239">
        <v>0</v>
      </c>
      <c r="CV149" s="239">
        <v>0</v>
      </c>
      <c r="CW149" s="239">
        <v>0</v>
      </c>
      <c r="CX149" s="239">
        <v>0</v>
      </c>
      <c r="CY149" s="239">
        <v>0</v>
      </c>
      <c r="CZ149" s="239">
        <v>0</v>
      </c>
      <c r="DA149" s="239">
        <v>0</v>
      </c>
      <c r="DB149" s="239">
        <v>0</v>
      </c>
      <c r="DC149" s="239">
        <v>0</v>
      </c>
      <c r="DD149" s="239">
        <v>0</v>
      </c>
      <c r="DE149" s="239">
        <v>0</v>
      </c>
      <c r="DF149" s="239">
        <v>0</v>
      </c>
      <c r="DG149" s="239">
        <v>0</v>
      </c>
      <c r="DH149" s="239">
        <v>0</v>
      </c>
      <c r="DI149" s="239">
        <v>0</v>
      </c>
      <c r="DJ149" s="239">
        <v>-443297</v>
      </c>
      <c r="DK149" s="239">
        <v>0</v>
      </c>
      <c r="DL149" s="239">
        <v>-443297</v>
      </c>
      <c r="DM149" s="239">
        <v>0</v>
      </c>
      <c r="DN149" s="239">
        <v>0</v>
      </c>
      <c r="DO149" s="239">
        <v>0</v>
      </c>
      <c r="DP149" s="239">
        <v>0</v>
      </c>
      <c r="DQ149" s="239">
        <v>0</v>
      </c>
      <c r="DR149" s="239">
        <v>0</v>
      </c>
      <c r="DS149" s="239">
        <v>0</v>
      </c>
      <c r="DT149" s="239">
        <v>0</v>
      </c>
      <c r="DU149" s="239">
        <v>0</v>
      </c>
      <c r="DV149" s="239">
        <v>0</v>
      </c>
      <c r="DW149" s="239">
        <v>0</v>
      </c>
      <c r="DX149" s="239">
        <v>0</v>
      </c>
      <c r="DY149" s="239">
        <v>-1011400</v>
      </c>
      <c r="DZ149" s="239">
        <v>0</v>
      </c>
      <c r="EA149" s="239">
        <v>-1011400</v>
      </c>
      <c r="EB149" s="239">
        <v>-65832</v>
      </c>
      <c r="EC149" s="239">
        <v>0</v>
      </c>
      <c r="ED149" s="239">
        <v>-65832</v>
      </c>
      <c r="EE149" s="239">
        <v>0</v>
      </c>
      <c r="EF149" s="239">
        <v>0</v>
      </c>
      <c r="EG149" s="239">
        <v>0</v>
      </c>
      <c r="EH149" s="239">
        <v>28978</v>
      </c>
      <c r="EI149" s="239">
        <v>0</v>
      </c>
      <c r="EJ149" s="239">
        <v>28978</v>
      </c>
      <c r="EK149" s="239">
        <v>0</v>
      </c>
      <c r="EL149" s="239">
        <v>0</v>
      </c>
      <c r="EM149" s="239">
        <v>0</v>
      </c>
      <c r="EN149" s="239">
        <v>-1048254</v>
      </c>
      <c r="EO149" s="239">
        <v>0</v>
      </c>
      <c r="EP149" s="239">
        <v>-1048254</v>
      </c>
      <c r="EQ149" s="239">
        <v>0</v>
      </c>
      <c r="ER149" s="239">
        <v>0</v>
      </c>
      <c r="ES149" s="239">
        <v>0</v>
      </c>
      <c r="ET149" s="239">
        <v>0</v>
      </c>
      <c r="EU149" s="239">
        <v>0</v>
      </c>
      <c r="EV149" s="239">
        <v>0</v>
      </c>
      <c r="EW149" s="239">
        <v>0</v>
      </c>
      <c r="EX149" s="239">
        <v>0</v>
      </c>
      <c r="EY149" s="239">
        <v>0</v>
      </c>
      <c r="EZ149" s="239">
        <v>92321032</v>
      </c>
      <c r="FA149" s="239">
        <v>0</v>
      </c>
      <c r="FB149" s="239">
        <v>92321032</v>
      </c>
      <c r="FC149" s="239">
        <v>218602</v>
      </c>
      <c r="FD149" s="239">
        <v>0</v>
      </c>
      <c r="FE149" s="239">
        <v>218602</v>
      </c>
      <c r="FF149" s="239">
        <v>-6428970</v>
      </c>
      <c r="FG149" s="239">
        <v>0</v>
      </c>
      <c r="FH149" s="239">
        <v>-6428970</v>
      </c>
      <c r="FI149" s="239">
        <v>-3902875</v>
      </c>
      <c r="FJ149" s="239">
        <v>0</v>
      </c>
      <c r="FK149" s="239">
        <v>-3902875</v>
      </c>
      <c r="FL149" s="239">
        <v>-443297</v>
      </c>
      <c r="FM149" s="239">
        <v>0</v>
      </c>
      <c r="FN149" s="239">
        <v>-443297</v>
      </c>
      <c r="FO149" s="239">
        <v>-1048254</v>
      </c>
      <c r="FP149" s="239">
        <v>0</v>
      </c>
      <c r="FQ149" s="239">
        <v>-1048254</v>
      </c>
      <c r="FR149" s="239">
        <v>0</v>
      </c>
      <c r="FS149" s="239">
        <v>0</v>
      </c>
      <c r="FT149" s="239">
        <v>0</v>
      </c>
      <c r="FU149" s="239">
        <v>-11604794</v>
      </c>
      <c r="FV149" s="239">
        <v>0</v>
      </c>
      <c r="FW149" s="239">
        <v>-11604794</v>
      </c>
      <c r="FX149" s="239">
        <v>80716238</v>
      </c>
      <c r="FY149" s="239">
        <v>0</v>
      </c>
      <c r="FZ149" s="239">
        <v>80716238</v>
      </c>
      <c r="GA149" s="214" t="s">
        <v>1295</v>
      </c>
    </row>
    <row r="150" spans="2:183" s="214" customFormat="1" x14ac:dyDescent="0.2">
      <c r="B150" s="610" t="s">
        <v>383</v>
      </c>
      <c r="C150" s="610" t="s">
        <v>382</v>
      </c>
      <c r="D150" s="239">
        <v>0</v>
      </c>
      <c r="E150" s="239">
        <v>0</v>
      </c>
      <c r="F150" s="239">
        <v>0</v>
      </c>
      <c r="G150" s="239">
        <v>-67461</v>
      </c>
      <c r="H150" s="239">
        <v>0</v>
      </c>
      <c r="I150" s="239">
        <v>-67461</v>
      </c>
      <c r="J150" s="239">
        <v>0</v>
      </c>
      <c r="K150" s="239">
        <v>0</v>
      </c>
      <c r="L150" s="239">
        <v>0</v>
      </c>
      <c r="M150" s="239">
        <v>276673</v>
      </c>
      <c r="N150" s="239">
        <v>0</v>
      </c>
      <c r="O150" s="239">
        <v>276673</v>
      </c>
      <c r="P150" s="239">
        <v>209212</v>
      </c>
      <c r="Q150" s="239">
        <v>0</v>
      </c>
      <c r="R150" s="239">
        <v>209212</v>
      </c>
      <c r="S150" s="239">
        <v>-12512021</v>
      </c>
      <c r="T150" s="239">
        <v>0</v>
      </c>
      <c r="U150" s="239">
        <v>-12512021</v>
      </c>
      <c r="V150" s="239">
        <v>-54750</v>
      </c>
      <c r="W150" s="239">
        <v>0</v>
      </c>
      <c r="X150" s="239">
        <v>-54750</v>
      </c>
      <c r="Y150" s="239">
        <v>-497403</v>
      </c>
      <c r="Z150" s="239">
        <v>0</v>
      </c>
      <c r="AA150" s="239">
        <v>-497403</v>
      </c>
      <c r="AB150" s="239">
        <v>-333077</v>
      </c>
      <c r="AC150" s="239">
        <v>0</v>
      </c>
      <c r="AD150" s="239">
        <v>-333077</v>
      </c>
      <c r="AE150" s="239">
        <v>-5575</v>
      </c>
      <c r="AF150" s="239">
        <v>0</v>
      </c>
      <c r="AG150" s="239">
        <v>-5575</v>
      </c>
      <c r="AH150" s="239">
        <v>2896027</v>
      </c>
      <c r="AI150" s="239">
        <v>0</v>
      </c>
      <c r="AJ150" s="239">
        <v>2896027</v>
      </c>
      <c r="AK150" s="239">
        <v>2968</v>
      </c>
      <c r="AL150" s="239">
        <v>0</v>
      </c>
      <c r="AM150" s="239">
        <v>2968</v>
      </c>
      <c r="AN150" s="239">
        <v>-7662945</v>
      </c>
      <c r="AO150" s="239">
        <v>0</v>
      </c>
      <c r="AP150" s="239">
        <v>-7662945</v>
      </c>
      <c r="AQ150" s="239">
        <v>32878</v>
      </c>
      <c r="AR150" s="239">
        <v>0</v>
      </c>
      <c r="AS150" s="239">
        <v>32878</v>
      </c>
      <c r="AT150" s="239">
        <v>-176855</v>
      </c>
      <c r="AU150" s="239">
        <v>0</v>
      </c>
      <c r="AV150" s="239">
        <v>-176855</v>
      </c>
      <c r="AW150" s="239">
        <v>-27154</v>
      </c>
      <c r="AX150" s="239">
        <v>0</v>
      </c>
      <c r="AY150" s="239">
        <v>-27154</v>
      </c>
      <c r="AZ150" s="239">
        <v>-5880</v>
      </c>
      <c r="BA150" s="239">
        <v>0</v>
      </c>
      <c r="BB150" s="239">
        <v>-5880</v>
      </c>
      <c r="BC150" s="239">
        <v>0</v>
      </c>
      <c r="BD150" s="239">
        <v>0</v>
      </c>
      <c r="BE150" s="239">
        <v>0</v>
      </c>
      <c r="BF150" s="239">
        <v>-17950385</v>
      </c>
      <c r="BG150" s="239">
        <v>0</v>
      </c>
      <c r="BH150" s="239">
        <v>-17950385</v>
      </c>
      <c r="BI150" s="239">
        <v>-41869</v>
      </c>
      <c r="BJ150" s="239">
        <v>0</v>
      </c>
      <c r="BK150" s="239">
        <v>-41869</v>
      </c>
      <c r="BL150" s="239">
        <v>-18369</v>
      </c>
      <c r="BM150" s="239">
        <v>0</v>
      </c>
      <c r="BN150" s="239">
        <v>-18369</v>
      </c>
      <c r="BO150" s="239">
        <v>-5224008</v>
      </c>
      <c r="BP150" s="239">
        <v>0</v>
      </c>
      <c r="BQ150" s="239">
        <v>-5224008</v>
      </c>
      <c r="BR150" s="239">
        <v>71719</v>
      </c>
      <c r="BS150" s="239">
        <v>0</v>
      </c>
      <c r="BT150" s="239">
        <v>71719</v>
      </c>
      <c r="BU150" s="239">
        <v>-5212527</v>
      </c>
      <c r="BV150" s="239">
        <v>0</v>
      </c>
      <c r="BW150" s="239">
        <v>-5212527</v>
      </c>
      <c r="BX150" s="239">
        <v>-316261</v>
      </c>
      <c r="BY150" s="239">
        <v>0</v>
      </c>
      <c r="BZ150" s="239">
        <v>-316261</v>
      </c>
      <c r="CA150" s="239">
        <v>1492</v>
      </c>
      <c r="CB150" s="239">
        <v>0</v>
      </c>
      <c r="CC150" s="239">
        <v>1492</v>
      </c>
      <c r="CD150" s="239">
        <v>-98489</v>
      </c>
      <c r="CE150" s="239">
        <v>0</v>
      </c>
      <c r="CF150" s="239">
        <v>-98489</v>
      </c>
      <c r="CG150" s="239">
        <v>726</v>
      </c>
      <c r="CH150" s="239">
        <v>0</v>
      </c>
      <c r="CI150" s="239">
        <v>726</v>
      </c>
      <c r="CJ150" s="239">
        <v>-267</v>
      </c>
      <c r="CK150" s="239">
        <v>0</v>
      </c>
      <c r="CL150" s="239">
        <v>-267</v>
      </c>
      <c r="CM150" s="239">
        <v>-1465</v>
      </c>
      <c r="CN150" s="239">
        <v>0</v>
      </c>
      <c r="CO150" s="239">
        <v>-1465</v>
      </c>
      <c r="CP150" s="239">
        <v>-1902</v>
      </c>
      <c r="CQ150" s="239">
        <v>0</v>
      </c>
      <c r="CR150" s="239">
        <v>-1902</v>
      </c>
      <c r="CS150" s="239">
        <v>0</v>
      </c>
      <c r="CT150" s="239">
        <v>0</v>
      </c>
      <c r="CU150" s="239">
        <v>0</v>
      </c>
      <c r="CV150" s="239">
        <v>-120296</v>
      </c>
      <c r="CW150" s="239">
        <v>0</v>
      </c>
      <c r="CX150" s="239">
        <v>-120296</v>
      </c>
      <c r="CY150" s="239">
        <v>-4271</v>
      </c>
      <c r="CZ150" s="239">
        <v>0</v>
      </c>
      <c r="DA150" s="239">
        <v>-4271</v>
      </c>
      <c r="DB150" s="239">
        <v>0</v>
      </c>
      <c r="DC150" s="239">
        <v>0</v>
      </c>
      <c r="DD150" s="239">
        <v>0</v>
      </c>
      <c r="DE150" s="239">
        <v>0</v>
      </c>
      <c r="DF150" s="239">
        <v>0</v>
      </c>
      <c r="DG150" s="239">
        <v>0</v>
      </c>
      <c r="DH150" s="239">
        <v>0</v>
      </c>
      <c r="DI150" s="239">
        <v>0</v>
      </c>
      <c r="DJ150" s="239">
        <v>-540733</v>
      </c>
      <c r="DK150" s="239">
        <v>0</v>
      </c>
      <c r="DL150" s="239">
        <v>-540733</v>
      </c>
      <c r="DM150" s="239">
        <v>0</v>
      </c>
      <c r="DN150" s="239">
        <v>0</v>
      </c>
      <c r="DO150" s="239">
        <v>0</v>
      </c>
      <c r="DP150" s="239">
        <v>0</v>
      </c>
      <c r="DQ150" s="239">
        <v>0</v>
      </c>
      <c r="DR150" s="239">
        <v>0</v>
      </c>
      <c r="DS150" s="239">
        <v>-144495</v>
      </c>
      <c r="DT150" s="239">
        <v>0</v>
      </c>
      <c r="DU150" s="239">
        <v>-144495</v>
      </c>
      <c r="DV150" s="239">
        <v>-2628</v>
      </c>
      <c r="DW150" s="239">
        <v>0</v>
      </c>
      <c r="DX150" s="239">
        <v>-2628</v>
      </c>
      <c r="DY150" s="239">
        <v>-2167137</v>
      </c>
      <c r="DZ150" s="239">
        <v>0</v>
      </c>
      <c r="EA150" s="239">
        <v>-2167137</v>
      </c>
      <c r="EB150" s="239">
        <v>-91230</v>
      </c>
      <c r="EC150" s="239">
        <v>0</v>
      </c>
      <c r="ED150" s="239">
        <v>-91230</v>
      </c>
      <c r="EE150" s="239">
        <v>-105773</v>
      </c>
      <c r="EF150" s="239">
        <v>0</v>
      </c>
      <c r="EG150" s="239">
        <v>-105773</v>
      </c>
      <c r="EH150" s="239">
        <v>0</v>
      </c>
      <c r="EI150" s="239">
        <v>0</v>
      </c>
      <c r="EJ150" s="239">
        <v>0</v>
      </c>
      <c r="EK150" s="239">
        <v>-10364</v>
      </c>
      <c r="EL150" s="239">
        <v>0</v>
      </c>
      <c r="EM150" s="239">
        <v>-10364</v>
      </c>
      <c r="EN150" s="239">
        <v>-2521627</v>
      </c>
      <c r="EO150" s="239">
        <v>0</v>
      </c>
      <c r="EP150" s="239">
        <v>-2521627</v>
      </c>
      <c r="EQ150" s="239">
        <v>0</v>
      </c>
      <c r="ER150" s="239">
        <v>0</v>
      </c>
      <c r="ES150" s="239">
        <v>0</v>
      </c>
      <c r="ET150" s="239">
        <v>0</v>
      </c>
      <c r="EU150" s="239">
        <v>0</v>
      </c>
      <c r="EV150" s="239">
        <v>0</v>
      </c>
      <c r="EW150" s="239">
        <v>0</v>
      </c>
      <c r="EX150" s="239">
        <v>0</v>
      </c>
      <c r="EY150" s="239">
        <v>0</v>
      </c>
      <c r="EZ150" s="239">
        <v>128362149</v>
      </c>
      <c r="FA150" s="239">
        <v>0</v>
      </c>
      <c r="FB150" s="239">
        <v>128362149</v>
      </c>
      <c r="FC150" s="239">
        <v>209212</v>
      </c>
      <c r="FD150" s="239">
        <v>0</v>
      </c>
      <c r="FE150" s="239">
        <v>209212</v>
      </c>
      <c r="FF150" s="239">
        <v>-17950385</v>
      </c>
      <c r="FG150" s="239">
        <v>0</v>
      </c>
      <c r="FH150" s="239">
        <v>-17950385</v>
      </c>
      <c r="FI150" s="239">
        <v>-5212527</v>
      </c>
      <c r="FJ150" s="239">
        <v>0</v>
      </c>
      <c r="FK150" s="239">
        <v>-5212527</v>
      </c>
      <c r="FL150" s="239">
        <v>-540733</v>
      </c>
      <c r="FM150" s="239">
        <v>0</v>
      </c>
      <c r="FN150" s="239">
        <v>-540733</v>
      </c>
      <c r="FO150" s="239">
        <v>-2521627</v>
      </c>
      <c r="FP150" s="239">
        <v>0</v>
      </c>
      <c r="FQ150" s="239">
        <v>-2521627</v>
      </c>
      <c r="FR150" s="239">
        <v>0</v>
      </c>
      <c r="FS150" s="239">
        <v>0</v>
      </c>
      <c r="FT150" s="239">
        <v>0</v>
      </c>
      <c r="FU150" s="239">
        <v>-26016060</v>
      </c>
      <c r="FV150" s="239">
        <v>0</v>
      </c>
      <c r="FW150" s="239">
        <v>-26016060</v>
      </c>
      <c r="FX150" s="239">
        <v>102346089</v>
      </c>
      <c r="FY150" s="239">
        <v>0</v>
      </c>
      <c r="FZ150" s="239">
        <v>102346089</v>
      </c>
      <c r="GA150" s="214" t="s">
        <v>1296</v>
      </c>
    </row>
    <row r="151" spans="2:183" s="214" customFormat="1" x14ac:dyDescent="0.2">
      <c r="B151" s="610" t="s">
        <v>385</v>
      </c>
      <c r="C151" s="610" t="s">
        <v>384</v>
      </c>
      <c r="D151" s="239">
        <v>0</v>
      </c>
      <c r="E151" s="239">
        <v>0</v>
      </c>
      <c r="F151" s="239">
        <v>0</v>
      </c>
      <c r="G151" s="239">
        <v>-95847</v>
      </c>
      <c r="H151" s="239">
        <v>0</v>
      </c>
      <c r="I151" s="239">
        <v>-95847</v>
      </c>
      <c r="J151" s="239">
        <v>0</v>
      </c>
      <c r="K151" s="239">
        <v>0</v>
      </c>
      <c r="L151" s="239">
        <v>0</v>
      </c>
      <c r="M151" s="239">
        <v>4740</v>
      </c>
      <c r="N151" s="239">
        <v>0</v>
      </c>
      <c r="O151" s="239">
        <v>4740</v>
      </c>
      <c r="P151" s="239">
        <v>-91107</v>
      </c>
      <c r="Q151" s="239">
        <v>0</v>
      </c>
      <c r="R151" s="239">
        <v>-91107</v>
      </c>
      <c r="S151" s="239">
        <v>-1921497</v>
      </c>
      <c r="T151" s="239">
        <v>0</v>
      </c>
      <c r="U151" s="239">
        <v>-1921497</v>
      </c>
      <c r="V151" s="239">
        <v>-8346</v>
      </c>
      <c r="W151" s="239">
        <v>0</v>
      </c>
      <c r="X151" s="239">
        <v>-8346</v>
      </c>
      <c r="Y151" s="239">
        <v>-92371</v>
      </c>
      <c r="Z151" s="239">
        <v>0</v>
      </c>
      <c r="AA151" s="239">
        <v>-92371</v>
      </c>
      <c r="AB151" s="239">
        <v>-86458</v>
      </c>
      <c r="AC151" s="239">
        <v>0</v>
      </c>
      <c r="AD151" s="239">
        <v>-86458</v>
      </c>
      <c r="AE151" s="239">
        <v>1356</v>
      </c>
      <c r="AF151" s="239">
        <v>0</v>
      </c>
      <c r="AG151" s="239">
        <v>1356</v>
      </c>
      <c r="AH151" s="239">
        <v>1197054</v>
      </c>
      <c r="AI151" s="239">
        <v>0</v>
      </c>
      <c r="AJ151" s="239">
        <v>1197054</v>
      </c>
      <c r="AK151" s="239">
        <v>-20208</v>
      </c>
      <c r="AL151" s="239">
        <v>0</v>
      </c>
      <c r="AM151" s="239">
        <v>-20208</v>
      </c>
      <c r="AN151" s="239">
        <v>-2082521</v>
      </c>
      <c r="AO151" s="239">
        <v>0</v>
      </c>
      <c r="AP151" s="239">
        <v>-2082521</v>
      </c>
      <c r="AQ151" s="239">
        <v>-41764</v>
      </c>
      <c r="AR151" s="239">
        <v>0</v>
      </c>
      <c r="AS151" s="239">
        <v>-41764</v>
      </c>
      <c r="AT151" s="239">
        <v>-15736</v>
      </c>
      <c r="AU151" s="239">
        <v>0</v>
      </c>
      <c r="AV151" s="239">
        <v>-15736</v>
      </c>
      <c r="AW151" s="239">
        <v>0</v>
      </c>
      <c r="AX151" s="239">
        <v>0</v>
      </c>
      <c r="AY151" s="239">
        <v>0</v>
      </c>
      <c r="AZ151" s="239">
        <v>0</v>
      </c>
      <c r="BA151" s="239">
        <v>0</v>
      </c>
      <c r="BB151" s="239">
        <v>0</v>
      </c>
      <c r="BC151" s="239">
        <v>0</v>
      </c>
      <c r="BD151" s="239">
        <v>0</v>
      </c>
      <c r="BE151" s="239">
        <v>0</v>
      </c>
      <c r="BF151" s="239">
        <v>-2977043</v>
      </c>
      <c r="BG151" s="239">
        <v>0</v>
      </c>
      <c r="BH151" s="239">
        <v>-2977043</v>
      </c>
      <c r="BI151" s="239">
        <v>-44048</v>
      </c>
      <c r="BJ151" s="239">
        <v>0</v>
      </c>
      <c r="BK151" s="239">
        <v>-44048</v>
      </c>
      <c r="BL151" s="239">
        <v>-5863</v>
      </c>
      <c r="BM151" s="239">
        <v>0</v>
      </c>
      <c r="BN151" s="239">
        <v>-5863</v>
      </c>
      <c r="BO151" s="239">
        <v>-1664083</v>
      </c>
      <c r="BP151" s="239">
        <v>0</v>
      </c>
      <c r="BQ151" s="239">
        <v>-1664083</v>
      </c>
      <c r="BR151" s="239">
        <v>117546</v>
      </c>
      <c r="BS151" s="239">
        <v>0</v>
      </c>
      <c r="BT151" s="239">
        <v>117546</v>
      </c>
      <c r="BU151" s="239">
        <v>-1596448</v>
      </c>
      <c r="BV151" s="239">
        <v>0</v>
      </c>
      <c r="BW151" s="239">
        <v>-1596448</v>
      </c>
      <c r="BX151" s="239">
        <v>-194393</v>
      </c>
      <c r="BY151" s="239">
        <v>0</v>
      </c>
      <c r="BZ151" s="239">
        <v>-194393</v>
      </c>
      <c r="CA151" s="239">
        <v>1470</v>
      </c>
      <c r="CB151" s="239">
        <v>0</v>
      </c>
      <c r="CC151" s="239">
        <v>1470</v>
      </c>
      <c r="CD151" s="239">
        <v>-39129</v>
      </c>
      <c r="CE151" s="239">
        <v>0</v>
      </c>
      <c r="CF151" s="239">
        <v>-39129</v>
      </c>
      <c r="CG151" s="239">
        <v>-3710</v>
      </c>
      <c r="CH151" s="239">
        <v>0</v>
      </c>
      <c r="CI151" s="239">
        <v>-3710</v>
      </c>
      <c r="CJ151" s="239">
        <v>0</v>
      </c>
      <c r="CK151" s="239">
        <v>0</v>
      </c>
      <c r="CL151" s="239">
        <v>0</v>
      </c>
      <c r="CM151" s="239">
        <v>0</v>
      </c>
      <c r="CN151" s="239">
        <v>0</v>
      </c>
      <c r="CO151" s="239">
        <v>0</v>
      </c>
      <c r="CP151" s="239">
        <v>0</v>
      </c>
      <c r="CQ151" s="239">
        <v>0</v>
      </c>
      <c r="CR151" s="239">
        <v>0</v>
      </c>
      <c r="CS151" s="239">
        <v>0</v>
      </c>
      <c r="CT151" s="239">
        <v>0</v>
      </c>
      <c r="CU151" s="239">
        <v>0</v>
      </c>
      <c r="CV151" s="239">
        <v>0</v>
      </c>
      <c r="CW151" s="239">
        <v>0</v>
      </c>
      <c r="CX151" s="239">
        <v>0</v>
      </c>
      <c r="CY151" s="239">
        <v>0</v>
      </c>
      <c r="CZ151" s="239">
        <v>0</v>
      </c>
      <c r="DA151" s="239">
        <v>0</v>
      </c>
      <c r="DB151" s="239">
        <v>0</v>
      </c>
      <c r="DC151" s="239">
        <v>0</v>
      </c>
      <c r="DD151" s="239">
        <v>0</v>
      </c>
      <c r="DE151" s="239">
        <v>0</v>
      </c>
      <c r="DF151" s="239">
        <v>0</v>
      </c>
      <c r="DG151" s="239">
        <v>0</v>
      </c>
      <c r="DH151" s="239">
        <v>0</v>
      </c>
      <c r="DI151" s="239">
        <v>0</v>
      </c>
      <c r="DJ151" s="239">
        <v>-235762</v>
      </c>
      <c r="DK151" s="239">
        <v>0</v>
      </c>
      <c r="DL151" s="239">
        <v>-235762</v>
      </c>
      <c r="DM151" s="239">
        <v>-10622</v>
      </c>
      <c r="DN151" s="239">
        <v>0</v>
      </c>
      <c r="DO151" s="239">
        <v>-10622</v>
      </c>
      <c r="DP151" s="239">
        <v>-1503</v>
      </c>
      <c r="DQ151" s="239">
        <v>0</v>
      </c>
      <c r="DR151" s="239">
        <v>-1503</v>
      </c>
      <c r="DS151" s="239">
        <v>-53343</v>
      </c>
      <c r="DT151" s="239">
        <v>0</v>
      </c>
      <c r="DU151" s="239">
        <v>-53343</v>
      </c>
      <c r="DV151" s="239">
        <v>-368</v>
      </c>
      <c r="DW151" s="239">
        <v>0</v>
      </c>
      <c r="DX151" s="239">
        <v>-368</v>
      </c>
      <c r="DY151" s="239">
        <v>-412010</v>
      </c>
      <c r="DZ151" s="239">
        <v>0</v>
      </c>
      <c r="EA151" s="239">
        <v>-412010</v>
      </c>
      <c r="EB151" s="239">
        <v>-27567</v>
      </c>
      <c r="EC151" s="239">
        <v>0</v>
      </c>
      <c r="ED151" s="239">
        <v>-27567</v>
      </c>
      <c r="EE151" s="239">
        <v>0</v>
      </c>
      <c r="EF151" s="239">
        <v>0</v>
      </c>
      <c r="EG151" s="239">
        <v>0</v>
      </c>
      <c r="EH151" s="239">
        <v>0</v>
      </c>
      <c r="EI151" s="239">
        <v>0</v>
      </c>
      <c r="EJ151" s="239">
        <v>0</v>
      </c>
      <c r="EK151" s="239">
        <v>-1463</v>
      </c>
      <c r="EL151" s="239">
        <v>0</v>
      </c>
      <c r="EM151" s="239">
        <v>-1463</v>
      </c>
      <c r="EN151" s="239">
        <v>-506876</v>
      </c>
      <c r="EO151" s="239">
        <v>0</v>
      </c>
      <c r="EP151" s="239">
        <v>-506876</v>
      </c>
      <c r="EQ151" s="239">
        <v>0</v>
      </c>
      <c r="ER151" s="239">
        <v>0</v>
      </c>
      <c r="ES151" s="239">
        <v>0</v>
      </c>
      <c r="ET151" s="239">
        <v>0</v>
      </c>
      <c r="EU151" s="239">
        <v>0</v>
      </c>
      <c r="EV151" s="239">
        <v>0</v>
      </c>
      <c r="EW151" s="239">
        <v>0</v>
      </c>
      <c r="EX151" s="239">
        <v>0</v>
      </c>
      <c r="EY151" s="239">
        <v>0</v>
      </c>
      <c r="EZ151" s="239">
        <v>47420353</v>
      </c>
      <c r="FA151" s="239">
        <v>0</v>
      </c>
      <c r="FB151" s="239">
        <v>47420353</v>
      </c>
      <c r="FC151" s="239">
        <v>-91107</v>
      </c>
      <c r="FD151" s="239">
        <v>0</v>
      </c>
      <c r="FE151" s="239">
        <v>-91107</v>
      </c>
      <c r="FF151" s="239">
        <v>-2977043</v>
      </c>
      <c r="FG151" s="239">
        <v>0</v>
      </c>
      <c r="FH151" s="239">
        <v>-2977043</v>
      </c>
      <c r="FI151" s="239">
        <v>-1596448</v>
      </c>
      <c r="FJ151" s="239">
        <v>0</v>
      </c>
      <c r="FK151" s="239">
        <v>-1596448</v>
      </c>
      <c r="FL151" s="239">
        <v>-235762</v>
      </c>
      <c r="FM151" s="239">
        <v>0</v>
      </c>
      <c r="FN151" s="239">
        <v>-235762</v>
      </c>
      <c r="FO151" s="239">
        <v>-506876</v>
      </c>
      <c r="FP151" s="239">
        <v>0</v>
      </c>
      <c r="FQ151" s="239">
        <v>-506876</v>
      </c>
      <c r="FR151" s="239">
        <v>0</v>
      </c>
      <c r="FS151" s="239">
        <v>0</v>
      </c>
      <c r="FT151" s="239">
        <v>0</v>
      </c>
      <c r="FU151" s="239">
        <v>-5407236</v>
      </c>
      <c r="FV151" s="239">
        <v>0</v>
      </c>
      <c r="FW151" s="239">
        <v>-5407236</v>
      </c>
      <c r="FX151" s="239">
        <v>42013117</v>
      </c>
      <c r="FY151" s="239">
        <v>0</v>
      </c>
      <c r="FZ151" s="239">
        <v>42013117</v>
      </c>
      <c r="GA151" s="214" t="s">
        <v>1296</v>
      </c>
    </row>
    <row r="152" spans="2:183" s="214" customFormat="1" x14ac:dyDescent="0.2">
      <c r="B152" s="610" t="s">
        <v>387</v>
      </c>
      <c r="C152" s="610" t="s">
        <v>386</v>
      </c>
      <c r="D152" s="239">
        <v>0</v>
      </c>
      <c r="E152" s="239">
        <v>0</v>
      </c>
      <c r="F152" s="239">
        <v>0</v>
      </c>
      <c r="G152" s="239">
        <v>-1136698</v>
      </c>
      <c r="H152" s="239">
        <v>0</v>
      </c>
      <c r="I152" s="239">
        <v>-1136698</v>
      </c>
      <c r="J152" s="239">
        <v>0</v>
      </c>
      <c r="K152" s="239">
        <v>0</v>
      </c>
      <c r="L152" s="239">
        <v>0</v>
      </c>
      <c r="M152" s="239">
        <v>44449</v>
      </c>
      <c r="N152" s="239">
        <v>0</v>
      </c>
      <c r="O152" s="239">
        <v>44449</v>
      </c>
      <c r="P152" s="239">
        <v>-1092249</v>
      </c>
      <c r="Q152" s="239">
        <v>0</v>
      </c>
      <c r="R152" s="239">
        <v>-1092249</v>
      </c>
      <c r="S152" s="239">
        <v>-5815390</v>
      </c>
      <c r="T152" s="239">
        <v>0</v>
      </c>
      <c r="U152" s="239">
        <v>-5815390</v>
      </c>
      <c r="V152" s="239">
        <v>0</v>
      </c>
      <c r="W152" s="239">
        <v>0</v>
      </c>
      <c r="X152" s="239">
        <v>0</v>
      </c>
      <c r="Y152" s="239">
        <v>-160270</v>
      </c>
      <c r="Z152" s="239">
        <v>0</v>
      </c>
      <c r="AA152" s="239">
        <v>-160270</v>
      </c>
      <c r="AB152" s="239">
        <v>-107940</v>
      </c>
      <c r="AC152" s="239">
        <v>0</v>
      </c>
      <c r="AD152" s="239">
        <v>-107940</v>
      </c>
      <c r="AE152" s="239">
        <v>0</v>
      </c>
      <c r="AF152" s="239">
        <v>0</v>
      </c>
      <c r="AG152" s="239">
        <v>0</v>
      </c>
      <c r="AH152" s="239">
        <v>3446955</v>
      </c>
      <c r="AI152" s="239">
        <v>0</v>
      </c>
      <c r="AJ152" s="239">
        <v>3446955</v>
      </c>
      <c r="AK152" s="239">
        <v>-50725</v>
      </c>
      <c r="AL152" s="239">
        <v>0</v>
      </c>
      <c r="AM152" s="239">
        <v>-50725</v>
      </c>
      <c r="AN152" s="239">
        <v>-16487570</v>
      </c>
      <c r="AO152" s="239">
        <v>0</v>
      </c>
      <c r="AP152" s="239">
        <v>-16487570</v>
      </c>
      <c r="AQ152" s="239">
        <v>299678</v>
      </c>
      <c r="AR152" s="239">
        <v>0</v>
      </c>
      <c r="AS152" s="239">
        <v>299678</v>
      </c>
      <c r="AT152" s="239">
        <v>-7789</v>
      </c>
      <c r="AU152" s="239">
        <v>0</v>
      </c>
      <c r="AV152" s="239">
        <v>-7789</v>
      </c>
      <c r="AW152" s="239">
        <v>0</v>
      </c>
      <c r="AX152" s="239">
        <v>0</v>
      </c>
      <c r="AY152" s="239">
        <v>0</v>
      </c>
      <c r="AZ152" s="239">
        <v>0</v>
      </c>
      <c r="BA152" s="239">
        <v>0</v>
      </c>
      <c r="BB152" s="239">
        <v>0</v>
      </c>
      <c r="BC152" s="239">
        <v>0</v>
      </c>
      <c r="BD152" s="239">
        <v>0</v>
      </c>
      <c r="BE152" s="239">
        <v>0</v>
      </c>
      <c r="BF152" s="239">
        <v>-18775111</v>
      </c>
      <c r="BG152" s="239">
        <v>0</v>
      </c>
      <c r="BH152" s="239">
        <v>-18775111</v>
      </c>
      <c r="BI152" s="239">
        <v>-106145</v>
      </c>
      <c r="BJ152" s="239">
        <v>0</v>
      </c>
      <c r="BK152" s="239">
        <v>-106145</v>
      </c>
      <c r="BL152" s="239">
        <v>0</v>
      </c>
      <c r="BM152" s="239">
        <v>0</v>
      </c>
      <c r="BN152" s="239">
        <v>0</v>
      </c>
      <c r="BO152" s="239">
        <v>-3269295</v>
      </c>
      <c r="BP152" s="239">
        <v>0</v>
      </c>
      <c r="BQ152" s="239">
        <v>-3269295</v>
      </c>
      <c r="BR152" s="239">
        <v>96218</v>
      </c>
      <c r="BS152" s="239">
        <v>0</v>
      </c>
      <c r="BT152" s="239">
        <v>96218</v>
      </c>
      <c r="BU152" s="239">
        <v>-3279222</v>
      </c>
      <c r="BV152" s="239">
        <v>0</v>
      </c>
      <c r="BW152" s="239">
        <v>-3279222</v>
      </c>
      <c r="BX152" s="239">
        <v>-200864</v>
      </c>
      <c r="BY152" s="239">
        <v>0</v>
      </c>
      <c r="BZ152" s="239">
        <v>-200864</v>
      </c>
      <c r="CA152" s="239">
        <v>21846</v>
      </c>
      <c r="CB152" s="239">
        <v>0</v>
      </c>
      <c r="CC152" s="239">
        <v>21846</v>
      </c>
      <c r="CD152" s="239">
        <v>-345157</v>
      </c>
      <c r="CE152" s="239">
        <v>0</v>
      </c>
      <c r="CF152" s="239">
        <v>-345157</v>
      </c>
      <c r="CG152" s="239">
        <v>-15513</v>
      </c>
      <c r="CH152" s="239">
        <v>0</v>
      </c>
      <c r="CI152" s="239">
        <v>-15513</v>
      </c>
      <c r="CJ152" s="239">
        <v>0</v>
      </c>
      <c r="CK152" s="239">
        <v>0</v>
      </c>
      <c r="CL152" s="239">
        <v>0</v>
      </c>
      <c r="CM152" s="239">
        <v>0</v>
      </c>
      <c r="CN152" s="239">
        <v>0</v>
      </c>
      <c r="CO152" s="239">
        <v>0</v>
      </c>
      <c r="CP152" s="239">
        <v>0</v>
      </c>
      <c r="CQ152" s="239">
        <v>0</v>
      </c>
      <c r="CR152" s="239">
        <v>0</v>
      </c>
      <c r="CS152" s="239">
        <v>0</v>
      </c>
      <c r="CT152" s="239">
        <v>0</v>
      </c>
      <c r="CU152" s="239">
        <v>0</v>
      </c>
      <c r="CV152" s="239">
        <v>0</v>
      </c>
      <c r="CW152" s="239">
        <v>0</v>
      </c>
      <c r="CX152" s="239">
        <v>0</v>
      </c>
      <c r="CY152" s="239">
        <v>0</v>
      </c>
      <c r="CZ152" s="239">
        <v>0</v>
      </c>
      <c r="DA152" s="239">
        <v>0</v>
      </c>
      <c r="DB152" s="239">
        <v>0</v>
      </c>
      <c r="DC152" s="239">
        <v>0</v>
      </c>
      <c r="DD152" s="239">
        <v>0</v>
      </c>
      <c r="DE152" s="239">
        <v>0</v>
      </c>
      <c r="DF152" s="239">
        <v>0</v>
      </c>
      <c r="DG152" s="239">
        <v>0</v>
      </c>
      <c r="DH152" s="239">
        <v>0</v>
      </c>
      <c r="DI152" s="239">
        <v>0</v>
      </c>
      <c r="DJ152" s="239">
        <v>-539688</v>
      </c>
      <c r="DK152" s="239">
        <v>0</v>
      </c>
      <c r="DL152" s="239">
        <v>-539688</v>
      </c>
      <c r="DM152" s="239">
        <v>-17842</v>
      </c>
      <c r="DN152" s="239">
        <v>0</v>
      </c>
      <c r="DO152" s="239">
        <v>-17842</v>
      </c>
      <c r="DP152" s="239">
        <v>-1880</v>
      </c>
      <c r="DQ152" s="239">
        <v>0</v>
      </c>
      <c r="DR152" s="239">
        <v>-1880</v>
      </c>
      <c r="DS152" s="239">
        <v>-6737</v>
      </c>
      <c r="DT152" s="239">
        <v>0</v>
      </c>
      <c r="DU152" s="239">
        <v>-6737</v>
      </c>
      <c r="DV152" s="239">
        <v>-2826</v>
      </c>
      <c r="DW152" s="239">
        <v>0</v>
      </c>
      <c r="DX152" s="239">
        <v>-2826</v>
      </c>
      <c r="DY152" s="239">
        <v>-1816407</v>
      </c>
      <c r="DZ152" s="239">
        <v>0</v>
      </c>
      <c r="EA152" s="239">
        <v>-1816407</v>
      </c>
      <c r="EB152" s="239">
        <v>-66794</v>
      </c>
      <c r="EC152" s="239">
        <v>0</v>
      </c>
      <c r="ED152" s="239">
        <v>-66794</v>
      </c>
      <c r="EE152" s="239">
        <v>0</v>
      </c>
      <c r="EF152" s="239">
        <v>0</v>
      </c>
      <c r="EG152" s="239">
        <v>0</v>
      </c>
      <c r="EH152" s="239">
        <v>0</v>
      </c>
      <c r="EI152" s="239">
        <v>0</v>
      </c>
      <c r="EJ152" s="239">
        <v>0</v>
      </c>
      <c r="EK152" s="239">
        <v>-43763</v>
      </c>
      <c r="EL152" s="239">
        <v>0</v>
      </c>
      <c r="EM152" s="239">
        <v>-43763</v>
      </c>
      <c r="EN152" s="239">
        <v>-1956249</v>
      </c>
      <c r="EO152" s="239">
        <v>0</v>
      </c>
      <c r="EP152" s="239">
        <v>-1956249</v>
      </c>
      <c r="EQ152" s="239">
        <v>0</v>
      </c>
      <c r="ER152" s="239">
        <v>0</v>
      </c>
      <c r="ES152" s="239">
        <v>0</v>
      </c>
      <c r="ET152" s="239">
        <v>-9402</v>
      </c>
      <c r="EU152" s="239">
        <v>0</v>
      </c>
      <c r="EV152" s="239">
        <v>-9402</v>
      </c>
      <c r="EW152" s="239">
        <v>-9402</v>
      </c>
      <c r="EX152" s="239">
        <v>0</v>
      </c>
      <c r="EY152" s="239">
        <v>-9402</v>
      </c>
      <c r="EZ152" s="239">
        <v>147598955</v>
      </c>
      <c r="FA152" s="239">
        <v>0</v>
      </c>
      <c r="FB152" s="239">
        <v>147598955</v>
      </c>
      <c r="FC152" s="239">
        <v>-1092249</v>
      </c>
      <c r="FD152" s="239">
        <v>0</v>
      </c>
      <c r="FE152" s="239">
        <v>-1092249</v>
      </c>
      <c r="FF152" s="239">
        <v>-18775111</v>
      </c>
      <c r="FG152" s="239">
        <v>0</v>
      </c>
      <c r="FH152" s="239">
        <v>-18775111</v>
      </c>
      <c r="FI152" s="239">
        <v>-3279222</v>
      </c>
      <c r="FJ152" s="239">
        <v>0</v>
      </c>
      <c r="FK152" s="239">
        <v>-3279222</v>
      </c>
      <c r="FL152" s="239">
        <v>-539688</v>
      </c>
      <c r="FM152" s="239">
        <v>0</v>
      </c>
      <c r="FN152" s="239">
        <v>-539688</v>
      </c>
      <c r="FO152" s="239">
        <v>-1956249</v>
      </c>
      <c r="FP152" s="239">
        <v>0</v>
      </c>
      <c r="FQ152" s="239">
        <v>-1956249</v>
      </c>
      <c r="FR152" s="239">
        <v>-9402</v>
      </c>
      <c r="FS152" s="239">
        <v>0</v>
      </c>
      <c r="FT152" s="239">
        <v>-9402</v>
      </c>
      <c r="FU152" s="239">
        <v>-25651921</v>
      </c>
      <c r="FV152" s="239">
        <v>0</v>
      </c>
      <c r="FW152" s="239">
        <v>-25651921</v>
      </c>
      <c r="FX152" s="239">
        <v>121947034</v>
      </c>
      <c r="FY152" s="239">
        <v>0</v>
      </c>
      <c r="FZ152" s="239">
        <v>121947034</v>
      </c>
      <c r="GA152" s="214" t="s">
        <v>1297</v>
      </c>
    </row>
    <row r="153" spans="2:183" s="214" customFormat="1" x14ac:dyDescent="0.2">
      <c r="B153" s="610" t="s">
        <v>389</v>
      </c>
      <c r="C153" s="610" t="s">
        <v>388</v>
      </c>
      <c r="D153" s="239">
        <v>0</v>
      </c>
      <c r="E153" s="239">
        <v>0</v>
      </c>
      <c r="F153" s="239">
        <v>0</v>
      </c>
      <c r="G153" s="239">
        <v>23263090</v>
      </c>
      <c r="H153" s="239">
        <v>0</v>
      </c>
      <c r="I153" s="239">
        <v>23263090</v>
      </c>
      <c r="J153" s="239">
        <v>0</v>
      </c>
      <c r="K153" s="239">
        <v>0</v>
      </c>
      <c r="L153" s="239">
        <v>0</v>
      </c>
      <c r="M153" s="239">
        <v>48145</v>
      </c>
      <c r="N153" s="239">
        <v>0</v>
      </c>
      <c r="O153" s="239">
        <v>48145</v>
      </c>
      <c r="P153" s="239">
        <v>23311235</v>
      </c>
      <c r="Q153" s="239">
        <v>0</v>
      </c>
      <c r="R153" s="239">
        <v>23311235</v>
      </c>
      <c r="S153" s="239">
        <v>-3403183</v>
      </c>
      <c r="T153" s="239">
        <v>0</v>
      </c>
      <c r="U153" s="239">
        <v>-3403183</v>
      </c>
      <c r="V153" s="239">
        <v>-21190</v>
      </c>
      <c r="W153" s="239">
        <v>0</v>
      </c>
      <c r="X153" s="239">
        <v>-21190</v>
      </c>
      <c r="Y153" s="239">
        <v>-38530</v>
      </c>
      <c r="Z153" s="239">
        <v>0</v>
      </c>
      <c r="AA153" s="239">
        <v>-38530</v>
      </c>
      <c r="AB153" s="239">
        <v>-33080</v>
      </c>
      <c r="AC153" s="239">
        <v>0</v>
      </c>
      <c r="AD153" s="239">
        <v>-33080</v>
      </c>
      <c r="AE153" s="239">
        <v>173</v>
      </c>
      <c r="AF153" s="239">
        <v>0</v>
      </c>
      <c r="AG153" s="239">
        <v>173</v>
      </c>
      <c r="AH153" s="239">
        <v>1794131</v>
      </c>
      <c r="AI153" s="239">
        <v>0</v>
      </c>
      <c r="AJ153" s="239">
        <v>1794131</v>
      </c>
      <c r="AK153" s="239">
        <v>-441679</v>
      </c>
      <c r="AL153" s="239">
        <v>0</v>
      </c>
      <c r="AM153" s="239">
        <v>-441679</v>
      </c>
      <c r="AN153" s="239">
        <v>-3608860</v>
      </c>
      <c r="AO153" s="239">
        <v>0</v>
      </c>
      <c r="AP153" s="239">
        <v>-3608860</v>
      </c>
      <c r="AQ153" s="239">
        <v>-30030</v>
      </c>
      <c r="AR153" s="239">
        <v>0</v>
      </c>
      <c r="AS153" s="239">
        <v>-30030</v>
      </c>
      <c r="AT153" s="239">
        <v>-43878</v>
      </c>
      <c r="AU153" s="239">
        <v>0</v>
      </c>
      <c r="AV153" s="239">
        <v>-43878</v>
      </c>
      <c r="AW153" s="239">
        <v>0</v>
      </c>
      <c r="AX153" s="239">
        <v>0</v>
      </c>
      <c r="AY153" s="239">
        <v>0</v>
      </c>
      <c r="AZ153" s="239">
        <v>-26767</v>
      </c>
      <c r="BA153" s="239">
        <v>0</v>
      </c>
      <c r="BB153" s="239">
        <v>-26767</v>
      </c>
      <c r="BC153" s="239">
        <v>343</v>
      </c>
      <c r="BD153" s="239">
        <v>0</v>
      </c>
      <c r="BE153" s="239">
        <v>343</v>
      </c>
      <c r="BF153" s="239">
        <v>-5798453</v>
      </c>
      <c r="BG153" s="239">
        <v>0</v>
      </c>
      <c r="BH153" s="239">
        <v>-5798453</v>
      </c>
      <c r="BI153" s="239">
        <v>0</v>
      </c>
      <c r="BJ153" s="239">
        <v>0</v>
      </c>
      <c r="BK153" s="239">
        <v>0</v>
      </c>
      <c r="BL153" s="239">
        <v>0</v>
      </c>
      <c r="BM153" s="239">
        <v>0</v>
      </c>
      <c r="BN153" s="239">
        <v>0</v>
      </c>
      <c r="BO153" s="239">
        <v>-1278877</v>
      </c>
      <c r="BP153" s="239">
        <v>0</v>
      </c>
      <c r="BQ153" s="239">
        <v>-1278877</v>
      </c>
      <c r="BR153" s="239">
        <v>-479</v>
      </c>
      <c r="BS153" s="239">
        <v>0</v>
      </c>
      <c r="BT153" s="239">
        <v>-479</v>
      </c>
      <c r="BU153" s="239">
        <v>-1279356</v>
      </c>
      <c r="BV153" s="239">
        <v>0</v>
      </c>
      <c r="BW153" s="239">
        <v>-1279356</v>
      </c>
      <c r="BX153" s="239">
        <v>-83275</v>
      </c>
      <c r="BY153" s="239">
        <v>0</v>
      </c>
      <c r="BZ153" s="239">
        <v>-83275</v>
      </c>
      <c r="CA153" s="239">
        <v>11865</v>
      </c>
      <c r="CB153" s="239">
        <v>0</v>
      </c>
      <c r="CC153" s="239">
        <v>11865</v>
      </c>
      <c r="CD153" s="239">
        <v>-41697</v>
      </c>
      <c r="CE153" s="239">
        <v>0</v>
      </c>
      <c r="CF153" s="239">
        <v>-41697</v>
      </c>
      <c r="CG153" s="239">
        <v>-112</v>
      </c>
      <c r="CH153" s="239">
        <v>0</v>
      </c>
      <c r="CI153" s="239">
        <v>-112</v>
      </c>
      <c r="CJ153" s="239">
        <v>-2391</v>
      </c>
      <c r="CK153" s="239">
        <v>0</v>
      </c>
      <c r="CL153" s="239">
        <v>-2391</v>
      </c>
      <c r="CM153" s="239">
        <v>0</v>
      </c>
      <c r="CN153" s="239">
        <v>0</v>
      </c>
      <c r="CO153" s="239">
        <v>0</v>
      </c>
      <c r="CP153" s="239">
        <v>0</v>
      </c>
      <c r="CQ153" s="239">
        <v>0</v>
      </c>
      <c r="CR153" s="239">
        <v>0</v>
      </c>
      <c r="CS153" s="239">
        <v>0</v>
      </c>
      <c r="CT153" s="239">
        <v>0</v>
      </c>
      <c r="CU153" s="239">
        <v>0</v>
      </c>
      <c r="CV153" s="239">
        <v>0</v>
      </c>
      <c r="CW153" s="239">
        <v>0</v>
      </c>
      <c r="CX153" s="239">
        <v>0</v>
      </c>
      <c r="CY153" s="239">
        <v>0</v>
      </c>
      <c r="CZ153" s="239">
        <v>0</v>
      </c>
      <c r="DA153" s="239">
        <v>0</v>
      </c>
      <c r="DB153" s="239">
        <v>0</v>
      </c>
      <c r="DC153" s="239">
        <v>0</v>
      </c>
      <c r="DD153" s="239">
        <v>0</v>
      </c>
      <c r="DE153" s="239">
        <v>0</v>
      </c>
      <c r="DF153" s="239">
        <v>0</v>
      </c>
      <c r="DG153" s="239">
        <v>0</v>
      </c>
      <c r="DH153" s="239">
        <v>0</v>
      </c>
      <c r="DI153" s="239">
        <v>0</v>
      </c>
      <c r="DJ153" s="239">
        <v>-115610</v>
      </c>
      <c r="DK153" s="239">
        <v>0</v>
      </c>
      <c r="DL153" s="239">
        <v>-115610</v>
      </c>
      <c r="DM153" s="239">
        <v>-5676</v>
      </c>
      <c r="DN153" s="239">
        <v>0</v>
      </c>
      <c r="DO153" s="239">
        <v>-5676</v>
      </c>
      <c r="DP153" s="239">
        <v>315</v>
      </c>
      <c r="DQ153" s="239">
        <v>0</v>
      </c>
      <c r="DR153" s="239">
        <v>315</v>
      </c>
      <c r="DS153" s="239">
        <v>-45261</v>
      </c>
      <c r="DT153" s="239">
        <v>0</v>
      </c>
      <c r="DU153" s="239">
        <v>-45261</v>
      </c>
      <c r="DV153" s="239">
        <v>104</v>
      </c>
      <c r="DW153" s="239">
        <v>0</v>
      </c>
      <c r="DX153" s="239">
        <v>104</v>
      </c>
      <c r="DY153" s="239">
        <v>-873369</v>
      </c>
      <c r="DZ153" s="239">
        <v>0</v>
      </c>
      <c r="EA153" s="239">
        <v>-873369</v>
      </c>
      <c r="EB153" s="239">
        <v>-9976</v>
      </c>
      <c r="EC153" s="239">
        <v>0</v>
      </c>
      <c r="ED153" s="239">
        <v>-9976</v>
      </c>
      <c r="EE153" s="239">
        <v>-366707</v>
      </c>
      <c r="EF153" s="239">
        <v>0</v>
      </c>
      <c r="EG153" s="239">
        <v>-366707</v>
      </c>
      <c r="EH153" s="239">
        <v>0</v>
      </c>
      <c r="EI153" s="239">
        <v>0</v>
      </c>
      <c r="EJ153" s="239">
        <v>0</v>
      </c>
      <c r="EK153" s="239">
        <v>-26265</v>
      </c>
      <c r="EL153" s="239">
        <v>0</v>
      </c>
      <c r="EM153" s="239">
        <v>-26265</v>
      </c>
      <c r="EN153" s="239">
        <v>-1326835</v>
      </c>
      <c r="EO153" s="239">
        <v>0</v>
      </c>
      <c r="EP153" s="239">
        <v>-1326835</v>
      </c>
      <c r="EQ153" s="239">
        <v>0</v>
      </c>
      <c r="ER153" s="239">
        <v>0</v>
      </c>
      <c r="ES153" s="239">
        <v>0</v>
      </c>
      <c r="ET153" s="239">
        <v>0</v>
      </c>
      <c r="EU153" s="239">
        <v>0</v>
      </c>
      <c r="EV153" s="239">
        <v>0</v>
      </c>
      <c r="EW153" s="239">
        <v>0</v>
      </c>
      <c r="EX153" s="239">
        <v>0</v>
      </c>
      <c r="EY153" s="239">
        <v>0</v>
      </c>
      <c r="EZ153" s="239">
        <v>51230604</v>
      </c>
      <c r="FA153" s="239">
        <v>0</v>
      </c>
      <c r="FB153" s="239">
        <v>51230604</v>
      </c>
      <c r="FC153" s="239">
        <v>23311235</v>
      </c>
      <c r="FD153" s="239">
        <v>0</v>
      </c>
      <c r="FE153" s="239">
        <v>23311235</v>
      </c>
      <c r="FF153" s="239">
        <v>-5798453</v>
      </c>
      <c r="FG153" s="239">
        <v>0</v>
      </c>
      <c r="FH153" s="239">
        <v>-5798453</v>
      </c>
      <c r="FI153" s="239">
        <v>-1279356</v>
      </c>
      <c r="FJ153" s="239">
        <v>0</v>
      </c>
      <c r="FK153" s="239">
        <v>-1279356</v>
      </c>
      <c r="FL153" s="239">
        <v>-115610</v>
      </c>
      <c r="FM153" s="239">
        <v>0</v>
      </c>
      <c r="FN153" s="239">
        <v>-115610</v>
      </c>
      <c r="FO153" s="239">
        <v>-1326835</v>
      </c>
      <c r="FP153" s="239">
        <v>0</v>
      </c>
      <c r="FQ153" s="239">
        <v>-1326835</v>
      </c>
      <c r="FR153" s="239">
        <v>0</v>
      </c>
      <c r="FS153" s="239">
        <v>0</v>
      </c>
      <c r="FT153" s="239">
        <v>0</v>
      </c>
      <c r="FU153" s="239">
        <v>14790981</v>
      </c>
      <c r="FV153" s="239">
        <v>0</v>
      </c>
      <c r="FW153" s="239">
        <v>14790981</v>
      </c>
      <c r="FX153" s="239">
        <v>66021585</v>
      </c>
      <c r="FY153" s="239">
        <v>0</v>
      </c>
      <c r="FZ153" s="239">
        <v>66021585</v>
      </c>
      <c r="GA153" s="214" t="s">
        <v>1294</v>
      </c>
    </row>
    <row r="154" spans="2:183" s="214" customFormat="1" x14ac:dyDescent="0.2">
      <c r="B154" s="610" t="s">
        <v>391</v>
      </c>
      <c r="C154" s="610" t="s">
        <v>390</v>
      </c>
      <c r="D154" s="239">
        <v>0</v>
      </c>
      <c r="E154" s="239">
        <v>0</v>
      </c>
      <c r="F154" s="239">
        <v>0</v>
      </c>
      <c r="G154" s="239">
        <v>3884741</v>
      </c>
      <c r="H154" s="239">
        <v>0</v>
      </c>
      <c r="I154" s="239">
        <v>3884741</v>
      </c>
      <c r="J154" s="239">
        <v>0</v>
      </c>
      <c r="K154" s="239">
        <v>0</v>
      </c>
      <c r="L154" s="239">
        <v>0</v>
      </c>
      <c r="M154" s="239">
        <v>1005068</v>
      </c>
      <c r="N154" s="239">
        <v>0</v>
      </c>
      <c r="O154" s="239">
        <v>1005068</v>
      </c>
      <c r="P154" s="239">
        <v>4889809</v>
      </c>
      <c r="Q154" s="239">
        <v>0</v>
      </c>
      <c r="R154" s="239">
        <v>4889809</v>
      </c>
      <c r="S154" s="239">
        <v>-16880625</v>
      </c>
      <c r="T154" s="239">
        <v>0</v>
      </c>
      <c r="U154" s="239">
        <v>-16880625</v>
      </c>
      <c r="V154" s="239">
        <v>-7987</v>
      </c>
      <c r="W154" s="239">
        <v>0</v>
      </c>
      <c r="X154" s="239">
        <v>-7987</v>
      </c>
      <c r="Y154" s="239">
        <v>-254059</v>
      </c>
      <c r="Z154" s="239">
        <v>0</v>
      </c>
      <c r="AA154" s="239">
        <v>-254059</v>
      </c>
      <c r="AB154" s="239">
        <v>-178472</v>
      </c>
      <c r="AC154" s="239">
        <v>0</v>
      </c>
      <c r="AD154" s="239">
        <v>-178472</v>
      </c>
      <c r="AE154" s="239">
        <v>0</v>
      </c>
      <c r="AF154" s="239">
        <v>0</v>
      </c>
      <c r="AG154" s="239">
        <v>0</v>
      </c>
      <c r="AH154" s="239">
        <v>10497708</v>
      </c>
      <c r="AI154" s="239">
        <v>32991</v>
      </c>
      <c r="AJ154" s="239">
        <v>10530699</v>
      </c>
      <c r="AK154" s="239">
        <v>-641526</v>
      </c>
      <c r="AL154" s="239">
        <v>0</v>
      </c>
      <c r="AM154" s="239">
        <v>-641526</v>
      </c>
      <c r="AN154" s="239">
        <v>-23890783</v>
      </c>
      <c r="AO154" s="239">
        <v>0</v>
      </c>
      <c r="AP154" s="239">
        <v>-23890783</v>
      </c>
      <c r="AQ154" s="239">
        <v>66182</v>
      </c>
      <c r="AR154" s="239">
        <v>0</v>
      </c>
      <c r="AS154" s="239">
        <v>66182</v>
      </c>
      <c r="AT154" s="239">
        <v>-325401</v>
      </c>
      <c r="AU154" s="239">
        <v>0</v>
      </c>
      <c r="AV154" s="239">
        <v>-325401</v>
      </c>
      <c r="AW154" s="239">
        <v>-20375</v>
      </c>
      <c r="AX154" s="239">
        <v>0</v>
      </c>
      <c r="AY154" s="239">
        <v>-20375</v>
      </c>
      <c r="AZ154" s="239">
        <v>-10599</v>
      </c>
      <c r="BA154" s="239">
        <v>0</v>
      </c>
      <c r="BB154" s="239">
        <v>-10599</v>
      </c>
      <c r="BC154" s="239">
        <v>0</v>
      </c>
      <c r="BD154" s="239">
        <v>0</v>
      </c>
      <c r="BE154" s="239">
        <v>0</v>
      </c>
      <c r="BF154" s="239">
        <v>-31459478</v>
      </c>
      <c r="BG154" s="239">
        <v>32991</v>
      </c>
      <c r="BH154" s="239">
        <v>-31426487</v>
      </c>
      <c r="BI154" s="239">
        <v>-385434</v>
      </c>
      <c r="BJ154" s="239">
        <v>0</v>
      </c>
      <c r="BK154" s="239">
        <v>-385434</v>
      </c>
      <c r="BL154" s="239">
        <v>-189075</v>
      </c>
      <c r="BM154" s="239">
        <v>0</v>
      </c>
      <c r="BN154" s="239">
        <v>-189075</v>
      </c>
      <c r="BO154" s="239">
        <v>-22006587</v>
      </c>
      <c r="BP154" s="239">
        <v>-65071</v>
      </c>
      <c r="BQ154" s="239">
        <v>-22071658</v>
      </c>
      <c r="BR154" s="239">
        <v>-1559215</v>
      </c>
      <c r="BS154" s="239">
        <v>0</v>
      </c>
      <c r="BT154" s="239">
        <v>-1559215</v>
      </c>
      <c r="BU154" s="239">
        <v>-24140311</v>
      </c>
      <c r="BV154" s="239">
        <v>-65071</v>
      </c>
      <c r="BW154" s="239">
        <v>-24205382</v>
      </c>
      <c r="BX154" s="239">
        <v>-52853</v>
      </c>
      <c r="BY154" s="239">
        <v>0</v>
      </c>
      <c r="BZ154" s="239">
        <v>-52853</v>
      </c>
      <c r="CA154" s="239">
        <v>-486</v>
      </c>
      <c r="CB154" s="239">
        <v>0</v>
      </c>
      <c r="CC154" s="239">
        <v>-486</v>
      </c>
      <c r="CD154" s="239">
        <v>-427506</v>
      </c>
      <c r="CE154" s="239">
        <v>0</v>
      </c>
      <c r="CF154" s="239">
        <v>-427506</v>
      </c>
      <c r="CG154" s="239">
        <v>3967</v>
      </c>
      <c r="CH154" s="239">
        <v>0</v>
      </c>
      <c r="CI154" s="239">
        <v>3967</v>
      </c>
      <c r="CJ154" s="239">
        <v>-45241</v>
      </c>
      <c r="CK154" s="239">
        <v>0</v>
      </c>
      <c r="CL154" s="239">
        <v>-45241</v>
      </c>
      <c r="CM154" s="239">
        <v>-5183</v>
      </c>
      <c r="CN154" s="239">
        <v>0</v>
      </c>
      <c r="CO154" s="239">
        <v>-5183</v>
      </c>
      <c r="CP154" s="239">
        <v>-5620</v>
      </c>
      <c r="CQ154" s="239">
        <v>0</v>
      </c>
      <c r="CR154" s="239">
        <v>-5620</v>
      </c>
      <c r="CS154" s="239">
        <v>0</v>
      </c>
      <c r="CT154" s="239">
        <v>0</v>
      </c>
      <c r="CU154" s="239">
        <v>0</v>
      </c>
      <c r="CV154" s="239">
        <v>-4982</v>
      </c>
      <c r="CW154" s="239">
        <v>0</v>
      </c>
      <c r="CX154" s="239">
        <v>-4982</v>
      </c>
      <c r="CY154" s="239">
        <v>0</v>
      </c>
      <c r="CZ154" s="239">
        <v>0</v>
      </c>
      <c r="DA154" s="239">
        <v>0</v>
      </c>
      <c r="DB154" s="239">
        <v>-163304</v>
      </c>
      <c r="DC154" s="239">
        <v>-257171</v>
      </c>
      <c r="DD154" s="239">
        <v>-420475</v>
      </c>
      <c r="DE154" s="239">
        <v>-30843</v>
      </c>
      <c r="DF154" s="239">
        <v>0</v>
      </c>
      <c r="DG154" s="239">
        <v>-30843</v>
      </c>
      <c r="DH154" s="239">
        <v>-257171</v>
      </c>
      <c r="DI154" s="239">
        <v>0</v>
      </c>
      <c r="DJ154" s="239">
        <v>-732051</v>
      </c>
      <c r="DK154" s="239">
        <v>-257171</v>
      </c>
      <c r="DL154" s="239">
        <v>-989222</v>
      </c>
      <c r="DM154" s="239">
        <v>-48068</v>
      </c>
      <c r="DN154" s="239">
        <v>0</v>
      </c>
      <c r="DO154" s="239">
        <v>-48068</v>
      </c>
      <c r="DP154" s="239">
        <v>0</v>
      </c>
      <c r="DQ154" s="239">
        <v>0</v>
      </c>
      <c r="DR154" s="239">
        <v>0</v>
      </c>
      <c r="DS154" s="239">
        <v>-248832</v>
      </c>
      <c r="DT154" s="239">
        <v>0</v>
      </c>
      <c r="DU154" s="239">
        <v>-248832</v>
      </c>
      <c r="DV154" s="239">
        <v>-28807</v>
      </c>
      <c r="DW154" s="239">
        <v>0</v>
      </c>
      <c r="DX154" s="239">
        <v>-28807</v>
      </c>
      <c r="DY154" s="239">
        <v>-4426069</v>
      </c>
      <c r="DZ154" s="239">
        <v>0</v>
      </c>
      <c r="EA154" s="239">
        <v>-4426069</v>
      </c>
      <c r="EB154" s="239">
        <v>-26304</v>
      </c>
      <c r="EC154" s="239">
        <v>0</v>
      </c>
      <c r="ED154" s="239">
        <v>-26304</v>
      </c>
      <c r="EE154" s="239">
        <v>-955395</v>
      </c>
      <c r="EF154" s="239">
        <v>0</v>
      </c>
      <c r="EG154" s="239">
        <v>-955395</v>
      </c>
      <c r="EH154" s="239">
        <v>0</v>
      </c>
      <c r="EI154" s="239">
        <v>0</v>
      </c>
      <c r="EJ154" s="239">
        <v>0</v>
      </c>
      <c r="EK154" s="239">
        <v>-71838</v>
      </c>
      <c r="EL154" s="239">
        <v>0</v>
      </c>
      <c r="EM154" s="239">
        <v>-71838</v>
      </c>
      <c r="EN154" s="239">
        <v>-5805313</v>
      </c>
      <c r="EO154" s="239">
        <v>0</v>
      </c>
      <c r="EP154" s="239">
        <v>-5805313</v>
      </c>
      <c r="EQ154" s="239">
        <v>-230626</v>
      </c>
      <c r="ER154" s="239">
        <v>0</v>
      </c>
      <c r="ES154" s="239">
        <v>-230626</v>
      </c>
      <c r="ET154" s="239">
        <v>-47536</v>
      </c>
      <c r="EU154" s="239">
        <v>0</v>
      </c>
      <c r="EV154" s="239">
        <v>-47536</v>
      </c>
      <c r="EW154" s="239">
        <v>-278162</v>
      </c>
      <c r="EX154" s="239">
        <v>0</v>
      </c>
      <c r="EY154" s="239">
        <v>-278162</v>
      </c>
      <c r="EZ154" s="239">
        <v>402389785</v>
      </c>
      <c r="FA154" s="239">
        <v>1218125</v>
      </c>
      <c r="FB154" s="239">
        <v>403607910</v>
      </c>
      <c r="FC154" s="239">
        <v>4889809</v>
      </c>
      <c r="FD154" s="239">
        <v>0</v>
      </c>
      <c r="FE154" s="239">
        <v>4889809</v>
      </c>
      <c r="FF154" s="239">
        <v>-31459478</v>
      </c>
      <c r="FG154" s="239">
        <v>32991</v>
      </c>
      <c r="FH154" s="239">
        <v>-31426487</v>
      </c>
      <c r="FI154" s="239">
        <v>-24140311</v>
      </c>
      <c r="FJ154" s="239">
        <v>-65071</v>
      </c>
      <c r="FK154" s="239">
        <v>-24205382</v>
      </c>
      <c r="FL154" s="239">
        <v>-732051</v>
      </c>
      <c r="FM154" s="239">
        <v>-257171</v>
      </c>
      <c r="FN154" s="239">
        <v>-989222</v>
      </c>
      <c r="FO154" s="239">
        <v>-5805313</v>
      </c>
      <c r="FP154" s="239">
        <v>0</v>
      </c>
      <c r="FQ154" s="239">
        <v>-5805313</v>
      </c>
      <c r="FR154" s="239">
        <v>-278162</v>
      </c>
      <c r="FS154" s="239">
        <v>0</v>
      </c>
      <c r="FT154" s="239">
        <v>-278162</v>
      </c>
      <c r="FU154" s="239">
        <v>-57525506</v>
      </c>
      <c r="FV154" s="239">
        <v>-289251</v>
      </c>
      <c r="FW154" s="239">
        <v>-57814757</v>
      </c>
      <c r="FX154" s="239">
        <v>344864279</v>
      </c>
      <c r="FY154" s="239">
        <v>928874</v>
      </c>
      <c r="FZ154" s="239">
        <v>345793153</v>
      </c>
      <c r="GA154" s="214" t="s">
        <v>1296</v>
      </c>
    </row>
    <row r="155" spans="2:183" s="214" customFormat="1" x14ac:dyDescent="0.2">
      <c r="B155" s="610" t="s">
        <v>393</v>
      </c>
      <c r="C155" s="610" t="s">
        <v>392</v>
      </c>
      <c r="D155" s="239">
        <v>0</v>
      </c>
      <c r="E155" s="239">
        <v>0</v>
      </c>
      <c r="F155" s="239">
        <v>0</v>
      </c>
      <c r="G155" s="239">
        <v>1586</v>
      </c>
      <c r="H155" s="239">
        <v>0</v>
      </c>
      <c r="I155" s="239">
        <v>1586</v>
      </c>
      <c r="J155" s="239">
        <v>0</v>
      </c>
      <c r="K155" s="239">
        <v>0</v>
      </c>
      <c r="L155" s="239">
        <v>0</v>
      </c>
      <c r="M155" s="239">
        <v>651533</v>
      </c>
      <c r="N155" s="239">
        <v>0</v>
      </c>
      <c r="O155" s="239">
        <v>651533</v>
      </c>
      <c r="P155" s="239">
        <v>653119</v>
      </c>
      <c r="Q155" s="239">
        <v>0</v>
      </c>
      <c r="R155" s="239">
        <v>653119</v>
      </c>
      <c r="S155" s="239">
        <v>-8696541</v>
      </c>
      <c r="T155" s="239">
        <v>0</v>
      </c>
      <c r="U155" s="239">
        <v>-8696541</v>
      </c>
      <c r="V155" s="239">
        <v>-55948</v>
      </c>
      <c r="W155" s="239">
        <v>0</v>
      </c>
      <c r="X155" s="239">
        <v>-55948</v>
      </c>
      <c r="Y155" s="239">
        <v>-299540</v>
      </c>
      <c r="Z155" s="239">
        <v>0</v>
      </c>
      <c r="AA155" s="239">
        <v>-299540</v>
      </c>
      <c r="AB155" s="239">
        <v>-204949</v>
      </c>
      <c r="AC155" s="239">
        <v>0</v>
      </c>
      <c r="AD155" s="239">
        <v>-204949</v>
      </c>
      <c r="AE155" s="239">
        <v>-6751</v>
      </c>
      <c r="AF155" s="239">
        <v>0</v>
      </c>
      <c r="AG155" s="239">
        <v>-6751</v>
      </c>
      <c r="AH155" s="239">
        <v>2824893</v>
      </c>
      <c r="AI155" s="239">
        <v>0</v>
      </c>
      <c r="AJ155" s="239">
        <v>2824893</v>
      </c>
      <c r="AK155" s="239">
        <v>-35792</v>
      </c>
      <c r="AL155" s="239">
        <v>0</v>
      </c>
      <c r="AM155" s="239">
        <v>-35792</v>
      </c>
      <c r="AN155" s="239">
        <v>-8216427</v>
      </c>
      <c r="AO155" s="239">
        <v>0</v>
      </c>
      <c r="AP155" s="239">
        <v>-8216427</v>
      </c>
      <c r="AQ155" s="239">
        <v>31214</v>
      </c>
      <c r="AR155" s="239">
        <v>0</v>
      </c>
      <c r="AS155" s="239">
        <v>31214</v>
      </c>
      <c r="AT155" s="239">
        <v>-44977</v>
      </c>
      <c r="AU155" s="239">
        <v>0</v>
      </c>
      <c r="AV155" s="239">
        <v>-44977</v>
      </c>
      <c r="AW155" s="239">
        <v>0</v>
      </c>
      <c r="AX155" s="239">
        <v>0</v>
      </c>
      <c r="AY155" s="239">
        <v>0</v>
      </c>
      <c r="AZ155" s="239">
        <v>0</v>
      </c>
      <c r="BA155" s="239">
        <v>0</v>
      </c>
      <c r="BB155" s="239">
        <v>0</v>
      </c>
      <c r="BC155" s="239">
        <v>0</v>
      </c>
      <c r="BD155" s="239">
        <v>0</v>
      </c>
      <c r="BE155" s="239">
        <v>0</v>
      </c>
      <c r="BF155" s="239">
        <v>-14437170</v>
      </c>
      <c r="BG155" s="239">
        <v>0</v>
      </c>
      <c r="BH155" s="239">
        <v>-14437170</v>
      </c>
      <c r="BI155" s="239">
        <v>-163922</v>
      </c>
      <c r="BJ155" s="239">
        <v>0</v>
      </c>
      <c r="BK155" s="239">
        <v>-163922</v>
      </c>
      <c r="BL155" s="239">
        <v>-139530</v>
      </c>
      <c r="BM155" s="239">
        <v>0</v>
      </c>
      <c r="BN155" s="239">
        <v>-139530</v>
      </c>
      <c r="BO155" s="239">
        <v>-5123889</v>
      </c>
      <c r="BP155" s="239">
        <v>0</v>
      </c>
      <c r="BQ155" s="239">
        <v>-5123889</v>
      </c>
      <c r="BR155" s="239">
        <v>-383392</v>
      </c>
      <c r="BS155" s="239">
        <v>0</v>
      </c>
      <c r="BT155" s="239">
        <v>-383392</v>
      </c>
      <c r="BU155" s="239">
        <v>-5810733</v>
      </c>
      <c r="BV155" s="239">
        <v>0</v>
      </c>
      <c r="BW155" s="239">
        <v>-5810733</v>
      </c>
      <c r="BX155" s="239">
        <v>-360009</v>
      </c>
      <c r="BY155" s="239">
        <v>0</v>
      </c>
      <c r="BZ155" s="239">
        <v>-360009</v>
      </c>
      <c r="CA155" s="239">
        <v>2736</v>
      </c>
      <c r="CB155" s="239">
        <v>0</v>
      </c>
      <c r="CC155" s="239">
        <v>2736</v>
      </c>
      <c r="CD155" s="239">
        <v>-193142</v>
      </c>
      <c r="CE155" s="239">
        <v>0</v>
      </c>
      <c r="CF155" s="239">
        <v>-193142</v>
      </c>
      <c r="CG155" s="239">
        <v>-3965</v>
      </c>
      <c r="CH155" s="239">
        <v>0</v>
      </c>
      <c r="CI155" s="239">
        <v>-3965</v>
      </c>
      <c r="CJ155" s="239">
        <v>0</v>
      </c>
      <c r="CK155" s="239">
        <v>0</v>
      </c>
      <c r="CL155" s="239">
        <v>0</v>
      </c>
      <c r="CM155" s="239">
        <v>0</v>
      </c>
      <c r="CN155" s="239">
        <v>0</v>
      </c>
      <c r="CO155" s="239">
        <v>0</v>
      </c>
      <c r="CP155" s="239">
        <v>0</v>
      </c>
      <c r="CQ155" s="239">
        <v>0</v>
      </c>
      <c r="CR155" s="239">
        <v>0</v>
      </c>
      <c r="CS155" s="239">
        <v>0</v>
      </c>
      <c r="CT155" s="239">
        <v>0</v>
      </c>
      <c r="CU155" s="239">
        <v>0</v>
      </c>
      <c r="CV155" s="239">
        <v>0</v>
      </c>
      <c r="CW155" s="239">
        <v>0</v>
      </c>
      <c r="CX155" s="239">
        <v>0</v>
      </c>
      <c r="CY155" s="239">
        <v>0</v>
      </c>
      <c r="CZ155" s="239">
        <v>0</v>
      </c>
      <c r="DA155" s="239">
        <v>0</v>
      </c>
      <c r="DB155" s="239">
        <v>-123830</v>
      </c>
      <c r="DC155" s="239">
        <v>0</v>
      </c>
      <c r="DD155" s="239">
        <v>-123830</v>
      </c>
      <c r="DE155" s="239">
        <v>-24284</v>
      </c>
      <c r="DF155" s="239">
        <v>0</v>
      </c>
      <c r="DG155" s="239">
        <v>-24284</v>
      </c>
      <c r="DH155" s="239">
        <v>0</v>
      </c>
      <c r="DI155" s="239">
        <v>0</v>
      </c>
      <c r="DJ155" s="239">
        <v>-702494</v>
      </c>
      <c r="DK155" s="239">
        <v>0</v>
      </c>
      <c r="DL155" s="239">
        <v>-702494</v>
      </c>
      <c r="DM155" s="239">
        <v>-5131</v>
      </c>
      <c r="DN155" s="239">
        <v>0</v>
      </c>
      <c r="DO155" s="239">
        <v>-5131</v>
      </c>
      <c r="DP155" s="239">
        <v>2541</v>
      </c>
      <c r="DQ155" s="239">
        <v>0</v>
      </c>
      <c r="DR155" s="239">
        <v>2541</v>
      </c>
      <c r="DS155" s="239">
        <v>-109238</v>
      </c>
      <c r="DT155" s="239">
        <v>0</v>
      </c>
      <c r="DU155" s="239">
        <v>-109238</v>
      </c>
      <c r="DV155" s="239">
        <v>-11221</v>
      </c>
      <c r="DW155" s="239">
        <v>0</v>
      </c>
      <c r="DX155" s="239">
        <v>-11221</v>
      </c>
      <c r="DY155" s="239">
        <v>-1899100</v>
      </c>
      <c r="DZ155" s="239">
        <v>0</v>
      </c>
      <c r="EA155" s="239">
        <v>-1899100</v>
      </c>
      <c r="EB155" s="239">
        <v>-18483</v>
      </c>
      <c r="EC155" s="239">
        <v>0</v>
      </c>
      <c r="ED155" s="239">
        <v>-18483</v>
      </c>
      <c r="EE155" s="239">
        <v>0</v>
      </c>
      <c r="EF155" s="239">
        <v>0</v>
      </c>
      <c r="EG155" s="239">
        <v>0</v>
      </c>
      <c r="EH155" s="239">
        <v>0</v>
      </c>
      <c r="EI155" s="239">
        <v>0</v>
      </c>
      <c r="EJ155" s="239">
        <v>0</v>
      </c>
      <c r="EK155" s="239">
        <v>-985</v>
      </c>
      <c r="EL155" s="239">
        <v>0</v>
      </c>
      <c r="EM155" s="239">
        <v>-985</v>
      </c>
      <c r="EN155" s="239">
        <v>-2041617</v>
      </c>
      <c r="EO155" s="239">
        <v>0</v>
      </c>
      <c r="EP155" s="239">
        <v>-2041617</v>
      </c>
      <c r="EQ155" s="239">
        <v>-37350</v>
      </c>
      <c r="ER155" s="239">
        <v>0</v>
      </c>
      <c r="ES155" s="239">
        <v>-37350</v>
      </c>
      <c r="ET155" s="239">
        <v>-1176</v>
      </c>
      <c r="EU155" s="239">
        <v>0</v>
      </c>
      <c r="EV155" s="239">
        <v>-1176</v>
      </c>
      <c r="EW155" s="239">
        <v>-38526</v>
      </c>
      <c r="EX155" s="239">
        <v>0</v>
      </c>
      <c r="EY155" s="239">
        <v>-38526</v>
      </c>
      <c r="EZ155" s="239">
        <v>124563936</v>
      </c>
      <c r="FA155" s="239">
        <v>0</v>
      </c>
      <c r="FB155" s="239">
        <v>124563936</v>
      </c>
      <c r="FC155" s="239">
        <v>653119</v>
      </c>
      <c r="FD155" s="239">
        <v>0</v>
      </c>
      <c r="FE155" s="239">
        <v>653119</v>
      </c>
      <c r="FF155" s="239">
        <v>-14437170</v>
      </c>
      <c r="FG155" s="239">
        <v>0</v>
      </c>
      <c r="FH155" s="239">
        <v>-14437170</v>
      </c>
      <c r="FI155" s="239">
        <v>-5810733</v>
      </c>
      <c r="FJ155" s="239">
        <v>0</v>
      </c>
      <c r="FK155" s="239">
        <v>-5810733</v>
      </c>
      <c r="FL155" s="239">
        <v>-702494</v>
      </c>
      <c r="FM155" s="239">
        <v>0</v>
      </c>
      <c r="FN155" s="239">
        <v>-702494</v>
      </c>
      <c r="FO155" s="239">
        <v>-2041617</v>
      </c>
      <c r="FP155" s="239">
        <v>0</v>
      </c>
      <c r="FQ155" s="239">
        <v>-2041617</v>
      </c>
      <c r="FR155" s="239">
        <v>-38526</v>
      </c>
      <c r="FS155" s="239">
        <v>0</v>
      </c>
      <c r="FT155" s="239">
        <v>-38526</v>
      </c>
      <c r="FU155" s="239">
        <v>-22377421</v>
      </c>
      <c r="FV155" s="239">
        <v>0</v>
      </c>
      <c r="FW155" s="239">
        <v>-22377421</v>
      </c>
      <c r="FX155" s="239">
        <v>102186515</v>
      </c>
      <c r="FY155" s="239">
        <v>0</v>
      </c>
      <c r="FZ155" s="239">
        <v>102186515</v>
      </c>
      <c r="GA155" s="214" t="s">
        <v>748</v>
      </c>
    </row>
    <row r="156" spans="2:183" s="214" customFormat="1" x14ac:dyDescent="0.2">
      <c r="B156" s="610" t="s">
        <v>395</v>
      </c>
      <c r="C156" s="610" t="s">
        <v>394</v>
      </c>
      <c r="D156" s="239">
        <v>0</v>
      </c>
      <c r="E156" s="239">
        <v>0</v>
      </c>
      <c r="F156" s="239">
        <v>0</v>
      </c>
      <c r="G156" s="239">
        <v>174059</v>
      </c>
      <c r="H156" s="239">
        <v>0</v>
      </c>
      <c r="I156" s="239">
        <v>174059</v>
      </c>
      <c r="J156" s="239">
        <v>0</v>
      </c>
      <c r="K156" s="239">
        <v>0</v>
      </c>
      <c r="L156" s="239">
        <v>0</v>
      </c>
      <c r="M156" s="239">
        <v>9915</v>
      </c>
      <c r="N156" s="239">
        <v>0</v>
      </c>
      <c r="O156" s="239">
        <v>9915</v>
      </c>
      <c r="P156" s="239">
        <v>183974</v>
      </c>
      <c r="Q156" s="239">
        <v>0</v>
      </c>
      <c r="R156" s="239">
        <v>183974</v>
      </c>
      <c r="S156" s="239">
        <v>-2480874</v>
      </c>
      <c r="T156" s="239">
        <v>0</v>
      </c>
      <c r="U156" s="239">
        <v>-2480874</v>
      </c>
      <c r="V156" s="239">
        <v>0</v>
      </c>
      <c r="W156" s="239">
        <v>0</v>
      </c>
      <c r="X156" s="239">
        <v>0</v>
      </c>
      <c r="Y156" s="239">
        <v>-93097</v>
      </c>
      <c r="Z156" s="239">
        <v>0</v>
      </c>
      <c r="AA156" s="239">
        <v>-93097</v>
      </c>
      <c r="AB156" s="239">
        <v>-58122</v>
      </c>
      <c r="AC156" s="239">
        <v>0</v>
      </c>
      <c r="AD156" s="239">
        <v>-58122</v>
      </c>
      <c r="AE156" s="239">
        <v>0</v>
      </c>
      <c r="AF156" s="239">
        <v>0</v>
      </c>
      <c r="AG156" s="239">
        <v>0</v>
      </c>
      <c r="AH156" s="239">
        <v>656200</v>
      </c>
      <c r="AI156" s="239">
        <v>0</v>
      </c>
      <c r="AJ156" s="239">
        <v>656200</v>
      </c>
      <c r="AK156" s="239">
        <v>-6180</v>
      </c>
      <c r="AL156" s="239">
        <v>0</v>
      </c>
      <c r="AM156" s="239">
        <v>-6180</v>
      </c>
      <c r="AN156" s="239">
        <v>-2351090</v>
      </c>
      <c r="AO156" s="239">
        <v>0</v>
      </c>
      <c r="AP156" s="239">
        <v>-2351090</v>
      </c>
      <c r="AQ156" s="239">
        <v>-228122</v>
      </c>
      <c r="AR156" s="239">
        <v>0</v>
      </c>
      <c r="AS156" s="239">
        <v>-228122</v>
      </c>
      <c r="AT156" s="239">
        <v>-87892</v>
      </c>
      <c r="AU156" s="239">
        <v>0</v>
      </c>
      <c r="AV156" s="239">
        <v>-87892</v>
      </c>
      <c r="AW156" s="239">
        <v>0</v>
      </c>
      <c r="AX156" s="239">
        <v>0</v>
      </c>
      <c r="AY156" s="239">
        <v>0</v>
      </c>
      <c r="AZ156" s="239">
        <v>-9909</v>
      </c>
      <c r="BA156" s="239">
        <v>0</v>
      </c>
      <c r="BB156" s="239">
        <v>-9909</v>
      </c>
      <c r="BC156" s="239">
        <v>6209</v>
      </c>
      <c r="BD156" s="239">
        <v>0</v>
      </c>
      <c r="BE156" s="239">
        <v>6209</v>
      </c>
      <c r="BF156" s="239">
        <v>-4594755</v>
      </c>
      <c r="BG156" s="239">
        <v>0</v>
      </c>
      <c r="BH156" s="239">
        <v>-4594755</v>
      </c>
      <c r="BI156" s="239">
        <v>-89</v>
      </c>
      <c r="BJ156" s="239">
        <v>0</v>
      </c>
      <c r="BK156" s="239">
        <v>-89</v>
      </c>
      <c r="BL156" s="239">
        <v>-21941</v>
      </c>
      <c r="BM156" s="239">
        <v>0</v>
      </c>
      <c r="BN156" s="239">
        <v>-21941</v>
      </c>
      <c r="BO156" s="239">
        <v>-782342</v>
      </c>
      <c r="BP156" s="239">
        <v>0</v>
      </c>
      <c r="BQ156" s="239">
        <v>-782342</v>
      </c>
      <c r="BR156" s="239">
        <v>-79046</v>
      </c>
      <c r="BS156" s="239">
        <v>0</v>
      </c>
      <c r="BT156" s="239">
        <v>-79046</v>
      </c>
      <c r="BU156" s="239">
        <v>-883418</v>
      </c>
      <c r="BV156" s="239">
        <v>0</v>
      </c>
      <c r="BW156" s="239">
        <v>-883418</v>
      </c>
      <c r="BX156" s="239">
        <v>-164658</v>
      </c>
      <c r="BY156" s="239">
        <v>0</v>
      </c>
      <c r="BZ156" s="239">
        <v>-164658</v>
      </c>
      <c r="CA156" s="239">
        <v>-1722</v>
      </c>
      <c r="CB156" s="239">
        <v>0</v>
      </c>
      <c r="CC156" s="239">
        <v>-1722</v>
      </c>
      <c r="CD156" s="239">
        <v>-31220</v>
      </c>
      <c r="CE156" s="239">
        <v>0</v>
      </c>
      <c r="CF156" s="239">
        <v>-31220</v>
      </c>
      <c r="CG156" s="239">
        <v>0</v>
      </c>
      <c r="CH156" s="239">
        <v>0</v>
      </c>
      <c r="CI156" s="239">
        <v>0</v>
      </c>
      <c r="CJ156" s="239">
        <v>-542</v>
      </c>
      <c r="CK156" s="239">
        <v>0</v>
      </c>
      <c r="CL156" s="239">
        <v>-542</v>
      </c>
      <c r="CM156" s="239">
        <v>0</v>
      </c>
      <c r="CN156" s="239">
        <v>0</v>
      </c>
      <c r="CO156" s="239">
        <v>0</v>
      </c>
      <c r="CP156" s="239">
        <v>0</v>
      </c>
      <c r="CQ156" s="239">
        <v>0</v>
      </c>
      <c r="CR156" s="239">
        <v>0</v>
      </c>
      <c r="CS156" s="239">
        <v>0</v>
      </c>
      <c r="CT156" s="239">
        <v>0</v>
      </c>
      <c r="CU156" s="239">
        <v>0</v>
      </c>
      <c r="CV156" s="239">
        <v>0</v>
      </c>
      <c r="CW156" s="239">
        <v>0</v>
      </c>
      <c r="CX156" s="239">
        <v>0</v>
      </c>
      <c r="CY156" s="239">
        <v>0</v>
      </c>
      <c r="CZ156" s="239">
        <v>0</v>
      </c>
      <c r="DA156" s="239">
        <v>0</v>
      </c>
      <c r="DB156" s="239">
        <v>-3482</v>
      </c>
      <c r="DC156" s="239">
        <v>0</v>
      </c>
      <c r="DD156" s="239">
        <v>-3482</v>
      </c>
      <c r="DE156" s="239">
        <v>0</v>
      </c>
      <c r="DF156" s="239">
        <v>0</v>
      </c>
      <c r="DG156" s="239">
        <v>0</v>
      </c>
      <c r="DH156" s="239">
        <v>0</v>
      </c>
      <c r="DI156" s="239">
        <v>0</v>
      </c>
      <c r="DJ156" s="239">
        <v>-201624</v>
      </c>
      <c r="DK156" s="239">
        <v>0</v>
      </c>
      <c r="DL156" s="239">
        <v>-201624</v>
      </c>
      <c r="DM156" s="239">
        <v>0</v>
      </c>
      <c r="DN156" s="239">
        <v>0</v>
      </c>
      <c r="DO156" s="239">
        <v>0</v>
      </c>
      <c r="DP156" s="239">
        <v>0</v>
      </c>
      <c r="DQ156" s="239">
        <v>0</v>
      </c>
      <c r="DR156" s="239">
        <v>0</v>
      </c>
      <c r="DS156" s="239">
        <v>-2646</v>
      </c>
      <c r="DT156" s="239">
        <v>0</v>
      </c>
      <c r="DU156" s="239">
        <v>-2646</v>
      </c>
      <c r="DV156" s="239">
        <v>0</v>
      </c>
      <c r="DW156" s="239">
        <v>0</v>
      </c>
      <c r="DX156" s="239">
        <v>0</v>
      </c>
      <c r="DY156" s="239">
        <v>-691616</v>
      </c>
      <c r="DZ156" s="239">
        <v>0</v>
      </c>
      <c r="EA156" s="239">
        <v>-691616</v>
      </c>
      <c r="EB156" s="239">
        <v>-2599</v>
      </c>
      <c r="EC156" s="239">
        <v>0</v>
      </c>
      <c r="ED156" s="239">
        <v>-2599</v>
      </c>
      <c r="EE156" s="239">
        <v>0</v>
      </c>
      <c r="EF156" s="239">
        <v>0</v>
      </c>
      <c r="EG156" s="239">
        <v>0</v>
      </c>
      <c r="EH156" s="239">
        <v>0</v>
      </c>
      <c r="EI156" s="239">
        <v>0</v>
      </c>
      <c r="EJ156" s="239">
        <v>0</v>
      </c>
      <c r="EK156" s="239">
        <v>-15949</v>
      </c>
      <c r="EL156" s="239">
        <v>0</v>
      </c>
      <c r="EM156" s="239">
        <v>-15949</v>
      </c>
      <c r="EN156" s="239">
        <v>-712810</v>
      </c>
      <c r="EO156" s="239">
        <v>0</v>
      </c>
      <c r="EP156" s="239">
        <v>-712810</v>
      </c>
      <c r="EQ156" s="239">
        <v>0</v>
      </c>
      <c r="ER156" s="239">
        <v>0</v>
      </c>
      <c r="ES156" s="239">
        <v>0</v>
      </c>
      <c r="ET156" s="239">
        <v>0</v>
      </c>
      <c r="EU156" s="239">
        <v>0</v>
      </c>
      <c r="EV156" s="239">
        <v>0</v>
      </c>
      <c r="EW156" s="239">
        <v>0</v>
      </c>
      <c r="EX156" s="239">
        <v>0</v>
      </c>
      <c r="EY156" s="239">
        <v>0</v>
      </c>
      <c r="EZ156" s="239">
        <v>30504977</v>
      </c>
      <c r="FA156" s="239">
        <v>0</v>
      </c>
      <c r="FB156" s="239">
        <v>30504977</v>
      </c>
      <c r="FC156" s="239">
        <v>183974</v>
      </c>
      <c r="FD156" s="239">
        <v>0</v>
      </c>
      <c r="FE156" s="239">
        <v>183974</v>
      </c>
      <c r="FF156" s="239">
        <v>-4594755</v>
      </c>
      <c r="FG156" s="239">
        <v>0</v>
      </c>
      <c r="FH156" s="239">
        <v>-4594755</v>
      </c>
      <c r="FI156" s="239">
        <v>-883418</v>
      </c>
      <c r="FJ156" s="239">
        <v>0</v>
      </c>
      <c r="FK156" s="239">
        <v>-883418</v>
      </c>
      <c r="FL156" s="239">
        <v>-201624</v>
      </c>
      <c r="FM156" s="239">
        <v>0</v>
      </c>
      <c r="FN156" s="239">
        <v>-201624</v>
      </c>
      <c r="FO156" s="239">
        <v>-712810</v>
      </c>
      <c r="FP156" s="239">
        <v>0</v>
      </c>
      <c r="FQ156" s="239">
        <v>-712810</v>
      </c>
      <c r="FR156" s="239">
        <v>0</v>
      </c>
      <c r="FS156" s="239">
        <v>0</v>
      </c>
      <c r="FT156" s="239">
        <v>0</v>
      </c>
      <c r="FU156" s="239">
        <v>-6208633</v>
      </c>
      <c r="FV156" s="239">
        <v>0</v>
      </c>
      <c r="FW156" s="239">
        <v>-6208633</v>
      </c>
      <c r="FX156" s="239">
        <v>24296344</v>
      </c>
      <c r="FY156" s="239">
        <v>0</v>
      </c>
      <c r="FZ156" s="239">
        <v>24296344</v>
      </c>
      <c r="GA156" s="214" t="s">
        <v>1294</v>
      </c>
    </row>
    <row r="157" spans="2:183" s="214" customFormat="1" x14ac:dyDescent="0.2">
      <c r="B157" s="610" t="s">
        <v>397</v>
      </c>
      <c r="C157" s="610" t="s">
        <v>396</v>
      </c>
      <c r="D157" s="239">
        <v>0</v>
      </c>
      <c r="E157" s="239">
        <v>0</v>
      </c>
      <c r="F157" s="239">
        <v>0</v>
      </c>
      <c r="G157" s="239">
        <v>-325997</v>
      </c>
      <c r="H157" s="239">
        <v>0</v>
      </c>
      <c r="I157" s="239">
        <v>-325997</v>
      </c>
      <c r="J157" s="239">
        <v>0</v>
      </c>
      <c r="K157" s="239">
        <v>0</v>
      </c>
      <c r="L157" s="239">
        <v>0</v>
      </c>
      <c r="M157" s="239">
        <v>24206</v>
      </c>
      <c r="N157" s="239">
        <v>0</v>
      </c>
      <c r="O157" s="239">
        <v>24206</v>
      </c>
      <c r="P157" s="239">
        <v>-301791</v>
      </c>
      <c r="Q157" s="239">
        <v>0</v>
      </c>
      <c r="R157" s="239">
        <v>-301791</v>
      </c>
      <c r="S157" s="239">
        <v>-4841037</v>
      </c>
      <c r="T157" s="239">
        <v>0</v>
      </c>
      <c r="U157" s="239">
        <v>-4841037</v>
      </c>
      <c r="V157" s="239">
        <v>0</v>
      </c>
      <c r="W157" s="239">
        <v>0</v>
      </c>
      <c r="X157" s="239">
        <v>0</v>
      </c>
      <c r="Y157" s="239">
        <v>-172250</v>
      </c>
      <c r="Z157" s="239">
        <v>0</v>
      </c>
      <c r="AA157" s="239">
        <v>-172250</v>
      </c>
      <c r="AB157" s="239">
        <v>-118212</v>
      </c>
      <c r="AC157" s="239">
        <v>0</v>
      </c>
      <c r="AD157" s="239">
        <v>-118212</v>
      </c>
      <c r="AE157" s="239">
        <v>0</v>
      </c>
      <c r="AF157" s="239">
        <v>0</v>
      </c>
      <c r="AG157" s="239">
        <v>0</v>
      </c>
      <c r="AH157" s="239">
        <v>1381527</v>
      </c>
      <c r="AI157" s="239">
        <v>0</v>
      </c>
      <c r="AJ157" s="239">
        <v>1381527</v>
      </c>
      <c r="AK157" s="239">
        <v>22278</v>
      </c>
      <c r="AL157" s="239">
        <v>0</v>
      </c>
      <c r="AM157" s="239">
        <v>22278</v>
      </c>
      <c r="AN157" s="239">
        <v>-6810140</v>
      </c>
      <c r="AO157" s="239">
        <v>0</v>
      </c>
      <c r="AP157" s="239">
        <v>-6810140</v>
      </c>
      <c r="AQ157" s="239">
        <v>-408859</v>
      </c>
      <c r="AR157" s="239">
        <v>0</v>
      </c>
      <c r="AS157" s="239">
        <v>-408859</v>
      </c>
      <c r="AT157" s="239">
        <v>0</v>
      </c>
      <c r="AU157" s="239">
        <v>0</v>
      </c>
      <c r="AV157" s="239">
        <v>0</v>
      </c>
      <c r="AW157" s="239">
        <v>0</v>
      </c>
      <c r="AX157" s="239">
        <v>0</v>
      </c>
      <c r="AY157" s="239">
        <v>0</v>
      </c>
      <c r="AZ157" s="239">
        <v>0</v>
      </c>
      <c r="BA157" s="239">
        <v>0</v>
      </c>
      <c r="BB157" s="239">
        <v>0</v>
      </c>
      <c r="BC157" s="239">
        <v>0</v>
      </c>
      <c r="BD157" s="239">
        <v>0</v>
      </c>
      <c r="BE157" s="239">
        <v>0</v>
      </c>
      <c r="BF157" s="239">
        <v>-10828481</v>
      </c>
      <c r="BG157" s="239">
        <v>0</v>
      </c>
      <c r="BH157" s="239">
        <v>-10828481</v>
      </c>
      <c r="BI157" s="239">
        <v>-2214</v>
      </c>
      <c r="BJ157" s="239">
        <v>0</v>
      </c>
      <c r="BK157" s="239">
        <v>-2214</v>
      </c>
      <c r="BL157" s="239">
        <v>0</v>
      </c>
      <c r="BM157" s="239">
        <v>0</v>
      </c>
      <c r="BN157" s="239">
        <v>0</v>
      </c>
      <c r="BO157" s="239">
        <v>-1247614</v>
      </c>
      <c r="BP157" s="239">
        <v>0</v>
      </c>
      <c r="BQ157" s="239">
        <v>-1247614</v>
      </c>
      <c r="BR157" s="239">
        <v>47575</v>
      </c>
      <c r="BS157" s="239">
        <v>0</v>
      </c>
      <c r="BT157" s="239">
        <v>47575</v>
      </c>
      <c r="BU157" s="239">
        <v>-1202253</v>
      </c>
      <c r="BV157" s="239">
        <v>0</v>
      </c>
      <c r="BW157" s="239">
        <v>-1202253</v>
      </c>
      <c r="BX157" s="239">
        <v>-368080</v>
      </c>
      <c r="BY157" s="239">
        <v>0</v>
      </c>
      <c r="BZ157" s="239">
        <v>-368080</v>
      </c>
      <c r="CA157" s="239">
        <v>-1007</v>
      </c>
      <c r="CB157" s="239">
        <v>0</v>
      </c>
      <c r="CC157" s="239">
        <v>-1007</v>
      </c>
      <c r="CD157" s="239">
        <v>0</v>
      </c>
      <c r="CE157" s="239">
        <v>0</v>
      </c>
      <c r="CF157" s="239">
        <v>0</v>
      </c>
      <c r="CG157" s="239">
        <v>13420</v>
      </c>
      <c r="CH157" s="239">
        <v>0</v>
      </c>
      <c r="CI157" s="239">
        <v>13420</v>
      </c>
      <c r="CJ157" s="239">
        <v>0</v>
      </c>
      <c r="CK157" s="239">
        <v>0</v>
      </c>
      <c r="CL157" s="239">
        <v>0</v>
      </c>
      <c r="CM157" s="239">
        <v>0</v>
      </c>
      <c r="CN157" s="239">
        <v>0</v>
      </c>
      <c r="CO157" s="239">
        <v>0</v>
      </c>
      <c r="CP157" s="239">
        <v>0</v>
      </c>
      <c r="CQ157" s="239">
        <v>0</v>
      </c>
      <c r="CR157" s="239">
        <v>0</v>
      </c>
      <c r="CS157" s="239">
        <v>0</v>
      </c>
      <c r="CT157" s="239">
        <v>0</v>
      </c>
      <c r="CU157" s="239">
        <v>0</v>
      </c>
      <c r="CV157" s="239">
        <v>0</v>
      </c>
      <c r="CW157" s="239">
        <v>0</v>
      </c>
      <c r="CX157" s="239">
        <v>0</v>
      </c>
      <c r="CY157" s="239">
        <v>0</v>
      </c>
      <c r="CZ157" s="239">
        <v>0</v>
      </c>
      <c r="DA157" s="239">
        <v>0</v>
      </c>
      <c r="DB157" s="239">
        <v>0</v>
      </c>
      <c r="DC157" s="239">
        <v>0</v>
      </c>
      <c r="DD157" s="239">
        <v>0</v>
      </c>
      <c r="DE157" s="239">
        <v>0</v>
      </c>
      <c r="DF157" s="239">
        <v>0</v>
      </c>
      <c r="DG157" s="239">
        <v>0</v>
      </c>
      <c r="DH157" s="239">
        <v>0</v>
      </c>
      <c r="DI157" s="239">
        <v>0</v>
      </c>
      <c r="DJ157" s="239">
        <v>-355667</v>
      </c>
      <c r="DK157" s="239">
        <v>0</v>
      </c>
      <c r="DL157" s="239">
        <v>-355667</v>
      </c>
      <c r="DM157" s="239">
        <v>-11588</v>
      </c>
      <c r="DN157" s="239">
        <v>0</v>
      </c>
      <c r="DO157" s="239">
        <v>-11588</v>
      </c>
      <c r="DP157" s="239">
        <v>0</v>
      </c>
      <c r="DQ157" s="239">
        <v>0</v>
      </c>
      <c r="DR157" s="239">
        <v>0</v>
      </c>
      <c r="DS157" s="239">
        <v>-29390</v>
      </c>
      <c r="DT157" s="239">
        <v>0</v>
      </c>
      <c r="DU157" s="239">
        <v>-29390</v>
      </c>
      <c r="DV157" s="239">
        <v>0</v>
      </c>
      <c r="DW157" s="239">
        <v>0</v>
      </c>
      <c r="DX157" s="239">
        <v>0</v>
      </c>
      <c r="DY157" s="239">
        <v>-1319978</v>
      </c>
      <c r="DZ157" s="239">
        <v>0</v>
      </c>
      <c r="EA157" s="239">
        <v>-1319978</v>
      </c>
      <c r="EB157" s="239">
        <v>-111661</v>
      </c>
      <c r="EC157" s="239">
        <v>0</v>
      </c>
      <c r="ED157" s="239">
        <v>-111661</v>
      </c>
      <c r="EE157" s="239">
        <v>0</v>
      </c>
      <c r="EF157" s="239">
        <v>0</v>
      </c>
      <c r="EG157" s="239">
        <v>0</v>
      </c>
      <c r="EH157" s="239">
        <v>0</v>
      </c>
      <c r="EI157" s="239">
        <v>0</v>
      </c>
      <c r="EJ157" s="239">
        <v>0</v>
      </c>
      <c r="EK157" s="239">
        <v>-270</v>
      </c>
      <c r="EL157" s="239">
        <v>0</v>
      </c>
      <c r="EM157" s="239">
        <v>-270</v>
      </c>
      <c r="EN157" s="239">
        <v>-1472887</v>
      </c>
      <c r="EO157" s="239">
        <v>0</v>
      </c>
      <c r="EP157" s="239">
        <v>-1472887</v>
      </c>
      <c r="EQ157" s="239">
        <v>0</v>
      </c>
      <c r="ER157" s="239">
        <v>0</v>
      </c>
      <c r="ES157" s="239">
        <v>0</v>
      </c>
      <c r="ET157" s="239">
        <v>0</v>
      </c>
      <c r="EU157" s="239">
        <v>0</v>
      </c>
      <c r="EV157" s="239">
        <v>0</v>
      </c>
      <c r="EW157" s="239">
        <v>0</v>
      </c>
      <c r="EX157" s="239">
        <v>0</v>
      </c>
      <c r="EY157" s="239">
        <v>0</v>
      </c>
      <c r="EZ157" s="239">
        <v>67083120</v>
      </c>
      <c r="FA157" s="239">
        <v>0</v>
      </c>
      <c r="FB157" s="239">
        <v>67083120</v>
      </c>
      <c r="FC157" s="239">
        <v>-301791</v>
      </c>
      <c r="FD157" s="239">
        <v>0</v>
      </c>
      <c r="FE157" s="239">
        <v>-301791</v>
      </c>
      <c r="FF157" s="239">
        <v>-10828481</v>
      </c>
      <c r="FG157" s="239">
        <v>0</v>
      </c>
      <c r="FH157" s="239">
        <v>-10828481</v>
      </c>
      <c r="FI157" s="239">
        <v>-1202253</v>
      </c>
      <c r="FJ157" s="239">
        <v>0</v>
      </c>
      <c r="FK157" s="239">
        <v>-1202253</v>
      </c>
      <c r="FL157" s="239">
        <v>-355667</v>
      </c>
      <c r="FM157" s="239">
        <v>0</v>
      </c>
      <c r="FN157" s="239">
        <v>-355667</v>
      </c>
      <c r="FO157" s="239">
        <v>-1472887</v>
      </c>
      <c r="FP157" s="239">
        <v>0</v>
      </c>
      <c r="FQ157" s="239">
        <v>-1472887</v>
      </c>
      <c r="FR157" s="239">
        <v>0</v>
      </c>
      <c r="FS157" s="239">
        <v>0</v>
      </c>
      <c r="FT157" s="239">
        <v>0</v>
      </c>
      <c r="FU157" s="239">
        <v>-14161079</v>
      </c>
      <c r="FV157" s="239">
        <v>0</v>
      </c>
      <c r="FW157" s="239">
        <v>-14161079</v>
      </c>
      <c r="FX157" s="239">
        <v>52922041</v>
      </c>
      <c r="FY157" s="239">
        <v>0</v>
      </c>
      <c r="FZ157" s="239">
        <v>52922041</v>
      </c>
      <c r="GA157" s="214" t="s">
        <v>1297</v>
      </c>
    </row>
    <row r="158" spans="2:183" s="214" customFormat="1" x14ac:dyDescent="0.2">
      <c r="B158" s="610" t="s">
        <v>399</v>
      </c>
      <c r="C158" s="610" t="s">
        <v>398</v>
      </c>
      <c r="D158" s="239">
        <v>0</v>
      </c>
      <c r="E158" s="239">
        <v>0</v>
      </c>
      <c r="F158" s="239">
        <v>0</v>
      </c>
      <c r="G158" s="239">
        <v>14090</v>
      </c>
      <c r="H158" s="239">
        <v>0</v>
      </c>
      <c r="I158" s="239">
        <v>14090</v>
      </c>
      <c r="J158" s="239">
        <v>0</v>
      </c>
      <c r="K158" s="239">
        <v>0</v>
      </c>
      <c r="L158" s="239">
        <v>0</v>
      </c>
      <c r="M158" s="239">
        <v>218072</v>
      </c>
      <c r="N158" s="239">
        <v>0</v>
      </c>
      <c r="O158" s="239">
        <v>218072</v>
      </c>
      <c r="P158" s="239">
        <v>232162</v>
      </c>
      <c r="Q158" s="239">
        <v>0</v>
      </c>
      <c r="R158" s="239">
        <v>232162</v>
      </c>
      <c r="S158" s="239">
        <v>-1775698</v>
      </c>
      <c r="T158" s="239">
        <v>0</v>
      </c>
      <c r="U158" s="239">
        <v>-1775698</v>
      </c>
      <c r="V158" s="239">
        <v>62867</v>
      </c>
      <c r="W158" s="239">
        <v>0</v>
      </c>
      <c r="X158" s="239">
        <v>62867</v>
      </c>
      <c r="Y158" s="239">
        <v>-116468</v>
      </c>
      <c r="Z158" s="239">
        <v>0</v>
      </c>
      <c r="AA158" s="239">
        <v>-116468</v>
      </c>
      <c r="AB158" s="239">
        <v>-93667</v>
      </c>
      <c r="AC158" s="239">
        <v>0</v>
      </c>
      <c r="AD158" s="239">
        <v>-93667</v>
      </c>
      <c r="AE158" s="239">
        <v>23957</v>
      </c>
      <c r="AF158" s="239">
        <v>0</v>
      </c>
      <c r="AG158" s="239">
        <v>23957</v>
      </c>
      <c r="AH158" s="239">
        <v>916071</v>
      </c>
      <c r="AI158" s="239">
        <v>0</v>
      </c>
      <c r="AJ158" s="239">
        <v>916071</v>
      </c>
      <c r="AK158" s="239">
        <v>-8489</v>
      </c>
      <c r="AL158" s="239">
        <v>0</v>
      </c>
      <c r="AM158" s="239">
        <v>-8489</v>
      </c>
      <c r="AN158" s="239">
        <v>-1398512</v>
      </c>
      <c r="AO158" s="239">
        <v>0</v>
      </c>
      <c r="AP158" s="239">
        <v>-1398512</v>
      </c>
      <c r="AQ158" s="239">
        <v>-5188</v>
      </c>
      <c r="AR158" s="239">
        <v>0</v>
      </c>
      <c r="AS158" s="239">
        <v>-5188</v>
      </c>
      <c r="AT158" s="239">
        <v>-58263</v>
      </c>
      <c r="AU158" s="239">
        <v>0</v>
      </c>
      <c r="AV158" s="239">
        <v>-58263</v>
      </c>
      <c r="AW158" s="239">
        <v>0</v>
      </c>
      <c r="AX158" s="239">
        <v>0</v>
      </c>
      <c r="AY158" s="239">
        <v>0</v>
      </c>
      <c r="AZ158" s="239">
        <v>-8579</v>
      </c>
      <c r="BA158" s="239">
        <v>0</v>
      </c>
      <c r="BB158" s="239">
        <v>-8579</v>
      </c>
      <c r="BC158" s="239">
        <v>0</v>
      </c>
      <c r="BD158" s="239">
        <v>0</v>
      </c>
      <c r="BE158" s="239">
        <v>0</v>
      </c>
      <c r="BF158" s="239">
        <v>-2455126</v>
      </c>
      <c r="BG158" s="239">
        <v>0</v>
      </c>
      <c r="BH158" s="239">
        <v>-2455126</v>
      </c>
      <c r="BI158" s="239">
        <v>-64051</v>
      </c>
      <c r="BJ158" s="239">
        <v>0</v>
      </c>
      <c r="BK158" s="239">
        <v>-64051</v>
      </c>
      <c r="BL158" s="239">
        <v>-8653</v>
      </c>
      <c r="BM158" s="239">
        <v>0</v>
      </c>
      <c r="BN158" s="239">
        <v>-8653</v>
      </c>
      <c r="BO158" s="239">
        <v>-1393884</v>
      </c>
      <c r="BP158" s="239">
        <v>0</v>
      </c>
      <c r="BQ158" s="239">
        <v>-1393884</v>
      </c>
      <c r="BR158" s="239">
        <v>75062</v>
      </c>
      <c r="BS158" s="239">
        <v>0</v>
      </c>
      <c r="BT158" s="239">
        <v>75062</v>
      </c>
      <c r="BU158" s="239">
        <v>-1391526</v>
      </c>
      <c r="BV158" s="239">
        <v>0</v>
      </c>
      <c r="BW158" s="239">
        <v>-1391526</v>
      </c>
      <c r="BX158" s="239">
        <v>-35395</v>
      </c>
      <c r="BY158" s="239">
        <v>0</v>
      </c>
      <c r="BZ158" s="239">
        <v>-35395</v>
      </c>
      <c r="CA158" s="239">
        <v>1729</v>
      </c>
      <c r="CB158" s="239">
        <v>0</v>
      </c>
      <c r="CC158" s="239">
        <v>1729</v>
      </c>
      <c r="CD158" s="239">
        <v>-38909</v>
      </c>
      <c r="CE158" s="239">
        <v>0</v>
      </c>
      <c r="CF158" s="239">
        <v>-38909</v>
      </c>
      <c r="CG158" s="239">
        <v>0</v>
      </c>
      <c r="CH158" s="239">
        <v>0</v>
      </c>
      <c r="CI158" s="239">
        <v>0</v>
      </c>
      <c r="CJ158" s="239">
        <v>0</v>
      </c>
      <c r="CK158" s="239">
        <v>0</v>
      </c>
      <c r="CL158" s="239">
        <v>0</v>
      </c>
      <c r="CM158" s="239">
        <v>0</v>
      </c>
      <c r="CN158" s="239">
        <v>0</v>
      </c>
      <c r="CO158" s="239">
        <v>0</v>
      </c>
      <c r="CP158" s="239">
        <v>-2847</v>
      </c>
      <c r="CQ158" s="239">
        <v>0</v>
      </c>
      <c r="CR158" s="239">
        <v>-2847</v>
      </c>
      <c r="CS158" s="239">
        <v>0</v>
      </c>
      <c r="CT158" s="239">
        <v>0</v>
      </c>
      <c r="CU158" s="239">
        <v>0</v>
      </c>
      <c r="CV158" s="239">
        <v>-1750</v>
      </c>
      <c r="CW158" s="239">
        <v>0</v>
      </c>
      <c r="CX158" s="239">
        <v>-1750</v>
      </c>
      <c r="CY158" s="239">
        <v>0</v>
      </c>
      <c r="CZ158" s="239">
        <v>0</v>
      </c>
      <c r="DA158" s="239">
        <v>0</v>
      </c>
      <c r="DB158" s="239">
        <v>0</v>
      </c>
      <c r="DC158" s="239">
        <v>0</v>
      </c>
      <c r="DD158" s="239">
        <v>0</v>
      </c>
      <c r="DE158" s="239">
        <v>0</v>
      </c>
      <c r="DF158" s="239">
        <v>0</v>
      </c>
      <c r="DG158" s="239">
        <v>0</v>
      </c>
      <c r="DH158" s="239">
        <v>0</v>
      </c>
      <c r="DI158" s="239">
        <v>0</v>
      </c>
      <c r="DJ158" s="239">
        <v>-77172</v>
      </c>
      <c r="DK158" s="239">
        <v>0</v>
      </c>
      <c r="DL158" s="239">
        <v>-77172</v>
      </c>
      <c r="DM158" s="239">
        <v>0</v>
      </c>
      <c r="DN158" s="239">
        <v>0</v>
      </c>
      <c r="DO158" s="239">
        <v>0</v>
      </c>
      <c r="DP158" s="239">
        <v>0</v>
      </c>
      <c r="DQ158" s="239">
        <v>0</v>
      </c>
      <c r="DR158" s="239">
        <v>0</v>
      </c>
      <c r="DS158" s="239">
        <v>-5486</v>
      </c>
      <c r="DT158" s="239">
        <v>0</v>
      </c>
      <c r="DU158" s="239">
        <v>-5486</v>
      </c>
      <c r="DV158" s="239">
        <v>0</v>
      </c>
      <c r="DW158" s="239">
        <v>0</v>
      </c>
      <c r="DX158" s="239">
        <v>0</v>
      </c>
      <c r="DY158" s="239">
        <v>-595258</v>
      </c>
      <c r="DZ158" s="239">
        <v>0</v>
      </c>
      <c r="EA158" s="239">
        <v>-595258</v>
      </c>
      <c r="EB158" s="239">
        <v>-6154</v>
      </c>
      <c r="EC158" s="239">
        <v>0</v>
      </c>
      <c r="ED158" s="239">
        <v>-6154</v>
      </c>
      <c r="EE158" s="239">
        <v>0</v>
      </c>
      <c r="EF158" s="239">
        <v>0</v>
      </c>
      <c r="EG158" s="239">
        <v>0</v>
      </c>
      <c r="EH158" s="239">
        <v>0</v>
      </c>
      <c r="EI158" s="239">
        <v>0</v>
      </c>
      <c r="EJ158" s="239">
        <v>0</v>
      </c>
      <c r="EK158" s="239">
        <v>-22482</v>
      </c>
      <c r="EL158" s="239">
        <v>0</v>
      </c>
      <c r="EM158" s="239">
        <v>-22482</v>
      </c>
      <c r="EN158" s="239">
        <v>-629380</v>
      </c>
      <c r="EO158" s="239">
        <v>0</v>
      </c>
      <c r="EP158" s="239">
        <v>-629380</v>
      </c>
      <c r="EQ158" s="239">
        <v>0</v>
      </c>
      <c r="ER158" s="239">
        <v>0</v>
      </c>
      <c r="ES158" s="239">
        <v>0</v>
      </c>
      <c r="ET158" s="239">
        <v>0</v>
      </c>
      <c r="EU158" s="239">
        <v>0</v>
      </c>
      <c r="EV158" s="239">
        <v>0</v>
      </c>
      <c r="EW158" s="239">
        <v>0</v>
      </c>
      <c r="EX158" s="239">
        <v>0</v>
      </c>
      <c r="EY158" s="239">
        <v>0</v>
      </c>
      <c r="EZ158" s="239">
        <v>38761621</v>
      </c>
      <c r="FA158" s="239">
        <v>0</v>
      </c>
      <c r="FB158" s="239">
        <v>38761621</v>
      </c>
      <c r="FC158" s="239">
        <v>232162</v>
      </c>
      <c r="FD158" s="239">
        <v>0</v>
      </c>
      <c r="FE158" s="239">
        <v>232162</v>
      </c>
      <c r="FF158" s="239">
        <v>-2455126</v>
      </c>
      <c r="FG158" s="239">
        <v>0</v>
      </c>
      <c r="FH158" s="239">
        <v>-2455126</v>
      </c>
      <c r="FI158" s="239">
        <v>-1391526</v>
      </c>
      <c r="FJ158" s="239">
        <v>0</v>
      </c>
      <c r="FK158" s="239">
        <v>-1391526</v>
      </c>
      <c r="FL158" s="239">
        <v>-77172</v>
      </c>
      <c r="FM158" s="239">
        <v>0</v>
      </c>
      <c r="FN158" s="239">
        <v>-77172</v>
      </c>
      <c r="FO158" s="239">
        <v>-629380</v>
      </c>
      <c r="FP158" s="239">
        <v>0</v>
      </c>
      <c r="FQ158" s="239">
        <v>-629380</v>
      </c>
      <c r="FR158" s="239">
        <v>0</v>
      </c>
      <c r="FS158" s="239">
        <v>0</v>
      </c>
      <c r="FT158" s="239">
        <v>0</v>
      </c>
      <c r="FU158" s="239">
        <v>-4321042</v>
      </c>
      <c r="FV158" s="239">
        <v>0</v>
      </c>
      <c r="FW158" s="239">
        <v>-4321042</v>
      </c>
      <c r="FX158" s="239">
        <v>34440579</v>
      </c>
      <c r="FY158" s="239">
        <v>0</v>
      </c>
      <c r="FZ158" s="239">
        <v>34440579</v>
      </c>
      <c r="GA158" s="214" t="s">
        <v>1294</v>
      </c>
    </row>
    <row r="159" spans="2:183" s="214" customFormat="1" x14ac:dyDescent="0.2">
      <c r="B159" s="610" t="s">
        <v>401</v>
      </c>
      <c r="C159" s="610" t="s">
        <v>400</v>
      </c>
      <c r="D159" s="239">
        <v>0</v>
      </c>
      <c r="E159" s="239">
        <v>0</v>
      </c>
      <c r="F159" s="239">
        <v>0</v>
      </c>
      <c r="G159" s="239">
        <v>36768</v>
      </c>
      <c r="H159" s="239">
        <v>0</v>
      </c>
      <c r="I159" s="239">
        <v>36768</v>
      </c>
      <c r="J159" s="239">
        <v>0</v>
      </c>
      <c r="K159" s="239">
        <v>0</v>
      </c>
      <c r="L159" s="239">
        <v>0</v>
      </c>
      <c r="M159" s="239">
        <v>-43669</v>
      </c>
      <c r="N159" s="239">
        <v>0</v>
      </c>
      <c r="O159" s="239">
        <v>-43669</v>
      </c>
      <c r="P159" s="239">
        <v>-6901</v>
      </c>
      <c r="Q159" s="239">
        <v>0</v>
      </c>
      <c r="R159" s="239">
        <v>-6901</v>
      </c>
      <c r="S159" s="239">
        <v>-1934623</v>
      </c>
      <c r="T159" s="239">
        <v>0</v>
      </c>
      <c r="U159" s="239">
        <v>-1934623</v>
      </c>
      <c r="V159" s="239">
        <v>-6152</v>
      </c>
      <c r="W159" s="239">
        <v>0</v>
      </c>
      <c r="X159" s="239">
        <v>-6152</v>
      </c>
      <c r="Y159" s="239">
        <v>-49754</v>
      </c>
      <c r="Z159" s="239">
        <v>0</v>
      </c>
      <c r="AA159" s="239">
        <v>-49754</v>
      </c>
      <c r="AB159" s="239">
        <v>1935</v>
      </c>
      <c r="AC159" s="239">
        <v>0</v>
      </c>
      <c r="AD159" s="239">
        <v>1935</v>
      </c>
      <c r="AE159" s="239">
        <v>0</v>
      </c>
      <c r="AF159" s="239">
        <v>0</v>
      </c>
      <c r="AG159" s="239">
        <v>0</v>
      </c>
      <c r="AH159" s="239">
        <v>1204014</v>
      </c>
      <c r="AI159" s="239">
        <v>0</v>
      </c>
      <c r="AJ159" s="239">
        <v>1204014</v>
      </c>
      <c r="AK159" s="239">
        <v>3723</v>
      </c>
      <c r="AL159" s="239">
        <v>0</v>
      </c>
      <c r="AM159" s="239">
        <v>3723</v>
      </c>
      <c r="AN159" s="239">
        <v>-4074027</v>
      </c>
      <c r="AO159" s="239">
        <v>0</v>
      </c>
      <c r="AP159" s="239">
        <v>-4074027</v>
      </c>
      <c r="AQ159" s="239">
        <v>-103373</v>
      </c>
      <c r="AR159" s="239">
        <v>0</v>
      </c>
      <c r="AS159" s="239">
        <v>-103373</v>
      </c>
      <c r="AT159" s="239">
        <v>-75486</v>
      </c>
      <c r="AU159" s="239">
        <v>0</v>
      </c>
      <c r="AV159" s="239">
        <v>-75486</v>
      </c>
      <c r="AW159" s="239">
        <v>0</v>
      </c>
      <c r="AX159" s="239">
        <v>0</v>
      </c>
      <c r="AY159" s="239">
        <v>0</v>
      </c>
      <c r="AZ159" s="239">
        <v>0</v>
      </c>
      <c r="BA159" s="239">
        <v>0</v>
      </c>
      <c r="BB159" s="239">
        <v>0</v>
      </c>
      <c r="BC159" s="239">
        <v>0</v>
      </c>
      <c r="BD159" s="239">
        <v>0</v>
      </c>
      <c r="BE159" s="239">
        <v>0</v>
      </c>
      <c r="BF159" s="239">
        <v>-5029526</v>
      </c>
      <c r="BG159" s="239">
        <v>0</v>
      </c>
      <c r="BH159" s="239">
        <v>-5029526</v>
      </c>
      <c r="BI159" s="239">
        <v>0</v>
      </c>
      <c r="BJ159" s="239">
        <v>0</v>
      </c>
      <c r="BK159" s="239">
        <v>0</v>
      </c>
      <c r="BL159" s="239">
        <v>3436</v>
      </c>
      <c r="BM159" s="239">
        <v>0</v>
      </c>
      <c r="BN159" s="239">
        <v>3436</v>
      </c>
      <c r="BO159" s="239">
        <v>-1254122</v>
      </c>
      <c r="BP159" s="239">
        <v>0</v>
      </c>
      <c r="BQ159" s="239">
        <v>-1254122</v>
      </c>
      <c r="BR159" s="239">
        <v>172195</v>
      </c>
      <c r="BS159" s="239">
        <v>0</v>
      </c>
      <c r="BT159" s="239">
        <v>172195</v>
      </c>
      <c r="BU159" s="239">
        <v>-1078491</v>
      </c>
      <c r="BV159" s="239">
        <v>0</v>
      </c>
      <c r="BW159" s="239">
        <v>-1078491</v>
      </c>
      <c r="BX159" s="239">
        <v>-40978</v>
      </c>
      <c r="BY159" s="239">
        <v>0</v>
      </c>
      <c r="BZ159" s="239">
        <v>-40978</v>
      </c>
      <c r="CA159" s="239">
        <v>0</v>
      </c>
      <c r="CB159" s="239">
        <v>0</v>
      </c>
      <c r="CC159" s="239">
        <v>0</v>
      </c>
      <c r="CD159" s="239">
        <v>-8569</v>
      </c>
      <c r="CE159" s="239">
        <v>0</v>
      </c>
      <c r="CF159" s="239">
        <v>-8569</v>
      </c>
      <c r="CG159" s="239">
        <v>0</v>
      </c>
      <c r="CH159" s="239">
        <v>0</v>
      </c>
      <c r="CI159" s="239">
        <v>0</v>
      </c>
      <c r="CJ159" s="239">
        <v>-3769</v>
      </c>
      <c r="CK159" s="239">
        <v>0</v>
      </c>
      <c r="CL159" s="239">
        <v>-3769</v>
      </c>
      <c r="CM159" s="239">
        <v>0</v>
      </c>
      <c r="CN159" s="239">
        <v>0</v>
      </c>
      <c r="CO159" s="239">
        <v>0</v>
      </c>
      <c r="CP159" s="239">
        <v>0</v>
      </c>
      <c r="CQ159" s="239">
        <v>0</v>
      </c>
      <c r="CR159" s="239">
        <v>0</v>
      </c>
      <c r="CS159" s="239">
        <v>0</v>
      </c>
      <c r="CT159" s="239">
        <v>0</v>
      </c>
      <c r="CU159" s="239">
        <v>0</v>
      </c>
      <c r="CV159" s="239">
        <v>0</v>
      </c>
      <c r="CW159" s="239">
        <v>0</v>
      </c>
      <c r="CX159" s="239">
        <v>0</v>
      </c>
      <c r="CY159" s="239">
        <v>0</v>
      </c>
      <c r="CZ159" s="239">
        <v>0</v>
      </c>
      <c r="DA159" s="239">
        <v>0</v>
      </c>
      <c r="DB159" s="239">
        <v>0</v>
      </c>
      <c r="DC159" s="239">
        <v>0</v>
      </c>
      <c r="DD159" s="239">
        <v>0</v>
      </c>
      <c r="DE159" s="239">
        <v>0</v>
      </c>
      <c r="DF159" s="239">
        <v>0</v>
      </c>
      <c r="DG159" s="239">
        <v>0</v>
      </c>
      <c r="DH159" s="239">
        <v>0</v>
      </c>
      <c r="DI159" s="239">
        <v>0</v>
      </c>
      <c r="DJ159" s="239">
        <v>-53316</v>
      </c>
      <c r="DK159" s="239">
        <v>0</v>
      </c>
      <c r="DL159" s="239">
        <v>-53316</v>
      </c>
      <c r="DM159" s="239">
        <v>-164357</v>
      </c>
      <c r="DN159" s="239">
        <v>0</v>
      </c>
      <c r="DO159" s="239">
        <v>-164357</v>
      </c>
      <c r="DP159" s="239">
        <v>17526</v>
      </c>
      <c r="DQ159" s="239">
        <v>0</v>
      </c>
      <c r="DR159" s="239">
        <v>17526</v>
      </c>
      <c r="DS159" s="239">
        <v>-163393</v>
      </c>
      <c r="DT159" s="239">
        <v>0</v>
      </c>
      <c r="DU159" s="239">
        <v>-163393</v>
      </c>
      <c r="DV159" s="239">
        <v>0</v>
      </c>
      <c r="DW159" s="239">
        <v>0</v>
      </c>
      <c r="DX159" s="239">
        <v>0</v>
      </c>
      <c r="DY159" s="239">
        <v>-620186</v>
      </c>
      <c r="DZ159" s="239">
        <v>0</v>
      </c>
      <c r="EA159" s="239">
        <v>-620186</v>
      </c>
      <c r="EB159" s="239">
        <v>-16719</v>
      </c>
      <c r="EC159" s="239">
        <v>0</v>
      </c>
      <c r="ED159" s="239">
        <v>-16719</v>
      </c>
      <c r="EE159" s="239">
        <v>0</v>
      </c>
      <c r="EF159" s="239">
        <v>0</v>
      </c>
      <c r="EG159" s="239">
        <v>0</v>
      </c>
      <c r="EH159" s="239">
        <v>0</v>
      </c>
      <c r="EI159" s="239">
        <v>0</v>
      </c>
      <c r="EJ159" s="239">
        <v>0</v>
      </c>
      <c r="EK159" s="239">
        <v>0</v>
      </c>
      <c r="EL159" s="239">
        <v>0</v>
      </c>
      <c r="EM159" s="239">
        <v>0</v>
      </c>
      <c r="EN159" s="239">
        <v>-947129</v>
      </c>
      <c r="EO159" s="239">
        <v>0</v>
      </c>
      <c r="EP159" s="239">
        <v>-947129</v>
      </c>
      <c r="EQ159" s="239">
        <v>0</v>
      </c>
      <c r="ER159" s="239">
        <v>0</v>
      </c>
      <c r="ES159" s="239">
        <v>0</v>
      </c>
      <c r="ET159" s="239">
        <v>0</v>
      </c>
      <c r="EU159" s="239">
        <v>0</v>
      </c>
      <c r="EV159" s="239">
        <v>0</v>
      </c>
      <c r="EW159" s="239">
        <v>0</v>
      </c>
      <c r="EX159" s="239">
        <v>0</v>
      </c>
      <c r="EY159" s="239">
        <v>0</v>
      </c>
      <c r="EZ159" s="239">
        <v>49579833</v>
      </c>
      <c r="FA159" s="239">
        <v>0</v>
      </c>
      <c r="FB159" s="239">
        <v>49579833</v>
      </c>
      <c r="FC159" s="239">
        <v>-6901</v>
      </c>
      <c r="FD159" s="239">
        <v>0</v>
      </c>
      <c r="FE159" s="239">
        <v>-6901</v>
      </c>
      <c r="FF159" s="239">
        <v>-5029526</v>
      </c>
      <c r="FG159" s="239">
        <v>0</v>
      </c>
      <c r="FH159" s="239">
        <v>-5029526</v>
      </c>
      <c r="FI159" s="239">
        <v>-1078491</v>
      </c>
      <c r="FJ159" s="239">
        <v>0</v>
      </c>
      <c r="FK159" s="239">
        <v>-1078491</v>
      </c>
      <c r="FL159" s="239">
        <v>-53316</v>
      </c>
      <c r="FM159" s="239">
        <v>0</v>
      </c>
      <c r="FN159" s="239">
        <v>-53316</v>
      </c>
      <c r="FO159" s="239">
        <v>-947129</v>
      </c>
      <c r="FP159" s="239">
        <v>0</v>
      </c>
      <c r="FQ159" s="239">
        <v>-947129</v>
      </c>
      <c r="FR159" s="239">
        <v>0</v>
      </c>
      <c r="FS159" s="239">
        <v>0</v>
      </c>
      <c r="FT159" s="239">
        <v>0</v>
      </c>
      <c r="FU159" s="239">
        <v>-7115363</v>
      </c>
      <c r="FV159" s="239">
        <v>0</v>
      </c>
      <c r="FW159" s="239">
        <v>-7115363</v>
      </c>
      <c r="FX159" s="239">
        <v>42464470</v>
      </c>
      <c r="FY159" s="239">
        <v>0</v>
      </c>
      <c r="FZ159" s="239">
        <v>42464470</v>
      </c>
      <c r="GA159" s="214" t="s">
        <v>1294</v>
      </c>
    </row>
    <row r="160" spans="2:183" s="214" customFormat="1" x14ac:dyDescent="0.2">
      <c r="B160" s="610" t="s">
        <v>403</v>
      </c>
      <c r="C160" s="610" t="s">
        <v>402</v>
      </c>
      <c r="D160" s="239">
        <v>0</v>
      </c>
      <c r="E160" s="239">
        <v>0</v>
      </c>
      <c r="F160" s="239">
        <v>0</v>
      </c>
      <c r="G160" s="239">
        <v>595391</v>
      </c>
      <c r="H160" s="239">
        <v>86876</v>
      </c>
      <c r="I160" s="239">
        <v>682267</v>
      </c>
      <c r="J160" s="239">
        <v>0</v>
      </c>
      <c r="K160" s="239">
        <v>0</v>
      </c>
      <c r="L160" s="239">
        <v>0</v>
      </c>
      <c r="M160" s="239">
        <v>569541</v>
      </c>
      <c r="N160" s="239">
        <v>58100</v>
      </c>
      <c r="O160" s="239">
        <v>627641</v>
      </c>
      <c r="P160" s="239">
        <v>1164932</v>
      </c>
      <c r="Q160" s="239">
        <v>144976</v>
      </c>
      <c r="R160" s="239">
        <v>1309908</v>
      </c>
      <c r="S160" s="239">
        <v>-8911279</v>
      </c>
      <c r="T160" s="239">
        <v>-573720</v>
      </c>
      <c r="U160" s="239">
        <v>-9484999</v>
      </c>
      <c r="V160" s="239">
        <v>-35205</v>
      </c>
      <c r="W160" s="239">
        <v>-4671</v>
      </c>
      <c r="X160" s="239">
        <v>-39876</v>
      </c>
      <c r="Y160" s="239">
        <v>-679506</v>
      </c>
      <c r="Z160" s="239">
        <v>-65589</v>
      </c>
      <c r="AA160" s="239">
        <v>-745095</v>
      </c>
      <c r="AB160" s="239">
        <v>-468244</v>
      </c>
      <c r="AC160" s="239">
        <v>-40125</v>
      </c>
      <c r="AD160" s="239">
        <v>-508369</v>
      </c>
      <c r="AE160" s="239">
        <v>-4222</v>
      </c>
      <c r="AF160" s="239">
        <v>-437</v>
      </c>
      <c r="AG160" s="239">
        <v>-4659</v>
      </c>
      <c r="AH160" s="239">
        <v>4850409</v>
      </c>
      <c r="AI160" s="239">
        <v>956690</v>
      </c>
      <c r="AJ160" s="239">
        <v>5807099</v>
      </c>
      <c r="AK160" s="239">
        <v>71607</v>
      </c>
      <c r="AL160" s="239">
        <v>-50485</v>
      </c>
      <c r="AM160" s="239">
        <v>21122</v>
      </c>
      <c r="AN160" s="239">
        <v>-15773087</v>
      </c>
      <c r="AO160" s="239">
        <v>-765878</v>
      </c>
      <c r="AP160" s="239">
        <v>-16538965</v>
      </c>
      <c r="AQ160" s="239">
        <v>472381</v>
      </c>
      <c r="AR160" s="239">
        <v>2112</v>
      </c>
      <c r="AS160" s="239">
        <v>474493</v>
      </c>
      <c r="AT160" s="239">
        <v>0</v>
      </c>
      <c r="AU160" s="239">
        <v>0</v>
      </c>
      <c r="AV160" s="239">
        <v>0</v>
      </c>
      <c r="AW160" s="239">
        <v>0</v>
      </c>
      <c r="AX160" s="239">
        <v>0</v>
      </c>
      <c r="AY160" s="239">
        <v>0</v>
      </c>
      <c r="AZ160" s="239">
        <v>0</v>
      </c>
      <c r="BA160" s="239">
        <v>0</v>
      </c>
      <c r="BB160" s="239">
        <v>0</v>
      </c>
      <c r="BC160" s="239">
        <v>0</v>
      </c>
      <c r="BD160" s="239">
        <v>0</v>
      </c>
      <c r="BE160" s="239">
        <v>0</v>
      </c>
      <c r="BF160" s="239">
        <v>-19969475</v>
      </c>
      <c r="BG160" s="239">
        <v>-496870</v>
      </c>
      <c r="BH160" s="239">
        <v>-20466345</v>
      </c>
      <c r="BI160" s="239">
        <v>-1211</v>
      </c>
      <c r="BJ160" s="239">
        <v>-3322</v>
      </c>
      <c r="BK160" s="239">
        <v>-4533</v>
      </c>
      <c r="BL160" s="239">
        <v>-14996</v>
      </c>
      <c r="BM160" s="239">
        <v>7011</v>
      </c>
      <c r="BN160" s="239">
        <v>-7985</v>
      </c>
      <c r="BO160" s="239">
        <v>-8904600</v>
      </c>
      <c r="BP160" s="239">
        <v>-8504371</v>
      </c>
      <c r="BQ160" s="239">
        <v>-17408971</v>
      </c>
      <c r="BR160" s="239">
        <v>602339</v>
      </c>
      <c r="BS160" s="239">
        <v>187056</v>
      </c>
      <c r="BT160" s="239">
        <v>789395</v>
      </c>
      <c r="BU160" s="239">
        <v>-8318468</v>
      </c>
      <c r="BV160" s="239">
        <v>-8313626</v>
      </c>
      <c r="BW160" s="239">
        <v>-16632094</v>
      </c>
      <c r="BX160" s="239">
        <v>-49078</v>
      </c>
      <c r="BY160" s="239">
        <v>-6375</v>
      </c>
      <c r="BZ160" s="239">
        <v>-55453</v>
      </c>
      <c r="CA160" s="239">
        <v>5824</v>
      </c>
      <c r="CB160" s="239">
        <v>-10982</v>
      </c>
      <c r="CC160" s="239">
        <v>-5158</v>
      </c>
      <c r="CD160" s="239">
        <v>-12955</v>
      </c>
      <c r="CE160" s="239">
        <v>0</v>
      </c>
      <c r="CF160" s="239">
        <v>-12955</v>
      </c>
      <c r="CG160" s="239">
        <v>-3911</v>
      </c>
      <c r="CH160" s="239">
        <v>-7134</v>
      </c>
      <c r="CI160" s="239">
        <v>-11045</v>
      </c>
      <c r="CJ160" s="239">
        <v>0</v>
      </c>
      <c r="CK160" s="239">
        <v>0</v>
      </c>
      <c r="CL160" s="239">
        <v>0</v>
      </c>
      <c r="CM160" s="239">
        <v>0</v>
      </c>
      <c r="CN160" s="239">
        <v>0</v>
      </c>
      <c r="CO160" s="239">
        <v>0</v>
      </c>
      <c r="CP160" s="239">
        <v>0</v>
      </c>
      <c r="CQ160" s="239">
        <v>0</v>
      </c>
      <c r="CR160" s="239">
        <v>0</v>
      </c>
      <c r="CS160" s="239">
        <v>0</v>
      </c>
      <c r="CT160" s="239">
        <v>0</v>
      </c>
      <c r="CU160" s="239">
        <v>0</v>
      </c>
      <c r="CV160" s="239">
        <v>0</v>
      </c>
      <c r="CW160" s="239">
        <v>0</v>
      </c>
      <c r="CX160" s="239">
        <v>0</v>
      </c>
      <c r="CY160" s="239">
        <v>0</v>
      </c>
      <c r="CZ160" s="239">
        <v>0</v>
      </c>
      <c r="DA160" s="239">
        <v>0</v>
      </c>
      <c r="DB160" s="239">
        <v>0</v>
      </c>
      <c r="DC160" s="239">
        <v>-240631</v>
      </c>
      <c r="DD160" s="239">
        <v>-240631</v>
      </c>
      <c r="DE160" s="239">
        <v>0</v>
      </c>
      <c r="DF160" s="239">
        <v>-9379</v>
      </c>
      <c r="DG160" s="239">
        <v>-9379</v>
      </c>
      <c r="DH160" s="239">
        <v>-250010</v>
      </c>
      <c r="DI160" s="239">
        <v>0</v>
      </c>
      <c r="DJ160" s="239">
        <v>-60120</v>
      </c>
      <c r="DK160" s="239">
        <v>-274501</v>
      </c>
      <c r="DL160" s="239">
        <v>-334621</v>
      </c>
      <c r="DM160" s="239">
        <v>-22177</v>
      </c>
      <c r="DN160" s="239">
        <v>0</v>
      </c>
      <c r="DO160" s="239">
        <v>-22177</v>
      </c>
      <c r="DP160" s="239">
        <v>0</v>
      </c>
      <c r="DQ160" s="239">
        <v>0</v>
      </c>
      <c r="DR160" s="239">
        <v>0</v>
      </c>
      <c r="DS160" s="239">
        <v>-105922</v>
      </c>
      <c r="DT160" s="239">
        <v>-3405</v>
      </c>
      <c r="DU160" s="239">
        <v>-109327</v>
      </c>
      <c r="DV160" s="239">
        <v>-8884</v>
      </c>
      <c r="DW160" s="239">
        <v>0</v>
      </c>
      <c r="DX160" s="239">
        <v>-8884</v>
      </c>
      <c r="DY160" s="239">
        <v>-2416116</v>
      </c>
      <c r="DZ160" s="239">
        <v>-207045</v>
      </c>
      <c r="EA160" s="239">
        <v>-2623161</v>
      </c>
      <c r="EB160" s="239">
        <v>-190104</v>
      </c>
      <c r="EC160" s="239">
        <v>-12134</v>
      </c>
      <c r="ED160" s="239">
        <v>-202238</v>
      </c>
      <c r="EE160" s="239">
        <v>0</v>
      </c>
      <c r="EF160" s="239">
        <v>0</v>
      </c>
      <c r="EG160" s="239">
        <v>0</v>
      </c>
      <c r="EH160" s="239">
        <v>0</v>
      </c>
      <c r="EI160" s="239">
        <v>0</v>
      </c>
      <c r="EJ160" s="239">
        <v>0</v>
      </c>
      <c r="EK160" s="239">
        <v>-51120</v>
      </c>
      <c r="EL160" s="239">
        <v>-11498</v>
      </c>
      <c r="EM160" s="239">
        <v>-62618</v>
      </c>
      <c r="EN160" s="239">
        <v>-2794323</v>
      </c>
      <c r="EO160" s="239">
        <v>-234082</v>
      </c>
      <c r="EP160" s="239">
        <v>-3028405</v>
      </c>
      <c r="EQ160" s="239">
        <v>-1085</v>
      </c>
      <c r="ER160" s="239">
        <v>0</v>
      </c>
      <c r="ES160" s="239">
        <v>-1085</v>
      </c>
      <c r="ET160" s="239">
        <v>0</v>
      </c>
      <c r="EU160" s="239">
        <v>0</v>
      </c>
      <c r="EV160" s="239">
        <v>0</v>
      </c>
      <c r="EW160" s="239">
        <v>-1085</v>
      </c>
      <c r="EX160" s="239">
        <v>0</v>
      </c>
      <c r="EY160" s="239">
        <v>-1085</v>
      </c>
      <c r="EZ160" s="239">
        <v>193365981</v>
      </c>
      <c r="FA160" s="239">
        <v>34351045</v>
      </c>
      <c r="FB160" s="239">
        <v>227717026</v>
      </c>
      <c r="FC160" s="239">
        <v>1164932</v>
      </c>
      <c r="FD160" s="239">
        <v>144976</v>
      </c>
      <c r="FE160" s="239">
        <v>1309908</v>
      </c>
      <c r="FF160" s="239">
        <v>-19969475</v>
      </c>
      <c r="FG160" s="239">
        <v>-496870</v>
      </c>
      <c r="FH160" s="239">
        <v>-20466345</v>
      </c>
      <c r="FI160" s="239">
        <v>-8318468</v>
      </c>
      <c r="FJ160" s="239">
        <v>-8313626</v>
      </c>
      <c r="FK160" s="239">
        <v>-16632094</v>
      </c>
      <c r="FL160" s="239">
        <v>-60120</v>
      </c>
      <c r="FM160" s="239">
        <v>-274501</v>
      </c>
      <c r="FN160" s="239">
        <v>-334621</v>
      </c>
      <c r="FO160" s="239">
        <v>-2794323</v>
      </c>
      <c r="FP160" s="239">
        <v>-234082</v>
      </c>
      <c r="FQ160" s="239">
        <v>-3028405</v>
      </c>
      <c r="FR160" s="239">
        <v>-1085</v>
      </c>
      <c r="FS160" s="239">
        <v>0</v>
      </c>
      <c r="FT160" s="239">
        <v>-1085</v>
      </c>
      <c r="FU160" s="239">
        <v>-29978539</v>
      </c>
      <c r="FV160" s="239">
        <v>-9174103</v>
      </c>
      <c r="FW160" s="239">
        <v>-39152642</v>
      </c>
      <c r="FX160" s="239">
        <v>163387442</v>
      </c>
      <c r="FY160" s="239">
        <v>25176942</v>
      </c>
      <c r="FZ160" s="239">
        <v>188564384</v>
      </c>
      <c r="GA160" s="214" t="s">
        <v>1296</v>
      </c>
    </row>
    <row r="161" spans="1:183" s="214" customFormat="1" x14ac:dyDescent="0.2">
      <c r="B161" s="610" t="s">
        <v>405</v>
      </c>
      <c r="C161" s="610" t="s">
        <v>404</v>
      </c>
      <c r="D161" s="239">
        <v>0</v>
      </c>
      <c r="E161" s="239">
        <v>0</v>
      </c>
      <c r="F161" s="239">
        <v>0</v>
      </c>
      <c r="G161" s="239">
        <v>25842</v>
      </c>
      <c r="H161" s="239">
        <v>0</v>
      </c>
      <c r="I161" s="239">
        <v>25842</v>
      </c>
      <c r="J161" s="239">
        <v>0</v>
      </c>
      <c r="K161" s="239">
        <v>0</v>
      </c>
      <c r="L161" s="239">
        <v>0</v>
      </c>
      <c r="M161" s="239">
        <v>-18808</v>
      </c>
      <c r="N161" s="239">
        <v>0</v>
      </c>
      <c r="O161" s="239">
        <v>-18808</v>
      </c>
      <c r="P161" s="239">
        <v>7034</v>
      </c>
      <c r="Q161" s="239">
        <v>0</v>
      </c>
      <c r="R161" s="239">
        <v>7034</v>
      </c>
      <c r="S161" s="239">
        <v>-2955402</v>
      </c>
      <c r="T161" s="239">
        <v>0</v>
      </c>
      <c r="U161" s="239">
        <v>-2955402</v>
      </c>
      <c r="V161" s="239">
        <v>-3191</v>
      </c>
      <c r="W161" s="239">
        <v>0</v>
      </c>
      <c r="X161" s="239">
        <v>-3191</v>
      </c>
      <c r="Y161" s="239">
        <v>-198060</v>
      </c>
      <c r="Z161" s="239">
        <v>0</v>
      </c>
      <c r="AA161" s="239">
        <v>-198060</v>
      </c>
      <c r="AB161" s="239">
        <v>0</v>
      </c>
      <c r="AC161" s="239">
        <v>0</v>
      </c>
      <c r="AD161" s="239">
        <v>0</v>
      </c>
      <c r="AE161" s="239">
        <v>0</v>
      </c>
      <c r="AF161" s="239">
        <v>0</v>
      </c>
      <c r="AG161" s="239">
        <v>0</v>
      </c>
      <c r="AH161" s="239">
        <v>1891013</v>
      </c>
      <c r="AI161" s="239">
        <v>0</v>
      </c>
      <c r="AJ161" s="239">
        <v>1891013</v>
      </c>
      <c r="AK161" s="239">
        <v>-46510</v>
      </c>
      <c r="AL161" s="239">
        <v>0</v>
      </c>
      <c r="AM161" s="239">
        <v>-46510</v>
      </c>
      <c r="AN161" s="239">
        <v>-5299015</v>
      </c>
      <c r="AO161" s="239">
        <v>0</v>
      </c>
      <c r="AP161" s="239">
        <v>-5299015</v>
      </c>
      <c r="AQ161" s="239">
        <v>-78441</v>
      </c>
      <c r="AR161" s="239">
        <v>0</v>
      </c>
      <c r="AS161" s="239">
        <v>-78441</v>
      </c>
      <c r="AT161" s="239">
        <v>-47782</v>
      </c>
      <c r="AU161" s="239">
        <v>0</v>
      </c>
      <c r="AV161" s="239">
        <v>-47782</v>
      </c>
      <c r="AW161" s="239">
        <v>0</v>
      </c>
      <c r="AX161" s="239">
        <v>0</v>
      </c>
      <c r="AY161" s="239">
        <v>0</v>
      </c>
      <c r="AZ161" s="239">
        <v>0</v>
      </c>
      <c r="BA161" s="239">
        <v>0</v>
      </c>
      <c r="BB161" s="239">
        <v>0</v>
      </c>
      <c r="BC161" s="239">
        <v>0</v>
      </c>
      <c r="BD161" s="239">
        <v>0</v>
      </c>
      <c r="BE161" s="239">
        <v>0</v>
      </c>
      <c r="BF161" s="239">
        <v>-6734197</v>
      </c>
      <c r="BG161" s="239">
        <v>0</v>
      </c>
      <c r="BH161" s="239">
        <v>-6734197</v>
      </c>
      <c r="BI161" s="239">
        <v>-23556</v>
      </c>
      <c r="BJ161" s="239">
        <v>0</v>
      </c>
      <c r="BK161" s="239">
        <v>-23556</v>
      </c>
      <c r="BL161" s="239">
        <v>-15335</v>
      </c>
      <c r="BM161" s="239">
        <v>0</v>
      </c>
      <c r="BN161" s="239">
        <v>-15335</v>
      </c>
      <c r="BO161" s="239">
        <v>-2048495</v>
      </c>
      <c r="BP161" s="239">
        <v>0</v>
      </c>
      <c r="BQ161" s="239">
        <v>-2048495</v>
      </c>
      <c r="BR161" s="239">
        <v>-90128</v>
      </c>
      <c r="BS161" s="239">
        <v>0</v>
      </c>
      <c r="BT161" s="239">
        <v>-90128</v>
      </c>
      <c r="BU161" s="239">
        <v>-2177514</v>
      </c>
      <c r="BV161" s="239">
        <v>0</v>
      </c>
      <c r="BW161" s="239">
        <v>-2177514</v>
      </c>
      <c r="BX161" s="239">
        <v>-126644</v>
      </c>
      <c r="BY161" s="239">
        <v>0</v>
      </c>
      <c r="BZ161" s="239">
        <v>-126644</v>
      </c>
      <c r="CA161" s="239">
        <v>-1204</v>
      </c>
      <c r="CB161" s="239">
        <v>0</v>
      </c>
      <c r="CC161" s="239">
        <v>-1204</v>
      </c>
      <c r="CD161" s="239">
        <v>-61148</v>
      </c>
      <c r="CE161" s="239">
        <v>0</v>
      </c>
      <c r="CF161" s="239">
        <v>-61148</v>
      </c>
      <c r="CG161" s="239">
        <v>828</v>
      </c>
      <c r="CH161" s="239">
        <v>0</v>
      </c>
      <c r="CI161" s="239">
        <v>828</v>
      </c>
      <c r="CJ161" s="239">
        <v>-55</v>
      </c>
      <c r="CK161" s="239">
        <v>0</v>
      </c>
      <c r="CL161" s="239">
        <v>-55</v>
      </c>
      <c r="CM161" s="239">
        <v>0</v>
      </c>
      <c r="CN161" s="239">
        <v>0</v>
      </c>
      <c r="CO161" s="239">
        <v>0</v>
      </c>
      <c r="CP161" s="239">
        <v>0</v>
      </c>
      <c r="CQ161" s="239">
        <v>0</v>
      </c>
      <c r="CR161" s="239">
        <v>0</v>
      </c>
      <c r="CS161" s="239">
        <v>0</v>
      </c>
      <c r="CT161" s="239">
        <v>0</v>
      </c>
      <c r="CU161" s="239">
        <v>0</v>
      </c>
      <c r="CV161" s="239">
        <v>0</v>
      </c>
      <c r="CW161" s="239">
        <v>0</v>
      </c>
      <c r="CX161" s="239">
        <v>0</v>
      </c>
      <c r="CY161" s="239">
        <v>0</v>
      </c>
      <c r="CZ161" s="239">
        <v>0</v>
      </c>
      <c r="DA161" s="239">
        <v>0</v>
      </c>
      <c r="DB161" s="239">
        <v>-2201</v>
      </c>
      <c r="DC161" s="239">
        <v>0</v>
      </c>
      <c r="DD161" s="239">
        <v>-2201</v>
      </c>
      <c r="DE161" s="239">
        <v>0</v>
      </c>
      <c r="DF161" s="239">
        <v>0</v>
      </c>
      <c r="DG161" s="239">
        <v>0</v>
      </c>
      <c r="DH161" s="239">
        <v>0</v>
      </c>
      <c r="DI161" s="239">
        <v>0</v>
      </c>
      <c r="DJ161" s="239">
        <v>-190424</v>
      </c>
      <c r="DK161" s="239">
        <v>0</v>
      </c>
      <c r="DL161" s="239">
        <v>-190424</v>
      </c>
      <c r="DM161" s="239">
        <v>-1705</v>
      </c>
      <c r="DN161" s="239">
        <v>0</v>
      </c>
      <c r="DO161" s="239">
        <v>-1705</v>
      </c>
      <c r="DP161" s="239">
        <v>0</v>
      </c>
      <c r="DQ161" s="239">
        <v>0</v>
      </c>
      <c r="DR161" s="239">
        <v>0</v>
      </c>
      <c r="DS161" s="239">
        <v>-11393</v>
      </c>
      <c r="DT161" s="239">
        <v>0</v>
      </c>
      <c r="DU161" s="239">
        <v>-11393</v>
      </c>
      <c r="DV161" s="239">
        <v>0</v>
      </c>
      <c r="DW161" s="239">
        <v>0</v>
      </c>
      <c r="DX161" s="239">
        <v>0</v>
      </c>
      <c r="DY161" s="239">
        <v>-1160398</v>
      </c>
      <c r="DZ161" s="239">
        <v>0</v>
      </c>
      <c r="EA161" s="239">
        <v>-1160398</v>
      </c>
      <c r="EB161" s="239">
        <v>0</v>
      </c>
      <c r="EC161" s="239">
        <v>0</v>
      </c>
      <c r="ED161" s="239">
        <v>0</v>
      </c>
      <c r="EE161" s="239">
        <v>0</v>
      </c>
      <c r="EF161" s="239">
        <v>0</v>
      </c>
      <c r="EG161" s="239">
        <v>0</v>
      </c>
      <c r="EH161" s="239">
        <v>0</v>
      </c>
      <c r="EI161" s="239">
        <v>0</v>
      </c>
      <c r="EJ161" s="239">
        <v>0</v>
      </c>
      <c r="EK161" s="239">
        <v>-9760</v>
      </c>
      <c r="EL161" s="239">
        <v>0</v>
      </c>
      <c r="EM161" s="239">
        <v>-9760</v>
      </c>
      <c r="EN161" s="239">
        <v>-1183256</v>
      </c>
      <c r="EO161" s="239">
        <v>0</v>
      </c>
      <c r="EP161" s="239">
        <v>-1183256</v>
      </c>
      <c r="EQ161" s="239">
        <v>0</v>
      </c>
      <c r="ER161" s="239">
        <v>0</v>
      </c>
      <c r="ES161" s="239">
        <v>0</v>
      </c>
      <c r="ET161" s="239">
        <v>0</v>
      </c>
      <c r="EU161" s="239">
        <v>0</v>
      </c>
      <c r="EV161" s="239">
        <v>0</v>
      </c>
      <c r="EW161" s="239">
        <v>0</v>
      </c>
      <c r="EX161" s="239">
        <v>0</v>
      </c>
      <c r="EY161" s="239">
        <v>0</v>
      </c>
      <c r="EZ161" s="239">
        <v>77604740</v>
      </c>
      <c r="FA161" s="239">
        <v>0</v>
      </c>
      <c r="FB161" s="239">
        <v>77604740</v>
      </c>
      <c r="FC161" s="239">
        <v>7034</v>
      </c>
      <c r="FD161" s="239">
        <v>0</v>
      </c>
      <c r="FE161" s="239">
        <v>7034</v>
      </c>
      <c r="FF161" s="239">
        <v>-6734197</v>
      </c>
      <c r="FG161" s="239">
        <v>0</v>
      </c>
      <c r="FH161" s="239">
        <v>-6734197</v>
      </c>
      <c r="FI161" s="239">
        <v>-2177514</v>
      </c>
      <c r="FJ161" s="239">
        <v>0</v>
      </c>
      <c r="FK161" s="239">
        <v>-2177514</v>
      </c>
      <c r="FL161" s="239">
        <v>-190424</v>
      </c>
      <c r="FM161" s="239">
        <v>0</v>
      </c>
      <c r="FN161" s="239">
        <v>-190424</v>
      </c>
      <c r="FO161" s="239">
        <v>-1183256</v>
      </c>
      <c r="FP161" s="239">
        <v>0</v>
      </c>
      <c r="FQ161" s="239">
        <v>-1183256</v>
      </c>
      <c r="FR161" s="239">
        <v>0</v>
      </c>
      <c r="FS161" s="239">
        <v>0</v>
      </c>
      <c r="FT161" s="239">
        <v>0</v>
      </c>
      <c r="FU161" s="239">
        <v>-10278357</v>
      </c>
      <c r="FV161" s="239">
        <v>0</v>
      </c>
      <c r="FW161" s="239">
        <v>-10278357</v>
      </c>
      <c r="FX161" s="239">
        <v>67326383</v>
      </c>
      <c r="FY161" s="239">
        <v>0</v>
      </c>
      <c r="FZ161" s="239">
        <v>67326383</v>
      </c>
      <c r="GA161" s="214" t="s">
        <v>748</v>
      </c>
    </row>
    <row r="162" spans="1:183" s="214" customFormat="1" x14ac:dyDescent="0.2">
      <c r="B162" s="610" t="s">
        <v>407</v>
      </c>
      <c r="C162" s="610" t="s">
        <v>406</v>
      </c>
      <c r="D162" s="239">
        <v>0</v>
      </c>
      <c r="E162" s="239">
        <v>0</v>
      </c>
      <c r="F162" s="239">
        <v>0</v>
      </c>
      <c r="G162" s="239">
        <v>-2314</v>
      </c>
      <c r="H162" s="239">
        <v>0</v>
      </c>
      <c r="I162" s="239">
        <v>-2314</v>
      </c>
      <c r="J162" s="239">
        <v>0</v>
      </c>
      <c r="K162" s="239">
        <v>0</v>
      </c>
      <c r="L162" s="239">
        <v>0</v>
      </c>
      <c r="M162" s="239">
        <v>28530</v>
      </c>
      <c r="N162" s="239">
        <v>0</v>
      </c>
      <c r="O162" s="239">
        <v>28530</v>
      </c>
      <c r="P162" s="239">
        <v>26216</v>
      </c>
      <c r="Q162" s="239">
        <v>0</v>
      </c>
      <c r="R162" s="239">
        <v>26216</v>
      </c>
      <c r="S162" s="239">
        <v>-2477921</v>
      </c>
      <c r="T162" s="239">
        <v>0</v>
      </c>
      <c r="U162" s="239">
        <v>-2477921</v>
      </c>
      <c r="V162" s="239">
        <v>-3902</v>
      </c>
      <c r="W162" s="239">
        <v>0</v>
      </c>
      <c r="X162" s="239">
        <v>-3902</v>
      </c>
      <c r="Y162" s="239">
        <v>-203702</v>
      </c>
      <c r="Z162" s="239">
        <v>0</v>
      </c>
      <c r="AA162" s="239">
        <v>-203702</v>
      </c>
      <c r="AB162" s="239">
        <v>-203702</v>
      </c>
      <c r="AC162" s="239">
        <v>0</v>
      </c>
      <c r="AD162" s="239">
        <v>-203702</v>
      </c>
      <c r="AE162" s="239">
        <v>0</v>
      </c>
      <c r="AF162" s="239">
        <v>0</v>
      </c>
      <c r="AG162" s="239">
        <v>0</v>
      </c>
      <c r="AH162" s="239">
        <v>1601289</v>
      </c>
      <c r="AI162" s="239">
        <v>0</v>
      </c>
      <c r="AJ162" s="239">
        <v>1601289</v>
      </c>
      <c r="AK162" s="239">
        <v>-15272</v>
      </c>
      <c r="AL162" s="239">
        <v>0</v>
      </c>
      <c r="AM162" s="239">
        <v>-15272</v>
      </c>
      <c r="AN162" s="239">
        <v>-4055344</v>
      </c>
      <c r="AO162" s="239">
        <v>0</v>
      </c>
      <c r="AP162" s="239">
        <v>-4055344</v>
      </c>
      <c r="AQ162" s="239">
        <v>-120472</v>
      </c>
      <c r="AR162" s="239">
        <v>0</v>
      </c>
      <c r="AS162" s="239">
        <v>-120472</v>
      </c>
      <c r="AT162" s="239">
        <v>-104374</v>
      </c>
      <c r="AU162" s="239">
        <v>0</v>
      </c>
      <c r="AV162" s="239">
        <v>-104374</v>
      </c>
      <c r="AW162" s="239">
        <v>0</v>
      </c>
      <c r="AX162" s="239">
        <v>0</v>
      </c>
      <c r="AY162" s="239">
        <v>0</v>
      </c>
      <c r="AZ162" s="239">
        <v>-3901</v>
      </c>
      <c r="BA162" s="239">
        <v>0</v>
      </c>
      <c r="BB162" s="239">
        <v>-3901</v>
      </c>
      <c r="BC162" s="239">
        <v>0</v>
      </c>
      <c r="BD162" s="239">
        <v>0</v>
      </c>
      <c r="BE162" s="239">
        <v>0</v>
      </c>
      <c r="BF162" s="239">
        <v>-5379697</v>
      </c>
      <c r="BG162" s="239">
        <v>0</v>
      </c>
      <c r="BH162" s="239">
        <v>-5379697</v>
      </c>
      <c r="BI162" s="239">
        <v>-88051</v>
      </c>
      <c r="BJ162" s="239">
        <v>0</v>
      </c>
      <c r="BK162" s="239">
        <v>-88051</v>
      </c>
      <c r="BL162" s="239">
        <v>-72031</v>
      </c>
      <c r="BM162" s="239">
        <v>0</v>
      </c>
      <c r="BN162" s="239">
        <v>-72031</v>
      </c>
      <c r="BO162" s="239">
        <v>-2356682</v>
      </c>
      <c r="BP162" s="239">
        <v>0</v>
      </c>
      <c r="BQ162" s="239">
        <v>-2356682</v>
      </c>
      <c r="BR162" s="239">
        <v>157344</v>
      </c>
      <c r="BS162" s="239">
        <v>0</v>
      </c>
      <c r="BT162" s="239">
        <v>157344</v>
      </c>
      <c r="BU162" s="239">
        <v>-2359420</v>
      </c>
      <c r="BV162" s="239">
        <v>0</v>
      </c>
      <c r="BW162" s="239">
        <v>-2359420</v>
      </c>
      <c r="BX162" s="239">
        <v>-141252</v>
      </c>
      <c r="BY162" s="239">
        <v>0</v>
      </c>
      <c r="BZ162" s="239">
        <v>-141252</v>
      </c>
      <c r="CA162" s="239">
        <v>-321</v>
      </c>
      <c r="CB162" s="239">
        <v>0</v>
      </c>
      <c r="CC162" s="239">
        <v>-321</v>
      </c>
      <c r="CD162" s="239">
        <v>-5459</v>
      </c>
      <c r="CE162" s="239">
        <v>0</v>
      </c>
      <c r="CF162" s="239">
        <v>-5459</v>
      </c>
      <c r="CG162" s="239">
        <v>0</v>
      </c>
      <c r="CH162" s="239">
        <v>0</v>
      </c>
      <c r="CI162" s="239">
        <v>0</v>
      </c>
      <c r="CJ162" s="239">
        <v>-7740</v>
      </c>
      <c r="CK162" s="239">
        <v>0</v>
      </c>
      <c r="CL162" s="239">
        <v>-7740</v>
      </c>
      <c r="CM162" s="239">
        <v>0</v>
      </c>
      <c r="CN162" s="239">
        <v>0</v>
      </c>
      <c r="CO162" s="239">
        <v>0</v>
      </c>
      <c r="CP162" s="239">
        <v>-3439</v>
      </c>
      <c r="CQ162" s="239">
        <v>0</v>
      </c>
      <c r="CR162" s="239">
        <v>-3439</v>
      </c>
      <c r="CS162" s="239">
        <v>0</v>
      </c>
      <c r="CT162" s="239">
        <v>0</v>
      </c>
      <c r="CU162" s="239">
        <v>0</v>
      </c>
      <c r="CV162" s="239">
        <v>0</v>
      </c>
      <c r="CW162" s="239">
        <v>0</v>
      </c>
      <c r="CX162" s="239">
        <v>0</v>
      </c>
      <c r="CY162" s="239">
        <v>0</v>
      </c>
      <c r="CZ162" s="239">
        <v>0</v>
      </c>
      <c r="DA162" s="239">
        <v>0</v>
      </c>
      <c r="DB162" s="239">
        <v>0</v>
      </c>
      <c r="DC162" s="239">
        <v>0</v>
      </c>
      <c r="DD162" s="239">
        <v>0</v>
      </c>
      <c r="DE162" s="239">
        <v>0</v>
      </c>
      <c r="DF162" s="239">
        <v>0</v>
      </c>
      <c r="DG162" s="239">
        <v>0</v>
      </c>
      <c r="DH162" s="239">
        <v>0</v>
      </c>
      <c r="DI162" s="239">
        <v>0</v>
      </c>
      <c r="DJ162" s="239">
        <v>-158211</v>
      </c>
      <c r="DK162" s="239">
        <v>0</v>
      </c>
      <c r="DL162" s="239">
        <v>-158211</v>
      </c>
      <c r="DM162" s="239">
        <v>0</v>
      </c>
      <c r="DN162" s="239">
        <v>0</v>
      </c>
      <c r="DO162" s="239">
        <v>0</v>
      </c>
      <c r="DP162" s="239">
        <v>0</v>
      </c>
      <c r="DQ162" s="239">
        <v>0</v>
      </c>
      <c r="DR162" s="239">
        <v>0</v>
      </c>
      <c r="DS162" s="239">
        <v>-84284</v>
      </c>
      <c r="DT162" s="239">
        <v>0</v>
      </c>
      <c r="DU162" s="239">
        <v>-84284</v>
      </c>
      <c r="DV162" s="239">
        <v>-36693</v>
      </c>
      <c r="DW162" s="239">
        <v>0</v>
      </c>
      <c r="DX162" s="239">
        <v>-36693</v>
      </c>
      <c r="DY162" s="239">
        <v>-869833</v>
      </c>
      <c r="DZ162" s="239">
        <v>0</v>
      </c>
      <c r="EA162" s="239">
        <v>-869833</v>
      </c>
      <c r="EB162" s="239">
        <v>-4711</v>
      </c>
      <c r="EC162" s="239">
        <v>0</v>
      </c>
      <c r="ED162" s="239">
        <v>-4711</v>
      </c>
      <c r="EE162" s="239">
        <v>0</v>
      </c>
      <c r="EF162" s="239">
        <v>0</v>
      </c>
      <c r="EG162" s="239">
        <v>0</v>
      </c>
      <c r="EH162" s="239">
        <v>0</v>
      </c>
      <c r="EI162" s="239">
        <v>0</v>
      </c>
      <c r="EJ162" s="239">
        <v>0</v>
      </c>
      <c r="EK162" s="239">
        <v>-11877</v>
      </c>
      <c r="EL162" s="239">
        <v>0</v>
      </c>
      <c r="EM162" s="239">
        <v>-11877</v>
      </c>
      <c r="EN162" s="239">
        <v>-1007398</v>
      </c>
      <c r="EO162" s="239">
        <v>0</v>
      </c>
      <c r="EP162" s="239">
        <v>-1007398</v>
      </c>
      <c r="EQ162" s="239">
        <v>0</v>
      </c>
      <c r="ER162" s="239">
        <v>0</v>
      </c>
      <c r="ES162" s="239">
        <v>0</v>
      </c>
      <c r="ET162" s="239">
        <v>0</v>
      </c>
      <c r="EU162" s="239">
        <v>0</v>
      </c>
      <c r="EV162" s="239">
        <v>0</v>
      </c>
      <c r="EW162" s="239">
        <v>0</v>
      </c>
      <c r="EX162" s="239">
        <v>0</v>
      </c>
      <c r="EY162" s="239">
        <v>0</v>
      </c>
      <c r="EZ162" s="239">
        <v>67486026</v>
      </c>
      <c r="FA162" s="239">
        <v>0</v>
      </c>
      <c r="FB162" s="239">
        <v>67486026</v>
      </c>
      <c r="FC162" s="239">
        <v>26216</v>
      </c>
      <c r="FD162" s="239">
        <v>0</v>
      </c>
      <c r="FE162" s="239">
        <v>26216</v>
      </c>
      <c r="FF162" s="239">
        <v>-5379697</v>
      </c>
      <c r="FG162" s="239">
        <v>0</v>
      </c>
      <c r="FH162" s="239">
        <v>-5379697</v>
      </c>
      <c r="FI162" s="239">
        <v>-2359420</v>
      </c>
      <c r="FJ162" s="239">
        <v>0</v>
      </c>
      <c r="FK162" s="239">
        <v>-2359420</v>
      </c>
      <c r="FL162" s="239">
        <v>-158211</v>
      </c>
      <c r="FM162" s="239">
        <v>0</v>
      </c>
      <c r="FN162" s="239">
        <v>-158211</v>
      </c>
      <c r="FO162" s="239">
        <v>-1007398</v>
      </c>
      <c r="FP162" s="239">
        <v>0</v>
      </c>
      <c r="FQ162" s="239">
        <v>-1007398</v>
      </c>
      <c r="FR162" s="239">
        <v>0</v>
      </c>
      <c r="FS162" s="239">
        <v>0</v>
      </c>
      <c r="FT162" s="239">
        <v>0</v>
      </c>
      <c r="FU162" s="239">
        <v>-8878510</v>
      </c>
      <c r="FV162" s="239">
        <v>0</v>
      </c>
      <c r="FW162" s="239">
        <v>-8878510</v>
      </c>
      <c r="FX162" s="239">
        <v>58607516</v>
      </c>
      <c r="FY162" s="239">
        <v>0</v>
      </c>
      <c r="FZ162" s="239">
        <v>58607516</v>
      </c>
      <c r="GA162" s="214" t="s">
        <v>1294</v>
      </c>
    </row>
    <row r="163" spans="1:183" s="214" customFormat="1" x14ac:dyDescent="0.2">
      <c r="A163" s="215" t="s">
        <v>1321</v>
      </c>
      <c r="B163" s="610" t="s">
        <v>409</v>
      </c>
      <c r="C163" s="610" t="s">
        <v>408</v>
      </c>
      <c r="D163" s="239">
        <v>0</v>
      </c>
      <c r="E163" s="239">
        <v>0</v>
      </c>
      <c r="F163" s="239">
        <v>0</v>
      </c>
      <c r="G163" s="239">
        <v>21005</v>
      </c>
      <c r="H163" s="239">
        <v>0</v>
      </c>
      <c r="I163" s="239">
        <v>21005</v>
      </c>
      <c r="J163" s="239">
        <v>0</v>
      </c>
      <c r="K163" s="239">
        <v>0</v>
      </c>
      <c r="L163" s="239">
        <v>0</v>
      </c>
      <c r="M163" s="239">
        <v>32431</v>
      </c>
      <c r="N163" s="239">
        <v>0</v>
      </c>
      <c r="O163" s="239">
        <v>32431</v>
      </c>
      <c r="P163" s="239">
        <v>53436</v>
      </c>
      <c r="Q163" s="239">
        <v>0</v>
      </c>
      <c r="R163" s="239">
        <v>53436</v>
      </c>
      <c r="S163" s="239">
        <v>-1892870</v>
      </c>
      <c r="T163" s="239">
        <v>0</v>
      </c>
      <c r="U163" s="239">
        <v>-1892870</v>
      </c>
      <c r="V163" s="239">
        <v>-972</v>
      </c>
      <c r="W163" s="239">
        <v>0</v>
      </c>
      <c r="X163" s="239">
        <v>-972</v>
      </c>
      <c r="Y163" s="239">
        <v>-36903</v>
      </c>
      <c r="Z163" s="239">
        <v>0</v>
      </c>
      <c r="AA163" s="239">
        <v>-36903</v>
      </c>
      <c r="AB163" s="239">
        <v>-29100</v>
      </c>
      <c r="AC163" s="239">
        <v>0</v>
      </c>
      <c r="AD163" s="239">
        <v>-29100</v>
      </c>
      <c r="AE163" s="239">
        <v>0</v>
      </c>
      <c r="AF163" s="239">
        <v>0</v>
      </c>
      <c r="AG163" s="239">
        <v>0</v>
      </c>
      <c r="AH163" s="239">
        <v>336749</v>
      </c>
      <c r="AI163" s="239">
        <v>0</v>
      </c>
      <c r="AJ163" s="239">
        <v>336749</v>
      </c>
      <c r="AK163" s="239">
        <v>-3390</v>
      </c>
      <c r="AL163" s="239">
        <v>0</v>
      </c>
      <c r="AM163" s="239">
        <v>-3390</v>
      </c>
      <c r="AN163" s="239">
        <v>-773176</v>
      </c>
      <c r="AO163" s="239">
        <v>0</v>
      </c>
      <c r="AP163" s="239">
        <v>-773176</v>
      </c>
      <c r="AQ163" s="239">
        <v>5362</v>
      </c>
      <c r="AR163" s="239">
        <v>0</v>
      </c>
      <c r="AS163" s="239">
        <v>5362</v>
      </c>
      <c r="AT163" s="239">
        <v>-38449</v>
      </c>
      <c r="AU163" s="239">
        <v>0</v>
      </c>
      <c r="AV163" s="239">
        <v>-38449</v>
      </c>
      <c r="AW163" s="239">
        <v>0</v>
      </c>
      <c r="AX163" s="239">
        <v>0</v>
      </c>
      <c r="AY163" s="239">
        <v>0</v>
      </c>
      <c r="AZ163" s="239">
        <v>-14048</v>
      </c>
      <c r="BA163" s="239">
        <v>0</v>
      </c>
      <c r="BB163" s="239">
        <v>-14048</v>
      </c>
      <c r="BC163" s="239">
        <v>0</v>
      </c>
      <c r="BD163" s="239">
        <v>0</v>
      </c>
      <c r="BE163" s="239">
        <v>0</v>
      </c>
      <c r="BF163" s="239">
        <v>-2416725</v>
      </c>
      <c r="BG163" s="239">
        <v>0</v>
      </c>
      <c r="BH163" s="239">
        <v>-2416725</v>
      </c>
      <c r="BI163" s="239">
        <v>-207</v>
      </c>
      <c r="BJ163" s="239">
        <v>0</v>
      </c>
      <c r="BK163" s="239">
        <v>-207</v>
      </c>
      <c r="BL163" s="239">
        <v>19</v>
      </c>
      <c r="BM163" s="239">
        <v>0</v>
      </c>
      <c r="BN163" s="239">
        <v>19</v>
      </c>
      <c r="BO163" s="239">
        <v>-411149</v>
      </c>
      <c r="BP163" s="239">
        <v>0</v>
      </c>
      <c r="BQ163" s="239">
        <v>-411149</v>
      </c>
      <c r="BR163" s="239">
        <v>6362</v>
      </c>
      <c r="BS163" s="239">
        <v>0</v>
      </c>
      <c r="BT163" s="239">
        <v>6362</v>
      </c>
      <c r="BU163" s="239">
        <v>-404975</v>
      </c>
      <c r="BV163" s="239">
        <v>0</v>
      </c>
      <c r="BW163" s="239">
        <v>-404975</v>
      </c>
      <c r="BX163" s="239">
        <v>-29091</v>
      </c>
      <c r="BY163" s="239">
        <v>0</v>
      </c>
      <c r="BZ163" s="239">
        <v>-29091</v>
      </c>
      <c r="CA163" s="239">
        <v>1341</v>
      </c>
      <c r="CB163" s="239">
        <v>0</v>
      </c>
      <c r="CC163" s="239">
        <v>1341</v>
      </c>
      <c r="CD163" s="239">
        <v>-11558</v>
      </c>
      <c r="CE163" s="239">
        <v>0</v>
      </c>
      <c r="CF163" s="239">
        <v>-11558</v>
      </c>
      <c r="CG163" s="239">
        <v>-14</v>
      </c>
      <c r="CH163" s="239">
        <v>0</v>
      </c>
      <c r="CI163" s="239">
        <v>-14</v>
      </c>
      <c r="CJ163" s="239">
        <v>0</v>
      </c>
      <c r="CK163" s="239">
        <v>0</v>
      </c>
      <c r="CL163" s="239">
        <v>0</v>
      </c>
      <c r="CM163" s="239">
        <v>0</v>
      </c>
      <c r="CN163" s="239">
        <v>0</v>
      </c>
      <c r="CO163" s="239">
        <v>0</v>
      </c>
      <c r="CP163" s="239">
        <v>0</v>
      </c>
      <c r="CQ163" s="239">
        <v>0</v>
      </c>
      <c r="CR163" s="239">
        <v>0</v>
      </c>
      <c r="CS163" s="239">
        <v>0</v>
      </c>
      <c r="CT163" s="239">
        <v>0</v>
      </c>
      <c r="CU163" s="239">
        <v>0</v>
      </c>
      <c r="CV163" s="239">
        <v>0</v>
      </c>
      <c r="CW163" s="239">
        <v>0</v>
      </c>
      <c r="CX163" s="239">
        <v>0</v>
      </c>
      <c r="CY163" s="239">
        <v>0</v>
      </c>
      <c r="CZ163" s="239">
        <v>0</v>
      </c>
      <c r="DA163" s="239">
        <v>0</v>
      </c>
      <c r="DB163" s="239">
        <v>0</v>
      </c>
      <c r="DC163" s="239">
        <v>0</v>
      </c>
      <c r="DD163" s="239">
        <v>0</v>
      </c>
      <c r="DE163" s="239">
        <v>0</v>
      </c>
      <c r="DF163" s="239">
        <v>0</v>
      </c>
      <c r="DG163" s="239">
        <v>0</v>
      </c>
      <c r="DH163" s="239">
        <v>0</v>
      </c>
      <c r="DI163" s="239">
        <v>0</v>
      </c>
      <c r="DJ163" s="239">
        <v>-39322</v>
      </c>
      <c r="DK163" s="239">
        <v>0</v>
      </c>
      <c r="DL163" s="239">
        <v>-39322</v>
      </c>
      <c r="DM163" s="239">
        <v>0</v>
      </c>
      <c r="DN163" s="239">
        <v>0</v>
      </c>
      <c r="DO163" s="239">
        <v>0</v>
      </c>
      <c r="DP163" s="239">
        <v>0</v>
      </c>
      <c r="DQ163" s="239">
        <v>0</v>
      </c>
      <c r="DR163" s="239">
        <v>0</v>
      </c>
      <c r="DS163" s="239">
        <v>0</v>
      </c>
      <c r="DT163" s="239">
        <v>0</v>
      </c>
      <c r="DU163" s="239">
        <v>0</v>
      </c>
      <c r="DV163" s="239">
        <v>0</v>
      </c>
      <c r="DW163" s="239">
        <v>0</v>
      </c>
      <c r="DX163" s="239">
        <v>0</v>
      </c>
      <c r="DY163" s="239">
        <v>-225263</v>
      </c>
      <c r="DZ163" s="239">
        <v>0</v>
      </c>
      <c r="EA163" s="239">
        <v>-225263</v>
      </c>
      <c r="EB163" s="239">
        <v>-23925</v>
      </c>
      <c r="EC163" s="239">
        <v>0</v>
      </c>
      <c r="ED163" s="239">
        <v>-23925</v>
      </c>
      <c r="EE163" s="239">
        <v>0</v>
      </c>
      <c r="EF163" s="239">
        <v>0</v>
      </c>
      <c r="EG163" s="239">
        <v>0</v>
      </c>
      <c r="EH163" s="239">
        <v>0</v>
      </c>
      <c r="EI163" s="239">
        <v>0</v>
      </c>
      <c r="EJ163" s="239">
        <v>0</v>
      </c>
      <c r="EK163" s="239">
        <v>-9802</v>
      </c>
      <c r="EL163" s="239">
        <v>0</v>
      </c>
      <c r="EM163" s="239">
        <v>-9802</v>
      </c>
      <c r="EN163" s="239">
        <v>-258990</v>
      </c>
      <c r="EO163" s="239">
        <v>0</v>
      </c>
      <c r="EP163" s="239">
        <v>-258990</v>
      </c>
      <c r="EQ163" s="239">
        <v>0</v>
      </c>
      <c r="ER163" s="239">
        <v>0</v>
      </c>
      <c r="ES163" s="239">
        <v>0</v>
      </c>
      <c r="ET163" s="239">
        <v>0</v>
      </c>
      <c r="EU163" s="239">
        <v>0</v>
      </c>
      <c r="EV163" s="239">
        <v>0</v>
      </c>
      <c r="EW163" s="239">
        <v>0</v>
      </c>
      <c r="EX163" s="239">
        <v>0</v>
      </c>
      <c r="EY163" s="239">
        <v>0</v>
      </c>
      <c r="EZ163" s="239">
        <v>17232780</v>
      </c>
      <c r="FA163" s="239">
        <v>0</v>
      </c>
      <c r="FB163" s="239">
        <v>17232780</v>
      </c>
      <c r="FC163" s="239">
        <v>53436</v>
      </c>
      <c r="FD163" s="239">
        <v>0</v>
      </c>
      <c r="FE163" s="239">
        <v>53436</v>
      </c>
      <c r="FF163" s="239">
        <v>-2416725</v>
      </c>
      <c r="FG163" s="239">
        <v>0</v>
      </c>
      <c r="FH163" s="239">
        <v>-2416725</v>
      </c>
      <c r="FI163" s="239">
        <v>-404975</v>
      </c>
      <c r="FJ163" s="239">
        <v>0</v>
      </c>
      <c r="FK163" s="239">
        <v>-404975</v>
      </c>
      <c r="FL163" s="239">
        <v>-39322</v>
      </c>
      <c r="FM163" s="239">
        <v>0</v>
      </c>
      <c r="FN163" s="239">
        <v>-39322</v>
      </c>
      <c r="FO163" s="239">
        <v>-258990</v>
      </c>
      <c r="FP163" s="239">
        <v>0</v>
      </c>
      <c r="FQ163" s="239">
        <v>-258990</v>
      </c>
      <c r="FR163" s="239">
        <v>0</v>
      </c>
      <c r="FS163" s="239">
        <v>0</v>
      </c>
      <c r="FT163" s="239">
        <v>0</v>
      </c>
      <c r="FU163" s="239">
        <v>-3066576</v>
      </c>
      <c r="FV163" s="239">
        <v>0</v>
      </c>
      <c r="FW163" s="239">
        <v>-3066576</v>
      </c>
      <c r="FX163" s="239">
        <v>14166204</v>
      </c>
      <c r="FY163" s="239">
        <v>0</v>
      </c>
      <c r="FZ163" s="239">
        <v>14166204</v>
      </c>
      <c r="GA163" s="214" t="s">
        <v>1294</v>
      </c>
    </row>
    <row r="164" spans="1:183" s="214" customFormat="1" x14ac:dyDescent="0.2">
      <c r="B164" s="610" t="s">
        <v>411</v>
      </c>
      <c r="C164" s="610" t="s">
        <v>410</v>
      </c>
      <c r="D164" s="239">
        <v>0</v>
      </c>
      <c r="E164" s="239">
        <v>0</v>
      </c>
      <c r="F164" s="239">
        <v>0</v>
      </c>
      <c r="G164" s="239">
        <v>-137296</v>
      </c>
      <c r="H164" s="239">
        <v>0</v>
      </c>
      <c r="I164" s="239">
        <v>-137296</v>
      </c>
      <c r="J164" s="239">
        <v>0</v>
      </c>
      <c r="K164" s="239">
        <v>0</v>
      </c>
      <c r="L164" s="239">
        <v>0</v>
      </c>
      <c r="M164" s="239">
        <v>-5017</v>
      </c>
      <c r="N164" s="239">
        <v>0</v>
      </c>
      <c r="O164" s="239">
        <v>-5017</v>
      </c>
      <c r="P164" s="239">
        <v>-142313</v>
      </c>
      <c r="Q164" s="239">
        <v>0</v>
      </c>
      <c r="R164" s="239">
        <v>-142313</v>
      </c>
      <c r="S164" s="239">
        <v>-2147208</v>
      </c>
      <c r="T164" s="239">
        <v>0</v>
      </c>
      <c r="U164" s="239">
        <v>-2147208</v>
      </c>
      <c r="V164" s="239">
        <v>-7478</v>
      </c>
      <c r="W164" s="239">
        <v>0</v>
      </c>
      <c r="X164" s="239">
        <v>-7478</v>
      </c>
      <c r="Y164" s="239">
        <v>-73568</v>
      </c>
      <c r="Z164" s="239">
        <v>0</v>
      </c>
      <c r="AA164" s="239">
        <v>-73568</v>
      </c>
      <c r="AB164" s="239">
        <v>-40787</v>
      </c>
      <c r="AC164" s="239">
        <v>0</v>
      </c>
      <c r="AD164" s="239">
        <v>-40787</v>
      </c>
      <c r="AE164" s="239">
        <v>0</v>
      </c>
      <c r="AF164" s="239">
        <v>0</v>
      </c>
      <c r="AG164" s="239">
        <v>0</v>
      </c>
      <c r="AH164" s="239">
        <v>402428</v>
      </c>
      <c r="AI164" s="239">
        <v>0</v>
      </c>
      <c r="AJ164" s="239">
        <v>402428</v>
      </c>
      <c r="AK164" s="239">
        <v>-29474</v>
      </c>
      <c r="AL164" s="239">
        <v>0</v>
      </c>
      <c r="AM164" s="239">
        <v>-29474</v>
      </c>
      <c r="AN164" s="239">
        <v>-1654768</v>
      </c>
      <c r="AO164" s="239">
        <v>0</v>
      </c>
      <c r="AP164" s="239">
        <v>-1654768</v>
      </c>
      <c r="AQ164" s="239">
        <v>10761</v>
      </c>
      <c r="AR164" s="239">
        <v>0</v>
      </c>
      <c r="AS164" s="239">
        <v>10761</v>
      </c>
      <c r="AT164" s="239">
        <v>-148748</v>
      </c>
      <c r="AU164" s="239">
        <v>0</v>
      </c>
      <c r="AV164" s="239">
        <v>-148748</v>
      </c>
      <c r="AW164" s="239">
        <v>0</v>
      </c>
      <c r="AX164" s="239">
        <v>0</v>
      </c>
      <c r="AY164" s="239">
        <v>0</v>
      </c>
      <c r="AZ164" s="239">
        <v>-61406</v>
      </c>
      <c r="BA164" s="239">
        <v>0</v>
      </c>
      <c r="BB164" s="239">
        <v>-61406</v>
      </c>
      <c r="BC164" s="239">
        <v>-732</v>
      </c>
      <c r="BD164" s="239">
        <v>0</v>
      </c>
      <c r="BE164" s="239">
        <v>-732</v>
      </c>
      <c r="BF164" s="239">
        <v>-3702715</v>
      </c>
      <c r="BG164" s="239">
        <v>0</v>
      </c>
      <c r="BH164" s="239">
        <v>-3702715</v>
      </c>
      <c r="BI164" s="239">
        <v>0</v>
      </c>
      <c r="BJ164" s="239">
        <v>0</v>
      </c>
      <c r="BK164" s="239">
        <v>0</v>
      </c>
      <c r="BL164" s="239">
        <v>89</v>
      </c>
      <c r="BM164" s="239">
        <v>0</v>
      </c>
      <c r="BN164" s="239">
        <v>89</v>
      </c>
      <c r="BO164" s="239">
        <v>-466677</v>
      </c>
      <c r="BP164" s="239">
        <v>0</v>
      </c>
      <c r="BQ164" s="239">
        <v>-466677</v>
      </c>
      <c r="BR164" s="239">
        <v>-110874</v>
      </c>
      <c r="BS164" s="239">
        <v>0</v>
      </c>
      <c r="BT164" s="239">
        <v>-110874</v>
      </c>
      <c r="BU164" s="239">
        <v>-577462</v>
      </c>
      <c r="BV164" s="239">
        <v>0</v>
      </c>
      <c r="BW164" s="239">
        <v>-577462</v>
      </c>
      <c r="BX164" s="239">
        <v>-87001</v>
      </c>
      <c r="BY164" s="239">
        <v>0</v>
      </c>
      <c r="BZ164" s="239">
        <v>-87001</v>
      </c>
      <c r="CA164" s="239">
        <v>4620</v>
      </c>
      <c r="CB164" s="239">
        <v>0</v>
      </c>
      <c r="CC164" s="239">
        <v>4620</v>
      </c>
      <c r="CD164" s="239">
        <v>-60540</v>
      </c>
      <c r="CE164" s="239">
        <v>0</v>
      </c>
      <c r="CF164" s="239">
        <v>-60540</v>
      </c>
      <c r="CG164" s="239">
        <v>-1460</v>
      </c>
      <c r="CH164" s="239">
        <v>0</v>
      </c>
      <c r="CI164" s="239">
        <v>-1460</v>
      </c>
      <c r="CJ164" s="239">
        <v>-37099</v>
      </c>
      <c r="CK164" s="239">
        <v>0</v>
      </c>
      <c r="CL164" s="239">
        <v>-37099</v>
      </c>
      <c r="CM164" s="239">
        <v>0</v>
      </c>
      <c r="CN164" s="239">
        <v>0</v>
      </c>
      <c r="CO164" s="239">
        <v>0</v>
      </c>
      <c r="CP164" s="239">
        <v>-34681</v>
      </c>
      <c r="CQ164" s="239">
        <v>0</v>
      </c>
      <c r="CR164" s="239">
        <v>-34681</v>
      </c>
      <c r="CS164" s="239">
        <v>-732</v>
      </c>
      <c r="CT164" s="239">
        <v>0</v>
      </c>
      <c r="CU164" s="239">
        <v>-732</v>
      </c>
      <c r="CV164" s="239">
        <v>-30203</v>
      </c>
      <c r="CW164" s="239">
        <v>0</v>
      </c>
      <c r="CX164" s="239">
        <v>-30203</v>
      </c>
      <c r="CY164" s="239">
        <v>540</v>
      </c>
      <c r="CZ164" s="239">
        <v>0</v>
      </c>
      <c r="DA164" s="239">
        <v>540</v>
      </c>
      <c r="DB164" s="239">
        <v>0</v>
      </c>
      <c r="DC164" s="239">
        <v>0</v>
      </c>
      <c r="DD164" s="239">
        <v>0</v>
      </c>
      <c r="DE164" s="239">
        <v>0</v>
      </c>
      <c r="DF164" s="239">
        <v>0</v>
      </c>
      <c r="DG164" s="239">
        <v>0</v>
      </c>
      <c r="DH164" s="239">
        <v>0</v>
      </c>
      <c r="DI164" s="239">
        <v>0</v>
      </c>
      <c r="DJ164" s="239">
        <v>-246556</v>
      </c>
      <c r="DK164" s="239">
        <v>0</v>
      </c>
      <c r="DL164" s="239">
        <v>-246556</v>
      </c>
      <c r="DM164" s="239">
        <v>0</v>
      </c>
      <c r="DN164" s="239">
        <v>0</v>
      </c>
      <c r="DO164" s="239">
        <v>0</v>
      </c>
      <c r="DP164" s="239">
        <v>0</v>
      </c>
      <c r="DQ164" s="239">
        <v>0</v>
      </c>
      <c r="DR164" s="239">
        <v>0</v>
      </c>
      <c r="DS164" s="239">
        <v>-4128</v>
      </c>
      <c r="DT164" s="239">
        <v>0</v>
      </c>
      <c r="DU164" s="239">
        <v>-4128</v>
      </c>
      <c r="DV164" s="239">
        <v>-411</v>
      </c>
      <c r="DW164" s="239">
        <v>0</v>
      </c>
      <c r="DX164" s="239">
        <v>-411</v>
      </c>
      <c r="DY164" s="239">
        <v>-460810</v>
      </c>
      <c r="DZ164" s="239">
        <v>0</v>
      </c>
      <c r="EA164" s="239">
        <v>-460810</v>
      </c>
      <c r="EB164" s="239">
        <v>-19666</v>
      </c>
      <c r="EC164" s="239">
        <v>0</v>
      </c>
      <c r="ED164" s="239">
        <v>-19666</v>
      </c>
      <c r="EE164" s="239">
        <v>0</v>
      </c>
      <c r="EF164" s="239">
        <v>0</v>
      </c>
      <c r="EG164" s="239">
        <v>0</v>
      </c>
      <c r="EH164" s="239">
        <v>0</v>
      </c>
      <c r="EI164" s="239">
        <v>0</v>
      </c>
      <c r="EJ164" s="239">
        <v>0</v>
      </c>
      <c r="EK164" s="239">
        <v>-5598</v>
      </c>
      <c r="EL164" s="239">
        <v>0</v>
      </c>
      <c r="EM164" s="239">
        <v>-5598</v>
      </c>
      <c r="EN164" s="239">
        <v>-490613</v>
      </c>
      <c r="EO164" s="239">
        <v>0</v>
      </c>
      <c r="EP164" s="239">
        <v>-490613</v>
      </c>
      <c r="EQ164" s="239">
        <v>0</v>
      </c>
      <c r="ER164" s="239">
        <v>0</v>
      </c>
      <c r="ES164" s="239">
        <v>0</v>
      </c>
      <c r="ET164" s="239">
        <v>0</v>
      </c>
      <c r="EU164" s="239">
        <v>0</v>
      </c>
      <c r="EV164" s="239">
        <v>0</v>
      </c>
      <c r="EW164" s="239">
        <v>0</v>
      </c>
      <c r="EX164" s="239">
        <v>0</v>
      </c>
      <c r="EY164" s="239">
        <v>0</v>
      </c>
      <c r="EZ164" s="239">
        <v>18146546</v>
      </c>
      <c r="FA164" s="239">
        <v>0</v>
      </c>
      <c r="FB164" s="239">
        <v>18146546</v>
      </c>
      <c r="FC164" s="239">
        <v>-142313</v>
      </c>
      <c r="FD164" s="239">
        <v>0</v>
      </c>
      <c r="FE164" s="239">
        <v>-142313</v>
      </c>
      <c r="FF164" s="239">
        <v>-3702715</v>
      </c>
      <c r="FG164" s="239">
        <v>0</v>
      </c>
      <c r="FH164" s="239">
        <v>-3702715</v>
      </c>
      <c r="FI164" s="239">
        <v>-577462</v>
      </c>
      <c r="FJ164" s="239">
        <v>0</v>
      </c>
      <c r="FK164" s="239">
        <v>-577462</v>
      </c>
      <c r="FL164" s="239">
        <v>-246556</v>
      </c>
      <c r="FM164" s="239">
        <v>0</v>
      </c>
      <c r="FN164" s="239">
        <v>-246556</v>
      </c>
      <c r="FO164" s="239">
        <v>-490613</v>
      </c>
      <c r="FP164" s="239">
        <v>0</v>
      </c>
      <c r="FQ164" s="239">
        <v>-490613</v>
      </c>
      <c r="FR164" s="239">
        <v>0</v>
      </c>
      <c r="FS164" s="239">
        <v>0</v>
      </c>
      <c r="FT164" s="239">
        <v>0</v>
      </c>
      <c r="FU164" s="239">
        <v>-5159659</v>
      </c>
      <c r="FV164" s="239">
        <v>0</v>
      </c>
      <c r="FW164" s="239">
        <v>-5159659</v>
      </c>
      <c r="FX164" s="239">
        <v>12986887</v>
      </c>
      <c r="FY164" s="239">
        <v>0</v>
      </c>
      <c r="FZ164" s="239">
        <v>12986887</v>
      </c>
      <c r="GA164" s="214" t="s">
        <v>1294</v>
      </c>
    </row>
    <row r="165" spans="1:183" s="214" customFormat="1" x14ac:dyDescent="0.2">
      <c r="B165" s="610" t="s">
        <v>413</v>
      </c>
      <c r="C165" s="610" t="s">
        <v>412</v>
      </c>
      <c r="D165" s="239">
        <v>0</v>
      </c>
      <c r="E165" s="239">
        <v>0</v>
      </c>
      <c r="F165" s="239">
        <v>0</v>
      </c>
      <c r="G165" s="239">
        <v>1852842</v>
      </c>
      <c r="H165" s="239">
        <v>2174</v>
      </c>
      <c r="I165" s="239">
        <v>1855016</v>
      </c>
      <c r="J165" s="239">
        <v>0</v>
      </c>
      <c r="K165" s="239">
        <v>0</v>
      </c>
      <c r="L165" s="239">
        <v>0</v>
      </c>
      <c r="M165" s="239">
        <v>1879659</v>
      </c>
      <c r="N165" s="239">
        <v>-32</v>
      </c>
      <c r="O165" s="239">
        <v>1879627</v>
      </c>
      <c r="P165" s="239">
        <v>3732501</v>
      </c>
      <c r="Q165" s="239">
        <v>2142</v>
      </c>
      <c r="R165" s="239">
        <v>3734643</v>
      </c>
      <c r="S165" s="239">
        <v>-11070249</v>
      </c>
      <c r="T165" s="239">
        <v>-56623</v>
      </c>
      <c r="U165" s="239">
        <v>-11126872</v>
      </c>
      <c r="V165" s="239">
        <v>0</v>
      </c>
      <c r="W165" s="239">
        <v>0</v>
      </c>
      <c r="X165" s="239">
        <v>0</v>
      </c>
      <c r="Y165" s="239">
        <v>-639737</v>
      </c>
      <c r="Z165" s="239">
        <v>-13233</v>
      </c>
      <c r="AA165" s="239">
        <v>-652970</v>
      </c>
      <c r="AB165" s="239">
        <v>0</v>
      </c>
      <c r="AC165" s="239">
        <v>0</v>
      </c>
      <c r="AD165" s="239">
        <v>0</v>
      </c>
      <c r="AE165" s="239">
        <v>0</v>
      </c>
      <c r="AF165" s="239">
        <v>0</v>
      </c>
      <c r="AG165" s="239">
        <v>0</v>
      </c>
      <c r="AH165" s="239">
        <v>9730460</v>
      </c>
      <c r="AI165" s="239">
        <v>158221</v>
      </c>
      <c r="AJ165" s="239">
        <v>9888681</v>
      </c>
      <c r="AK165" s="239">
        <v>-460190</v>
      </c>
      <c r="AL165" s="239">
        <v>3299</v>
      </c>
      <c r="AM165" s="239">
        <v>-456891</v>
      </c>
      <c r="AN165" s="239">
        <v>-24799127</v>
      </c>
      <c r="AO165" s="239">
        <v>-6803</v>
      </c>
      <c r="AP165" s="239">
        <v>-24805930</v>
      </c>
      <c r="AQ165" s="239">
        <v>163860</v>
      </c>
      <c r="AR165" s="239">
        <v>0</v>
      </c>
      <c r="AS165" s="239">
        <v>163860</v>
      </c>
      <c r="AT165" s="239">
        <v>-110424</v>
      </c>
      <c r="AU165" s="239">
        <v>0</v>
      </c>
      <c r="AV165" s="239">
        <v>-110424</v>
      </c>
      <c r="AW165" s="239">
        <v>0</v>
      </c>
      <c r="AX165" s="239">
        <v>0</v>
      </c>
      <c r="AY165" s="239">
        <v>0</v>
      </c>
      <c r="AZ165" s="239">
        <v>0</v>
      </c>
      <c r="BA165" s="239">
        <v>0</v>
      </c>
      <c r="BB165" s="239">
        <v>0</v>
      </c>
      <c r="BC165" s="239">
        <v>0</v>
      </c>
      <c r="BD165" s="239">
        <v>0</v>
      </c>
      <c r="BE165" s="239">
        <v>0</v>
      </c>
      <c r="BF165" s="239">
        <v>-27185407</v>
      </c>
      <c r="BG165" s="239">
        <v>84861</v>
      </c>
      <c r="BH165" s="239">
        <v>-27100546</v>
      </c>
      <c r="BI165" s="239">
        <v>0</v>
      </c>
      <c r="BJ165" s="239">
        <v>0</v>
      </c>
      <c r="BK165" s="239">
        <v>0</v>
      </c>
      <c r="BL165" s="239">
        <v>65978</v>
      </c>
      <c r="BM165" s="239">
        <v>0</v>
      </c>
      <c r="BN165" s="239">
        <v>65978</v>
      </c>
      <c r="BO165" s="239">
        <v>-26651624</v>
      </c>
      <c r="BP165" s="239">
        <v>-307994</v>
      </c>
      <c r="BQ165" s="239">
        <v>-26959618</v>
      </c>
      <c r="BR165" s="239">
        <v>3399116</v>
      </c>
      <c r="BS165" s="239">
        <v>-5534</v>
      </c>
      <c r="BT165" s="239">
        <v>3393582</v>
      </c>
      <c r="BU165" s="239">
        <v>-23186530</v>
      </c>
      <c r="BV165" s="239">
        <v>-313528</v>
      </c>
      <c r="BW165" s="239">
        <v>-23500058</v>
      </c>
      <c r="BX165" s="239">
        <v>-407749</v>
      </c>
      <c r="BY165" s="239">
        <v>0</v>
      </c>
      <c r="BZ165" s="239">
        <v>-407749</v>
      </c>
      <c r="CA165" s="239">
        <v>111123</v>
      </c>
      <c r="CB165" s="239">
        <v>0</v>
      </c>
      <c r="CC165" s="239">
        <v>111123</v>
      </c>
      <c r="CD165" s="239">
        <v>-2394764</v>
      </c>
      <c r="CE165" s="239">
        <v>0</v>
      </c>
      <c r="CF165" s="239">
        <v>-2394764</v>
      </c>
      <c r="CG165" s="239">
        <v>-553914</v>
      </c>
      <c r="CH165" s="239">
        <v>0</v>
      </c>
      <c r="CI165" s="239">
        <v>-553914</v>
      </c>
      <c r="CJ165" s="239">
        <v>0</v>
      </c>
      <c r="CK165" s="239">
        <v>0</v>
      </c>
      <c r="CL165" s="239">
        <v>0</v>
      </c>
      <c r="CM165" s="239">
        <v>0</v>
      </c>
      <c r="CN165" s="239">
        <v>0</v>
      </c>
      <c r="CO165" s="239">
        <v>0</v>
      </c>
      <c r="CP165" s="239">
        <v>0</v>
      </c>
      <c r="CQ165" s="239">
        <v>0</v>
      </c>
      <c r="CR165" s="239">
        <v>0</v>
      </c>
      <c r="CS165" s="239">
        <v>0</v>
      </c>
      <c r="CT165" s="239">
        <v>0</v>
      </c>
      <c r="CU165" s="239">
        <v>0</v>
      </c>
      <c r="CV165" s="239">
        <v>0</v>
      </c>
      <c r="CW165" s="239">
        <v>0</v>
      </c>
      <c r="CX165" s="239">
        <v>0</v>
      </c>
      <c r="CY165" s="239">
        <v>0</v>
      </c>
      <c r="CZ165" s="239">
        <v>0</v>
      </c>
      <c r="DA165" s="239">
        <v>0</v>
      </c>
      <c r="DB165" s="239">
        <v>-2308</v>
      </c>
      <c r="DC165" s="239">
        <v>-779166</v>
      </c>
      <c r="DD165" s="239">
        <v>-781474</v>
      </c>
      <c r="DE165" s="239">
        <v>0</v>
      </c>
      <c r="DF165" s="239">
        <v>-101880</v>
      </c>
      <c r="DG165" s="239">
        <v>-101880</v>
      </c>
      <c r="DH165" s="239">
        <v>-881046</v>
      </c>
      <c r="DI165" s="239">
        <v>0</v>
      </c>
      <c r="DJ165" s="239">
        <v>-3247612</v>
      </c>
      <c r="DK165" s="239">
        <v>-881046</v>
      </c>
      <c r="DL165" s="239">
        <v>-4128658</v>
      </c>
      <c r="DM165" s="239">
        <v>-28055</v>
      </c>
      <c r="DN165" s="239">
        <v>0</v>
      </c>
      <c r="DO165" s="239">
        <v>-28055</v>
      </c>
      <c r="DP165" s="239">
        <v>0</v>
      </c>
      <c r="DQ165" s="239">
        <v>0</v>
      </c>
      <c r="DR165" s="239">
        <v>0</v>
      </c>
      <c r="DS165" s="239">
        <v>-272056</v>
      </c>
      <c r="DT165" s="239">
        <v>0</v>
      </c>
      <c r="DU165" s="239">
        <v>-272056</v>
      </c>
      <c r="DV165" s="239">
        <v>-68488</v>
      </c>
      <c r="DW165" s="239">
        <v>0</v>
      </c>
      <c r="DX165" s="239">
        <v>-68488</v>
      </c>
      <c r="DY165" s="239">
        <v>-2380404</v>
      </c>
      <c r="DZ165" s="239">
        <v>-1500</v>
      </c>
      <c r="EA165" s="239">
        <v>-2381904</v>
      </c>
      <c r="EB165" s="239">
        <v>-335404</v>
      </c>
      <c r="EC165" s="239">
        <v>0</v>
      </c>
      <c r="ED165" s="239">
        <v>-335404</v>
      </c>
      <c r="EE165" s="239">
        <v>-11670</v>
      </c>
      <c r="EF165" s="239">
        <v>0</v>
      </c>
      <c r="EG165" s="239">
        <v>-11670</v>
      </c>
      <c r="EH165" s="239">
        <v>0</v>
      </c>
      <c r="EI165" s="239">
        <v>0</v>
      </c>
      <c r="EJ165" s="239">
        <v>0</v>
      </c>
      <c r="EK165" s="239">
        <v>-54650</v>
      </c>
      <c r="EL165" s="239">
        <v>0</v>
      </c>
      <c r="EM165" s="239">
        <v>-54650</v>
      </c>
      <c r="EN165" s="239">
        <v>-3150727</v>
      </c>
      <c r="EO165" s="239">
        <v>-1500</v>
      </c>
      <c r="EP165" s="239">
        <v>-3152227</v>
      </c>
      <c r="EQ165" s="239">
        <v>0</v>
      </c>
      <c r="ER165" s="239">
        <v>0</v>
      </c>
      <c r="ES165" s="239">
        <v>0</v>
      </c>
      <c r="ET165" s="239">
        <v>0</v>
      </c>
      <c r="EU165" s="239">
        <v>0</v>
      </c>
      <c r="EV165" s="239">
        <v>0</v>
      </c>
      <c r="EW165" s="239">
        <v>0</v>
      </c>
      <c r="EX165" s="239">
        <v>0</v>
      </c>
      <c r="EY165" s="239">
        <v>0</v>
      </c>
      <c r="EZ165" s="239">
        <v>374485563</v>
      </c>
      <c r="FA165" s="239">
        <v>6504454</v>
      </c>
      <c r="FB165" s="239">
        <v>380990017</v>
      </c>
      <c r="FC165" s="239">
        <v>3732501</v>
      </c>
      <c r="FD165" s="239">
        <v>2142</v>
      </c>
      <c r="FE165" s="239">
        <v>3734643</v>
      </c>
      <c r="FF165" s="239">
        <v>-27185407</v>
      </c>
      <c r="FG165" s="239">
        <v>84861</v>
      </c>
      <c r="FH165" s="239">
        <v>-27100546</v>
      </c>
      <c r="FI165" s="239">
        <v>-23186530</v>
      </c>
      <c r="FJ165" s="239">
        <v>-313528</v>
      </c>
      <c r="FK165" s="239">
        <v>-23500058</v>
      </c>
      <c r="FL165" s="239">
        <v>-3247612</v>
      </c>
      <c r="FM165" s="239">
        <v>-881046</v>
      </c>
      <c r="FN165" s="239">
        <v>-4128658</v>
      </c>
      <c r="FO165" s="239">
        <v>-3150727</v>
      </c>
      <c r="FP165" s="239">
        <v>-1500</v>
      </c>
      <c r="FQ165" s="239">
        <v>-3152227</v>
      </c>
      <c r="FR165" s="239">
        <v>0</v>
      </c>
      <c r="FS165" s="239">
        <v>0</v>
      </c>
      <c r="FT165" s="239">
        <v>0</v>
      </c>
      <c r="FU165" s="239">
        <v>-53037775</v>
      </c>
      <c r="FV165" s="239">
        <v>-1109071</v>
      </c>
      <c r="FW165" s="239">
        <v>-54146846</v>
      </c>
      <c r="FX165" s="239">
        <v>321447788</v>
      </c>
      <c r="FY165" s="239">
        <v>5395383</v>
      </c>
      <c r="FZ165" s="239">
        <v>326843171</v>
      </c>
      <c r="GA165" s="214" t="s">
        <v>1296</v>
      </c>
    </row>
    <row r="166" spans="1:183" s="214" customFormat="1" x14ac:dyDescent="0.2">
      <c r="B166" s="610" t="s">
        <v>415</v>
      </c>
      <c r="C166" s="610" t="s">
        <v>414</v>
      </c>
      <c r="D166" s="239">
        <v>0</v>
      </c>
      <c r="E166" s="239">
        <v>0</v>
      </c>
      <c r="F166" s="239">
        <v>0</v>
      </c>
      <c r="G166" s="239">
        <v>454</v>
      </c>
      <c r="H166" s="239">
        <v>0</v>
      </c>
      <c r="I166" s="239">
        <v>454</v>
      </c>
      <c r="J166" s="239">
        <v>0</v>
      </c>
      <c r="K166" s="239">
        <v>0</v>
      </c>
      <c r="L166" s="239">
        <v>0</v>
      </c>
      <c r="M166" s="239">
        <v>-7526</v>
      </c>
      <c r="N166" s="239">
        <v>0</v>
      </c>
      <c r="O166" s="239">
        <v>-7526</v>
      </c>
      <c r="P166" s="239">
        <v>-7072</v>
      </c>
      <c r="Q166" s="239">
        <v>0</v>
      </c>
      <c r="R166" s="239">
        <v>-7072</v>
      </c>
      <c r="S166" s="239">
        <v>-1877939</v>
      </c>
      <c r="T166" s="239">
        <v>0</v>
      </c>
      <c r="U166" s="239">
        <v>-1877939</v>
      </c>
      <c r="V166" s="239">
        <v>-7968</v>
      </c>
      <c r="W166" s="239">
        <v>0</v>
      </c>
      <c r="X166" s="239">
        <v>-7968</v>
      </c>
      <c r="Y166" s="239">
        <v>-173277</v>
      </c>
      <c r="Z166" s="239">
        <v>0</v>
      </c>
      <c r="AA166" s="239">
        <v>-173277</v>
      </c>
      <c r="AB166" s="239">
        <v>-95302</v>
      </c>
      <c r="AC166" s="239">
        <v>0</v>
      </c>
      <c r="AD166" s="239">
        <v>-95302</v>
      </c>
      <c r="AE166" s="239">
        <v>1367</v>
      </c>
      <c r="AF166" s="239">
        <v>0</v>
      </c>
      <c r="AG166" s="239">
        <v>1367</v>
      </c>
      <c r="AH166" s="239">
        <v>786893</v>
      </c>
      <c r="AI166" s="239">
        <v>0</v>
      </c>
      <c r="AJ166" s="239">
        <v>786893</v>
      </c>
      <c r="AK166" s="239">
        <v>13878</v>
      </c>
      <c r="AL166" s="239">
        <v>0</v>
      </c>
      <c r="AM166" s="239">
        <v>13878</v>
      </c>
      <c r="AN166" s="239">
        <v>-2017560</v>
      </c>
      <c r="AO166" s="239">
        <v>0</v>
      </c>
      <c r="AP166" s="239">
        <v>-2017560</v>
      </c>
      <c r="AQ166" s="239">
        <v>-153020</v>
      </c>
      <c r="AR166" s="239">
        <v>0</v>
      </c>
      <c r="AS166" s="239">
        <v>-153020</v>
      </c>
      <c r="AT166" s="239">
        <v>-14860</v>
      </c>
      <c r="AU166" s="239">
        <v>0</v>
      </c>
      <c r="AV166" s="239">
        <v>-14860</v>
      </c>
      <c r="AW166" s="239">
        <v>0</v>
      </c>
      <c r="AX166" s="239">
        <v>0</v>
      </c>
      <c r="AY166" s="239">
        <v>0</v>
      </c>
      <c r="AZ166" s="239">
        <v>0</v>
      </c>
      <c r="BA166" s="239">
        <v>0</v>
      </c>
      <c r="BB166" s="239">
        <v>0</v>
      </c>
      <c r="BC166" s="239">
        <v>0</v>
      </c>
      <c r="BD166" s="239">
        <v>0</v>
      </c>
      <c r="BE166" s="239">
        <v>0</v>
      </c>
      <c r="BF166" s="239">
        <v>-3435885</v>
      </c>
      <c r="BG166" s="239">
        <v>0</v>
      </c>
      <c r="BH166" s="239">
        <v>-3435885</v>
      </c>
      <c r="BI166" s="239">
        <v>-1533</v>
      </c>
      <c r="BJ166" s="239">
        <v>0</v>
      </c>
      <c r="BK166" s="239">
        <v>-1533</v>
      </c>
      <c r="BL166" s="239">
        <v>-2970</v>
      </c>
      <c r="BM166" s="239">
        <v>0</v>
      </c>
      <c r="BN166" s="239">
        <v>-2970</v>
      </c>
      <c r="BO166" s="239">
        <v>-1035127</v>
      </c>
      <c r="BP166" s="239">
        <v>0</v>
      </c>
      <c r="BQ166" s="239">
        <v>-1035127</v>
      </c>
      <c r="BR166" s="239">
        <v>-138948</v>
      </c>
      <c r="BS166" s="239">
        <v>0</v>
      </c>
      <c r="BT166" s="239">
        <v>-138948</v>
      </c>
      <c r="BU166" s="239">
        <v>-1178578</v>
      </c>
      <c r="BV166" s="239">
        <v>0</v>
      </c>
      <c r="BW166" s="239">
        <v>-1178578</v>
      </c>
      <c r="BX166" s="239">
        <v>-8928</v>
      </c>
      <c r="BY166" s="239">
        <v>0</v>
      </c>
      <c r="BZ166" s="239">
        <v>-8928</v>
      </c>
      <c r="CA166" s="239">
        <v>0</v>
      </c>
      <c r="CB166" s="239">
        <v>0</v>
      </c>
      <c r="CC166" s="239">
        <v>0</v>
      </c>
      <c r="CD166" s="239">
        <v>-103258</v>
      </c>
      <c r="CE166" s="239">
        <v>0</v>
      </c>
      <c r="CF166" s="239">
        <v>-103258</v>
      </c>
      <c r="CG166" s="239">
        <v>2250</v>
      </c>
      <c r="CH166" s="239">
        <v>0</v>
      </c>
      <c r="CI166" s="239">
        <v>2250</v>
      </c>
      <c r="CJ166" s="239">
        <v>0</v>
      </c>
      <c r="CK166" s="239">
        <v>0</v>
      </c>
      <c r="CL166" s="239">
        <v>0</v>
      </c>
      <c r="CM166" s="239">
        <v>0</v>
      </c>
      <c r="CN166" s="239">
        <v>0</v>
      </c>
      <c r="CO166" s="239">
        <v>0</v>
      </c>
      <c r="CP166" s="239">
        <v>0</v>
      </c>
      <c r="CQ166" s="239">
        <v>0</v>
      </c>
      <c r="CR166" s="239">
        <v>0</v>
      </c>
      <c r="CS166" s="239">
        <v>0</v>
      </c>
      <c r="CT166" s="239">
        <v>0</v>
      </c>
      <c r="CU166" s="239">
        <v>0</v>
      </c>
      <c r="CV166" s="239">
        <v>0</v>
      </c>
      <c r="CW166" s="239">
        <v>0</v>
      </c>
      <c r="CX166" s="239">
        <v>0</v>
      </c>
      <c r="CY166" s="239">
        <v>0</v>
      </c>
      <c r="CZ166" s="239">
        <v>0</v>
      </c>
      <c r="DA166" s="239">
        <v>0</v>
      </c>
      <c r="DB166" s="239">
        <v>0</v>
      </c>
      <c r="DC166" s="239">
        <v>0</v>
      </c>
      <c r="DD166" s="239">
        <v>0</v>
      </c>
      <c r="DE166" s="239">
        <v>0</v>
      </c>
      <c r="DF166" s="239">
        <v>0</v>
      </c>
      <c r="DG166" s="239">
        <v>0</v>
      </c>
      <c r="DH166" s="239">
        <v>0</v>
      </c>
      <c r="DI166" s="239">
        <v>0</v>
      </c>
      <c r="DJ166" s="239">
        <v>-109936</v>
      </c>
      <c r="DK166" s="239">
        <v>0</v>
      </c>
      <c r="DL166" s="239">
        <v>-109936</v>
      </c>
      <c r="DM166" s="239">
        <v>-3745</v>
      </c>
      <c r="DN166" s="239">
        <v>0</v>
      </c>
      <c r="DO166" s="239">
        <v>-3745</v>
      </c>
      <c r="DP166" s="239">
        <v>108</v>
      </c>
      <c r="DQ166" s="239">
        <v>0</v>
      </c>
      <c r="DR166" s="239">
        <v>108</v>
      </c>
      <c r="DS166" s="239">
        <v>-9182</v>
      </c>
      <c r="DT166" s="239">
        <v>0</v>
      </c>
      <c r="DU166" s="239">
        <v>-9182</v>
      </c>
      <c r="DV166" s="239">
        <v>-440</v>
      </c>
      <c r="DW166" s="239">
        <v>0</v>
      </c>
      <c r="DX166" s="239">
        <v>-440</v>
      </c>
      <c r="DY166" s="239">
        <v>-350507</v>
      </c>
      <c r="DZ166" s="239">
        <v>0</v>
      </c>
      <c r="EA166" s="239">
        <v>-350507</v>
      </c>
      <c r="EB166" s="239">
        <v>-17662</v>
      </c>
      <c r="EC166" s="239">
        <v>0</v>
      </c>
      <c r="ED166" s="239">
        <v>-17662</v>
      </c>
      <c r="EE166" s="239">
        <v>0</v>
      </c>
      <c r="EF166" s="239">
        <v>0</v>
      </c>
      <c r="EG166" s="239">
        <v>0</v>
      </c>
      <c r="EH166" s="239">
        <v>0</v>
      </c>
      <c r="EI166" s="239">
        <v>0</v>
      </c>
      <c r="EJ166" s="239">
        <v>0</v>
      </c>
      <c r="EK166" s="239">
        <v>0</v>
      </c>
      <c r="EL166" s="239">
        <v>0</v>
      </c>
      <c r="EM166" s="239">
        <v>0</v>
      </c>
      <c r="EN166" s="239">
        <v>-381428</v>
      </c>
      <c r="EO166" s="239">
        <v>0</v>
      </c>
      <c r="EP166" s="239">
        <v>-381428</v>
      </c>
      <c r="EQ166" s="239">
        <v>-5379</v>
      </c>
      <c r="ER166" s="239">
        <v>0</v>
      </c>
      <c r="ES166" s="239">
        <v>-5379</v>
      </c>
      <c r="ET166" s="239">
        <v>0</v>
      </c>
      <c r="EU166" s="239">
        <v>0</v>
      </c>
      <c r="EV166" s="239">
        <v>0</v>
      </c>
      <c r="EW166" s="239">
        <v>-5379</v>
      </c>
      <c r="EX166" s="239">
        <v>0</v>
      </c>
      <c r="EY166" s="239">
        <v>-5379</v>
      </c>
      <c r="EZ166" s="239">
        <v>33929045</v>
      </c>
      <c r="FA166" s="239">
        <v>0</v>
      </c>
      <c r="FB166" s="239">
        <v>33929045</v>
      </c>
      <c r="FC166" s="239">
        <v>-7072</v>
      </c>
      <c r="FD166" s="239">
        <v>0</v>
      </c>
      <c r="FE166" s="239">
        <v>-7072</v>
      </c>
      <c r="FF166" s="239">
        <v>-3435885</v>
      </c>
      <c r="FG166" s="239">
        <v>0</v>
      </c>
      <c r="FH166" s="239">
        <v>-3435885</v>
      </c>
      <c r="FI166" s="239">
        <v>-1178578</v>
      </c>
      <c r="FJ166" s="239">
        <v>0</v>
      </c>
      <c r="FK166" s="239">
        <v>-1178578</v>
      </c>
      <c r="FL166" s="239">
        <v>-109936</v>
      </c>
      <c r="FM166" s="239">
        <v>0</v>
      </c>
      <c r="FN166" s="239">
        <v>-109936</v>
      </c>
      <c r="FO166" s="239">
        <v>-381428</v>
      </c>
      <c r="FP166" s="239">
        <v>0</v>
      </c>
      <c r="FQ166" s="239">
        <v>-381428</v>
      </c>
      <c r="FR166" s="239">
        <v>-5379</v>
      </c>
      <c r="FS166" s="239">
        <v>0</v>
      </c>
      <c r="FT166" s="239">
        <v>-5379</v>
      </c>
      <c r="FU166" s="239">
        <v>-5118278</v>
      </c>
      <c r="FV166" s="239">
        <v>0</v>
      </c>
      <c r="FW166" s="239">
        <v>-5118278</v>
      </c>
      <c r="FX166" s="239">
        <v>28810767</v>
      </c>
      <c r="FY166" s="239">
        <v>0</v>
      </c>
      <c r="FZ166" s="239">
        <v>28810767</v>
      </c>
      <c r="GA166" s="214" t="s">
        <v>1294</v>
      </c>
    </row>
    <row r="167" spans="1:183" s="214" customFormat="1" x14ac:dyDescent="0.2">
      <c r="B167" s="610" t="s">
        <v>417</v>
      </c>
      <c r="C167" s="610" t="s">
        <v>416</v>
      </c>
      <c r="D167" s="239">
        <v>0</v>
      </c>
      <c r="E167" s="239">
        <v>0</v>
      </c>
      <c r="F167" s="239">
        <v>0</v>
      </c>
      <c r="G167" s="239">
        <v>-119</v>
      </c>
      <c r="H167" s="239">
        <v>0</v>
      </c>
      <c r="I167" s="239">
        <v>-119</v>
      </c>
      <c r="J167" s="239">
        <v>0</v>
      </c>
      <c r="K167" s="239">
        <v>0</v>
      </c>
      <c r="L167" s="239">
        <v>0</v>
      </c>
      <c r="M167" s="239">
        <v>35428</v>
      </c>
      <c r="N167" s="239">
        <v>0</v>
      </c>
      <c r="O167" s="239">
        <v>35428</v>
      </c>
      <c r="P167" s="239">
        <v>35309</v>
      </c>
      <c r="Q167" s="239">
        <v>0</v>
      </c>
      <c r="R167" s="239">
        <v>35309</v>
      </c>
      <c r="S167" s="239">
        <v>-4156534</v>
      </c>
      <c r="T167" s="239">
        <v>0</v>
      </c>
      <c r="U167" s="239">
        <v>-4156534</v>
      </c>
      <c r="V167" s="239">
        <v>-10144</v>
      </c>
      <c r="W167" s="239">
        <v>0</v>
      </c>
      <c r="X167" s="239">
        <v>-10144</v>
      </c>
      <c r="Y167" s="239">
        <v>-389449</v>
      </c>
      <c r="Z167" s="239">
        <v>0</v>
      </c>
      <c r="AA167" s="239">
        <v>-389449</v>
      </c>
      <c r="AB167" s="239">
        <v>-388878</v>
      </c>
      <c r="AC167" s="239">
        <v>0</v>
      </c>
      <c r="AD167" s="239">
        <v>-388878</v>
      </c>
      <c r="AE167" s="239">
        <v>-571</v>
      </c>
      <c r="AF167" s="239">
        <v>0</v>
      </c>
      <c r="AG167" s="239">
        <v>-571</v>
      </c>
      <c r="AH167" s="239">
        <v>2629948</v>
      </c>
      <c r="AI167" s="239">
        <v>0</v>
      </c>
      <c r="AJ167" s="239">
        <v>2629948</v>
      </c>
      <c r="AK167" s="239">
        <v>202673</v>
      </c>
      <c r="AL167" s="239">
        <v>0</v>
      </c>
      <c r="AM167" s="239">
        <v>202673</v>
      </c>
      <c r="AN167" s="239">
        <v>-7168482</v>
      </c>
      <c r="AO167" s="239">
        <v>0</v>
      </c>
      <c r="AP167" s="239">
        <v>-7168482</v>
      </c>
      <c r="AQ167" s="239">
        <v>-345821</v>
      </c>
      <c r="AR167" s="239">
        <v>0</v>
      </c>
      <c r="AS167" s="239">
        <v>-345821</v>
      </c>
      <c r="AT167" s="239">
        <v>-102741</v>
      </c>
      <c r="AU167" s="239">
        <v>0</v>
      </c>
      <c r="AV167" s="239">
        <v>-102741</v>
      </c>
      <c r="AW167" s="239">
        <v>0</v>
      </c>
      <c r="AX167" s="239">
        <v>0</v>
      </c>
      <c r="AY167" s="239">
        <v>0</v>
      </c>
      <c r="AZ167" s="239">
        <v>-3895</v>
      </c>
      <c r="BA167" s="239">
        <v>0</v>
      </c>
      <c r="BB167" s="239">
        <v>-3895</v>
      </c>
      <c r="BC167" s="239">
        <v>3</v>
      </c>
      <c r="BD167" s="239">
        <v>0</v>
      </c>
      <c r="BE167" s="239">
        <v>3</v>
      </c>
      <c r="BF167" s="239">
        <v>-9334298</v>
      </c>
      <c r="BG167" s="239">
        <v>0</v>
      </c>
      <c r="BH167" s="239">
        <v>-9334298</v>
      </c>
      <c r="BI167" s="239">
        <v>-10529</v>
      </c>
      <c r="BJ167" s="239">
        <v>0</v>
      </c>
      <c r="BK167" s="239">
        <v>-10529</v>
      </c>
      <c r="BL167" s="239">
        <v>-25390</v>
      </c>
      <c r="BM167" s="239">
        <v>0</v>
      </c>
      <c r="BN167" s="239">
        <v>-25390</v>
      </c>
      <c r="BO167" s="239">
        <v>-2864518</v>
      </c>
      <c r="BP167" s="239">
        <v>0</v>
      </c>
      <c r="BQ167" s="239">
        <v>-2864518</v>
      </c>
      <c r="BR167" s="239">
        <v>159637</v>
      </c>
      <c r="BS167" s="239">
        <v>0</v>
      </c>
      <c r="BT167" s="239">
        <v>159637</v>
      </c>
      <c r="BU167" s="239">
        <v>-2740800</v>
      </c>
      <c r="BV167" s="239">
        <v>0</v>
      </c>
      <c r="BW167" s="239">
        <v>-2740800</v>
      </c>
      <c r="BX167" s="239">
        <v>-362924</v>
      </c>
      <c r="BY167" s="239">
        <v>0</v>
      </c>
      <c r="BZ167" s="239">
        <v>-362924</v>
      </c>
      <c r="CA167" s="239">
        <v>-33301</v>
      </c>
      <c r="CB167" s="239">
        <v>0</v>
      </c>
      <c r="CC167" s="239">
        <v>-33301</v>
      </c>
      <c r="CD167" s="239">
        <v>-201776</v>
      </c>
      <c r="CE167" s="239">
        <v>0</v>
      </c>
      <c r="CF167" s="239">
        <v>-201776</v>
      </c>
      <c r="CG167" s="239">
        <v>-924.4</v>
      </c>
      <c r="CH167" s="239">
        <v>0</v>
      </c>
      <c r="CI167" s="239">
        <v>-924.4</v>
      </c>
      <c r="CJ167" s="239">
        <v>-23171</v>
      </c>
      <c r="CK167" s="239">
        <v>0</v>
      </c>
      <c r="CL167" s="239">
        <v>-23171</v>
      </c>
      <c r="CM167" s="239">
        <v>0</v>
      </c>
      <c r="CN167" s="239">
        <v>0</v>
      </c>
      <c r="CO167" s="239">
        <v>0</v>
      </c>
      <c r="CP167" s="239">
        <v>-2400</v>
      </c>
      <c r="CQ167" s="239">
        <v>0</v>
      </c>
      <c r="CR167" s="239">
        <v>-2400</v>
      </c>
      <c r="CS167" s="239">
        <v>0</v>
      </c>
      <c r="CT167" s="239">
        <v>0</v>
      </c>
      <c r="CU167" s="239">
        <v>0</v>
      </c>
      <c r="CV167" s="239">
        <v>0</v>
      </c>
      <c r="CW167" s="239">
        <v>0</v>
      </c>
      <c r="CX167" s="239">
        <v>0</v>
      </c>
      <c r="CY167" s="239">
        <v>0</v>
      </c>
      <c r="CZ167" s="239">
        <v>0</v>
      </c>
      <c r="DA167" s="239">
        <v>0</v>
      </c>
      <c r="DB167" s="239">
        <v>0</v>
      </c>
      <c r="DC167" s="239">
        <v>0</v>
      </c>
      <c r="DD167" s="239">
        <v>0</v>
      </c>
      <c r="DE167" s="239">
        <v>0</v>
      </c>
      <c r="DF167" s="239">
        <v>0</v>
      </c>
      <c r="DG167" s="239">
        <v>0</v>
      </c>
      <c r="DH167" s="239">
        <v>0</v>
      </c>
      <c r="DI167" s="239">
        <v>0</v>
      </c>
      <c r="DJ167" s="239">
        <v>-624496</v>
      </c>
      <c r="DK167" s="239">
        <v>0</v>
      </c>
      <c r="DL167" s="239">
        <v>-624496</v>
      </c>
      <c r="DM167" s="239">
        <v>-198748</v>
      </c>
      <c r="DN167" s="239">
        <v>0</v>
      </c>
      <c r="DO167" s="239">
        <v>-198748</v>
      </c>
      <c r="DP167" s="239">
        <v>14307</v>
      </c>
      <c r="DQ167" s="239">
        <v>0</v>
      </c>
      <c r="DR167" s="239">
        <v>14307</v>
      </c>
      <c r="DS167" s="239">
        <v>-37102</v>
      </c>
      <c r="DT167" s="239">
        <v>0</v>
      </c>
      <c r="DU167" s="239">
        <v>-37102</v>
      </c>
      <c r="DV167" s="239">
        <v>-9046</v>
      </c>
      <c r="DW167" s="239">
        <v>0</v>
      </c>
      <c r="DX167" s="239">
        <v>-9046</v>
      </c>
      <c r="DY167" s="239">
        <v>-876300</v>
      </c>
      <c r="DZ167" s="239">
        <v>0</v>
      </c>
      <c r="EA167" s="239">
        <v>-876300</v>
      </c>
      <c r="EB167" s="239">
        <v>-118377</v>
      </c>
      <c r="EC167" s="239">
        <v>0</v>
      </c>
      <c r="ED167" s="239">
        <v>-118377</v>
      </c>
      <c r="EE167" s="239">
        <v>0</v>
      </c>
      <c r="EF167" s="239">
        <v>0</v>
      </c>
      <c r="EG167" s="239">
        <v>0</v>
      </c>
      <c r="EH167" s="239">
        <v>0</v>
      </c>
      <c r="EI167" s="239">
        <v>0</v>
      </c>
      <c r="EJ167" s="239">
        <v>0</v>
      </c>
      <c r="EK167" s="239">
        <v>0</v>
      </c>
      <c r="EL167" s="239">
        <v>0</v>
      </c>
      <c r="EM167" s="239">
        <v>0</v>
      </c>
      <c r="EN167" s="239">
        <v>-1225266</v>
      </c>
      <c r="EO167" s="239">
        <v>0</v>
      </c>
      <c r="EP167" s="239">
        <v>-1225266</v>
      </c>
      <c r="EQ167" s="239">
        <v>0</v>
      </c>
      <c r="ER167" s="239">
        <v>0</v>
      </c>
      <c r="ES167" s="239">
        <v>0</v>
      </c>
      <c r="ET167" s="239">
        <v>0</v>
      </c>
      <c r="EU167" s="239">
        <v>0</v>
      </c>
      <c r="EV167" s="239">
        <v>0</v>
      </c>
      <c r="EW167" s="239">
        <v>0</v>
      </c>
      <c r="EX167" s="239">
        <v>0</v>
      </c>
      <c r="EY167" s="239">
        <v>0</v>
      </c>
      <c r="EZ167" s="239">
        <v>102744883</v>
      </c>
      <c r="FA167" s="239">
        <v>0</v>
      </c>
      <c r="FB167" s="239">
        <v>102744883</v>
      </c>
      <c r="FC167" s="239">
        <v>35309</v>
      </c>
      <c r="FD167" s="239">
        <v>0</v>
      </c>
      <c r="FE167" s="239">
        <v>35309</v>
      </c>
      <c r="FF167" s="239">
        <v>-9334298</v>
      </c>
      <c r="FG167" s="239">
        <v>0</v>
      </c>
      <c r="FH167" s="239">
        <v>-9334298</v>
      </c>
      <c r="FI167" s="239">
        <v>-2740800</v>
      </c>
      <c r="FJ167" s="239">
        <v>0</v>
      </c>
      <c r="FK167" s="239">
        <v>-2740800</v>
      </c>
      <c r="FL167" s="239">
        <v>-624496</v>
      </c>
      <c r="FM167" s="239">
        <v>0</v>
      </c>
      <c r="FN167" s="239">
        <v>-624496</v>
      </c>
      <c r="FO167" s="239">
        <v>-1225266</v>
      </c>
      <c r="FP167" s="239">
        <v>0</v>
      </c>
      <c r="FQ167" s="239">
        <v>-1225266</v>
      </c>
      <c r="FR167" s="239">
        <v>0</v>
      </c>
      <c r="FS167" s="239">
        <v>0</v>
      </c>
      <c r="FT167" s="239">
        <v>0</v>
      </c>
      <c r="FU167" s="239">
        <v>-13889551</v>
      </c>
      <c r="FV167" s="239">
        <v>0</v>
      </c>
      <c r="FW167" s="239">
        <v>-13889551</v>
      </c>
      <c r="FX167" s="239">
        <v>88855332</v>
      </c>
      <c r="FY167" s="239">
        <v>0</v>
      </c>
      <c r="FZ167" s="239">
        <v>88855332</v>
      </c>
      <c r="GA167" s="214" t="s">
        <v>748</v>
      </c>
    </row>
    <row r="168" spans="1:183" s="214" customFormat="1" x14ac:dyDescent="0.2">
      <c r="B168" s="610" t="s">
        <v>419</v>
      </c>
      <c r="C168" s="610" t="s">
        <v>418</v>
      </c>
      <c r="D168" s="239">
        <v>0</v>
      </c>
      <c r="E168" s="239">
        <v>0</v>
      </c>
      <c r="F168" s="239">
        <v>0</v>
      </c>
      <c r="G168" s="239">
        <v>-15</v>
      </c>
      <c r="H168" s="239">
        <v>0</v>
      </c>
      <c r="I168" s="239">
        <v>-15</v>
      </c>
      <c r="J168" s="239">
        <v>0</v>
      </c>
      <c r="K168" s="239">
        <v>0</v>
      </c>
      <c r="L168" s="239">
        <v>0</v>
      </c>
      <c r="M168" s="239">
        <v>18911</v>
      </c>
      <c r="N168" s="239">
        <v>0</v>
      </c>
      <c r="O168" s="239">
        <v>18911</v>
      </c>
      <c r="P168" s="239">
        <v>18896</v>
      </c>
      <c r="Q168" s="239">
        <v>0</v>
      </c>
      <c r="R168" s="239">
        <v>18896</v>
      </c>
      <c r="S168" s="239">
        <v>-1146758</v>
      </c>
      <c r="T168" s="239">
        <v>0</v>
      </c>
      <c r="U168" s="239">
        <v>-1146758</v>
      </c>
      <c r="V168" s="239">
        <v>-1937</v>
      </c>
      <c r="W168" s="239">
        <v>0</v>
      </c>
      <c r="X168" s="239">
        <v>-1937</v>
      </c>
      <c r="Y168" s="239">
        <v>-94486</v>
      </c>
      <c r="Z168" s="239">
        <v>0</v>
      </c>
      <c r="AA168" s="239">
        <v>-94486</v>
      </c>
      <c r="AB168" s="239">
        <v>-47825</v>
      </c>
      <c r="AC168" s="239">
        <v>0</v>
      </c>
      <c r="AD168" s="239">
        <v>-47825</v>
      </c>
      <c r="AE168" s="239">
        <v>0</v>
      </c>
      <c r="AF168" s="239">
        <v>0</v>
      </c>
      <c r="AG168" s="239">
        <v>0</v>
      </c>
      <c r="AH168" s="239">
        <v>320104</v>
      </c>
      <c r="AI168" s="239">
        <v>0</v>
      </c>
      <c r="AJ168" s="239">
        <v>320104</v>
      </c>
      <c r="AK168" s="239">
        <v>9974</v>
      </c>
      <c r="AL168" s="239">
        <v>0</v>
      </c>
      <c r="AM168" s="239">
        <v>9974</v>
      </c>
      <c r="AN168" s="239">
        <v>-1207737</v>
      </c>
      <c r="AO168" s="239">
        <v>0</v>
      </c>
      <c r="AP168" s="239">
        <v>-1207737</v>
      </c>
      <c r="AQ168" s="239">
        <v>-59078</v>
      </c>
      <c r="AR168" s="239">
        <v>0</v>
      </c>
      <c r="AS168" s="239">
        <v>-59078</v>
      </c>
      <c r="AT168" s="239">
        <v>-35190</v>
      </c>
      <c r="AU168" s="239">
        <v>0</v>
      </c>
      <c r="AV168" s="239">
        <v>-35190</v>
      </c>
      <c r="AW168" s="239">
        <v>0</v>
      </c>
      <c r="AX168" s="239">
        <v>0</v>
      </c>
      <c r="AY168" s="239">
        <v>0</v>
      </c>
      <c r="AZ168" s="239">
        <v>-24711</v>
      </c>
      <c r="BA168" s="239">
        <v>0</v>
      </c>
      <c r="BB168" s="239">
        <v>-24711</v>
      </c>
      <c r="BC168" s="239">
        <v>-653</v>
      </c>
      <c r="BD168" s="239">
        <v>0</v>
      </c>
      <c r="BE168" s="239">
        <v>-653</v>
      </c>
      <c r="BF168" s="239">
        <v>-2238535</v>
      </c>
      <c r="BG168" s="239">
        <v>0</v>
      </c>
      <c r="BH168" s="239">
        <v>-2238535</v>
      </c>
      <c r="BI168" s="239">
        <v>0</v>
      </c>
      <c r="BJ168" s="239">
        <v>0</v>
      </c>
      <c r="BK168" s="239">
        <v>0</v>
      </c>
      <c r="BL168" s="239">
        <v>0</v>
      </c>
      <c r="BM168" s="239">
        <v>0</v>
      </c>
      <c r="BN168" s="239">
        <v>0</v>
      </c>
      <c r="BO168" s="239">
        <v>-274098</v>
      </c>
      <c r="BP168" s="239">
        <v>0</v>
      </c>
      <c r="BQ168" s="239">
        <v>-274098</v>
      </c>
      <c r="BR168" s="239">
        <v>20532</v>
      </c>
      <c r="BS168" s="239">
        <v>0</v>
      </c>
      <c r="BT168" s="239">
        <v>20532</v>
      </c>
      <c r="BU168" s="239">
        <v>-253566</v>
      </c>
      <c r="BV168" s="239">
        <v>0</v>
      </c>
      <c r="BW168" s="239">
        <v>-253566</v>
      </c>
      <c r="BX168" s="239">
        <v>-22545</v>
      </c>
      <c r="BY168" s="239">
        <v>0</v>
      </c>
      <c r="BZ168" s="239">
        <v>-22545</v>
      </c>
      <c r="CA168" s="239">
        <v>-359</v>
      </c>
      <c r="CB168" s="239">
        <v>0</v>
      </c>
      <c r="CC168" s="239">
        <v>-359</v>
      </c>
      <c r="CD168" s="239">
        <v>-26580</v>
      </c>
      <c r="CE168" s="239">
        <v>0</v>
      </c>
      <c r="CF168" s="239">
        <v>-26580</v>
      </c>
      <c r="CG168" s="239">
        <v>-121</v>
      </c>
      <c r="CH168" s="239">
        <v>0</v>
      </c>
      <c r="CI168" s="239">
        <v>-121</v>
      </c>
      <c r="CJ168" s="239">
        <v>-302</v>
      </c>
      <c r="CK168" s="239">
        <v>0</v>
      </c>
      <c r="CL168" s="239">
        <v>-302</v>
      </c>
      <c r="CM168" s="239">
        <v>0</v>
      </c>
      <c r="CN168" s="239">
        <v>0</v>
      </c>
      <c r="CO168" s="239">
        <v>0</v>
      </c>
      <c r="CP168" s="239">
        <v>-7542</v>
      </c>
      <c r="CQ168" s="239">
        <v>0</v>
      </c>
      <c r="CR168" s="239">
        <v>-7542</v>
      </c>
      <c r="CS168" s="239">
        <v>0</v>
      </c>
      <c r="CT168" s="239">
        <v>0</v>
      </c>
      <c r="CU168" s="239">
        <v>0</v>
      </c>
      <c r="CV168" s="239">
        <v>-1212</v>
      </c>
      <c r="CW168" s="239">
        <v>0</v>
      </c>
      <c r="CX168" s="239">
        <v>-1212</v>
      </c>
      <c r="CY168" s="239">
        <v>0</v>
      </c>
      <c r="CZ168" s="239">
        <v>0</v>
      </c>
      <c r="DA168" s="239">
        <v>0</v>
      </c>
      <c r="DB168" s="239">
        <v>0</v>
      </c>
      <c r="DC168" s="239">
        <v>0</v>
      </c>
      <c r="DD168" s="239">
        <v>0</v>
      </c>
      <c r="DE168" s="239">
        <v>0</v>
      </c>
      <c r="DF168" s="239">
        <v>0</v>
      </c>
      <c r="DG168" s="239">
        <v>0</v>
      </c>
      <c r="DH168" s="239">
        <v>0</v>
      </c>
      <c r="DI168" s="239">
        <v>0</v>
      </c>
      <c r="DJ168" s="239">
        <v>-58661</v>
      </c>
      <c r="DK168" s="239">
        <v>0</v>
      </c>
      <c r="DL168" s="239">
        <v>-58661</v>
      </c>
      <c r="DM168" s="239">
        <v>0</v>
      </c>
      <c r="DN168" s="239">
        <v>0</v>
      </c>
      <c r="DO168" s="239">
        <v>0</v>
      </c>
      <c r="DP168" s="239">
        <v>0</v>
      </c>
      <c r="DQ168" s="239">
        <v>0</v>
      </c>
      <c r="DR168" s="239">
        <v>0</v>
      </c>
      <c r="DS168" s="239">
        <v>-6491</v>
      </c>
      <c r="DT168" s="239">
        <v>0</v>
      </c>
      <c r="DU168" s="239">
        <v>-6491</v>
      </c>
      <c r="DV168" s="239">
        <v>-45</v>
      </c>
      <c r="DW168" s="239">
        <v>0</v>
      </c>
      <c r="DX168" s="239">
        <v>-45</v>
      </c>
      <c r="DY168" s="239">
        <v>-312116</v>
      </c>
      <c r="DZ168" s="239">
        <v>0</v>
      </c>
      <c r="EA168" s="239">
        <v>-312116</v>
      </c>
      <c r="EB168" s="239">
        <v>3187</v>
      </c>
      <c r="EC168" s="239">
        <v>0</v>
      </c>
      <c r="ED168" s="239">
        <v>3187</v>
      </c>
      <c r="EE168" s="239">
        <v>0</v>
      </c>
      <c r="EF168" s="239">
        <v>0</v>
      </c>
      <c r="EG168" s="239">
        <v>0</v>
      </c>
      <c r="EH168" s="239">
        <v>0</v>
      </c>
      <c r="EI168" s="239">
        <v>0</v>
      </c>
      <c r="EJ168" s="239">
        <v>0</v>
      </c>
      <c r="EK168" s="239">
        <v>-12961</v>
      </c>
      <c r="EL168" s="239">
        <v>0</v>
      </c>
      <c r="EM168" s="239">
        <v>-12961</v>
      </c>
      <c r="EN168" s="239">
        <v>-328426</v>
      </c>
      <c r="EO168" s="239">
        <v>0</v>
      </c>
      <c r="EP168" s="239">
        <v>-328426</v>
      </c>
      <c r="EQ168" s="239">
        <v>0</v>
      </c>
      <c r="ER168" s="239">
        <v>0</v>
      </c>
      <c r="ES168" s="239">
        <v>0</v>
      </c>
      <c r="ET168" s="239">
        <v>0</v>
      </c>
      <c r="EU168" s="239">
        <v>0</v>
      </c>
      <c r="EV168" s="239">
        <v>0</v>
      </c>
      <c r="EW168" s="239">
        <v>0</v>
      </c>
      <c r="EX168" s="239">
        <v>0</v>
      </c>
      <c r="EY168" s="239">
        <v>0</v>
      </c>
      <c r="EZ168" s="239">
        <v>16589621</v>
      </c>
      <c r="FA168" s="239">
        <v>0</v>
      </c>
      <c r="FB168" s="239">
        <v>16589621</v>
      </c>
      <c r="FC168" s="239">
        <v>18896</v>
      </c>
      <c r="FD168" s="239">
        <v>0</v>
      </c>
      <c r="FE168" s="239">
        <v>18896</v>
      </c>
      <c r="FF168" s="239">
        <v>-2238535</v>
      </c>
      <c r="FG168" s="239">
        <v>0</v>
      </c>
      <c r="FH168" s="239">
        <v>-2238535</v>
      </c>
      <c r="FI168" s="239">
        <v>-253566</v>
      </c>
      <c r="FJ168" s="239">
        <v>0</v>
      </c>
      <c r="FK168" s="239">
        <v>-253566</v>
      </c>
      <c r="FL168" s="239">
        <v>-58661</v>
      </c>
      <c r="FM168" s="239">
        <v>0</v>
      </c>
      <c r="FN168" s="239">
        <v>-58661</v>
      </c>
      <c r="FO168" s="239">
        <v>-328426</v>
      </c>
      <c r="FP168" s="239">
        <v>0</v>
      </c>
      <c r="FQ168" s="239">
        <v>-328426</v>
      </c>
      <c r="FR168" s="239">
        <v>0</v>
      </c>
      <c r="FS168" s="239">
        <v>0</v>
      </c>
      <c r="FT168" s="239">
        <v>0</v>
      </c>
      <c r="FU168" s="239">
        <v>-2860292</v>
      </c>
      <c r="FV168" s="239">
        <v>0</v>
      </c>
      <c r="FW168" s="239">
        <v>-2860292</v>
      </c>
      <c r="FX168" s="239">
        <v>13729329</v>
      </c>
      <c r="FY168" s="239">
        <v>0</v>
      </c>
      <c r="FZ168" s="239">
        <v>13729329</v>
      </c>
      <c r="GA168" s="214" t="s">
        <v>1294</v>
      </c>
    </row>
    <row r="169" spans="1:183" s="214" customFormat="1" x14ac:dyDescent="0.2">
      <c r="B169" s="610" t="s">
        <v>421</v>
      </c>
      <c r="C169" s="610" t="s">
        <v>420</v>
      </c>
      <c r="D169" s="239">
        <v>0</v>
      </c>
      <c r="E169" s="239">
        <v>0</v>
      </c>
      <c r="F169" s="239">
        <v>0</v>
      </c>
      <c r="G169" s="239">
        <v>-410328</v>
      </c>
      <c r="H169" s="239">
        <v>0</v>
      </c>
      <c r="I169" s="239">
        <v>-410328</v>
      </c>
      <c r="J169" s="239">
        <v>0</v>
      </c>
      <c r="K169" s="239">
        <v>0</v>
      </c>
      <c r="L169" s="239">
        <v>0</v>
      </c>
      <c r="M169" s="239">
        <v>-62101</v>
      </c>
      <c r="N169" s="239">
        <v>0</v>
      </c>
      <c r="O169" s="239">
        <v>-62101</v>
      </c>
      <c r="P169" s="239">
        <v>-472429</v>
      </c>
      <c r="Q169" s="239">
        <v>0</v>
      </c>
      <c r="R169" s="239">
        <v>-472429</v>
      </c>
      <c r="S169" s="239">
        <v>-3191728</v>
      </c>
      <c r="T169" s="239">
        <v>0</v>
      </c>
      <c r="U169" s="239">
        <v>-3191728</v>
      </c>
      <c r="V169" s="239">
        <v>0</v>
      </c>
      <c r="W169" s="239">
        <v>0</v>
      </c>
      <c r="X169" s="239">
        <v>0</v>
      </c>
      <c r="Y169" s="239">
        <v>-78017</v>
      </c>
      <c r="Z169" s="239">
        <v>0</v>
      </c>
      <c r="AA169" s="239">
        <v>-78017</v>
      </c>
      <c r="AB169" s="239">
        <v>-51843</v>
      </c>
      <c r="AC169" s="239">
        <v>0</v>
      </c>
      <c r="AD169" s="239">
        <v>-51843</v>
      </c>
      <c r="AE169" s="239">
        <v>0</v>
      </c>
      <c r="AF169" s="239">
        <v>0</v>
      </c>
      <c r="AG169" s="239">
        <v>0</v>
      </c>
      <c r="AH169" s="239">
        <v>893805</v>
      </c>
      <c r="AI169" s="239">
        <v>0</v>
      </c>
      <c r="AJ169" s="239">
        <v>893805</v>
      </c>
      <c r="AK169" s="239">
        <v>-10871</v>
      </c>
      <c r="AL169" s="239">
        <v>0</v>
      </c>
      <c r="AM169" s="239">
        <v>-10871</v>
      </c>
      <c r="AN169" s="239">
        <v>-2972412</v>
      </c>
      <c r="AO169" s="239">
        <v>0</v>
      </c>
      <c r="AP169" s="239">
        <v>-2972412</v>
      </c>
      <c r="AQ169" s="239">
        <v>-17490</v>
      </c>
      <c r="AR169" s="239">
        <v>0</v>
      </c>
      <c r="AS169" s="239">
        <v>-17490</v>
      </c>
      <c r="AT169" s="239">
        <v>-87774</v>
      </c>
      <c r="AU169" s="239">
        <v>0</v>
      </c>
      <c r="AV169" s="239">
        <v>-87774</v>
      </c>
      <c r="AW169" s="239">
        <v>0</v>
      </c>
      <c r="AX169" s="239">
        <v>0</v>
      </c>
      <c r="AY169" s="239">
        <v>0</v>
      </c>
      <c r="AZ169" s="239">
        <v>-38315</v>
      </c>
      <c r="BA169" s="239">
        <v>0</v>
      </c>
      <c r="BB169" s="239">
        <v>-38315</v>
      </c>
      <c r="BC169" s="239">
        <v>-397</v>
      </c>
      <c r="BD169" s="239">
        <v>0</v>
      </c>
      <c r="BE169" s="239">
        <v>-397</v>
      </c>
      <c r="BF169" s="239">
        <v>-5503199</v>
      </c>
      <c r="BG169" s="239">
        <v>0</v>
      </c>
      <c r="BH169" s="239">
        <v>-5503199</v>
      </c>
      <c r="BI169" s="239">
        <v>0</v>
      </c>
      <c r="BJ169" s="239">
        <v>0</v>
      </c>
      <c r="BK169" s="239">
        <v>0</v>
      </c>
      <c r="BL169" s="239">
        <v>-3065</v>
      </c>
      <c r="BM169" s="239">
        <v>0</v>
      </c>
      <c r="BN169" s="239">
        <v>-3065</v>
      </c>
      <c r="BO169" s="239">
        <v>-868955</v>
      </c>
      <c r="BP169" s="239">
        <v>0</v>
      </c>
      <c r="BQ169" s="239">
        <v>-868955</v>
      </c>
      <c r="BR169" s="239">
        <v>134847</v>
      </c>
      <c r="BS169" s="239">
        <v>0</v>
      </c>
      <c r="BT169" s="239">
        <v>134847</v>
      </c>
      <c r="BU169" s="239">
        <v>-737173</v>
      </c>
      <c r="BV169" s="239">
        <v>0</v>
      </c>
      <c r="BW169" s="239">
        <v>-737173</v>
      </c>
      <c r="BX169" s="239">
        <v>-43337</v>
      </c>
      <c r="BY169" s="239">
        <v>0</v>
      </c>
      <c r="BZ169" s="239">
        <v>-43337</v>
      </c>
      <c r="CA169" s="239">
        <v>2424</v>
      </c>
      <c r="CB169" s="239">
        <v>0</v>
      </c>
      <c r="CC169" s="239">
        <v>2424</v>
      </c>
      <c r="CD169" s="239">
        <v>-24097</v>
      </c>
      <c r="CE169" s="239">
        <v>0</v>
      </c>
      <c r="CF169" s="239">
        <v>-24097</v>
      </c>
      <c r="CG169" s="239">
        <v>2117</v>
      </c>
      <c r="CH169" s="239">
        <v>0</v>
      </c>
      <c r="CI169" s="239">
        <v>2117</v>
      </c>
      <c r="CJ169" s="239">
        <v>-3126</v>
      </c>
      <c r="CK169" s="239">
        <v>0</v>
      </c>
      <c r="CL169" s="239">
        <v>-3126</v>
      </c>
      <c r="CM169" s="239">
        <v>0</v>
      </c>
      <c r="CN169" s="239">
        <v>0</v>
      </c>
      <c r="CO169" s="239">
        <v>0</v>
      </c>
      <c r="CP169" s="239">
        <v>-26452</v>
      </c>
      <c r="CQ169" s="239">
        <v>0</v>
      </c>
      <c r="CR169" s="239">
        <v>-26452</v>
      </c>
      <c r="CS169" s="239">
        <v>216</v>
      </c>
      <c r="CT169" s="239">
        <v>0</v>
      </c>
      <c r="CU169" s="239">
        <v>216</v>
      </c>
      <c r="CV169" s="239">
        <v>-23133</v>
      </c>
      <c r="CW169" s="239">
        <v>0</v>
      </c>
      <c r="CX169" s="239">
        <v>-23133</v>
      </c>
      <c r="CY169" s="239">
        <v>0</v>
      </c>
      <c r="CZ169" s="239">
        <v>0</v>
      </c>
      <c r="DA169" s="239">
        <v>0</v>
      </c>
      <c r="DB169" s="239">
        <v>0</v>
      </c>
      <c r="DC169" s="239">
        <v>0</v>
      </c>
      <c r="DD169" s="239">
        <v>0</v>
      </c>
      <c r="DE169" s="239">
        <v>0</v>
      </c>
      <c r="DF169" s="239">
        <v>0</v>
      </c>
      <c r="DG169" s="239">
        <v>0</v>
      </c>
      <c r="DH169" s="239">
        <v>0</v>
      </c>
      <c r="DI169" s="239">
        <v>0</v>
      </c>
      <c r="DJ169" s="239">
        <v>-115388</v>
      </c>
      <c r="DK169" s="239">
        <v>0</v>
      </c>
      <c r="DL169" s="239">
        <v>-115388</v>
      </c>
      <c r="DM169" s="239">
        <v>-6593</v>
      </c>
      <c r="DN169" s="239">
        <v>0</v>
      </c>
      <c r="DO169" s="239">
        <v>-6593</v>
      </c>
      <c r="DP169" s="239">
        <v>-43</v>
      </c>
      <c r="DQ169" s="239">
        <v>0</v>
      </c>
      <c r="DR169" s="239">
        <v>-43</v>
      </c>
      <c r="DS169" s="239">
        <v>-1435</v>
      </c>
      <c r="DT169" s="239">
        <v>0</v>
      </c>
      <c r="DU169" s="239">
        <v>-1435</v>
      </c>
      <c r="DV169" s="239">
        <v>0</v>
      </c>
      <c r="DW169" s="239">
        <v>0</v>
      </c>
      <c r="DX169" s="239">
        <v>0</v>
      </c>
      <c r="DY169" s="239">
        <v>-708658</v>
      </c>
      <c r="DZ169" s="239">
        <v>0</v>
      </c>
      <c r="EA169" s="239">
        <v>-708658</v>
      </c>
      <c r="EB169" s="239">
        <v>-36721</v>
      </c>
      <c r="EC169" s="239">
        <v>0</v>
      </c>
      <c r="ED169" s="239">
        <v>-36721</v>
      </c>
      <c r="EE169" s="239">
        <v>0</v>
      </c>
      <c r="EF169" s="239">
        <v>0</v>
      </c>
      <c r="EG169" s="239">
        <v>0</v>
      </c>
      <c r="EH169" s="239">
        <v>0</v>
      </c>
      <c r="EI169" s="239">
        <v>0</v>
      </c>
      <c r="EJ169" s="239">
        <v>0</v>
      </c>
      <c r="EK169" s="239">
        <v>-11237</v>
      </c>
      <c r="EL169" s="239">
        <v>0</v>
      </c>
      <c r="EM169" s="239">
        <v>-11237</v>
      </c>
      <c r="EN169" s="239">
        <v>-764687</v>
      </c>
      <c r="EO169" s="239">
        <v>0</v>
      </c>
      <c r="EP169" s="239">
        <v>-764687</v>
      </c>
      <c r="EQ169" s="239">
        <v>0</v>
      </c>
      <c r="ER169" s="239">
        <v>0</v>
      </c>
      <c r="ES169" s="239">
        <v>0</v>
      </c>
      <c r="ET169" s="239">
        <v>-2746</v>
      </c>
      <c r="EU169" s="239">
        <v>0</v>
      </c>
      <c r="EV169" s="239">
        <v>-2746</v>
      </c>
      <c r="EW169" s="239">
        <v>-2746</v>
      </c>
      <c r="EX169" s="239">
        <v>0</v>
      </c>
      <c r="EY169" s="239">
        <v>-2746</v>
      </c>
      <c r="EZ169" s="239">
        <v>40224994</v>
      </c>
      <c r="FA169" s="239">
        <v>0</v>
      </c>
      <c r="FB169" s="239">
        <v>40224994</v>
      </c>
      <c r="FC169" s="239">
        <v>-472429</v>
      </c>
      <c r="FD169" s="239">
        <v>0</v>
      </c>
      <c r="FE169" s="239">
        <v>-472429</v>
      </c>
      <c r="FF169" s="239">
        <v>-5503199</v>
      </c>
      <c r="FG169" s="239">
        <v>0</v>
      </c>
      <c r="FH169" s="239">
        <v>-5503199</v>
      </c>
      <c r="FI169" s="239">
        <v>-737173</v>
      </c>
      <c r="FJ169" s="239">
        <v>0</v>
      </c>
      <c r="FK169" s="239">
        <v>-737173</v>
      </c>
      <c r="FL169" s="239">
        <v>-115388</v>
      </c>
      <c r="FM169" s="239">
        <v>0</v>
      </c>
      <c r="FN169" s="239">
        <v>-115388</v>
      </c>
      <c r="FO169" s="239">
        <v>-764687</v>
      </c>
      <c r="FP169" s="239">
        <v>0</v>
      </c>
      <c r="FQ169" s="239">
        <v>-764687</v>
      </c>
      <c r="FR169" s="239">
        <v>-2746</v>
      </c>
      <c r="FS169" s="239">
        <v>0</v>
      </c>
      <c r="FT169" s="239">
        <v>-2746</v>
      </c>
      <c r="FU169" s="239">
        <v>-7595622</v>
      </c>
      <c r="FV169" s="239">
        <v>0</v>
      </c>
      <c r="FW169" s="239">
        <v>-7595622</v>
      </c>
      <c r="FX169" s="239">
        <v>32629372</v>
      </c>
      <c r="FY169" s="239">
        <v>0</v>
      </c>
      <c r="FZ169" s="239">
        <v>32629372</v>
      </c>
      <c r="GA169" s="214" t="s">
        <v>1294</v>
      </c>
    </row>
    <row r="170" spans="1:183" s="214" customFormat="1" x14ac:dyDescent="0.2">
      <c r="B170" s="610" t="s">
        <v>423</v>
      </c>
      <c r="C170" s="610" t="s">
        <v>422</v>
      </c>
      <c r="D170" s="239">
        <v>0</v>
      </c>
      <c r="E170" s="239">
        <v>0</v>
      </c>
      <c r="F170" s="239">
        <v>0</v>
      </c>
      <c r="G170" s="239">
        <v>-348307.82</v>
      </c>
      <c r="H170" s="239">
        <v>0</v>
      </c>
      <c r="I170" s="239">
        <v>-348307.82</v>
      </c>
      <c r="J170" s="239">
        <v>0</v>
      </c>
      <c r="K170" s="239">
        <v>0</v>
      </c>
      <c r="L170" s="239">
        <v>0</v>
      </c>
      <c r="M170" s="239">
        <v>184677.66</v>
      </c>
      <c r="N170" s="239">
        <v>0</v>
      </c>
      <c r="O170" s="239">
        <v>184677.66</v>
      </c>
      <c r="P170" s="239">
        <v>-163630</v>
      </c>
      <c r="Q170" s="239">
        <v>0</v>
      </c>
      <c r="R170" s="239">
        <v>-163630</v>
      </c>
      <c r="S170" s="239">
        <v>-2826814.78</v>
      </c>
      <c r="T170" s="239">
        <v>0</v>
      </c>
      <c r="U170" s="239">
        <v>-2826814.78</v>
      </c>
      <c r="V170" s="239">
        <v>0</v>
      </c>
      <c r="W170" s="239">
        <v>0</v>
      </c>
      <c r="X170" s="239">
        <v>0</v>
      </c>
      <c r="Y170" s="239">
        <v>5999.58</v>
      </c>
      <c r="Z170" s="239">
        <v>0</v>
      </c>
      <c r="AA170" s="239">
        <v>5999.58</v>
      </c>
      <c r="AB170" s="239">
        <v>2614</v>
      </c>
      <c r="AC170" s="239">
        <v>0</v>
      </c>
      <c r="AD170" s="239">
        <v>2614</v>
      </c>
      <c r="AE170" s="239">
        <v>0</v>
      </c>
      <c r="AF170" s="239">
        <v>0</v>
      </c>
      <c r="AG170" s="239">
        <v>0</v>
      </c>
      <c r="AH170" s="239">
        <v>2261142</v>
      </c>
      <c r="AI170" s="239">
        <v>0</v>
      </c>
      <c r="AJ170" s="239">
        <v>2261142</v>
      </c>
      <c r="AK170" s="239">
        <v>-21920</v>
      </c>
      <c r="AL170" s="239">
        <v>0</v>
      </c>
      <c r="AM170" s="239">
        <v>-21920</v>
      </c>
      <c r="AN170" s="239">
        <v>-5242130.76</v>
      </c>
      <c r="AO170" s="239">
        <v>0</v>
      </c>
      <c r="AP170" s="239">
        <v>-5242130.76</v>
      </c>
      <c r="AQ170" s="239">
        <v>-176942</v>
      </c>
      <c r="AR170" s="239">
        <v>0</v>
      </c>
      <c r="AS170" s="239">
        <v>-176942</v>
      </c>
      <c r="AT170" s="239">
        <v>-126740.44</v>
      </c>
      <c r="AU170" s="239">
        <v>0</v>
      </c>
      <c r="AV170" s="239">
        <v>-126740.44</v>
      </c>
      <c r="AW170" s="239">
        <v>0</v>
      </c>
      <c r="AX170" s="239">
        <v>0</v>
      </c>
      <c r="AY170" s="239">
        <v>0</v>
      </c>
      <c r="AZ170" s="239">
        <v>0</v>
      </c>
      <c r="BA170" s="239">
        <v>0</v>
      </c>
      <c r="BB170" s="239">
        <v>0</v>
      </c>
      <c r="BC170" s="239">
        <v>0</v>
      </c>
      <c r="BD170" s="239">
        <v>0</v>
      </c>
      <c r="BE170" s="239">
        <v>0</v>
      </c>
      <c r="BF170" s="239">
        <v>-6127406</v>
      </c>
      <c r="BG170" s="239">
        <v>0</v>
      </c>
      <c r="BH170" s="239">
        <v>-6127406</v>
      </c>
      <c r="BI170" s="239">
        <v>-26619.52</v>
      </c>
      <c r="BJ170" s="239">
        <v>0</v>
      </c>
      <c r="BK170" s="239">
        <v>-26619.52</v>
      </c>
      <c r="BL170" s="239">
        <v>-28958.46</v>
      </c>
      <c r="BM170" s="239">
        <v>0</v>
      </c>
      <c r="BN170" s="239">
        <v>-28958.46</v>
      </c>
      <c r="BO170" s="239">
        <v>-1904165.8</v>
      </c>
      <c r="BP170" s="239">
        <v>0</v>
      </c>
      <c r="BQ170" s="239">
        <v>-1904165.8</v>
      </c>
      <c r="BR170" s="239">
        <v>-52716.27</v>
      </c>
      <c r="BS170" s="239">
        <v>0</v>
      </c>
      <c r="BT170" s="239">
        <v>-52716.27</v>
      </c>
      <c r="BU170" s="239">
        <v>-2012460</v>
      </c>
      <c r="BV170" s="239">
        <v>0</v>
      </c>
      <c r="BW170" s="239">
        <v>-2012460</v>
      </c>
      <c r="BX170" s="239">
        <v>-394647.23</v>
      </c>
      <c r="BY170" s="239">
        <v>0</v>
      </c>
      <c r="BZ170" s="239">
        <v>-394647.23</v>
      </c>
      <c r="CA170" s="239">
        <v>296.39</v>
      </c>
      <c r="CB170" s="239">
        <v>0</v>
      </c>
      <c r="CC170" s="239">
        <v>296.39</v>
      </c>
      <c r="CD170" s="239">
        <v>-114447.45</v>
      </c>
      <c r="CE170" s="239">
        <v>0</v>
      </c>
      <c r="CF170" s="239">
        <v>-114447.45</v>
      </c>
      <c r="CG170" s="239">
        <v>-3008.06</v>
      </c>
      <c r="CH170" s="239">
        <v>0</v>
      </c>
      <c r="CI170" s="239">
        <v>-3008.06</v>
      </c>
      <c r="CJ170" s="239">
        <v>-4974.37</v>
      </c>
      <c r="CK170" s="239">
        <v>0</v>
      </c>
      <c r="CL170" s="239">
        <v>-4974.37</v>
      </c>
      <c r="CM170" s="239">
        <v>0</v>
      </c>
      <c r="CN170" s="239">
        <v>0</v>
      </c>
      <c r="CO170" s="239">
        <v>0</v>
      </c>
      <c r="CP170" s="239">
        <v>0</v>
      </c>
      <c r="CQ170" s="239">
        <v>0</v>
      </c>
      <c r="CR170" s="239">
        <v>0</v>
      </c>
      <c r="CS170" s="239">
        <v>0</v>
      </c>
      <c r="CT170" s="239">
        <v>0</v>
      </c>
      <c r="CU170" s="239">
        <v>0</v>
      </c>
      <c r="CV170" s="239">
        <v>0</v>
      </c>
      <c r="CW170" s="239">
        <v>0</v>
      </c>
      <c r="CX170" s="239">
        <v>0</v>
      </c>
      <c r="CY170" s="239">
        <v>0</v>
      </c>
      <c r="CZ170" s="239">
        <v>0</v>
      </c>
      <c r="DA170" s="239">
        <v>0</v>
      </c>
      <c r="DB170" s="239">
        <v>-63719</v>
      </c>
      <c r="DC170" s="239">
        <v>0</v>
      </c>
      <c r="DD170" s="239">
        <v>-63719</v>
      </c>
      <c r="DE170" s="239">
        <v>0</v>
      </c>
      <c r="DF170" s="239">
        <v>0</v>
      </c>
      <c r="DG170" s="239">
        <v>0</v>
      </c>
      <c r="DH170" s="239">
        <v>0</v>
      </c>
      <c r="DI170" s="239">
        <v>0</v>
      </c>
      <c r="DJ170" s="239">
        <v>-580500</v>
      </c>
      <c r="DK170" s="239">
        <v>0</v>
      </c>
      <c r="DL170" s="239">
        <v>-580500</v>
      </c>
      <c r="DM170" s="239">
        <v>0</v>
      </c>
      <c r="DN170" s="239">
        <v>0</v>
      </c>
      <c r="DO170" s="239">
        <v>0</v>
      </c>
      <c r="DP170" s="239">
        <v>0</v>
      </c>
      <c r="DQ170" s="239">
        <v>0</v>
      </c>
      <c r="DR170" s="239">
        <v>0</v>
      </c>
      <c r="DS170" s="239">
        <v>-55279.23</v>
      </c>
      <c r="DT170" s="239">
        <v>0</v>
      </c>
      <c r="DU170" s="239">
        <v>-55279.23</v>
      </c>
      <c r="DV170" s="239">
        <v>-10944.7</v>
      </c>
      <c r="DW170" s="239">
        <v>0</v>
      </c>
      <c r="DX170" s="239">
        <v>-10944.7</v>
      </c>
      <c r="DY170" s="239">
        <v>-1090427</v>
      </c>
      <c r="DZ170" s="239">
        <v>0</v>
      </c>
      <c r="EA170" s="239">
        <v>-1090427</v>
      </c>
      <c r="EB170" s="239">
        <v>-14593.37</v>
      </c>
      <c r="EC170" s="239">
        <v>0</v>
      </c>
      <c r="ED170" s="239">
        <v>-14593.37</v>
      </c>
      <c r="EE170" s="239">
        <v>0</v>
      </c>
      <c r="EF170" s="239">
        <v>0</v>
      </c>
      <c r="EG170" s="239">
        <v>0</v>
      </c>
      <c r="EH170" s="239">
        <v>0</v>
      </c>
      <c r="EI170" s="239">
        <v>0</v>
      </c>
      <c r="EJ170" s="239">
        <v>0</v>
      </c>
      <c r="EK170" s="239">
        <v>-13143.52</v>
      </c>
      <c r="EL170" s="239">
        <v>0</v>
      </c>
      <c r="EM170" s="239">
        <v>-13143.52</v>
      </c>
      <c r="EN170" s="239">
        <v>-1184388</v>
      </c>
      <c r="EO170" s="239">
        <v>0</v>
      </c>
      <c r="EP170" s="239">
        <v>-1184388</v>
      </c>
      <c r="EQ170" s="239">
        <v>-18022</v>
      </c>
      <c r="ER170" s="239">
        <v>0</v>
      </c>
      <c r="ES170" s="239">
        <v>-18022</v>
      </c>
      <c r="ET170" s="239">
        <v>1400</v>
      </c>
      <c r="EU170" s="239">
        <v>0</v>
      </c>
      <c r="EV170" s="239">
        <v>1400</v>
      </c>
      <c r="EW170" s="239">
        <v>-16622</v>
      </c>
      <c r="EX170" s="239">
        <v>0</v>
      </c>
      <c r="EY170" s="239">
        <v>-16622</v>
      </c>
      <c r="EZ170" s="239">
        <v>95158198</v>
      </c>
      <c r="FA170" s="239">
        <v>0</v>
      </c>
      <c r="FB170" s="239">
        <v>95158198</v>
      </c>
      <c r="FC170" s="239">
        <v>-163630</v>
      </c>
      <c r="FD170" s="239">
        <v>0</v>
      </c>
      <c r="FE170" s="239">
        <v>-163630</v>
      </c>
      <c r="FF170" s="239">
        <v>-6127406</v>
      </c>
      <c r="FG170" s="239">
        <v>0</v>
      </c>
      <c r="FH170" s="239">
        <v>-6127406</v>
      </c>
      <c r="FI170" s="239">
        <v>-2012460</v>
      </c>
      <c r="FJ170" s="239">
        <v>0</v>
      </c>
      <c r="FK170" s="239">
        <v>-2012460</v>
      </c>
      <c r="FL170" s="239">
        <v>-580500</v>
      </c>
      <c r="FM170" s="239">
        <v>0</v>
      </c>
      <c r="FN170" s="239">
        <v>-580500</v>
      </c>
      <c r="FO170" s="239">
        <v>-1184388</v>
      </c>
      <c r="FP170" s="239">
        <v>0</v>
      </c>
      <c r="FQ170" s="239">
        <v>-1184388</v>
      </c>
      <c r="FR170" s="239">
        <v>-16622</v>
      </c>
      <c r="FS170" s="239">
        <v>0</v>
      </c>
      <c r="FT170" s="239">
        <v>-16622</v>
      </c>
      <c r="FU170" s="239">
        <v>-10085006</v>
      </c>
      <c r="FV170" s="239">
        <v>0</v>
      </c>
      <c r="FW170" s="239">
        <v>-10085006</v>
      </c>
      <c r="FX170" s="239">
        <v>85073192</v>
      </c>
      <c r="FY170" s="239">
        <v>0</v>
      </c>
      <c r="FZ170" s="239">
        <v>85073192</v>
      </c>
      <c r="GA170" s="214" t="s">
        <v>1295</v>
      </c>
    </row>
    <row r="171" spans="1:183" s="214" customFormat="1" x14ac:dyDescent="0.2">
      <c r="B171" s="610" t="s">
        <v>425</v>
      </c>
      <c r="C171" s="610" t="s">
        <v>424</v>
      </c>
      <c r="D171" s="239">
        <v>0</v>
      </c>
      <c r="E171" s="239">
        <v>0</v>
      </c>
      <c r="F171" s="239">
        <v>0</v>
      </c>
      <c r="G171" s="239">
        <v>-129972</v>
      </c>
      <c r="H171" s="239">
        <v>0</v>
      </c>
      <c r="I171" s="239">
        <v>-129972</v>
      </c>
      <c r="J171" s="239">
        <v>0</v>
      </c>
      <c r="K171" s="239">
        <v>0</v>
      </c>
      <c r="L171" s="239">
        <v>0</v>
      </c>
      <c r="M171" s="239">
        <v>10195</v>
      </c>
      <c r="N171" s="239">
        <v>0</v>
      </c>
      <c r="O171" s="239">
        <v>10195</v>
      </c>
      <c r="P171" s="239">
        <v>-119777</v>
      </c>
      <c r="Q171" s="239">
        <v>0</v>
      </c>
      <c r="R171" s="239">
        <v>-119777</v>
      </c>
      <c r="S171" s="239">
        <v>-2152938</v>
      </c>
      <c r="T171" s="239">
        <v>0</v>
      </c>
      <c r="U171" s="239">
        <v>-2152938</v>
      </c>
      <c r="V171" s="239">
        <v>-7565</v>
      </c>
      <c r="W171" s="239">
        <v>0</v>
      </c>
      <c r="X171" s="239">
        <v>-7565</v>
      </c>
      <c r="Y171" s="239">
        <v>-99407</v>
      </c>
      <c r="Z171" s="239">
        <v>0</v>
      </c>
      <c r="AA171" s="239">
        <v>-99407</v>
      </c>
      <c r="AB171" s="239">
        <v>-4503</v>
      </c>
      <c r="AC171" s="239">
        <v>0</v>
      </c>
      <c r="AD171" s="239">
        <v>-4503</v>
      </c>
      <c r="AE171" s="239">
        <v>-4348</v>
      </c>
      <c r="AF171" s="239">
        <v>0</v>
      </c>
      <c r="AG171" s="239">
        <v>-4348</v>
      </c>
      <c r="AH171" s="239">
        <v>380462</v>
      </c>
      <c r="AI171" s="239">
        <v>0</v>
      </c>
      <c r="AJ171" s="239">
        <v>380462</v>
      </c>
      <c r="AK171" s="239">
        <v>0</v>
      </c>
      <c r="AL171" s="239">
        <v>0</v>
      </c>
      <c r="AM171" s="239">
        <v>0</v>
      </c>
      <c r="AN171" s="239">
        <v>-1283101</v>
      </c>
      <c r="AO171" s="239">
        <v>0</v>
      </c>
      <c r="AP171" s="239">
        <v>-1283101</v>
      </c>
      <c r="AQ171" s="239">
        <v>-5834</v>
      </c>
      <c r="AR171" s="239">
        <v>0</v>
      </c>
      <c r="AS171" s="239">
        <v>-5834</v>
      </c>
      <c r="AT171" s="239">
        <v>-33504</v>
      </c>
      <c r="AU171" s="239">
        <v>0</v>
      </c>
      <c r="AV171" s="239">
        <v>-33504</v>
      </c>
      <c r="AW171" s="239">
        <v>0</v>
      </c>
      <c r="AX171" s="239">
        <v>0</v>
      </c>
      <c r="AY171" s="239">
        <v>0</v>
      </c>
      <c r="AZ171" s="239">
        <v>-26513</v>
      </c>
      <c r="BA171" s="239">
        <v>0</v>
      </c>
      <c r="BB171" s="239">
        <v>-26513</v>
      </c>
      <c r="BC171" s="239">
        <v>4</v>
      </c>
      <c r="BD171" s="239">
        <v>0</v>
      </c>
      <c r="BE171" s="239">
        <v>4</v>
      </c>
      <c r="BF171" s="239">
        <v>-3220831</v>
      </c>
      <c r="BG171" s="239">
        <v>0</v>
      </c>
      <c r="BH171" s="239">
        <v>-3220831</v>
      </c>
      <c r="BI171" s="239">
        <v>-16700</v>
      </c>
      <c r="BJ171" s="239">
        <v>0</v>
      </c>
      <c r="BK171" s="239">
        <v>-16700</v>
      </c>
      <c r="BL171" s="239">
        <v>-39928</v>
      </c>
      <c r="BM171" s="239">
        <v>0</v>
      </c>
      <c r="BN171" s="239">
        <v>-39928</v>
      </c>
      <c r="BO171" s="239">
        <v>-414502</v>
      </c>
      <c r="BP171" s="239">
        <v>0</v>
      </c>
      <c r="BQ171" s="239">
        <v>-414502</v>
      </c>
      <c r="BR171" s="239">
        <v>-959</v>
      </c>
      <c r="BS171" s="239">
        <v>0</v>
      </c>
      <c r="BT171" s="239">
        <v>-959</v>
      </c>
      <c r="BU171" s="239">
        <v>-472089</v>
      </c>
      <c r="BV171" s="239">
        <v>0</v>
      </c>
      <c r="BW171" s="239">
        <v>-472089</v>
      </c>
      <c r="BX171" s="239">
        <v>-49528</v>
      </c>
      <c r="BY171" s="239">
        <v>0</v>
      </c>
      <c r="BZ171" s="239">
        <v>-49528</v>
      </c>
      <c r="CA171" s="239">
        <v>-2651</v>
      </c>
      <c r="CB171" s="239">
        <v>0</v>
      </c>
      <c r="CC171" s="239">
        <v>-2651</v>
      </c>
      <c r="CD171" s="239">
        <v>-2618</v>
      </c>
      <c r="CE171" s="239">
        <v>0</v>
      </c>
      <c r="CF171" s="239">
        <v>-2618</v>
      </c>
      <c r="CG171" s="239">
        <v>0</v>
      </c>
      <c r="CH171" s="239">
        <v>0</v>
      </c>
      <c r="CI171" s="239">
        <v>0</v>
      </c>
      <c r="CJ171" s="239">
        <v>-3540</v>
      </c>
      <c r="CK171" s="239">
        <v>0</v>
      </c>
      <c r="CL171" s="239">
        <v>-3540</v>
      </c>
      <c r="CM171" s="239">
        <v>0</v>
      </c>
      <c r="CN171" s="239">
        <v>0</v>
      </c>
      <c r="CO171" s="239">
        <v>0</v>
      </c>
      <c r="CP171" s="239">
        <v>-2241</v>
      </c>
      <c r="CQ171" s="239">
        <v>0</v>
      </c>
      <c r="CR171" s="239">
        <v>-2241</v>
      </c>
      <c r="CS171" s="239">
        <v>4</v>
      </c>
      <c r="CT171" s="239">
        <v>0</v>
      </c>
      <c r="CU171" s="239">
        <v>4</v>
      </c>
      <c r="CV171" s="239">
        <v>0</v>
      </c>
      <c r="CW171" s="239">
        <v>0</v>
      </c>
      <c r="CX171" s="239">
        <v>0</v>
      </c>
      <c r="CY171" s="239">
        <v>0</v>
      </c>
      <c r="CZ171" s="239">
        <v>0</v>
      </c>
      <c r="DA171" s="239">
        <v>0</v>
      </c>
      <c r="DB171" s="239">
        <v>0</v>
      </c>
      <c r="DC171" s="239">
        <v>0</v>
      </c>
      <c r="DD171" s="239">
        <v>0</v>
      </c>
      <c r="DE171" s="239">
        <v>0</v>
      </c>
      <c r="DF171" s="239">
        <v>0</v>
      </c>
      <c r="DG171" s="239">
        <v>0</v>
      </c>
      <c r="DH171" s="239">
        <v>0</v>
      </c>
      <c r="DI171" s="239">
        <v>0</v>
      </c>
      <c r="DJ171" s="239">
        <v>-60574</v>
      </c>
      <c r="DK171" s="239">
        <v>0</v>
      </c>
      <c r="DL171" s="239">
        <v>-60574</v>
      </c>
      <c r="DM171" s="239">
        <v>-26923</v>
      </c>
      <c r="DN171" s="239">
        <v>0</v>
      </c>
      <c r="DO171" s="239">
        <v>-26923</v>
      </c>
      <c r="DP171" s="239">
        <v>305</v>
      </c>
      <c r="DQ171" s="239">
        <v>0</v>
      </c>
      <c r="DR171" s="239">
        <v>305</v>
      </c>
      <c r="DS171" s="239">
        <v>-9143</v>
      </c>
      <c r="DT171" s="239">
        <v>0</v>
      </c>
      <c r="DU171" s="239">
        <v>-9143</v>
      </c>
      <c r="DV171" s="239">
        <v>-357</v>
      </c>
      <c r="DW171" s="239">
        <v>0</v>
      </c>
      <c r="DX171" s="239">
        <v>-357</v>
      </c>
      <c r="DY171" s="239">
        <v>-319830</v>
      </c>
      <c r="DZ171" s="239">
        <v>0</v>
      </c>
      <c r="EA171" s="239">
        <v>-319830</v>
      </c>
      <c r="EB171" s="239">
        <v>-35100</v>
      </c>
      <c r="EC171" s="239">
        <v>0</v>
      </c>
      <c r="ED171" s="239">
        <v>-35100</v>
      </c>
      <c r="EE171" s="239">
        <v>0</v>
      </c>
      <c r="EF171" s="239">
        <v>0</v>
      </c>
      <c r="EG171" s="239">
        <v>0</v>
      </c>
      <c r="EH171" s="239">
        <v>0</v>
      </c>
      <c r="EI171" s="239">
        <v>0</v>
      </c>
      <c r="EJ171" s="239">
        <v>0</v>
      </c>
      <c r="EK171" s="239">
        <v>-41673</v>
      </c>
      <c r="EL171" s="239">
        <v>0</v>
      </c>
      <c r="EM171" s="239">
        <v>-41673</v>
      </c>
      <c r="EN171" s="239">
        <v>-432721</v>
      </c>
      <c r="EO171" s="239">
        <v>0</v>
      </c>
      <c r="EP171" s="239">
        <v>-432721</v>
      </c>
      <c r="EQ171" s="239">
        <v>0</v>
      </c>
      <c r="ER171" s="239">
        <v>0</v>
      </c>
      <c r="ES171" s="239">
        <v>0</v>
      </c>
      <c r="ET171" s="239">
        <v>0</v>
      </c>
      <c r="EU171" s="239">
        <v>0</v>
      </c>
      <c r="EV171" s="239">
        <v>0</v>
      </c>
      <c r="EW171" s="239">
        <v>0</v>
      </c>
      <c r="EX171" s="239">
        <v>0</v>
      </c>
      <c r="EY171" s="239">
        <v>0</v>
      </c>
      <c r="EZ171" s="239">
        <v>19290268</v>
      </c>
      <c r="FA171" s="239">
        <v>0</v>
      </c>
      <c r="FB171" s="239">
        <v>19290268</v>
      </c>
      <c r="FC171" s="239">
        <v>-119777</v>
      </c>
      <c r="FD171" s="239">
        <v>0</v>
      </c>
      <c r="FE171" s="239">
        <v>-119777</v>
      </c>
      <c r="FF171" s="239">
        <v>-3220831</v>
      </c>
      <c r="FG171" s="239">
        <v>0</v>
      </c>
      <c r="FH171" s="239">
        <v>-3220831</v>
      </c>
      <c r="FI171" s="239">
        <v>-472089</v>
      </c>
      <c r="FJ171" s="239">
        <v>0</v>
      </c>
      <c r="FK171" s="239">
        <v>-472089</v>
      </c>
      <c r="FL171" s="239">
        <v>-60574</v>
      </c>
      <c r="FM171" s="239">
        <v>0</v>
      </c>
      <c r="FN171" s="239">
        <v>-60574</v>
      </c>
      <c r="FO171" s="239">
        <v>-432721</v>
      </c>
      <c r="FP171" s="239">
        <v>0</v>
      </c>
      <c r="FQ171" s="239">
        <v>-432721</v>
      </c>
      <c r="FR171" s="239">
        <v>0</v>
      </c>
      <c r="FS171" s="239">
        <v>0</v>
      </c>
      <c r="FT171" s="239">
        <v>0</v>
      </c>
      <c r="FU171" s="239">
        <v>-4305992</v>
      </c>
      <c r="FV171" s="239">
        <v>0</v>
      </c>
      <c r="FW171" s="239">
        <v>-4305992</v>
      </c>
      <c r="FX171" s="239">
        <v>14984276</v>
      </c>
      <c r="FY171" s="239">
        <v>0</v>
      </c>
      <c r="FZ171" s="239">
        <v>14984276</v>
      </c>
      <c r="GA171" s="214" t="s">
        <v>1294</v>
      </c>
    </row>
    <row r="172" spans="1:183" s="214" customFormat="1" x14ac:dyDescent="0.2">
      <c r="B172" s="610" t="s">
        <v>427</v>
      </c>
      <c r="C172" s="610" t="s">
        <v>426</v>
      </c>
      <c r="D172" s="239">
        <v>0</v>
      </c>
      <c r="E172" s="239">
        <v>0</v>
      </c>
      <c r="F172" s="239">
        <v>0</v>
      </c>
      <c r="G172" s="239">
        <v>1507</v>
      </c>
      <c r="H172" s="239">
        <v>0</v>
      </c>
      <c r="I172" s="239">
        <v>1507</v>
      </c>
      <c r="J172" s="239">
        <v>0</v>
      </c>
      <c r="K172" s="239">
        <v>0</v>
      </c>
      <c r="L172" s="239">
        <v>0</v>
      </c>
      <c r="M172" s="239">
        <v>161343</v>
      </c>
      <c r="N172" s="239">
        <v>0</v>
      </c>
      <c r="O172" s="239">
        <v>161343</v>
      </c>
      <c r="P172" s="239">
        <v>162850</v>
      </c>
      <c r="Q172" s="239">
        <v>0</v>
      </c>
      <c r="R172" s="239">
        <v>162850</v>
      </c>
      <c r="S172" s="239">
        <v>-2085102</v>
      </c>
      <c r="T172" s="239">
        <v>0</v>
      </c>
      <c r="U172" s="239">
        <v>-2085102</v>
      </c>
      <c r="V172" s="239">
        <v>-8184</v>
      </c>
      <c r="W172" s="239">
        <v>0</v>
      </c>
      <c r="X172" s="239">
        <v>-8184</v>
      </c>
      <c r="Y172" s="239">
        <v>-127721</v>
      </c>
      <c r="Z172" s="239">
        <v>0</v>
      </c>
      <c r="AA172" s="239">
        <v>-127721</v>
      </c>
      <c r="AB172" s="239">
        <v>-73358</v>
      </c>
      <c r="AC172" s="239">
        <v>0</v>
      </c>
      <c r="AD172" s="239">
        <v>-73358</v>
      </c>
      <c r="AE172" s="239">
        <v>-1508</v>
      </c>
      <c r="AF172" s="239">
        <v>0</v>
      </c>
      <c r="AG172" s="239">
        <v>-1508</v>
      </c>
      <c r="AH172" s="239">
        <v>578186</v>
      </c>
      <c r="AI172" s="239">
        <v>0</v>
      </c>
      <c r="AJ172" s="239">
        <v>578186</v>
      </c>
      <c r="AK172" s="239">
        <v>22527</v>
      </c>
      <c r="AL172" s="239">
        <v>0</v>
      </c>
      <c r="AM172" s="239">
        <v>22527</v>
      </c>
      <c r="AN172" s="239">
        <v>-946579</v>
      </c>
      <c r="AO172" s="239">
        <v>0</v>
      </c>
      <c r="AP172" s="239">
        <v>-946579</v>
      </c>
      <c r="AQ172" s="239">
        <v>3805</v>
      </c>
      <c r="AR172" s="239">
        <v>0</v>
      </c>
      <c r="AS172" s="239">
        <v>3805</v>
      </c>
      <c r="AT172" s="239">
        <v>-38026</v>
      </c>
      <c r="AU172" s="239">
        <v>0</v>
      </c>
      <c r="AV172" s="239">
        <v>-38026</v>
      </c>
      <c r="AW172" s="239">
        <v>0</v>
      </c>
      <c r="AX172" s="239">
        <v>0</v>
      </c>
      <c r="AY172" s="239">
        <v>0</v>
      </c>
      <c r="AZ172" s="239">
        <v>-87092</v>
      </c>
      <c r="BA172" s="239">
        <v>0</v>
      </c>
      <c r="BB172" s="239">
        <v>-87092</v>
      </c>
      <c r="BC172" s="239">
        <v>-2832</v>
      </c>
      <c r="BD172" s="239">
        <v>0</v>
      </c>
      <c r="BE172" s="239">
        <v>-2832</v>
      </c>
      <c r="BF172" s="239">
        <v>-2682834</v>
      </c>
      <c r="BG172" s="239">
        <v>0</v>
      </c>
      <c r="BH172" s="239">
        <v>-2682834</v>
      </c>
      <c r="BI172" s="239">
        <v>-35726</v>
      </c>
      <c r="BJ172" s="239">
        <v>0</v>
      </c>
      <c r="BK172" s="239">
        <v>-35726</v>
      </c>
      <c r="BL172" s="239">
        <v>-9075</v>
      </c>
      <c r="BM172" s="239">
        <v>0</v>
      </c>
      <c r="BN172" s="239">
        <v>-9075</v>
      </c>
      <c r="BO172" s="239">
        <v>-590737</v>
      </c>
      <c r="BP172" s="239">
        <v>0</v>
      </c>
      <c r="BQ172" s="239">
        <v>-590737</v>
      </c>
      <c r="BR172" s="239">
        <v>-4510</v>
      </c>
      <c r="BS172" s="239">
        <v>0</v>
      </c>
      <c r="BT172" s="239">
        <v>-4510</v>
      </c>
      <c r="BU172" s="239">
        <v>-640048</v>
      </c>
      <c r="BV172" s="239">
        <v>0</v>
      </c>
      <c r="BW172" s="239">
        <v>-640048</v>
      </c>
      <c r="BX172" s="239">
        <v>-170238</v>
      </c>
      <c r="BY172" s="239">
        <v>0</v>
      </c>
      <c r="BZ172" s="239">
        <v>-170238</v>
      </c>
      <c r="CA172" s="239">
        <v>913</v>
      </c>
      <c r="CB172" s="239">
        <v>0</v>
      </c>
      <c r="CC172" s="239">
        <v>913</v>
      </c>
      <c r="CD172" s="239">
        <v>-108549</v>
      </c>
      <c r="CE172" s="239">
        <v>0</v>
      </c>
      <c r="CF172" s="239">
        <v>-108549</v>
      </c>
      <c r="CG172" s="239">
        <v>4134</v>
      </c>
      <c r="CH172" s="239">
        <v>0</v>
      </c>
      <c r="CI172" s="239">
        <v>4134</v>
      </c>
      <c r="CJ172" s="239">
        <v>-6785</v>
      </c>
      <c r="CK172" s="239">
        <v>0</v>
      </c>
      <c r="CL172" s="239">
        <v>-6785</v>
      </c>
      <c r="CM172" s="239">
        <v>0</v>
      </c>
      <c r="CN172" s="239">
        <v>0</v>
      </c>
      <c r="CO172" s="239">
        <v>0</v>
      </c>
      <c r="CP172" s="239">
        <v>-87091</v>
      </c>
      <c r="CQ172" s="239">
        <v>0</v>
      </c>
      <c r="CR172" s="239">
        <v>-87091</v>
      </c>
      <c r="CS172" s="239">
        <v>-2832</v>
      </c>
      <c r="CT172" s="239">
        <v>0</v>
      </c>
      <c r="CU172" s="239">
        <v>-2832</v>
      </c>
      <c r="CV172" s="239">
        <v>-68751</v>
      </c>
      <c r="CW172" s="239">
        <v>0</v>
      </c>
      <c r="CX172" s="239">
        <v>-68751</v>
      </c>
      <c r="CY172" s="239">
        <v>-22008</v>
      </c>
      <c r="CZ172" s="239">
        <v>0</v>
      </c>
      <c r="DA172" s="239">
        <v>-22008</v>
      </c>
      <c r="DB172" s="239">
        <v>0</v>
      </c>
      <c r="DC172" s="239">
        <v>0</v>
      </c>
      <c r="DD172" s="239">
        <v>0</v>
      </c>
      <c r="DE172" s="239">
        <v>0</v>
      </c>
      <c r="DF172" s="239">
        <v>0</v>
      </c>
      <c r="DG172" s="239">
        <v>0</v>
      </c>
      <c r="DH172" s="239">
        <v>0</v>
      </c>
      <c r="DI172" s="239">
        <v>0</v>
      </c>
      <c r="DJ172" s="239">
        <v>-461207</v>
      </c>
      <c r="DK172" s="239">
        <v>0</v>
      </c>
      <c r="DL172" s="239">
        <v>-461207</v>
      </c>
      <c r="DM172" s="239">
        <v>-10099</v>
      </c>
      <c r="DN172" s="239">
        <v>0</v>
      </c>
      <c r="DO172" s="239">
        <v>-10099</v>
      </c>
      <c r="DP172" s="239">
        <v>0</v>
      </c>
      <c r="DQ172" s="239">
        <v>0</v>
      </c>
      <c r="DR172" s="239">
        <v>0</v>
      </c>
      <c r="DS172" s="239">
        <v>-3607</v>
      </c>
      <c r="DT172" s="239">
        <v>0</v>
      </c>
      <c r="DU172" s="239">
        <v>-3607</v>
      </c>
      <c r="DV172" s="239">
        <v>-198</v>
      </c>
      <c r="DW172" s="239">
        <v>0</v>
      </c>
      <c r="DX172" s="239">
        <v>-198</v>
      </c>
      <c r="DY172" s="239">
        <v>-286458</v>
      </c>
      <c r="DZ172" s="239">
        <v>0</v>
      </c>
      <c r="EA172" s="239">
        <v>-286458</v>
      </c>
      <c r="EB172" s="239">
        <v>-14340</v>
      </c>
      <c r="EC172" s="239">
        <v>0</v>
      </c>
      <c r="ED172" s="239">
        <v>-14340</v>
      </c>
      <c r="EE172" s="239">
        <v>0</v>
      </c>
      <c r="EF172" s="239">
        <v>0</v>
      </c>
      <c r="EG172" s="239">
        <v>0</v>
      </c>
      <c r="EH172" s="239">
        <v>0</v>
      </c>
      <c r="EI172" s="239">
        <v>0</v>
      </c>
      <c r="EJ172" s="239">
        <v>0</v>
      </c>
      <c r="EK172" s="239">
        <v>-5985</v>
      </c>
      <c r="EL172" s="239">
        <v>0</v>
      </c>
      <c r="EM172" s="239">
        <v>-5985</v>
      </c>
      <c r="EN172" s="239">
        <v>-320687</v>
      </c>
      <c r="EO172" s="239">
        <v>0</v>
      </c>
      <c r="EP172" s="239">
        <v>-320687</v>
      </c>
      <c r="EQ172" s="239">
        <v>0</v>
      </c>
      <c r="ER172" s="239">
        <v>0</v>
      </c>
      <c r="ES172" s="239">
        <v>0</v>
      </c>
      <c r="ET172" s="239">
        <v>0</v>
      </c>
      <c r="EU172" s="239">
        <v>0</v>
      </c>
      <c r="EV172" s="239">
        <v>0</v>
      </c>
      <c r="EW172" s="239">
        <v>0</v>
      </c>
      <c r="EX172" s="239">
        <v>0</v>
      </c>
      <c r="EY172" s="239">
        <v>0</v>
      </c>
      <c r="EZ172" s="239">
        <v>26554286</v>
      </c>
      <c r="FA172" s="239">
        <v>0</v>
      </c>
      <c r="FB172" s="239">
        <v>26554286</v>
      </c>
      <c r="FC172" s="239">
        <v>162850</v>
      </c>
      <c r="FD172" s="239">
        <v>0</v>
      </c>
      <c r="FE172" s="239">
        <v>162850</v>
      </c>
      <c r="FF172" s="239">
        <v>-2682834</v>
      </c>
      <c r="FG172" s="239">
        <v>0</v>
      </c>
      <c r="FH172" s="239">
        <v>-2682834</v>
      </c>
      <c r="FI172" s="239">
        <v>-640048</v>
      </c>
      <c r="FJ172" s="239">
        <v>0</v>
      </c>
      <c r="FK172" s="239">
        <v>-640048</v>
      </c>
      <c r="FL172" s="239">
        <v>-461207</v>
      </c>
      <c r="FM172" s="239">
        <v>0</v>
      </c>
      <c r="FN172" s="239">
        <v>-461207</v>
      </c>
      <c r="FO172" s="239">
        <v>-320687</v>
      </c>
      <c r="FP172" s="239">
        <v>0</v>
      </c>
      <c r="FQ172" s="239">
        <v>-320687</v>
      </c>
      <c r="FR172" s="239">
        <v>0</v>
      </c>
      <c r="FS172" s="239">
        <v>0</v>
      </c>
      <c r="FT172" s="239">
        <v>0</v>
      </c>
      <c r="FU172" s="239">
        <v>-3941926</v>
      </c>
      <c r="FV172" s="239">
        <v>0</v>
      </c>
      <c r="FW172" s="239">
        <v>-3941926</v>
      </c>
      <c r="FX172" s="239">
        <v>22612360</v>
      </c>
      <c r="FY172" s="239">
        <v>0</v>
      </c>
      <c r="FZ172" s="239">
        <v>22612360</v>
      </c>
      <c r="GA172" s="214" t="s">
        <v>1294</v>
      </c>
    </row>
    <row r="173" spans="1:183" s="214" customFormat="1" x14ac:dyDescent="0.2">
      <c r="B173" s="610" t="s">
        <v>429</v>
      </c>
      <c r="C173" s="610" t="s">
        <v>428</v>
      </c>
      <c r="D173" s="239">
        <v>0</v>
      </c>
      <c r="E173" s="239">
        <v>0</v>
      </c>
      <c r="F173" s="239">
        <v>0</v>
      </c>
      <c r="G173" s="239">
        <v>-174255</v>
      </c>
      <c r="H173" s="239">
        <v>0</v>
      </c>
      <c r="I173" s="239">
        <v>-174255</v>
      </c>
      <c r="J173" s="239">
        <v>0</v>
      </c>
      <c r="K173" s="239">
        <v>0</v>
      </c>
      <c r="L173" s="239">
        <v>0</v>
      </c>
      <c r="M173" s="239">
        <v>-8420</v>
      </c>
      <c r="N173" s="239">
        <v>0</v>
      </c>
      <c r="O173" s="239">
        <v>-8420</v>
      </c>
      <c r="P173" s="239">
        <v>-182675</v>
      </c>
      <c r="Q173" s="239">
        <v>0</v>
      </c>
      <c r="R173" s="239">
        <v>-182675</v>
      </c>
      <c r="S173" s="239">
        <v>-2587771</v>
      </c>
      <c r="T173" s="239">
        <v>0</v>
      </c>
      <c r="U173" s="239">
        <v>-2587771</v>
      </c>
      <c r="V173" s="239">
        <v>-1884</v>
      </c>
      <c r="W173" s="239">
        <v>0</v>
      </c>
      <c r="X173" s="239">
        <v>-1884</v>
      </c>
      <c r="Y173" s="239">
        <v>-204256</v>
      </c>
      <c r="Z173" s="239">
        <v>0</v>
      </c>
      <c r="AA173" s="239">
        <v>-204256</v>
      </c>
      <c r="AB173" s="239">
        <v>-125194</v>
      </c>
      <c r="AC173" s="239">
        <v>0</v>
      </c>
      <c r="AD173" s="239">
        <v>-125194</v>
      </c>
      <c r="AE173" s="239">
        <v>-831</v>
      </c>
      <c r="AF173" s="239">
        <v>0</v>
      </c>
      <c r="AG173" s="239">
        <v>-831</v>
      </c>
      <c r="AH173" s="239">
        <v>1170414</v>
      </c>
      <c r="AI173" s="239">
        <v>0</v>
      </c>
      <c r="AJ173" s="239">
        <v>1170414</v>
      </c>
      <c r="AK173" s="239">
        <v>-2860</v>
      </c>
      <c r="AL173" s="239">
        <v>0</v>
      </c>
      <c r="AM173" s="239">
        <v>-2860</v>
      </c>
      <c r="AN173" s="239">
        <v>-3634583</v>
      </c>
      <c r="AO173" s="239">
        <v>0</v>
      </c>
      <c r="AP173" s="239">
        <v>-3634583</v>
      </c>
      <c r="AQ173" s="239">
        <v>-254439</v>
      </c>
      <c r="AR173" s="239">
        <v>0</v>
      </c>
      <c r="AS173" s="239">
        <v>-254439</v>
      </c>
      <c r="AT173" s="239">
        <v>-60126</v>
      </c>
      <c r="AU173" s="239">
        <v>0</v>
      </c>
      <c r="AV173" s="239">
        <v>-60126</v>
      </c>
      <c r="AW173" s="239">
        <v>11</v>
      </c>
      <c r="AX173" s="239">
        <v>0</v>
      </c>
      <c r="AY173" s="239">
        <v>11</v>
      </c>
      <c r="AZ173" s="239">
        <v>-5152</v>
      </c>
      <c r="BA173" s="239">
        <v>0</v>
      </c>
      <c r="BB173" s="239">
        <v>-5152</v>
      </c>
      <c r="BC173" s="239">
        <v>0</v>
      </c>
      <c r="BD173" s="239">
        <v>0</v>
      </c>
      <c r="BE173" s="239">
        <v>0</v>
      </c>
      <c r="BF173" s="239">
        <v>-5578762</v>
      </c>
      <c r="BG173" s="239">
        <v>0</v>
      </c>
      <c r="BH173" s="239">
        <v>-5578762</v>
      </c>
      <c r="BI173" s="239">
        <v>0</v>
      </c>
      <c r="BJ173" s="239">
        <v>0</v>
      </c>
      <c r="BK173" s="239">
        <v>0</v>
      </c>
      <c r="BL173" s="239">
        <v>-3073</v>
      </c>
      <c r="BM173" s="239">
        <v>0</v>
      </c>
      <c r="BN173" s="239">
        <v>-3073</v>
      </c>
      <c r="BO173" s="239">
        <v>-765800</v>
      </c>
      <c r="BP173" s="239">
        <v>0</v>
      </c>
      <c r="BQ173" s="239">
        <v>-765800</v>
      </c>
      <c r="BR173" s="239">
        <v>-114066</v>
      </c>
      <c r="BS173" s="239">
        <v>0</v>
      </c>
      <c r="BT173" s="239">
        <v>-114066</v>
      </c>
      <c r="BU173" s="239">
        <v>-882939</v>
      </c>
      <c r="BV173" s="239">
        <v>0</v>
      </c>
      <c r="BW173" s="239">
        <v>-882939</v>
      </c>
      <c r="BX173" s="239">
        <v>-92412</v>
      </c>
      <c r="BY173" s="239">
        <v>0</v>
      </c>
      <c r="BZ173" s="239">
        <v>-92412</v>
      </c>
      <c r="CA173" s="239">
        <v>-1228</v>
      </c>
      <c r="CB173" s="239">
        <v>0</v>
      </c>
      <c r="CC173" s="239">
        <v>-1228</v>
      </c>
      <c r="CD173" s="239">
        <v>-721738</v>
      </c>
      <c r="CE173" s="239">
        <v>0</v>
      </c>
      <c r="CF173" s="239">
        <v>-721738</v>
      </c>
      <c r="CG173" s="239">
        <v>0</v>
      </c>
      <c r="CH173" s="239">
        <v>0</v>
      </c>
      <c r="CI173" s="239">
        <v>0</v>
      </c>
      <c r="CJ173" s="239">
        <v>-4762</v>
      </c>
      <c r="CK173" s="239">
        <v>0</v>
      </c>
      <c r="CL173" s="239">
        <v>-4762</v>
      </c>
      <c r="CM173" s="239">
        <v>0</v>
      </c>
      <c r="CN173" s="239">
        <v>0</v>
      </c>
      <c r="CO173" s="239">
        <v>0</v>
      </c>
      <c r="CP173" s="239">
        <v>-5152</v>
      </c>
      <c r="CQ173" s="239">
        <v>0</v>
      </c>
      <c r="CR173" s="239">
        <v>-5152</v>
      </c>
      <c r="CS173" s="239">
        <v>0</v>
      </c>
      <c r="CT173" s="239">
        <v>0</v>
      </c>
      <c r="CU173" s="239">
        <v>0</v>
      </c>
      <c r="CV173" s="239">
        <v>0</v>
      </c>
      <c r="CW173" s="239">
        <v>0</v>
      </c>
      <c r="CX173" s="239">
        <v>0</v>
      </c>
      <c r="CY173" s="239">
        <v>0</v>
      </c>
      <c r="CZ173" s="239">
        <v>0</v>
      </c>
      <c r="DA173" s="239">
        <v>0</v>
      </c>
      <c r="DB173" s="239">
        <v>0</v>
      </c>
      <c r="DC173" s="239">
        <v>0</v>
      </c>
      <c r="DD173" s="239">
        <v>0</v>
      </c>
      <c r="DE173" s="239">
        <v>0</v>
      </c>
      <c r="DF173" s="239">
        <v>0</v>
      </c>
      <c r="DG173" s="239">
        <v>0</v>
      </c>
      <c r="DH173" s="239">
        <v>0</v>
      </c>
      <c r="DI173" s="239">
        <v>0</v>
      </c>
      <c r="DJ173" s="239">
        <v>-825292</v>
      </c>
      <c r="DK173" s="239">
        <v>0</v>
      </c>
      <c r="DL173" s="239">
        <v>-825292</v>
      </c>
      <c r="DM173" s="239">
        <v>-6760</v>
      </c>
      <c r="DN173" s="239">
        <v>0</v>
      </c>
      <c r="DO173" s="239">
        <v>-6760</v>
      </c>
      <c r="DP173" s="239">
        <v>1504</v>
      </c>
      <c r="DQ173" s="239">
        <v>0</v>
      </c>
      <c r="DR173" s="239">
        <v>1504</v>
      </c>
      <c r="DS173" s="239">
        <v>-5485</v>
      </c>
      <c r="DT173" s="239">
        <v>0</v>
      </c>
      <c r="DU173" s="239">
        <v>-5485</v>
      </c>
      <c r="DV173" s="239">
        <v>0</v>
      </c>
      <c r="DW173" s="239">
        <v>0</v>
      </c>
      <c r="DX173" s="239">
        <v>0</v>
      </c>
      <c r="DY173" s="239">
        <v>-730934</v>
      </c>
      <c r="DZ173" s="239">
        <v>0</v>
      </c>
      <c r="EA173" s="239">
        <v>-730934</v>
      </c>
      <c r="EB173" s="239">
        <v>-12666</v>
      </c>
      <c r="EC173" s="239">
        <v>0</v>
      </c>
      <c r="ED173" s="239">
        <v>-12666</v>
      </c>
      <c r="EE173" s="239">
        <v>0</v>
      </c>
      <c r="EF173" s="239">
        <v>0</v>
      </c>
      <c r="EG173" s="239">
        <v>0</v>
      </c>
      <c r="EH173" s="239">
        <v>0</v>
      </c>
      <c r="EI173" s="239">
        <v>0</v>
      </c>
      <c r="EJ173" s="239">
        <v>0</v>
      </c>
      <c r="EK173" s="239">
        <v>-11171</v>
      </c>
      <c r="EL173" s="239">
        <v>0</v>
      </c>
      <c r="EM173" s="239">
        <v>-11171</v>
      </c>
      <c r="EN173" s="239">
        <v>-765512</v>
      </c>
      <c r="EO173" s="239">
        <v>0</v>
      </c>
      <c r="EP173" s="239">
        <v>-765512</v>
      </c>
      <c r="EQ173" s="239">
        <v>-4416</v>
      </c>
      <c r="ER173" s="239">
        <v>0</v>
      </c>
      <c r="ES173" s="239">
        <v>-4416</v>
      </c>
      <c r="ET173" s="239">
        <v>-5850</v>
      </c>
      <c r="EU173" s="239">
        <v>0</v>
      </c>
      <c r="EV173" s="239">
        <v>-5850</v>
      </c>
      <c r="EW173" s="239">
        <v>-10266</v>
      </c>
      <c r="EX173" s="239">
        <v>0</v>
      </c>
      <c r="EY173" s="239">
        <v>-10266</v>
      </c>
      <c r="EZ173" s="239">
        <v>51760895</v>
      </c>
      <c r="FA173" s="239">
        <v>0</v>
      </c>
      <c r="FB173" s="239">
        <v>51760895</v>
      </c>
      <c r="FC173" s="239">
        <v>-182675</v>
      </c>
      <c r="FD173" s="239">
        <v>0</v>
      </c>
      <c r="FE173" s="239">
        <v>-182675</v>
      </c>
      <c r="FF173" s="239">
        <v>-5578762</v>
      </c>
      <c r="FG173" s="239">
        <v>0</v>
      </c>
      <c r="FH173" s="239">
        <v>-5578762</v>
      </c>
      <c r="FI173" s="239">
        <v>-882939</v>
      </c>
      <c r="FJ173" s="239">
        <v>0</v>
      </c>
      <c r="FK173" s="239">
        <v>-882939</v>
      </c>
      <c r="FL173" s="239">
        <v>-825292</v>
      </c>
      <c r="FM173" s="239">
        <v>0</v>
      </c>
      <c r="FN173" s="239">
        <v>-825292</v>
      </c>
      <c r="FO173" s="239">
        <v>-765512</v>
      </c>
      <c r="FP173" s="239">
        <v>0</v>
      </c>
      <c r="FQ173" s="239">
        <v>-765512</v>
      </c>
      <c r="FR173" s="239">
        <v>-10266</v>
      </c>
      <c r="FS173" s="239">
        <v>0</v>
      </c>
      <c r="FT173" s="239">
        <v>-10266</v>
      </c>
      <c r="FU173" s="239">
        <v>-8245446</v>
      </c>
      <c r="FV173" s="239">
        <v>0</v>
      </c>
      <c r="FW173" s="239">
        <v>-8245446</v>
      </c>
      <c r="FX173" s="239">
        <v>43515449</v>
      </c>
      <c r="FY173" s="239">
        <v>0</v>
      </c>
      <c r="FZ173" s="239">
        <v>43515449</v>
      </c>
      <c r="GA173" s="214" t="s">
        <v>1294</v>
      </c>
    </row>
    <row r="174" spans="1:183" s="214" customFormat="1" x14ac:dyDescent="0.2">
      <c r="B174" s="610" t="s">
        <v>431</v>
      </c>
      <c r="C174" s="610" t="s">
        <v>430</v>
      </c>
      <c r="D174" s="239">
        <v>0</v>
      </c>
      <c r="E174" s="239">
        <v>0</v>
      </c>
      <c r="F174" s="239">
        <v>0</v>
      </c>
      <c r="G174" s="239">
        <v>84519</v>
      </c>
      <c r="H174" s="239">
        <v>0</v>
      </c>
      <c r="I174" s="239">
        <v>84519</v>
      </c>
      <c r="J174" s="239">
        <v>0</v>
      </c>
      <c r="K174" s="239">
        <v>0</v>
      </c>
      <c r="L174" s="239">
        <v>0</v>
      </c>
      <c r="M174" s="239">
        <v>19789</v>
      </c>
      <c r="N174" s="239">
        <v>0</v>
      </c>
      <c r="O174" s="239">
        <v>19789</v>
      </c>
      <c r="P174" s="239">
        <v>104308</v>
      </c>
      <c r="Q174" s="239">
        <v>0</v>
      </c>
      <c r="R174" s="239">
        <v>104308</v>
      </c>
      <c r="S174" s="239">
        <v>-2576165</v>
      </c>
      <c r="T174" s="239">
        <v>0</v>
      </c>
      <c r="U174" s="239">
        <v>-2576165</v>
      </c>
      <c r="V174" s="239">
        <v>0</v>
      </c>
      <c r="W174" s="239">
        <v>0</v>
      </c>
      <c r="X174" s="239">
        <v>0</v>
      </c>
      <c r="Y174" s="239">
        <v>-56155</v>
      </c>
      <c r="Z174" s="239">
        <v>0</v>
      </c>
      <c r="AA174" s="239">
        <v>-56155</v>
      </c>
      <c r="AB174" s="239">
        <v>-37893</v>
      </c>
      <c r="AC174" s="239">
        <v>0</v>
      </c>
      <c r="AD174" s="239">
        <v>-37893</v>
      </c>
      <c r="AE174" s="239">
        <v>0</v>
      </c>
      <c r="AF174" s="239">
        <v>0</v>
      </c>
      <c r="AG174" s="239">
        <v>0</v>
      </c>
      <c r="AH174" s="239">
        <v>1219593</v>
      </c>
      <c r="AI174" s="239">
        <v>0</v>
      </c>
      <c r="AJ174" s="239">
        <v>1219593</v>
      </c>
      <c r="AK174" s="239">
        <v>-27639</v>
      </c>
      <c r="AL174" s="239">
        <v>0</v>
      </c>
      <c r="AM174" s="239">
        <v>-27639</v>
      </c>
      <c r="AN174" s="239">
        <v>-5148239</v>
      </c>
      <c r="AO174" s="239">
        <v>0</v>
      </c>
      <c r="AP174" s="239">
        <v>-5148239</v>
      </c>
      <c r="AQ174" s="239">
        <v>-43460</v>
      </c>
      <c r="AR174" s="239">
        <v>0</v>
      </c>
      <c r="AS174" s="239">
        <v>-43460</v>
      </c>
      <c r="AT174" s="239">
        <v>-21910</v>
      </c>
      <c r="AU174" s="239">
        <v>0</v>
      </c>
      <c r="AV174" s="239">
        <v>-21910</v>
      </c>
      <c r="AW174" s="239">
        <v>0</v>
      </c>
      <c r="AX174" s="239">
        <v>0</v>
      </c>
      <c r="AY174" s="239">
        <v>0</v>
      </c>
      <c r="AZ174" s="239">
        <v>0</v>
      </c>
      <c r="BA174" s="239">
        <v>0</v>
      </c>
      <c r="BB174" s="239">
        <v>0</v>
      </c>
      <c r="BC174" s="239">
        <v>0</v>
      </c>
      <c r="BD174" s="239">
        <v>0</v>
      </c>
      <c r="BE174" s="239">
        <v>0</v>
      </c>
      <c r="BF174" s="239">
        <v>-6653975</v>
      </c>
      <c r="BG174" s="239">
        <v>0</v>
      </c>
      <c r="BH174" s="239">
        <v>-6653975</v>
      </c>
      <c r="BI174" s="239">
        <v>-1596</v>
      </c>
      <c r="BJ174" s="239">
        <v>0</v>
      </c>
      <c r="BK174" s="239">
        <v>-1596</v>
      </c>
      <c r="BL174" s="239">
        <v>-10634</v>
      </c>
      <c r="BM174" s="239">
        <v>0</v>
      </c>
      <c r="BN174" s="239">
        <v>-10634</v>
      </c>
      <c r="BO174" s="239">
        <v>-2140077</v>
      </c>
      <c r="BP174" s="239">
        <v>0</v>
      </c>
      <c r="BQ174" s="239">
        <v>-2140077</v>
      </c>
      <c r="BR174" s="239">
        <v>-107358</v>
      </c>
      <c r="BS174" s="239">
        <v>0</v>
      </c>
      <c r="BT174" s="239">
        <v>-107358</v>
      </c>
      <c r="BU174" s="239">
        <v>-2259665</v>
      </c>
      <c r="BV174" s="239">
        <v>0</v>
      </c>
      <c r="BW174" s="239">
        <v>-2259665</v>
      </c>
      <c r="BX174" s="239">
        <v>-3402</v>
      </c>
      <c r="BY174" s="239">
        <v>0</v>
      </c>
      <c r="BZ174" s="239">
        <v>-3402</v>
      </c>
      <c r="CA174" s="239">
        <v>0</v>
      </c>
      <c r="CB174" s="239">
        <v>0</v>
      </c>
      <c r="CC174" s="239">
        <v>0</v>
      </c>
      <c r="CD174" s="239">
        <v>-43160</v>
      </c>
      <c r="CE174" s="239">
        <v>0</v>
      </c>
      <c r="CF174" s="239">
        <v>-43160</v>
      </c>
      <c r="CG174" s="239">
        <v>-12668</v>
      </c>
      <c r="CH174" s="239">
        <v>0</v>
      </c>
      <c r="CI174" s="239">
        <v>-12668</v>
      </c>
      <c r="CJ174" s="239">
        <v>-5127</v>
      </c>
      <c r="CK174" s="239">
        <v>0</v>
      </c>
      <c r="CL174" s="239">
        <v>-5127</v>
      </c>
      <c r="CM174" s="239">
        <v>0</v>
      </c>
      <c r="CN174" s="239">
        <v>0</v>
      </c>
      <c r="CO174" s="239">
        <v>0</v>
      </c>
      <c r="CP174" s="239">
        <v>0</v>
      </c>
      <c r="CQ174" s="239">
        <v>0</v>
      </c>
      <c r="CR174" s="239">
        <v>0</v>
      </c>
      <c r="CS174" s="239">
        <v>0</v>
      </c>
      <c r="CT174" s="239">
        <v>0</v>
      </c>
      <c r="CU174" s="239">
        <v>0</v>
      </c>
      <c r="CV174" s="239">
        <v>0</v>
      </c>
      <c r="CW174" s="239">
        <v>0</v>
      </c>
      <c r="CX174" s="239">
        <v>0</v>
      </c>
      <c r="CY174" s="239">
        <v>0</v>
      </c>
      <c r="CZ174" s="239">
        <v>0</v>
      </c>
      <c r="DA174" s="239">
        <v>0</v>
      </c>
      <c r="DB174" s="239">
        <v>0</v>
      </c>
      <c r="DC174" s="239">
        <v>0</v>
      </c>
      <c r="DD174" s="239">
        <v>0</v>
      </c>
      <c r="DE174" s="239">
        <v>0</v>
      </c>
      <c r="DF174" s="239">
        <v>0</v>
      </c>
      <c r="DG174" s="239">
        <v>0</v>
      </c>
      <c r="DH174" s="239">
        <v>0</v>
      </c>
      <c r="DI174" s="239">
        <v>0</v>
      </c>
      <c r="DJ174" s="239">
        <v>-64357</v>
      </c>
      <c r="DK174" s="239">
        <v>0</v>
      </c>
      <c r="DL174" s="239">
        <v>-64357</v>
      </c>
      <c r="DM174" s="239">
        <v>0</v>
      </c>
      <c r="DN174" s="239">
        <v>0</v>
      </c>
      <c r="DO174" s="239">
        <v>0</v>
      </c>
      <c r="DP174" s="239">
        <v>0</v>
      </c>
      <c r="DQ174" s="239">
        <v>0</v>
      </c>
      <c r="DR174" s="239">
        <v>0</v>
      </c>
      <c r="DS174" s="239">
        <v>-72432</v>
      </c>
      <c r="DT174" s="239">
        <v>0</v>
      </c>
      <c r="DU174" s="239">
        <v>-72432</v>
      </c>
      <c r="DV174" s="239">
        <v>0</v>
      </c>
      <c r="DW174" s="239">
        <v>0</v>
      </c>
      <c r="DX174" s="239">
        <v>0</v>
      </c>
      <c r="DY174" s="239">
        <v>-550960</v>
      </c>
      <c r="DZ174" s="239">
        <v>0</v>
      </c>
      <c r="EA174" s="239">
        <v>-550960</v>
      </c>
      <c r="EB174" s="239">
        <v>-44353</v>
      </c>
      <c r="EC174" s="239">
        <v>0</v>
      </c>
      <c r="ED174" s="239">
        <v>-44353</v>
      </c>
      <c r="EE174" s="239">
        <v>0</v>
      </c>
      <c r="EF174" s="239">
        <v>0</v>
      </c>
      <c r="EG174" s="239">
        <v>0</v>
      </c>
      <c r="EH174" s="239">
        <v>0</v>
      </c>
      <c r="EI174" s="239">
        <v>0</v>
      </c>
      <c r="EJ174" s="239">
        <v>0</v>
      </c>
      <c r="EK174" s="239">
        <v>0</v>
      </c>
      <c r="EL174" s="239">
        <v>0</v>
      </c>
      <c r="EM174" s="239">
        <v>0</v>
      </c>
      <c r="EN174" s="239">
        <v>-667745</v>
      </c>
      <c r="EO174" s="239">
        <v>0</v>
      </c>
      <c r="EP174" s="239">
        <v>-667745</v>
      </c>
      <c r="EQ174" s="239">
        <v>-902294</v>
      </c>
      <c r="ER174" s="239">
        <v>0</v>
      </c>
      <c r="ES174" s="239">
        <v>-902294</v>
      </c>
      <c r="ET174" s="239">
        <v>17561</v>
      </c>
      <c r="EU174" s="239">
        <v>0</v>
      </c>
      <c r="EV174" s="239">
        <v>17561</v>
      </c>
      <c r="EW174" s="239">
        <v>-884733</v>
      </c>
      <c r="EX174" s="239">
        <v>0</v>
      </c>
      <c r="EY174" s="239">
        <v>-884733</v>
      </c>
      <c r="EZ174" s="239">
        <v>50059162</v>
      </c>
      <c r="FA174" s="239">
        <v>0</v>
      </c>
      <c r="FB174" s="239">
        <v>50059162</v>
      </c>
      <c r="FC174" s="239">
        <v>104308</v>
      </c>
      <c r="FD174" s="239">
        <v>0</v>
      </c>
      <c r="FE174" s="239">
        <v>104308</v>
      </c>
      <c r="FF174" s="239">
        <v>-6653975</v>
      </c>
      <c r="FG174" s="239">
        <v>0</v>
      </c>
      <c r="FH174" s="239">
        <v>-6653975</v>
      </c>
      <c r="FI174" s="239">
        <v>-2259665</v>
      </c>
      <c r="FJ174" s="239">
        <v>0</v>
      </c>
      <c r="FK174" s="239">
        <v>-2259665</v>
      </c>
      <c r="FL174" s="239">
        <v>-64357</v>
      </c>
      <c r="FM174" s="239">
        <v>0</v>
      </c>
      <c r="FN174" s="239">
        <v>-64357</v>
      </c>
      <c r="FO174" s="239">
        <v>-667745</v>
      </c>
      <c r="FP174" s="239">
        <v>0</v>
      </c>
      <c r="FQ174" s="239">
        <v>-667745</v>
      </c>
      <c r="FR174" s="239">
        <v>-884733</v>
      </c>
      <c r="FS174" s="239">
        <v>0</v>
      </c>
      <c r="FT174" s="239">
        <v>-884733</v>
      </c>
      <c r="FU174" s="239">
        <v>-10426167</v>
      </c>
      <c r="FV174" s="239">
        <v>0</v>
      </c>
      <c r="FW174" s="239">
        <v>-10426167</v>
      </c>
      <c r="FX174" s="239">
        <v>39632995</v>
      </c>
      <c r="FY174" s="239">
        <v>0</v>
      </c>
      <c r="FZ174" s="239">
        <v>39632995</v>
      </c>
      <c r="GA174" s="214" t="s">
        <v>748</v>
      </c>
    </row>
    <row r="175" spans="1:183" s="214" customFormat="1" x14ac:dyDescent="0.2">
      <c r="B175" s="610" t="s">
        <v>433</v>
      </c>
      <c r="C175" s="610" t="s">
        <v>432</v>
      </c>
      <c r="D175" s="239">
        <v>0</v>
      </c>
      <c r="E175" s="239">
        <v>0</v>
      </c>
      <c r="F175" s="239">
        <v>0</v>
      </c>
      <c r="G175" s="239">
        <v>0</v>
      </c>
      <c r="H175" s="239">
        <v>0</v>
      </c>
      <c r="I175" s="239">
        <v>0</v>
      </c>
      <c r="J175" s="239">
        <v>0</v>
      </c>
      <c r="K175" s="239">
        <v>0</v>
      </c>
      <c r="L175" s="239">
        <v>0</v>
      </c>
      <c r="M175" s="239">
        <v>1507939</v>
      </c>
      <c r="N175" s="239">
        <v>0</v>
      </c>
      <c r="O175" s="239">
        <v>1507939</v>
      </c>
      <c r="P175" s="239">
        <v>1507939</v>
      </c>
      <c r="Q175" s="239">
        <v>0</v>
      </c>
      <c r="R175" s="239">
        <v>1507939</v>
      </c>
      <c r="S175" s="239">
        <v>-3644879</v>
      </c>
      <c r="T175" s="239">
        <v>0</v>
      </c>
      <c r="U175" s="239">
        <v>-3644879</v>
      </c>
      <c r="V175" s="239">
        <v>-18179</v>
      </c>
      <c r="W175" s="239">
        <v>0</v>
      </c>
      <c r="X175" s="239">
        <v>-18179</v>
      </c>
      <c r="Y175" s="239">
        <v>-137019</v>
      </c>
      <c r="Z175" s="239">
        <v>0</v>
      </c>
      <c r="AA175" s="239">
        <v>-137019</v>
      </c>
      <c r="AB175" s="239">
        <v>0</v>
      </c>
      <c r="AC175" s="239">
        <v>0</v>
      </c>
      <c r="AD175" s="239">
        <v>0</v>
      </c>
      <c r="AE175" s="239">
        <v>-1914</v>
      </c>
      <c r="AF175" s="239">
        <v>0</v>
      </c>
      <c r="AG175" s="239">
        <v>-1914</v>
      </c>
      <c r="AH175" s="239">
        <v>4445787</v>
      </c>
      <c r="AI175" s="239">
        <v>0</v>
      </c>
      <c r="AJ175" s="239">
        <v>4445787</v>
      </c>
      <c r="AK175" s="239">
        <v>116439</v>
      </c>
      <c r="AL175" s="239">
        <v>0</v>
      </c>
      <c r="AM175" s="239">
        <v>116439</v>
      </c>
      <c r="AN175" s="239">
        <v>-8324794</v>
      </c>
      <c r="AO175" s="239">
        <v>0</v>
      </c>
      <c r="AP175" s="239">
        <v>-8324794</v>
      </c>
      <c r="AQ175" s="239">
        <v>-301875</v>
      </c>
      <c r="AR175" s="239">
        <v>0</v>
      </c>
      <c r="AS175" s="239">
        <v>-301875</v>
      </c>
      <c r="AT175" s="239">
        <v>-58771</v>
      </c>
      <c r="AU175" s="239">
        <v>0</v>
      </c>
      <c r="AV175" s="239">
        <v>-58771</v>
      </c>
      <c r="AW175" s="239">
        <v>33</v>
      </c>
      <c r="AX175" s="239">
        <v>0</v>
      </c>
      <c r="AY175" s="239">
        <v>33</v>
      </c>
      <c r="AZ175" s="239">
        <v>-13108</v>
      </c>
      <c r="BA175" s="239">
        <v>0</v>
      </c>
      <c r="BB175" s="239">
        <v>-13108</v>
      </c>
      <c r="BC175" s="239">
        <v>0</v>
      </c>
      <c r="BD175" s="239">
        <v>0</v>
      </c>
      <c r="BE175" s="239">
        <v>0</v>
      </c>
      <c r="BF175" s="239">
        <v>-7918187</v>
      </c>
      <c r="BG175" s="239">
        <v>0</v>
      </c>
      <c r="BH175" s="239">
        <v>-7918187</v>
      </c>
      <c r="BI175" s="239">
        <v>-38597</v>
      </c>
      <c r="BJ175" s="239">
        <v>0</v>
      </c>
      <c r="BK175" s="239">
        <v>-38597</v>
      </c>
      <c r="BL175" s="239">
        <v>11981</v>
      </c>
      <c r="BM175" s="239">
        <v>0</v>
      </c>
      <c r="BN175" s="239">
        <v>11981</v>
      </c>
      <c r="BO175" s="239">
        <v>-5326108</v>
      </c>
      <c r="BP175" s="239">
        <v>0</v>
      </c>
      <c r="BQ175" s="239">
        <v>-5326108</v>
      </c>
      <c r="BR175" s="239">
        <v>-333508</v>
      </c>
      <c r="BS175" s="239">
        <v>0</v>
      </c>
      <c r="BT175" s="239">
        <v>-333508</v>
      </c>
      <c r="BU175" s="239">
        <v>-5686232</v>
      </c>
      <c r="BV175" s="239">
        <v>0</v>
      </c>
      <c r="BW175" s="239">
        <v>-5686232</v>
      </c>
      <c r="BX175" s="239">
        <v>-375207</v>
      </c>
      <c r="BY175" s="239">
        <v>0</v>
      </c>
      <c r="BZ175" s="239">
        <v>-375207</v>
      </c>
      <c r="CA175" s="239">
        <v>-4549</v>
      </c>
      <c r="CB175" s="239">
        <v>0</v>
      </c>
      <c r="CC175" s="239">
        <v>-4549</v>
      </c>
      <c r="CD175" s="239">
        <v>-31266</v>
      </c>
      <c r="CE175" s="239">
        <v>0</v>
      </c>
      <c r="CF175" s="239">
        <v>-31266</v>
      </c>
      <c r="CG175" s="239">
        <v>-64715</v>
      </c>
      <c r="CH175" s="239">
        <v>0</v>
      </c>
      <c r="CI175" s="239">
        <v>-64715</v>
      </c>
      <c r="CJ175" s="239">
        <v>-14701</v>
      </c>
      <c r="CK175" s="239">
        <v>0</v>
      </c>
      <c r="CL175" s="239">
        <v>-14701</v>
      </c>
      <c r="CM175" s="239">
        <v>0</v>
      </c>
      <c r="CN175" s="239">
        <v>0</v>
      </c>
      <c r="CO175" s="239">
        <v>0</v>
      </c>
      <c r="CP175" s="239">
        <v>0</v>
      </c>
      <c r="CQ175" s="239">
        <v>0</v>
      </c>
      <c r="CR175" s="239">
        <v>0</v>
      </c>
      <c r="CS175" s="239">
        <v>0</v>
      </c>
      <c r="CT175" s="239">
        <v>0</v>
      </c>
      <c r="CU175" s="239">
        <v>0</v>
      </c>
      <c r="CV175" s="239">
        <v>0</v>
      </c>
      <c r="CW175" s="239">
        <v>0</v>
      </c>
      <c r="CX175" s="239">
        <v>0</v>
      </c>
      <c r="CY175" s="239">
        <v>0</v>
      </c>
      <c r="CZ175" s="239">
        <v>0</v>
      </c>
      <c r="DA175" s="239">
        <v>0</v>
      </c>
      <c r="DB175" s="239">
        <v>-253215</v>
      </c>
      <c r="DC175" s="239">
        <v>0</v>
      </c>
      <c r="DD175" s="239">
        <v>-253215</v>
      </c>
      <c r="DE175" s="239">
        <v>0</v>
      </c>
      <c r="DF175" s="239">
        <v>0</v>
      </c>
      <c r="DG175" s="239">
        <v>0</v>
      </c>
      <c r="DH175" s="239">
        <v>0</v>
      </c>
      <c r="DI175" s="239">
        <v>0</v>
      </c>
      <c r="DJ175" s="239">
        <v>-743653</v>
      </c>
      <c r="DK175" s="239">
        <v>0</v>
      </c>
      <c r="DL175" s="239">
        <v>-743653</v>
      </c>
      <c r="DM175" s="239">
        <v>0</v>
      </c>
      <c r="DN175" s="239">
        <v>0</v>
      </c>
      <c r="DO175" s="239">
        <v>0</v>
      </c>
      <c r="DP175" s="239">
        <v>0</v>
      </c>
      <c r="DQ175" s="239">
        <v>0</v>
      </c>
      <c r="DR175" s="239">
        <v>0</v>
      </c>
      <c r="DS175" s="239">
        <v>-37473</v>
      </c>
      <c r="DT175" s="239">
        <v>0</v>
      </c>
      <c r="DU175" s="239">
        <v>-37473</v>
      </c>
      <c r="DV175" s="239">
        <v>0</v>
      </c>
      <c r="DW175" s="239">
        <v>0</v>
      </c>
      <c r="DX175" s="239">
        <v>0</v>
      </c>
      <c r="DY175" s="239">
        <v>-1045689</v>
      </c>
      <c r="DZ175" s="239">
        <v>0</v>
      </c>
      <c r="EA175" s="239">
        <v>-1045689</v>
      </c>
      <c r="EB175" s="239">
        <v>-21801</v>
      </c>
      <c r="EC175" s="239">
        <v>0</v>
      </c>
      <c r="ED175" s="239">
        <v>-21801</v>
      </c>
      <c r="EE175" s="239">
        <v>0</v>
      </c>
      <c r="EF175" s="239">
        <v>0</v>
      </c>
      <c r="EG175" s="239">
        <v>0</v>
      </c>
      <c r="EH175" s="239">
        <v>0</v>
      </c>
      <c r="EI175" s="239">
        <v>0</v>
      </c>
      <c r="EJ175" s="239">
        <v>0</v>
      </c>
      <c r="EK175" s="239">
        <v>0</v>
      </c>
      <c r="EL175" s="239">
        <v>0</v>
      </c>
      <c r="EM175" s="239">
        <v>0</v>
      </c>
      <c r="EN175" s="239">
        <v>-1104963</v>
      </c>
      <c r="EO175" s="239">
        <v>0</v>
      </c>
      <c r="EP175" s="239">
        <v>-1104963</v>
      </c>
      <c r="EQ175" s="239">
        <v>0</v>
      </c>
      <c r="ER175" s="239">
        <v>0</v>
      </c>
      <c r="ES175" s="239">
        <v>0</v>
      </c>
      <c r="ET175" s="239">
        <v>0</v>
      </c>
      <c r="EU175" s="239">
        <v>0</v>
      </c>
      <c r="EV175" s="239">
        <v>0</v>
      </c>
      <c r="EW175" s="239">
        <v>0</v>
      </c>
      <c r="EX175" s="239">
        <v>0</v>
      </c>
      <c r="EY175" s="239">
        <v>0</v>
      </c>
      <c r="EZ175" s="239">
        <v>174691760</v>
      </c>
      <c r="FA175" s="239">
        <v>0</v>
      </c>
      <c r="FB175" s="239">
        <v>174691760</v>
      </c>
      <c r="FC175" s="239">
        <v>1507939</v>
      </c>
      <c r="FD175" s="239">
        <v>0</v>
      </c>
      <c r="FE175" s="239">
        <v>1507939</v>
      </c>
      <c r="FF175" s="239">
        <v>-7918187</v>
      </c>
      <c r="FG175" s="239">
        <v>0</v>
      </c>
      <c r="FH175" s="239">
        <v>-7918187</v>
      </c>
      <c r="FI175" s="239">
        <v>-5686232</v>
      </c>
      <c r="FJ175" s="239">
        <v>0</v>
      </c>
      <c r="FK175" s="239">
        <v>-5686232</v>
      </c>
      <c r="FL175" s="239">
        <v>-743653</v>
      </c>
      <c r="FM175" s="239">
        <v>0</v>
      </c>
      <c r="FN175" s="239">
        <v>-743653</v>
      </c>
      <c r="FO175" s="239">
        <v>-1104963</v>
      </c>
      <c r="FP175" s="239">
        <v>0</v>
      </c>
      <c r="FQ175" s="239">
        <v>-1104963</v>
      </c>
      <c r="FR175" s="239">
        <v>0</v>
      </c>
      <c r="FS175" s="239">
        <v>0</v>
      </c>
      <c r="FT175" s="239">
        <v>0</v>
      </c>
      <c r="FU175" s="239">
        <v>-13945096</v>
      </c>
      <c r="FV175" s="239">
        <v>0</v>
      </c>
      <c r="FW175" s="239">
        <v>-13945096</v>
      </c>
      <c r="FX175" s="239">
        <v>160746664</v>
      </c>
      <c r="FY175" s="239">
        <v>0</v>
      </c>
      <c r="FZ175" s="239">
        <v>160746664</v>
      </c>
      <c r="GA175" s="214" t="s">
        <v>748</v>
      </c>
    </row>
    <row r="176" spans="1:183" s="214" customFormat="1" x14ac:dyDescent="0.2">
      <c r="B176" s="610" t="s">
        <v>435</v>
      </c>
      <c r="C176" s="610" t="s">
        <v>434</v>
      </c>
      <c r="D176" s="239">
        <v>0</v>
      </c>
      <c r="E176" s="239">
        <v>0</v>
      </c>
      <c r="F176" s="239">
        <v>0</v>
      </c>
      <c r="G176" s="239">
        <v>25912</v>
      </c>
      <c r="H176" s="239">
        <v>0</v>
      </c>
      <c r="I176" s="239">
        <v>25912</v>
      </c>
      <c r="J176" s="239">
        <v>0</v>
      </c>
      <c r="K176" s="239">
        <v>0</v>
      </c>
      <c r="L176" s="239">
        <v>0</v>
      </c>
      <c r="M176" s="239">
        <v>-2922</v>
      </c>
      <c r="N176" s="239">
        <v>0</v>
      </c>
      <c r="O176" s="239">
        <v>-2922</v>
      </c>
      <c r="P176" s="239">
        <v>22990</v>
      </c>
      <c r="Q176" s="239">
        <v>0</v>
      </c>
      <c r="R176" s="239">
        <v>22990</v>
      </c>
      <c r="S176" s="239">
        <v>-1860354</v>
      </c>
      <c r="T176" s="239">
        <v>0</v>
      </c>
      <c r="U176" s="239">
        <v>-1860354</v>
      </c>
      <c r="V176" s="239">
        <v>-13325</v>
      </c>
      <c r="W176" s="239">
        <v>0</v>
      </c>
      <c r="X176" s="239">
        <v>-13325</v>
      </c>
      <c r="Y176" s="239">
        <v>-60883</v>
      </c>
      <c r="Z176" s="239">
        <v>0</v>
      </c>
      <c r="AA176" s="239">
        <v>-60883</v>
      </c>
      <c r="AB176" s="239">
        <v>-60126</v>
      </c>
      <c r="AC176" s="239">
        <v>0</v>
      </c>
      <c r="AD176" s="239">
        <v>-60126</v>
      </c>
      <c r="AE176" s="239">
        <v>-757</v>
      </c>
      <c r="AF176" s="239">
        <v>0</v>
      </c>
      <c r="AG176" s="239">
        <v>-757</v>
      </c>
      <c r="AH176" s="239">
        <v>1007883</v>
      </c>
      <c r="AI176" s="239">
        <v>0</v>
      </c>
      <c r="AJ176" s="239">
        <v>1007883</v>
      </c>
      <c r="AK176" s="239">
        <v>-15458</v>
      </c>
      <c r="AL176" s="239">
        <v>0</v>
      </c>
      <c r="AM176" s="239">
        <v>-15458</v>
      </c>
      <c r="AN176" s="239">
        <v>-2097719</v>
      </c>
      <c r="AO176" s="239">
        <v>0</v>
      </c>
      <c r="AP176" s="239">
        <v>-2097719</v>
      </c>
      <c r="AQ176" s="239">
        <v>28953</v>
      </c>
      <c r="AR176" s="239">
        <v>0</v>
      </c>
      <c r="AS176" s="239">
        <v>28953</v>
      </c>
      <c r="AT176" s="239">
        <v>-36137</v>
      </c>
      <c r="AU176" s="239">
        <v>0</v>
      </c>
      <c r="AV176" s="239">
        <v>-36137</v>
      </c>
      <c r="AW176" s="239">
        <v>0</v>
      </c>
      <c r="AX176" s="239">
        <v>0</v>
      </c>
      <c r="AY176" s="239">
        <v>0</v>
      </c>
      <c r="AZ176" s="239">
        <v>-9034</v>
      </c>
      <c r="BA176" s="239">
        <v>0</v>
      </c>
      <c r="BB176" s="239">
        <v>-9034</v>
      </c>
      <c r="BC176" s="239">
        <v>0</v>
      </c>
      <c r="BD176" s="239">
        <v>0</v>
      </c>
      <c r="BE176" s="239">
        <v>0</v>
      </c>
      <c r="BF176" s="239">
        <v>-3042749</v>
      </c>
      <c r="BG176" s="239">
        <v>0</v>
      </c>
      <c r="BH176" s="239">
        <v>-3042749</v>
      </c>
      <c r="BI176" s="239">
        <v>-6914</v>
      </c>
      <c r="BJ176" s="239">
        <v>0</v>
      </c>
      <c r="BK176" s="239">
        <v>-6914</v>
      </c>
      <c r="BL176" s="239">
        <v>18</v>
      </c>
      <c r="BM176" s="239">
        <v>0</v>
      </c>
      <c r="BN176" s="239">
        <v>18</v>
      </c>
      <c r="BO176" s="239">
        <v>-1100038</v>
      </c>
      <c r="BP176" s="239">
        <v>0</v>
      </c>
      <c r="BQ176" s="239">
        <v>-1100038</v>
      </c>
      <c r="BR176" s="239">
        <v>-76899</v>
      </c>
      <c r="BS176" s="239">
        <v>0</v>
      </c>
      <c r="BT176" s="239">
        <v>-76899</v>
      </c>
      <c r="BU176" s="239">
        <v>-1183833</v>
      </c>
      <c r="BV176" s="239">
        <v>0</v>
      </c>
      <c r="BW176" s="239">
        <v>-1183833</v>
      </c>
      <c r="BX176" s="239">
        <v>-21777</v>
      </c>
      <c r="BY176" s="239">
        <v>0</v>
      </c>
      <c r="BZ176" s="239">
        <v>-21777</v>
      </c>
      <c r="CA176" s="239">
        <v>0</v>
      </c>
      <c r="CB176" s="239">
        <v>0</v>
      </c>
      <c r="CC176" s="239">
        <v>0</v>
      </c>
      <c r="CD176" s="239">
        <v>-10393</v>
      </c>
      <c r="CE176" s="239">
        <v>0</v>
      </c>
      <c r="CF176" s="239">
        <v>-10393</v>
      </c>
      <c r="CG176" s="239">
        <v>0</v>
      </c>
      <c r="CH176" s="239">
        <v>0</v>
      </c>
      <c r="CI176" s="239">
        <v>0</v>
      </c>
      <c r="CJ176" s="239">
        <v>-2464</v>
      </c>
      <c r="CK176" s="239">
        <v>0</v>
      </c>
      <c r="CL176" s="239">
        <v>-2464</v>
      </c>
      <c r="CM176" s="239">
        <v>0</v>
      </c>
      <c r="CN176" s="239">
        <v>0</v>
      </c>
      <c r="CO176" s="239">
        <v>0</v>
      </c>
      <c r="CP176" s="239">
        <v>-8134</v>
      </c>
      <c r="CQ176" s="239">
        <v>0</v>
      </c>
      <c r="CR176" s="239">
        <v>-8134</v>
      </c>
      <c r="CS176" s="239">
        <v>0</v>
      </c>
      <c r="CT176" s="239">
        <v>0</v>
      </c>
      <c r="CU176" s="239">
        <v>0</v>
      </c>
      <c r="CV176" s="239">
        <v>-28166</v>
      </c>
      <c r="CW176" s="239">
        <v>0</v>
      </c>
      <c r="CX176" s="239">
        <v>-28166</v>
      </c>
      <c r="CY176" s="239">
        <v>0</v>
      </c>
      <c r="CZ176" s="239">
        <v>0</v>
      </c>
      <c r="DA176" s="239">
        <v>0</v>
      </c>
      <c r="DB176" s="239">
        <v>0</v>
      </c>
      <c r="DC176" s="239">
        <v>0</v>
      </c>
      <c r="DD176" s="239">
        <v>0</v>
      </c>
      <c r="DE176" s="239">
        <v>0</v>
      </c>
      <c r="DF176" s="239">
        <v>0</v>
      </c>
      <c r="DG176" s="239">
        <v>0</v>
      </c>
      <c r="DH176" s="239">
        <v>0</v>
      </c>
      <c r="DI176" s="239">
        <v>0</v>
      </c>
      <c r="DJ176" s="239">
        <v>-70934</v>
      </c>
      <c r="DK176" s="239">
        <v>0</v>
      </c>
      <c r="DL176" s="239">
        <v>-70934</v>
      </c>
      <c r="DM176" s="239">
        <v>0</v>
      </c>
      <c r="DN176" s="239">
        <v>0</v>
      </c>
      <c r="DO176" s="239">
        <v>0</v>
      </c>
      <c r="DP176" s="239">
        <v>0</v>
      </c>
      <c r="DQ176" s="239">
        <v>0</v>
      </c>
      <c r="DR176" s="239">
        <v>0</v>
      </c>
      <c r="DS176" s="239">
        <v>-9133</v>
      </c>
      <c r="DT176" s="239">
        <v>0</v>
      </c>
      <c r="DU176" s="239">
        <v>-9133</v>
      </c>
      <c r="DV176" s="239">
        <v>0</v>
      </c>
      <c r="DW176" s="239">
        <v>0</v>
      </c>
      <c r="DX176" s="239">
        <v>0</v>
      </c>
      <c r="DY176" s="239">
        <v>-497998</v>
      </c>
      <c r="DZ176" s="239">
        <v>0</v>
      </c>
      <c r="EA176" s="239">
        <v>-497998</v>
      </c>
      <c r="EB176" s="239">
        <v>-36418</v>
      </c>
      <c r="EC176" s="239">
        <v>0</v>
      </c>
      <c r="ED176" s="239">
        <v>-36418</v>
      </c>
      <c r="EE176" s="239">
        <v>0</v>
      </c>
      <c r="EF176" s="239">
        <v>0</v>
      </c>
      <c r="EG176" s="239">
        <v>0</v>
      </c>
      <c r="EH176" s="239">
        <v>0</v>
      </c>
      <c r="EI176" s="239">
        <v>0</v>
      </c>
      <c r="EJ176" s="239">
        <v>0</v>
      </c>
      <c r="EK176" s="239">
        <v>-1969</v>
      </c>
      <c r="EL176" s="239">
        <v>0</v>
      </c>
      <c r="EM176" s="239">
        <v>-1969</v>
      </c>
      <c r="EN176" s="239">
        <v>-545518</v>
      </c>
      <c r="EO176" s="239">
        <v>0</v>
      </c>
      <c r="EP176" s="239">
        <v>-545518</v>
      </c>
      <c r="EQ176" s="239">
        <v>0</v>
      </c>
      <c r="ER176" s="239">
        <v>0</v>
      </c>
      <c r="ES176" s="239">
        <v>0</v>
      </c>
      <c r="ET176" s="239">
        <v>0</v>
      </c>
      <c r="EU176" s="239">
        <v>0</v>
      </c>
      <c r="EV176" s="239">
        <v>0</v>
      </c>
      <c r="EW176" s="239">
        <v>0</v>
      </c>
      <c r="EX176" s="239">
        <v>0</v>
      </c>
      <c r="EY176" s="239">
        <v>0</v>
      </c>
      <c r="EZ176" s="239">
        <v>42683446</v>
      </c>
      <c r="FA176" s="239">
        <v>0</v>
      </c>
      <c r="FB176" s="239">
        <v>42683446</v>
      </c>
      <c r="FC176" s="239">
        <v>22990</v>
      </c>
      <c r="FD176" s="239">
        <v>0</v>
      </c>
      <c r="FE176" s="239">
        <v>22990</v>
      </c>
      <c r="FF176" s="239">
        <v>-3042749</v>
      </c>
      <c r="FG176" s="239">
        <v>0</v>
      </c>
      <c r="FH176" s="239">
        <v>-3042749</v>
      </c>
      <c r="FI176" s="239">
        <v>-1183833</v>
      </c>
      <c r="FJ176" s="239">
        <v>0</v>
      </c>
      <c r="FK176" s="239">
        <v>-1183833</v>
      </c>
      <c r="FL176" s="239">
        <v>-70934</v>
      </c>
      <c r="FM176" s="239">
        <v>0</v>
      </c>
      <c r="FN176" s="239">
        <v>-70934</v>
      </c>
      <c r="FO176" s="239">
        <v>-545518</v>
      </c>
      <c r="FP176" s="239">
        <v>0</v>
      </c>
      <c r="FQ176" s="239">
        <v>-545518</v>
      </c>
      <c r="FR176" s="239">
        <v>0</v>
      </c>
      <c r="FS176" s="239">
        <v>0</v>
      </c>
      <c r="FT176" s="239">
        <v>0</v>
      </c>
      <c r="FU176" s="239">
        <v>-4820044</v>
      </c>
      <c r="FV176" s="239">
        <v>0</v>
      </c>
      <c r="FW176" s="239">
        <v>-4820044</v>
      </c>
      <c r="FX176" s="239">
        <v>37863402</v>
      </c>
      <c r="FY176" s="239">
        <v>0</v>
      </c>
      <c r="FZ176" s="239">
        <v>37863402</v>
      </c>
      <c r="GA176" s="214" t="s">
        <v>1294</v>
      </c>
    </row>
    <row r="177" spans="2:183" s="214" customFormat="1" x14ac:dyDescent="0.2">
      <c r="B177" s="610" t="s">
        <v>437</v>
      </c>
      <c r="C177" s="610" t="s">
        <v>436</v>
      </c>
      <c r="D177" s="239">
        <v>0</v>
      </c>
      <c r="E177" s="239">
        <v>0</v>
      </c>
      <c r="F177" s="239">
        <v>0</v>
      </c>
      <c r="G177" s="239">
        <v>-1705062</v>
      </c>
      <c r="H177" s="239">
        <v>0</v>
      </c>
      <c r="I177" s="239">
        <v>-1705062</v>
      </c>
      <c r="J177" s="239">
        <v>0</v>
      </c>
      <c r="K177" s="239">
        <v>0</v>
      </c>
      <c r="L177" s="239">
        <v>0</v>
      </c>
      <c r="M177" s="239">
        <v>91498</v>
      </c>
      <c r="N177" s="239">
        <v>0</v>
      </c>
      <c r="O177" s="239">
        <v>91498</v>
      </c>
      <c r="P177" s="239">
        <v>-1613564</v>
      </c>
      <c r="Q177" s="239">
        <v>0</v>
      </c>
      <c r="R177" s="239">
        <v>-1613564</v>
      </c>
      <c r="S177" s="239">
        <v>-4407557</v>
      </c>
      <c r="T177" s="239">
        <v>0</v>
      </c>
      <c r="U177" s="239">
        <v>-4407557</v>
      </c>
      <c r="V177" s="239">
        <v>-3742</v>
      </c>
      <c r="W177" s="239">
        <v>0</v>
      </c>
      <c r="X177" s="239">
        <v>-3742</v>
      </c>
      <c r="Y177" s="239">
        <v>-285546</v>
      </c>
      <c r="Z177" s="239">
        <v>0</v>
      </c>
      <c r="AA177" s="239">
        <v>-285546</v>
      </c>
      <c r="AB177" s="239">
        <v>-145930</v>
      </c>
      <c r="AC177" s="239">
        <v>0</v>
      </c>
      <c r="AD177" s="239">
        <v>-145930</v>
      </c>
      <c r="AE177" s="239">
        <v>0</v>
      </c>
      <c r="AF177" s="239">
        <v>0</v>
      </c>
      <c r="AG177" s="239">
        <v>0</v>
      </c>
      <c r="AH177" s="239">
        <v>1706892</v>
      </c>
      <c r="AI177" s="239">
        <v>0</v>
      </c>
      <c r="AJ177" s="239">
        <v>1706892</v>
      </c>
      <c r="AK177" s="239">
        <v>27417</v>
      </c>
      <c r="AL177" s="239">
        <v>0</v>
      </c>
      <c r="AM177" s="239">
        <v>27417</v>
      </c>
      <c r="AN177" s="239">
        <v>-3282208</v>
      </c>
      <c r="AO177" s="239">
        <v>0</v>
      </c>
      <c r="AP177" s="239">
        <v>-3282208</v>
      </c>
      <c r="AQ177" s="239">
        <v>2855</v>
      </c>
      <c r="AR177" s="239">
        <v>0</v>
      </c>
      <c r="AS177" s="239">
        <v>2855</v>
      </c>
      <c r="AT177" s="239">
        <v>-132050</v>
      </c>
      <c r="AU177" s="239">
        <v>0</v>
      </c>
      <c r="AV177" s="239">
        <v>-132050</v>
      </c>
      <c r="AW177" s="239">
        <v>1104</v>
      </c>
      <c r="AX177" s="239">
        <v>0</v>
      </c>
      <c r="AY177" s="239">
        <v>1104</v>
      </c>
      <c r="AZ177" s="239">
        <v>-18950</v>
      </c>
      <c r="BA177" s="239">
        <v>0</v>
      </c>
      <c r="BB177" s="239">
        <v>-18950</v>
      </c>
      <c r="BC177" s="239">
        <v>0</v>
      </c>
      <c r="BD177" s="239">
        <v>0</v>
      </c>
      <c r="BE177" s="239">
        <v>0</v>
      </c>
      <c r="BF177" s="239">
        <v>-6388043</v>
      </c>
      <c r="BG177" s="239">
        <v>0</v>
      </c>
      <c r="BH177" s="239">
        <v>-6388043</v>
      </c>
      <c r="BI177" s="239">
        <v>-90485</v>
      </c>
      <c r="BJ177" s="239">
        <v>0</v>
      </c>
      <c r="BK177" s="239">
        <v>-90485</v>
      </c>
      <c r="BL177" s="239">
        <v>3780</v>
      </c>
      <c r="BM177" s="239">
        <v>0</v>
      </c>
      <c r="BN177" s="239">
        <v>3780</v>
      </c>
      <c r="BO177" s="239">
        <v>-1361370</v>
      </c>
      <c r="BP177" s="239">
        <v>0</v>
      </c>
      <c r="BQ177" s="239">
        <v>-1361370</v>
      </c>
      <c r="BR177" s="239">
        <v>-279298</v>
      </c>
      <c r="BS177" s="239">
        <v>0</v>
      </c>
      <c r="BT177" s="239">
        <v>-279298</v>
      </c>
      <c r="BU177" s="239">
        <v>-1727373</v>
      </c>
      <c r="BV177" s="239">
        <v>0</v>
      </c>
      <c r="BW177" s="239">
        <v>-1727373</v>
      </c>
      <c r="BX177" s="239">
        <v>-107275</v>
      </c>
      <c r="BY177" s="239">
        <v>0</v>
      </c>
      <c r="BZ177" s="239">
        <v>-107275</v>
      </c>
      <c r="CA177" s="239">
        <v>54</v>
      </c>
      <c r="CB177" s="239">
        <v>0</v>
      </c>
      <c r="CC177" s="239">
        <v>54</v>
      </c>
      <c r="CD177" s="239">
        <v>-45351</v>
      </c>
      <c r="CE177" s="239">
        <v>0</v>
      </c>
      <c r="CF177" s="239">
        <v>-45351</v>
      </c>
      <c r="CG177" s="239">
        <v>3512</v>
      </c>
      <c r="CH177" s="239">
        <v>0</v>
      </c>
      <c r="CI177" s="239">
        <v>3512</v>
      </c>
      <c r="CJ177" s="239">
        <v>0</v>
      </c>
      <c r="CK177" s="239">
        <v>0</v>
      </c>
      <c r="CL177" s="239">
        <v>0</v>
      </c>
      <c r="CM177" s="239">
        <v>0</v>
      </c>
      <c r="CN177" s="239">
        <v>0</v>
      </c>
      <c r="CO177" s="239">
        <v>0</v>
      </c>
      <c r="CP177" s="239">
        <v>-10039</v>
      </c>
      <c r="CQ177" s="239">
        <v>0</v>
      </c>
      <c r="CR177" s="239">
        <v>-10039</v>
      </c>
      <c r="CS177" s="239">
        <v>0</v>
      </c>
      <c r="CT177" s="239">
        <v>0</v>
      </c>
      <c r="CU177" s="239">
        <v>0</v>
      </c>
      <c r="CV177" s="239">
        <v>-5400</v>
      </c>
      <c r="CW177" s="239">
        <v>0</v>
      </c>
      <c r="CX177" s="239">
        <v>-5400</v>
      </c>
      <c r="CY177" s="239">
        <v>0</v>
      </c>
      <c r="CZ177" s="239">
        <v>0</v>
      </c>
      <c r="DA177" s="239">
        <v>0</v>
      </c>
      <c r="DB177" s="239">
        <v>0</v>
      </c>
      <c r="DC177" s="239">
        <v>0</v>
      </c>
      <c r="DD177" s="239">
        <v>0</v>
      </c>
      <c r="DE177" s="239">
        <v>0</v>
      </c>
      <c r="DF177" s="239">
        <v>0</v>
      </c>
      <c r="DG177" s="239">
        <v>0</v>
      </c>
      <c r="DH177" s="239">
        <v>0</v>
      </c>
      <c r="DI177" s="239">
        <v>0</v>
      </c>
      <c r="DJ177" s="239">
        <v>-164499</v>
      </c>
      <c r="DK177" s="239">
        <v>0</v>
      </c>
      <c r="DL177" s="239">
        <v>-164499</v>
      </c>
      <c r="DM177" s="239">
        <v>-4336</v>
      </c>
      <c r="DN177" s="239">
        <v>0</v>
      </c>
      <c r="DO177" s="239">
        <v>-4336</v>
      </c>
      <c r="DP177" s="239">
        <v>0</v>
      </c>
      <c r="DQ177" s="239">
        <v>0</v>
      </c>
      <c r="DR177" s="239">
        <v>0</v>
      </c>
      <c r="DS177" s="239">
        <v>-67792</v>
      </c>
      <c r="DT177" s="239">
        <v>0</v>
      </c>
      <c r="DU177" s="239">
        <v>-67792</v>
      </c>
      <c r="DV177" s="239">
        <v>-4586</v>
      </c>
      <c r="DW177" s="239">
        <v>0</v>
      </c>
      <c r="DX177" s="239">
        <v>-4586</v>
      </c>
      <c r="DY177" s="239">
        <v>-1160067</v>
      </c>
      <c r="DZ177" s="239">
        <v>0</v>
      </c>
      <c r="EA177" s="239">
        <v>-1160067</v>
      </c>
      <c r="EB177" s="239">
        <v>-27364</v>
      </c>
      <c r="EC177" s="239">
        <v>0</v>
      </c>
      <c r="ED177" s="239">
        <v>-27364</v>
      </c>
      <c r="EE177" s="239">
        <v>0</v>
      </c>
      <c r="EF177" s="239">
        <v>0</v>
      </c>
      <c r="EG177" s="239">
        <v>0</v>
      </c>
      <c r="EH177" s="239">
        <v>4189</v>
      </c>
      <c r="EI177" s="239">
        <v>0</v>
      </c>
      <c r="EJ177" s="239">
        <v>4189</v>
      </c>
      <c r="EK177" s="239">
        <v>-14108</v>
      </c>
      <c r="EL177" s="239">
        <v>0</v>
      </c>
      <c r="EM177" s="239">
        <v>-14108</v>
      </c>
      <c r="EN177" s="239">
        <v>-1274064</v>
      </c>
      <c r="EO177" s="239">
        <v>0</v>
      </c>
      <c r="EP177" s="239">
        <v>-1274064</v>
      </c>
      <c r="EQ177" s="239">
        <v>-8459</v>
      </c>
      <c r="ER177" s="239">
        <v>0</v>
      </c>
      <c r="ES177" s="239">
        <v>-8459</v>
      </c>
      <c r="ET177" s="239">
        <v>0</v>
      </c>
      <c r="EU177" s="239">
        <v>0</v>
      </c>
      <c r="EV177" s="239">
        <v>0</v>
      </c>
      <c r="EW177" s="239">
        <v>-8459</v>
      </c>
      <c r="EX177" s="239">
        <v>0</v>
      </c>
      <c r="EY177" s="239">
        <v>-8459</v>
      </c>
      <c r="EZ177" s="239">
        <v>74769092</v>
      </c>
      <c r="FA177" s="239">
        <v>0</v>
      </c>
      <c r="FB177" s="239">
        <v>74769092</v>
      </c>
      <c r="FC177" s="239">
        <v>-1613564</v>
      </c>
      <c r="FD177" s="239">
        <v>0</v>
      </c>
      <c r="FE177" s="239">
        <v>-1613564</v>
      </c>
      <c r="FF177" s="239">
        <v>-6388043</v>
      </c>
      <c r="FG177" s="239">
        <v>0</v>
      </c>
      <c r="FH177" s="239">
        <v>-6388043</v>
      </c>
      <c r="FI177" s="239">
        <v>-1727373</v>
      </c>
      <c r="FJ177" s="239">
        <v>0</v>
      </c>
      <c r="FK177" s="239">
        <v>-1727373</v>
      </c>
      <c r="FL177" s="239">
        <v>-164499</v>
      </c>
      <c r="FM177" s="239">
        <v>0</v>
      </c>
      <c r="FN177" s="239">
        <v>-164499</v>
      </c>
      <c r="FO177" s="239">
        <v>-1274064</v>
      </c>
      <c r="FP177" s="239">
        <v>0</v>
      </c>
      <c r="FQ177" s="239">
        <v>-1274064</v>
      </c>
      <c r="FR177" s="239">
        <v>-8459</v>
      </c>
      <c r="FS177" s="239">
        <v>0</v>
      </c>
      <c r="FT177" s="239">
        <v>-8459</v>
      </c>
      <c r="FU177" s="239">
        <v>-11176002</v>
      </c>
      <c r="FV177" s="239">
        <v>0</v>
      </c>
      <c r="FW177" s="239">
        <v>-11176002</v>
      </c>
      <c r="FX177" s="239">
        <v>63593090</v>
      </c>
      <c r="FY177" s="239">
        <v>0</v>
      </c>
      <c r="FZ177" s="239">
        <v>63593090</v>
      </c>
      <c r="GA177" s="214" t="s">
        <v>1294</v>
      </c>
    </row>
    <row r="178" spans="2:183" s="214" customFormat="1" x14ac:dyDescent="0.2">
      <c r="B178" s="610" t="s">
        <v>439</v>
      </c>
      <c r="C178" s="610" t="s">
        <v>438</v>
      </c>
      <c r="D178" s="239">
        <v>0</v>
      </c>
      <c r="E178" s="239">
        <v>0</v>
      </c>
      <c r="F178" s="239">
        <v>0</v>
      </c>
      <c r="G178" s="239">
        <v>-5602</v>
      </c>
      <c r="H178" s="239">
        <v>0</v>
      </c>
      <c r="I178" s="239">
        <v>-5602</v>
      </c>
      <c r="J178" s="239">
        <v>0</v>
      </c>
      <c r="K178" s="239">
        <v>0</v>
      </c>
      <c r="L178" s="239">
        <v>0</v>
      </c>
      <c r="M178" s="239">
        <v>152336</v>
      </c>
      <c r="N178" s="239">
        <v>0</v>
      </c>
      <c r="O178" s="239">
        <v>152336</v>
      </c>
      <c r="P178" s="239">
        <v>146734</v>
      </c>
      <c r="Q178" s="239">
        <v>0</v>
      </c>
      <c r="R178" s="239">
        <v>146734</v>
      </c>
      <c r="S178" s="239">
        <v>-2651911</v>
      </c>
      <c r="T178" s="239">
        <v>0</v>
      </c>
      <c r="U178" s="239">
        <v>-2651911</v>
      </c>
      <c r="V178" s="239">
        <v>0</v>
      </c>
      <c r="W178" s="239">
        <v>0</v>
      </c>
      <c r="X178" s="239">
        <v>0</v>
      </c>
      <c r="Y178" s="239">
        <v>-164467</v>
      </c>
      <c r="Z178" s="239">
        <v>0</v>
      </c>
      <c r="AA178" s="239">
        <v>-164467</v>
      </c>
      <c r="AB178" s="239">
        <v>-89235</v>
      </c>
      <c r="AC178" s="239">
        <v>0</v>
      </c>
      <c r="AD178" s="239">
        <v>-89235</v>
      </c>
      <c r="AE178" s="239">
        <v>0</v>
      </c>
      <c r="AF178" s="239">
        <v>0</v>
      </c>
      <c r="AG178" s="239">
        <v>0</v>
      </c>
      <c r="AH178" s="239">
        <v>1008018</v>
      </c>
      <c r="AI178" s="239">
        <v>0</v>
      </c>
      <c r="AJ178" s="239">
        <v>1008018</v>
      </c>
      <c r="AK178" s="239">
        <v>-15155</v>
      </c>
      <c r="AL178" s="239">
        <v>0</v>
      </c>
      <c r="AM178" s="239">
        <v>-15155</v>
      </c>
      <c r="AN178" s="239">
        <v>-1550690</v>
      </c>
      <c r="AO178" s="239">
        <v>0</v>
      </c>
      <c r="AP178" s="239">
        <v>-1550690</v>
      </c>
      <c r="AQ178" s="239">
        <v>14092</v>
      </c>
      <c r="AR178" s="239">
        <v>0</v>
      </c>
      <c r="AS178" s="239">
        <v>14092</v>
      </c>
      <c r="AT178" s="239">
        <v>-70780</v>
      </c>
      <c r="AU178" s="239">
        <v>0</v>
      </c>
      <c r="AV178" s="239">
        <v>-70780</v>
      </c>
      <c r="AW178" s="239">
        <v>-1565</v>
      </c>
      <c r="AX178" s="239">
        <v>0</v>
      </c>
      <c r="AY178" s="239">
        <v>-1565</v>
      </c>
      <c r="AZ178" s="239">
        <v>-27865</v>
      </c>
      <c r="BA178" s="239">
        <v>0</v>
      </c>
      <c r="BB178" s="239">
        <v>-27865</v>
      </c>
      <c r="BC178" s="239">
        <v>1845</v>
      </c>
      <c r="BD178" s="239">
        <v>0</v>
      </c>
      <c r="BE178" s="239">
        <v>1845</v>
      </c>
      <c r="BF178" s="239">
        <v>-3458478</v>
      </c>
      <c r="BG178" s="239">
        <v>0</v>
      </c>
      <c r="BH178" s="239">
        <v>-3458478</v>
      </c>
      <c r="BI178" s="239">
        <v>0</v>
      </c>
      <c r="BJ178" s="239">
        <v>0</v>
      </c>
      <c r="BK178" s="239">
        <v>0</v>
      </c>
      <c r="BL178" s="239">
        <v>0</v>
      </c>
      <c r="BM178" s="239">
        <v>0</v>
      </c>
      <c r="BN178" s="239">
        <v>0</v>
      </c>
      <c r="BO178" s="239">
        <v>-945072</v>
      </c>
      <c r="BP178" s="239">
        <v>0</v>
      </c>
      <c r="BQ178" s="239">
        <v>-945072</v>
      </c>
      <c r="BR178" s="239">
        <v>11633</v>
      </c>
      <c r="BS178" s="239">
        <v>0</v>
      </c>
      <c r="BT178" s="239">
        <v>11633</v>
      </c>
      <c r="BU178" s="239">
        <v>-933439</v>
      </c>
      <c r="BV178" s="239">
        <v>0</v>
      </c>
      <c r="BW178" s="239">
        <v>-933439</v>
      </c>
      <c r="BX178" s="239">
        <v>-25687</v>
      </c>
      <c r="BY178" s="239">
        <v>0</v>
      </c>
      <c r="BZ178" s="239">
        <v>-25687</v>
      </c>
      <c r="CA178" s="239">
        <v>105</v>
      </c>
      <c r="CB178" s="239">
        <v>0</v>
      </c>
      <c r="CC178" s="239">
        <v>105</v>
      </c>
      <c r="CD178" s="239">
        <v>-151012</v>
      </c>
      <c r="CE178" s="239">
        <v>0</v>
      </c>
      <c r="CF178" s="239">
        <v>-151012</v>
      </c>
      <c r="CG178" s="239">
        <v>1325</v>
      </c>
      <c r="CH178" s="239">
        <v>0</v>
      </c>
      <c r="CI178" s="239">
        <v>1325</v>
      </c>
      <c r="CJ178" s="239">
        <v>0</v>
      </c>
      <c r="CK178" s="239">
        <v>0</v>
      </c>
      <c r="CL178" s="239">
        <v>0</v>
      </c>
      <c r="CM178" s="239">
        <v>0</v>
      </c>
      <c r="CN178" s="239">
        <v>0</v>
      </c>
      <c r="CO178" s="239">
        <v>0</v>
      </c>
      <c r="CP178" s="239">
        <v>-4460</v>
      </c>
      <c r="CQ178" s="239">
        <v>0</v>
      </c>
      <c r="CR178" s="239">
        <v>-4460</v>
      </c>
      <c r="CS178" s="239">
        <v>0</v>
      </c>
      <c r="CT178" s="239">
        <v>0</v>
      </c>
      <c r="CU178" s="239">
        <v>0</v>
      </c>
      <c r="CV178" s="239">
        <v>0</v>
      </c>
      <c r="CW178" s="239">
        <v>0</v>
      </c>
      <c r="CX178" s="239">
        <v>0</v>
      </c>
      <c r="CY178" s="239">
        <v>0</v>
      </c>
      <c r="CZ178" s="239">
        <v>0</v>
      </c>
      <c r="DA178" s="239">
        <v>0</v>
      </c>
      <c r="DB178" s="239">
        <v>0</v>
      </c>
      <c r="DC178" s="239">
        <v>0</v>
      </c>
      <c r="DD178" s="239">
        <v>0</v>
      </c>
      <c r="DE178" s="239">
        <v>0</v>
      </c>
      <c r="DF178" s="239">
        <v>0</v>
      </c>
      <c r="DG178" s="239">
        <v>0</v>
      </c>
      <c r="DH178" s="239">
        <v>0</v>
      </c>
      <c r="DI178" s="239">
        <v>0</v>
      </c>
      <c r="DJ178" s="239">
        <v>-179729</v>
      </c>
      <c r="DK178" s="239">
        <v>0</v>
      </c>
      <c r="DL178" s="239">
        <v>-179729</v>
      </c>
      <c r="DM178" s="239">
        <v>0</v>
      </c>
      <c r="DN178" s="239">
        <v>0</v>
      </c>
      <c r="DO178" s="239">
        <v>0</v>
      </c>
      <c r="DP178" s="239">
        <v>0</v>
      </c>
      <c r="DQ178" s="239">
        <v>0</v>
      </c>
      <c r="DR178" s="239">
        <v>0</v>
      </c>
      <c r="DS178" s="239">
        <v>0</v>
      </c>
      <c r="DT178" s="239">
        <v>0</v>
      </c>
      <c r="DU178" s="239">
        <v>0</v>
      </c>
      <c r="DV178" s="239">
        <v>0</v>
      </c>
      <c r="DW178" s="239">
        <v>0</v>
      </c>
      <c r="DX178" s="239">
        <v>0</v>
      </c>
      <c r="DY178" s="239">
        <v>-438505</v>
      </c>
      <c r="DZ178" s="239">
        <v>0</v>
      </c>
      <c r="EA178" s="239">
        <v>-438505</v>
      </c>
      <c r="EB178" s="239">
        <v>-32595</v>
      </c>
      <c r="EC178" s="239">
        <v>0</v>
      </c>
      <c r="ED178" s="239">
        <v>-32595</v>
      </c>
      <c r="EE178" s="239">
        <v>0</v>
      </c>
      <c r="EF178" s="239">
        <v>0</v>
      </c>
      <c r="EG178" s="239">
        <v>0</v>
      </c>
      <c r="EH178" s="239">
        <v>0</v>
      </c>
      <c r="EI178" s="239">
        <v>0</v>
      </c>
      <c r="EJ178" s="239">
        <v>0</v>
      </c>
      <c r="EK178" s="239">
        <v>-10316</v>
      </c>
      <c r="EL178" s="239">
        <v>0</v>
      </c>
      <c r="EM178" s="239">
        <v>-10316</v>
      </c>
      <c r="EN178" s="239">
        <v>-481416</v>
      </c>
      <c r="EO178" s="239">
        <v>0</v>
      </c>
      <c r="EP178" s="239">
        <v>-481416</v>
      </c>
      <c r="EQ178" s="239">
        <v>-6667</v>
      </c>
      <c r="ER178" s="239">
        <v>0</v>
      </c>
      <c r="ES178" s="239">
        <v>-6667</v>
      </c>
      <c r="ET178" s="239">
        <v>-5725</v>
      </c>
      <c r="EU178" s="239">
        <v>0</v>
      </c>
      <c r="EV178" s="239">
        <v>-5725</v>
      </c>
      <c r="EW178" s="239">
        <v>-12392</v>
      </c>
      <c r="EX178" s="239">
        <v>0</v>
      </c>
      <c r="EY178" s="239">
        <v>-12392</v>
      </c>
      <c r="EZ178" s="239">
        <v>43699961</v>
      </c>
      <c r="FA178" s="239">
        <v>0</v>
      </c>
      <c r="FB178" s="239">
        <v>43699961</v>
      </c>
      <c r="FC178" s="239">
        <v>146734</v>
      </c>
      <c r="FD178" s="239">
        <v>0</v>
      </c>
      <c r="FE178" s="239">
        <v>146734</v>
      </c>
      <c r="FF178" s="239">
        <v>-3458478</v>
      </c>
      <c r="FG178" s="239">
        <v>0</v>
      </c>
      <c r="FH178" s="239">
        <v>-3458478</v>
      </c>
      <c r="FI178" s="239">
        <v>-933439</v>
      </c>
      <c r="FJ178" s="239">
        <v>0</v>
      </c>
      <c r="FK178" s="239">
        <v>-933439</v>
      </c>
      <c r="FL178" s="239">
        <v>-179729</v>
      </c>
      <c r="FM178" s="239">
        <v>0</v>
      </c>
      <c r="FN178" s="239">
        <v>-179729</v>
      </c>
      <c r="FO178" s="239">
        <v>-481416</v>
      </c>
      <c r="FP178" s="239">
        <v>0</v>
      </c>
      <c r="FQ178" s="239">
        <v>-481416</v>
      </c>
      <c r="FR178" s="239">
        <v>-12392</v>
      </c>
      <c r="FS178" s="239">
        <v>0</v>
      </c>
      <c r="FT178" s="239">
        <v>-12392</v>
      </c>
      <c r="FU178" s="239">
        <v>-4918720</v>
      </c>
      <c r="FV178" s="239">
        <v>0</v>
      </c>
      <c r="FW178" s="239">
        <v>-4918720</v>
      </c>
      <c r="FX178" s="239">
        <v>38781241</v>
      </c>
      <c r="FY178" s="239">
        <v>0</v>
      </c>
      <c r="FZ178" s="239">
        <v>38781241</v>
      </c>
      <c r="GA178" s="214" t="s">
        <v>1294</v>
      </c>
    </row>
    <row r="179" spans="2:183" s="214" customFormat="1" x14ac:dyDescent="0.2">
      <c r="B179" s="610" t="s">
        <v>441</v>
      </c>
      <c r="C179" s="610" t="s">
        <v>1144</v>
      </c>
      <c r="D179" s="239">
        <v>0</v>
      </c>
      <c r="E179" s="239">
        <v>0</v>
      </c>
      <c r="F179" s="239">
        <v>0</v>
      </c>
      <c r="G179" s="239">
        <v>590488</v>
      </c>
      <c r="H179" s="239">
        <v>2470</v>
      </c>
      <c r="I179" s="239">
        <v>592958</v>
      </c>
      <c r="J179" s="239">
        <v>0</v>
      </c>
      <c r="K179" s="239">
        <v>0</v>
      </c>
      <c r="L179" s="239">
        <v>0</v>
      </c>
      <c r="M179" s="239">
        <v>766786</v>
      </c>
      <c r="N179" s="239">
        <v>0</v>
      </c>
      <c r="O179" s="239">
        <v>766786</v>
      </c>
      <c r="P179" s="239">
        <v>1357274</v>
      </c>
      <c r="Q179" s="239">
        <v>2470</v>
      </c>
      <c r="R179" s="239">
        <v>1359744</v>
      </c>
      <c r="S179" s="239">
        <v>-5193917</v>
      </c>
      <c r="T179" s="239">
        <v>-47543</v>
      </c>
      <c r="U179" s="239">
        <v>-5241460</v>
      </c>
      <c r="V179" s="239">
        <v>-16675</v>
      </c>
      <c r="W179" s="239">
        <v>0</v>
      </c>
      <c r="X179" s="239">
        <v>-16675</v>
      </c>
      <c r="Y179" s="239">
        <v>-216241</v>
      </c>
      <c r="Z179" s="239">
        <v>-743</v>
      </c>
      <c r="AA179" s="239">
        <v>-216984</v>
      </c>
      <c r="AB179" s="239">
        <v>-118744</v>
      </c>
      <c r="AC179" s="239">
        <v>-743</v>
      </c>
      <c r="AD179" s="239">
        <v>-119487</v>
      </c>
      <c r="AE179" s="239">
        <v>7274</v>
      </c>
      <c r="AF179" s="239">
        <v>0</v>
      </c>
      <c r="AG179" s="239">
        <v>7274</v>
      </c>
      <c r="AH179" s="239">
        <v>4302946</v>
      </c>
      <c r="AI179" s="239">
        <v>237089</v>
      </c>
      <c r="AJ179" s="239">
        <v>4540035</v>
      </c>
      <c r="AK179" s="239">
        <v>65974</v>
      </c>
      <c r="AL179" s="239">
        <v>0</v>
      </c>
      <c r="AM179" s="239">
        <v>65974</v>
      </c>
      <c r="AN179" s="239">
        <v>-13850692</v>
      </c>
      <c r="AO179" s="239">
        <v>-1150508</v>
      </c>
      <c r="AP179" s="239">
        <v>-15001200</v>
      </c>
      <c r="AQ179" s="239">
        <v>-1094443</v>
      </c>
      <c r="AR179" s="239">
        <v>0</v>
      </c>
      <c r="AS179" s="239">
        <v>-1094443</v>
      </c>
      <c r="AT179" s="239">
        <v>-130399</v>
      </c>
      <c r="AU179" s="239">
        <v>0</v>
      </c>
      <c r="AV179" s="239">
        <v>-130399</v>
      </c>
      <c r="AW179" s="239">
        <v>-25275</v>
      </c>
      <c r="AX179" s="239">
        <v>0</v>
      </c>
      <c r="AY179" s="239">
        <v>-25275</v>
      </c>
      <c r="AZ179" s="239">
        <v>-1652</v>
      </c>
      <c r="BA179" s="239">
        <v>0</v>
      </c>
      <c r="BB179" s="239">
        <v>-1652</v>
      </c>
      <c r="BC179" s="239">
        <v>0</v>
      </c>
      <c r="BD179" s="239">
        <v>0</v>
      </c>
      <c r="BE179" s="239">
        <v>0</v>
      </c>
      <c r="BF179" s="239">
        <v>-16143699</v>
      </c>
      <c r="BG179" s="239">
        <v>-961705</v>
      </c>
      <c r="BH179" s="239">
        <v>-17105404</v>
      </c>
      <c r="BI179" s="239">
        <v>-292464</v>
      </c>
      <c r="BJ179" s="239">
        <v>0</v>
      </c>
      <c r="BK179" s="239">
        <v>-292464</v>
      </c>
      <c r="BL179" s="239">
        <v>-172222</v>
      </c>
      <c r="BM179" s="239">
        <v>-1745</v>
      </c>
      <c r="BN179" s="239">
        <v>-173967</v>
      </c>
      <c r="BO179" s="239">
        <v>-8245959</v>
      </c>
      <c r="BP179" s="239">
        <v>-1019542</v>
      </c>
      <c r="BQ179" s="239">
        <v>-9265501</v>
      </c>
      <c r="BR179" s="239">
        <v>33499</v>
      </c>
      <c r="BS179" s="239">
        <v>-15606</v>
      </c>
      <c r="BT179" s="239">
        <v>17893</v>
      </c>
      <c r="BU179" s="239">
        <v>-8677146</v>
      </c>
      <c r="BV179" s="239">
        <v>-1036893</v>
      </c>
      <c r="BW179" s="239">
        <v>-9714039</v>
      </c>
      <c r="BX179" s="239">
        <v>-224752</v>
      </c>
      <c r="BY179" s="239">
        <v>0</v>
      </c>
      <c r="BZ179" s="239">
        <v>-224752</v>
      </c>
      <c r="CA179" s="239">
        <v>-2818</v>
      </c>
      <c r="CB179" s="239">
        <v>0</v>
      </c>
      <c r="CC179" s="239">
        <v>-2818</v>
      </c>
      <c r="CD179" s="239">
        <v>-407837</v>
      </c>
      <c r="CE179" s="239">
        <v>0</v>
      </c>
      <c r="CF179" s="239">
        <v>-407837</v>
      </c>
      <c r="CG179" s="239">
        <v>-1740</v>
      </c>
      <c r="CH179" s="239">
        <v>0</v>
      </c>
      <c r="CI179" s="239">
        <v>-1740</v>
      </c>
      <c r="CJ179" s="239">
        <v>0</v>
      </c>
      <c r="CK179" s="239">
        <v>0</v>
      </c>
      <c r="CL179" s="239">
        <v>0</v>
      </c>
      <c r="CM179" s="239">
        <v>0</v>
      </c>
      <c r="CN179" s="239">
        <v>0</v>
      </c>
      <c r="CO179" s="239">
        <v>0</v>
      </c>
      <c r="CP179" s="239">
        <v>0</v>
      </c>
      <c r="CQ179" s="239">
        <v>0</v>
      </c>
      <c r="CR179" s="239">
        <v>0</v>
      </c>
      <c r="CS179" s="239">
        <v>0</v>
      </c>
      <c r="CT179" s="239">
        <v>0</v>
      </c>
      <c r="CU179" s="239">
        <v>0</v>
      </c>
      <c r="CV179" s="239">
        <v>0</v>
      </c>
      <c r="CW179" s="239">
        <v>0</v>
      </c>
      <c r="CX179" s="239">
        <v>0</v>
      </c>
      <c r="CY179" s="239">
        <v>0</v>
      </c>
      <c r="CZ179" s="239">
        <v>0</v>
      </c>
      <c r="DA179" s="239">
        <v>0</v>
      </c>
      <c r="DB179" s="239">
        <v>0</v>
      </c>
      <c r="DC179" s="239">
        <v>0</v>
      </c>
      <c r="DD179" s="239">
        <v>0</v>
      </c>
      <c r="DE179" s="239">
        <v>0</v>
      </c>
      <c r="DF179" s="239">
        <v>0</v>
      </c>
      <c r="DG179" s="239">
        <v>0</v>
      </c>
      <c r="DH179" s="239">
        <v>0</v>
      </c>
      <c r="DI179" s="239">
        <v>0</v>
      </c>
      <c r="DJ179" s="239">
        <v>-637147</v>
      </c>
      <c r="DK179" s="239">
        <v>0</v>
      </c>
      <c r="DL179" s="239">
        <v>-637147</v>
      </c>
      <c r="DM179" s="239">
        <v>0</v>
      </c>
      <c r="DN179" s="239">
        <v>0</v>
      </c>
      <c r="DO179" s="239">
        <v>0</v>
      </c>
      <c r="DP179" s="239">
        <v>-114</v>
      </c>
      <c r="DQ179" s="239">
        <v>0</v>
      </c>
      <c r="DR179" s="239">
        <v>-114</v>
      </c>
      <c r="DS179" s="239">
        <v>-144909</v>
      </c>
      <c r="DT179" s="239">
        <v>0</v>
      </c>
      <c r="DU179" s="239">
        <v>-144909</v>
      </c>
      <c r="DV179" s="239">
        <v>-41245</v>
      </c>
      <c r="DW179" s="239">
        <v>0</v>
      </c>
      <c r="DX179" s="239">
        <v>-41245</v>
      </c>
      <c r="DY179" s="239">
        <v>-1290952</v>
      </c>
      <c r="DZ179" s="239">
        <v>-14947</v>
      </c>
      <c r="EA179" s="239">
        <v>-1305899</v>
      </c>
      <c r="EB179" s="239">
        <v>-228701</v>
      </c>
      <c r="EC179" s="239">
        <v>-1745</v>
      </c>
      <c r="ED179" s="239">
        <v>-230446</v>
      </c>
      <c r="EE179" s="239">
        <v>0</v>
      </c>
      <c r="EF179" s="239">
        <v>0</v>
      </c>
      <c r="EG179" s="239">
        <v>0</v>
      </c>
      <c r="EH179" s="239">
        <v>0</v>
      </c>
      <c r="EI179" s="239">
        <v>0</v>
      </c>
      <c r="EJ179" s="239">
        <v>0</v>
      </c>
      <c r="EK179" s="239">
        <v>0</v>
      </c>
      <c r="EL179" s="239">
        <v>0</v>
      </c>
      <c r="EM179" s="239">
        <v>0</v>
      </c>
      <c r="EN179" s="239">
        <v>-1705921</v>
      </c>
      <c r="EO179" s="239">
        <v>-16692</v>
      </c>
      <c r="EP179" s="239">
        <v>-1722613</v>
      </c>
      <c r="EQ179" s="239">
        <v>0</v>
      </c>
      <c r="ER179" s="239">
        <v>0</v>
      </c>
      <c r="ES179" s="239">
        <v>0</v>
      </c>
      <c r="ET179" s="239">
        <v>0</v>
      </c>
      <c r="EU179" s="239">
        <v>0</v>
      </c>
      <c r="EV179" s="239">
        <v>0</v>
      </c>
      <c r="EW179" s="239">
        <v>0</v>
      </c>
      <c r="EX179" s="239">
        <v>0</v>
      </c>
      <c r="EY179" s="239">
        <v>0</v>
      </c>
      <c r="EZ179" s="239">
        <v>170735771</v>
      </c>
      <c r="FA179" s="239">
        <v>8520392</v>
      </c>
      <c r="FB179" s="239">
        <v>179256163</v>
      </c>
      <c r="FC179" s="239">
        <v>1357274</v>
      </c>
      <c r="FD179" s="239">
        <v>2470</v>
      </c>
      <c r="FE179" s="239">
        <v>1359744</v>
      </c>
      <c r="FF179" s="239">
        <v>-16143699</v>
      </c>
      <c r="FG179" s="239">
        <v>-961705</v>
      </c>
      <c r="FH179" s="239">
        <v>-17105404</v>
      </c>
      <c r="FI179" s="239">
        <v>-8677146</v>
      </c>
      <c r="FJ179" s="239">
        <v>-1036893</v>
      </c>
      <c r="FK179" s="239">
        <v>-9714039</v>
      </c>
      <c r="FL179" s="239">
        <v>-637147</v>
      </c>
      <c r="FM179" s="239">
        <v>0</v>
      </c>
      <c r="FN179" s="239">
        <v>-637147</v>
      </c>
      <c r="FO179" s="239">
        <v>-1705921</v>
      </c>
      <c r="FP179" s="239">
        <v>-16692</v>
      </c>
      <c r="FQ179" s="239">
        <v>-1722613</v>
      </c>
      <c r="FR179" s="239">
        <v>0</v>
      </c>
      <c r="FS179" s="239">
        <v>0</v>
      </c>
      <c r="FT179" s="239">
        <v>0</v>
      </c>
      <c r="FU179" s="239">
        <v>-25806639</v>
      </c>
      <c r="FV179" s="239">
        <v>-2012820</v>
      </c>
      <c r="FW179" s="239">
        <v>-27819459</v>
      </c>
      <c r="FX179" s="239">
        <v>144929132</v>
      </c>
      <c r="FY179" s="239">
        <v>6507572</v>
      </c>
      <c r="FZ179" s="239">
        <v>151436704</v>
      </c>
      <c r="GA179" s="214" t="s">
        <v>1296</v>
      </c>
    </row>
    <row r="180" spans="2:183" s="214" customFormat="1" x14ac:dyDescent="0.2">
      <c r="B180" s="610" t="s">
        <v>443</v>
      </c>
      <c r="C180" s="610" t="s">
        <v>442</v>
      </c>
      <c r="D180" s="239">
        <v>0</v>
      </c>
      <c r="E180" s="239">
        <v>0</v>
      </c>
      <c r="F180" s="239">
        <v>0</v>
      </c>
      <c r="G180" s="239">
        <v>-299066</v>
      </c>
      <c r="H180" s="239">
        <v>0</v>
      </c>
      <c r="I180" s="239">
        <v>-299066</v>
      </c>
      <c r="J180" s="239">
        <v>0</v>
      </c>
      <c r="K180" s="239">
        <v>0</v>
      </c>
      <c r="L180" s="239">
        <v>0</v>
      </c>
      <c r="M180" s="239">
        <v>68463</v>
      </c>
      <c r="N180" s="239">
        <v>0</v>
      </c>
      <c r="O180" s="239">
        <v>68463</v>
      </c>
      <c r="P180" s="239">
        <v>-230603</v>
      </c>
      <c r="Q180" s="239">
        <v>0</v>
      </c>
      <c r="R180" s="239">
        <v>-230603</v>
      </c>
      <c r="S180" s="239">
        <v>-2273580</v>
      </c>
      <c r="T180" s="239">
        <v>0</v>
      </c>
      <c r="U180" s="239">
        <v>-2273580</v>
      </c>
      <c r="V180" s="239">
        <v>0</v>
      </c>
      <c r="W180" s="239">
        <v>0</v>
      </c>
      <c r="X180" s="239">
        <v>0</v>
      </c>
      <c r="Y180" s="239">
        <v>-122979</v>
      </c>
      <c r="Z180" s="239">
        <v>0</v>
      </c>
      <c r="AA180" s="239">
        <v>-122979</v>
      </c>
      <c r="AB180" s="239">
        <v>-122979</v>
      </c>
      <c r="AC180" s="239">
        <v>0</v>
      </c>
      <c r="AD180" s="239">
        <v>-122979</v>
      </c>
      <c r="AE180" s="239">
        <v>0</v>
      </c>
      <c r="AF180" s="239">
        <v>0</v>
      </c>
      <c r="AG180" s="239">
        <v>0</v>
      </c>
      <c r="AH180" s="239">
        <v>936883</v>
      </c>
      <c r="AI180" s="239">
        <v>0</v>
      </c>
      <c r="AJ180" s="239">
        <v>936883</v>
      </c>
      <c r="AK180" s="239">
        <v>-4318</v>
      </c>
      <c r="AL180" s="239">
        <v>0</v>
      </c>
      <c r="AM180" s="239">
        <v>-4318</v>
      </c>
      <c r="AN180" s="239">
        <v>-2757542</v>
      </c>
      <c r="AO180" s="239">
        <v>0</v>
      </c>
      <c r="AP180" s="239">
        <v>-2757542</v>
      </c>
      <c r="AQ180" s="239">
        <v>-32779</v>
      </c>
      <c r="AR180" s="239">
        <v>0</v>
      </c>
      <c r="AS180" s="239">
        <v>-32779</v>
      </c>
      <c r="AT180" s="239">
        <v>-15066</v>
      </c>
      <c r="AU180" s="239">
        <v>0</v>
      </c>
      <c r="AV180" s="239">
        <v>-15066</v>
      </c>
      <c r="AW180" s="239">
        <v>0</v>
      </c>
      <c r="AX180" s="239">
        <v>0</v>
      </c>
      <c r="AY180" s="239">
        <v>0</v>
      </c>
      <c r="AZ180" s="239">
        <v>-12911</v>
      </c>
      <c r="BA180" s="239">
        <v>0</v>
      </c>
      <c r="BB180" s="239">
        <v>-12911</v>
      </c>
      <c r="BC180" s="239">
        <v>0</v>
      </c>
      <c r="BD180" s="239">
        <v>0</v>
      </c>
      <c r="BE180" s="239">
        <v>0</v>
      </c>
      <c r="BF180" s="239">
        <v>-4282292</v>
      </c>
      <c r="BG180" s="239">
        <v>0</v>
      </c>
      <c r="BH180" s="239">
        <v>-4282292</v>
      </c>
      <c r="BI180" s="239">
        <v>-405027</v>
      </c>
      <c r="BJ180" s="239">
        <v>0</v>
      </c>
      <c r="BK180" s="239">
        <v>-405027</v>
      </c>
      <c r="BL180" s="239">
        <v>-60682</v>
      </c>
      <c r="BM180" s="239">
        <v>0</v>
      </c>
      <c r="BN180" s="239">
        <v>-60682</v>
      </c>
      <c r="BO180" s="239">
        <v>-1100970</v>
      </c>
      <c r="BP180" s="239">
        <v>0</v>
      </c>
      <c r="BQ180" s="239">
        <v>-1100970</v>
      </c>
      <c r="BR180" s="239">
        <v>-106357</v>
      </c>
      <c r="BS180" s="239">
        <v>0</v>
      </c>
      <c r="BT180" s="239">
        <v>-106357</v>
      </c>
      <c r="BU180" s="239">
        <v>-1673036</v>
      </c>
      <c r="BV180" s="239">
        <v>0</v>
      </c>
      <c r="BW180" s="239">
        <v>-1673036</v>
      </c>
      <c r="BX180" s="239">
        <v>-14021</v>
      </c>
      <c r="BY180" s="239">
        <v>0</v>
      </c>
      <c r="BZ180" s="239">
        <v>-14021</v>
      </c>
      <c r="CA180" s="239">
        <v>-1155</v>
      </c>
      <c r="CB180" s="239">
        <v>0</v>
      </c>
      <c r="CC180" s="239">
        <v>-1155</v>
      </c>
      <c r="CD180" s="239">
        <v>-105381</v>
      </c>
      <c r="CE180" s="239">
        <v>0</v>
      </c>
      <c r="CF180" s="239">
        <v>-105381</v>
      </c>
      <c r="CG180" s="239">
        <v>-41266</v>
      </c>
      <c r="CH180" s="239">
        <v>0</v>
      </c>
      <c r="CI180" s="239">
        <v>-41266</v>
      </c>
      <c r="CJ180" s="239">
        <v>0</v>
      </c>
      <c r="CK180" s="239">
        <v>0</v>
      </c>
      <c r="CL180" s="239">
        <v>0</v>
      </c>
      <c r="CM180" s="239">
        <v>0</v>
      </c>
      <c r="CN180" s="239">
        <v>0</v>
      </c>
      <c r="CO180" s="239">
        <v>0</v>
      </c>
      <c r="CP180" s="239">
        <v>0</v>
      </c>
      <c r="CQ180" s="239">
        <v>0</v>
      </c>
      <c r="CR180" s="239">
        <v>0</v>
      </c>
      <c r="CS180" s="239">
        <v>0</v>
      </c>
      <c r="CT180" s="239">
        <v>0</v>
      </c>
      <c r="CU180" s="239">
        <v>0</v>
      </c>
      <c r="CV180" s="239">
        <v>0</v>
      </c>
      <c r="CW180" s="239">
        <v>0</v>
      </c>
      <c r="CX180" s="239">
        <v>0</v>
      </c>
      <c r="CY180" s="239">
        <v>0</v>
      </c>
      <c r="CZ180" s="239">
        <v>0</v>
      </c>
      <c r="DA180" s="239">
        <v>0</v>
      </c>
      <c r="DB180" s="239">
        <v>0</v>
      </c>
      <c r="DC180" s="239">
        <v>0</v>
      </c>
      <c r="DD180" s="239">
        <v>0</v>
      </c>
      <c r="DE180" s="239">
        <v>0</v>
      </c>
      <c r="DF180" s="239">
        <v>0</v>
      </c>
      <c r="DG180" s="239">
        <v>0</v>
      </c>
      <c r="DH180" s="239">
        <v>0</v>
      </c>
      <c r="DI180" s="239">
        <v>0</v>
      </c>
      <c r="DJ180" s="239">
        <v>-161823</v>
      </c>
      <c r="DK180" s="239">
        <v>0</v>
      </c>
      <c r="DL180" s="239">
        <v>-161823</v>
      </c>
      <c r="DM180" s="239">
        <v>0</v>
      </c>
      <c r="DN180" s="239">
        <v>0</v>
      </c>
      <c r="DO180" s="239">
        <v>0</v>
      </c>
      <c r="DP180" s="239">
        <v>0</v>
      </c>
      <c r="DQ180" s="239">
        <v>0</v>
      </c>
      <c r="DR180" s="239">
        <v>0</v>
      </c>
      <c r="DS180" s="239">
        <v>0</v>
      </c>
      <c r="DT180" s="239">
        <v>0</v>
      </c>
      <c r="DU180" s="239">
        <v>0</v>
      </c>
      <c r="DV180" s="239">
        <v>0</v>
      </c>
      <c r="DW180" s="239">
        <v>0</v>
      </c>
      <c r="DX180" s="239">
        <v>0</v>
      </c>
      <c r="DY180" s="239">
        <v>-774474</v>
      </c>
      <c r="DZ180" s="239">
        <v>0</v>
      </c>
      <c r="EA180" s="239">
        <v>-774474</v>
      </c>
      <c r="EB180" s="239">
        <v>11394</v>
      </c>
      <c r="EC180" s="239">
        <v>0</v>
      </c>
      <c r="ED180" s="239">
        <v>11394</v>
      </c>
      <c r="EE180" s="239">
        <v>0</v>
      </c>
      <c r="EF180" s="239">
        <v>0</v>
      </c>
      <c r="EG180" s="239">
        <v>0</v>
      </c>
      <c r="EH180" s="239">
        <v>0</v>
      </c>
      <c r="EI180" s="239">
        <v>0</v>
      </c>
      <c r="EJ180" s="239">
        <v>0</v>
      </c>
      <c r="EK180" s="239">
        <v>0</v>
      </c>
      <c r="EL180" s="239">
        <v>0</v>
      </c>
      <c r="EM180" s="239">
        <v>0</v>
      </c>
      <c r="EN180" s="239">
        <v>-763080</v>
      </c>
      <c r="EO180" s="239">
        <v>0</v>
      </c>
      <c r="EP180" s="239">
        <v>-763080</v>
      </c>
      <c r="EQ180" s="239">
        <v>0</v>
      </c>
      <c r="ER180" s="239">
        <v>0</v>
      </c>
      <c r="ES180" s="239">
        <v>0</v>
      </c>
      <c r="ET180" s="239">
        <v>0</v>
      </c>
      <c r="EU180" s="239">
        <v>0</v>
      </c>
      <c r="EV180" s="239">
        <v>0</v>
      </c>
      <c r="EW180" s="239">
        <v>0</v>
      </c>
      <c r="EX180" s="239">
        <v>0</v>
      </c>
      <c r="EY180" s="239">
        <v>0</v>
      </c>
      <c r="EZ180" s="239">
        <v>40702336</v>
      </c>
      <c r="FA180" s="239">
        <v>0</v>
      </c>
      <c r="FB180" s="239">
        <v>40702336</v>
      </c>
      <c r="FC180" s="239">
        <v>-230603</v>
      </c>
      <c r="FD180" s="239">
        <v>0</v>
      </c>
      <c r="FE180" s="239">
        <v>-230603</v>
      </c>
      <c r="FF180" s="239">
        <v>-4282292</v>
      </c>
      <c r="FG180" s="239">
        <v>0</v>
      </c>
      <c r="FH180" s="239">
        <v>-4282292</v>
      </c>
      <c r="FI180" s="239">
        <v>-1673036</v>
      </c>
      <c r="FJ180" s="239">
        <v>0</v>
      </c>
      <c r="FK180" s="239">
        <v>-1673036</v>
      </c>
      <c r="FL180" s="239">
        <v>-161823</v>
      </c>
      <c r="FM180" s="239">
        <v>0</v>
      </c>
      <c r="FN180" s="239">
        <v>-161823</v>
      </c>
      <c r="FO180" s="239">
        <v>-763080</v>
      </c>
      <c r="FP180" s="239">
        <v>0</v>
      </c>
      <c r="FQ180" s="239">
        <v>-763080</v>
      </c>
      <c r="FR180" s="239">
        <v>0</v>
      </c>
      <c r="FS180" s="239">
        <v>0</v>
      </c>
      <c r="FT180" s="239">
        <v>0</v>
      </c>
      <c r="FU180" s="239">
        <v>-7110834</v>
      </c>
      <c r="FV180" s="239">
        <v>0</v>
      </c>
      <c r="FW180" s="239">
        <v>-7110834</v>
      </c>
      <c r="FX180" s="239">
        <v>33591502</v>
      </c>
      <c r="FY180" s="239">
        <v>0</v>
      </c>
      <c r="FZ180" s="239">
        <v>33591502</v>
      </c>
      <c r="GA180" s="214" t="s">
        <v>1294</v>
      </c>
    </row>
    <row r="181" spans="2:183" s="214" customFormat="1" x14ac:dyDescent="0.2">
      <c r="B181" s="610" t="s">
        <v>445</v>
      </c>
      <c r="C181" s="610" t="s">
        <v>444</v>
      </c>
      <c r="D181" s="239">
        <v>0</v>
      </c>
      <c r="E181" s="239">
        <v>0</v>
      </c>
      <c r="F181" s="239">
        <v>0</v>
      </c>
      <c r="G181" s="239">
        <v>177499</v>
      </c>
      <c r="H181" s="239">
        <v>0</v>
      </c>
      <c r="I181" s="239">
        <v>177499</v>
      </c>
      <c r="J181" s="239">
        <v>0</v>
      </c>
      <c r="K181" s="239">
        <v>0</v>
      </c>
      <c r="L181" s="239">
        <v>0</v>
      </c>
      <c r="M181" s="239">
        <v>320135</v>
      </c>
      <c r="N181" s="239">
        <v>0</v>
      </c>
      <c r="O181" s="239">
        <v>320135</v>
      </c>
      <c r="P181" s="239">
        <v>497634</v>
      </c>
      <c r="Q181" s="239">
        <v>0</v>
      </c>
      <c r="R181" s="239">
        <v>497634</v>
      </c>
      <c r="S181" s="239">
        <v>-4967590</v>
      </c>
      <c r="T181" s="239">
        <v>-2352</v>
      </c>
      <c r="U181" s="239">
        <v>-4969942</v>
      </c>
      <c r="V181" s="239">
        <v>0</v>
      </c>
      <c r="W181" s="239">
        <v>0</v>
      </c>
      <c r="X181" s="239">
        <v>0</v>
      </c>
      <c r="Y181" s="239">
        <v>-255836</v>
      </c>
      <c r="Z181" s="239">
        <v>0</v>
      </c>
      <c r="AA181" s="239">
        <v>-255836</v>
      </c>
      <c r="AB181" s="239">
        <v>0</v>
      </c>
      <c r="AC181" s="239">
        <v>0</v>
      </c>
      <c r="AD181" s="239">
        <v>0</v>
      </c>
      <c r="AE181" s="239">
        <v>0</v>
      </c>
      <c r="AF181" s="239">
        <v>0</v>
      </c>
      <c r="AG181" s="239">
        <v>0</v>
      </c>
      <c r="AH181" s="239">
        <v>3561871</v>
      </c>
      <c r="AI181" s="239">
        <v>19519</v>
      </c>
      <c r="AJ181" s="239">
        <v>3581390</v>
      </c>
      <c r="AK181" s="239">
        <v>-74588</v>
      </c>
      <c r="AL181" s="239">
        <v>0</v>
      </c>
      <c r="AM181" s="239">
        <v>-74588</v>
      </c>
      <c r="AN181" s="239">
        <v>-11056824</v>
      </c>
      <c r="AO181" s="239">
        <v>-82429</v>
      </c>
      <c r="AP181" s="239">
        <v>-11139253</v>
      </c>
      <c r="AQ181" s="239">
        <v>-462181</v>
      </c>
      <c r="AR181" s="239">
        <v>0</v>
      </c>
      <c r="AS181" s="239">
        <v>-462181</v>
      </c>
      <c r="AT181" s="239">
        <v>0</v>
      </c>
      <c r="AU181" s="239">
        <v>0</v>
      </c>
      <c r="AV181" s="239">
        <v>0</v>
      </c>
      <c r="AW181" s="239">
        <v>0</v>
      </c>
      <c r="AX181" s="239">
        <v>0</v>
      </c>
      <c r="AY181" s="239">
        <v>0</v>
      </c>
      <c r="AZ181" s="239">
        <v>0</v>
      </c>
      <c r="BA181" s="239">
        <v>0</v>
      </c>
      <c r="BB181" s="239">
        <v>0</v>
      </c>
      <c r="BC181" s="239">
        <v>0</v>
      </c>
      <c r="BD181" s="239">
        <v>0</v>
      </c>
      <c r="BE181" s="239">
        <v>0</v>
      </c>
      <c r="BF181" s="239">
        <v>-13255148</v>
      </c>
      <c r="BG181" s="239">
        <v>-65262</v>
      </c>
      <c r="BH181" s="239">
        <v>-13320410</v>
      </c>
      <c r="BI181" s="239">
        <v>-95475</v>
      </c>
      <c r="BJ181" s="239">
        <v>0</v>
      </c>
      <c r="BK181" s="239">
        <v>-95475</v>
      </c>
      <c r="BL181" s="239">
        <v>-19810</v>
      </c>
      <c r="BM181" s="239">
        <v>0</v>
      </c>
      <c r="BN181" s="239">
        <v>-19810</v>
      </c>
      <c r="BO181" s="239">
        <v>-4508382</v>
      </c>
      <c r="BP181" s="239">
        <v>0</v>
      </c>
      <c r="BQ181" s="239">
        <v>-4508382</v>
      </c>
      <c r="BR181" s="239">
        <v>114663</v>
      </c>
      <c r="BS181" s="239">
        <v>0</v>
      </c>
      <c r="BT181" s="239">
        <v>114663</v>
      </c>
      <c r="BU181" s="239">
        <v>-4509004</v>
      </c>
      <c r="BV181" s="239">
        <v>0</v>
      </c>
      <c r="BW181" s="239">
        <v>-4509004</v>
      </c>
      <c r="BX181" s="239">
        <v>0</v>
      </c>
      <c r="BY181" s="239">
        <v>0</v>
      </c>
      <c r="BZ181" s="239">
        <v>0</v>
      </c>
      <c r="CA181" s="239">
        <v>0</v>
      </c>
      <c r="CB181" s="239">
        <v>0</v>
      </c>
      <c r="CC181" s="239">
        <v>0</v>
      </c>
      <c r="CD181" s="239">
        <v>0</v>
      </c>
      <c r="CE181" s="239">
        <v>0</v>
      </c>
      <c r="CF181" s="239">
        <v>0</v>
      </c>
      <c r="CG181" s="239">
        <v>0</v>
      </c>
      <c r="CH181" s="239">
        <v>0</v>
      </c>
      <c r="CI181" s="239">
        <v>0</v>
      </c>
      <c r="CJ181" s="239">
        <v>0</v>
      </c>
      <c r="CK181" s="239">
        <v>0</v>
      </c>
      <c r="CL181" s="239">
        <v>0</v>
      </c>
      <c r="CM181" s="239">
        <v>0</v>
      </c>
      <c r="CN181" s="239">
        <v>0</v>
      </c>
      <c r="CO181" s="239">
        <v>0</v>
      </c>
      <c r="CP181" s="239">
        <v>0</v>
      </c>
      <c r="CQ181" s="239">
        <v>0</v>
      </c>
      <c r="CR181" s="239">
        <v>0</v>
      </c>
      <c r="CS181" s="239">
        <v>0</v>
      </c>
      <c r="CT181" s="239">
        <v>0</v>
      </c>
      <c r="CU181" s="239">
        <v>0</v>
      </c>
      <c r="CV181" s="239">
        <v>0</v>
      </c>
      <c r="CW181" s="239">
        <v>0</v>
      </c>
      <c r="CX181" s="239">
        <v>0</v>
      </c>
      <c r="CY181" s="239">
        <v>0</v>
      </c>
      <c r="CZ181" s="239">
        <v>0</v>
      </c>
      <c r="DA181" s="239">
        <v>0</v>
      </c>
      <c r="DB181" s="239">
        <v>0</v>
      </c>
      <c r="DC181" s="239">
        <v>0</v>
      </c>
      <c r="DD181" s="239">
        <v>0</v>
      </c>
      <c r="DE181" s="239">
        <v>0</v>
      </c>
      <c r="DF181" s="239">
        <v>0</v>
      </c>
      <c r="DG181" s="239">
        <v>0</v>
      </c>
      <c r="DH181" s="239">
        <v>239439</v>
      </c>
      <c r="DI181" s="239">
        <v>0</v>
      </c>
      <c r="DJ181" s="239">
        <v>0</v>
      </c>
      <c r="DK181" s="239">
        <v>0</v>
      </c>
      <c r="DL181" s="239">
        <v>0</v>
      </c>
      <c r="DM181" s="239">
        <v>0</v>
      </c>
      <c r="DN181" s="239">
        <v>0</v>
      </c>
      <c r="DO181" s="239">
        <v>0</v>
      </c>
      <c r="DP181" s="239">
        <v>0</v>
      </c>
      <c r="DQ181" s="239">
        <v>0</v>
      </c>
      <c r="DR181" s="239">
        <v>0</v>
      </c>
      <c r="DS181" s="239">
        <v>0</v>
      </c>
      <c r="DT181" s="239">
        <v>0</v>
      </c>
      <c r="DU181" s="239">
        <v>0</v>
      </c>
      <c r="DV181" s="239">
        <v>0</v>
      </c>
      <c r="DW181" s="239">
        <v>0</v>
      </c>
      <c r="DX181" s="239">
        <v>0</v>
      </c>
      <c r="DY181" s="239">
        <v>-1855186</v>
      </c>
      <c r="DZ181" s="239">
        <v>0</v>
      </c>
      <c r="EA181" s="239">
        <v>-1855186</v>
      </c>
      <c r="EB181" s="239">
        <v>-201733</v>
      </c>
      <c r="EC181" s="239">
        <v>0</v>
      </c>
      <c r="ED181" s="239">
        <v>-201733</v>
      </c>
      <c r="EE181" s="239">
        <v>0</v>
      </c>
      <c r="EF181" s="239">
        <v>0</v>
      </c>
      <c r="EG181" s="239">
        <v>0</v>
      </c>
      <c r="EH181" s="239">
        <v>0</v>
      </c>
      <c r="EI181" s="239">
        <v>0</v>
      </c>
      <c r="EJ181" s="239">
        <v>0</v>
      </c>
      <c r="EK181" s="239">
        <v>-120994</v>
      </c>
      <c r="EL181" s="239">
        <v>0</v>
      </c>
      <c r="EM181" s="239">
        <v>-120994</v>
      </c>
      <c r="EN181" s="239">
        <v>-2177913</v>
      </c>
      <c r="EO181" s="239">
        <v>0</v>
      </c>
      <c r="EP181" s="239">
        <v>-2177913</v>
      </c>
      <c r="EQ181" s="239">
        <v>0</v>
      </c>
      <c r="ER181" s="239">
        <v>0</v>
      </c>
      <c r="ES181" s="239">
        <v>0</v>
      </c>
      <c r="ET181" s="239">
        <v>0</v>
      </c>
      <c r="EU181" s="239">
        <v>0</v>
      </c>
      <c r="EV181" s="239">
        <v>0</v>
      </c>
      <c r="EW181" s="239">
        <v>0</v>
      </c>
      <c r="EX181" s="239">
        <v>0</v>
      </c>
      <c r="EY181" s="239">
        <v>0</v>
      </c>
      <c r="EZ181" s="239">
        <v>147347090</v>
      </c>
      <c r="FA181" s="239">
        <v>508362</v>
      </c>
      <c r="FB181" s="239">
        <v>147855452</v>
      </c>
      <c r="FC181" s="239">
        <v>497634</v>
      </c>
      <c r="FD181" s="239">
        <v>0</v>
      </c>
      <c r="FE181" s="239">
        <v>497634</v>
      </c>
      <c r="FF181" s="239">
        <v>-13255148</v>
      </c>
      <c r="FG181" s="239">
        <v>-65262</v>
      </c>
      <c r="FH181" s="239">
        <v>-13320410</v>
      </c>
      <c r="FI181" s="239">
        <v>-4509004</v>
      </c>
      <c r="FJ181" s="239">
        <v>0</v>
      </c>
      <c r="FK181" s="239">
        <v>-4509004</v>
      </c>
      <c r="FL181" s="239">
        <v>0</v>
      </c>
      <c r="FM181" s="239">
        <v>0</v>
      </c>
      <c r="FN181" s="239">
        <v>0</v>
      </c>
      <c r="FO181" s="239">
        <v>-2177913</v>
      </c>
      <c r="FP181" s="239">
        <v>0</v>
      </c>
      <c r="FQ181" s="239">
        <v>-2177913</v>
      </c>
      <c r="FR181" s="239">
        <v>0</v>
      </c>
      <c r="FS181" s="239">
        <v>0</v>
      </c>
      <c r="FT181" s="239">
        <v>0</v>
      </c>
      <c r="FU181" s="239">
        <v>-19444431</v>
      </c>
      <c r="FV181" s="239">
        <v>-65262</v>
      </c>
      <c r="FW181" s="239">
        <v>-19509693</v>
      </c>
      <c r="FX181" s="239">
        <v>127902659</v>
      </c>
      <c r="FY181" s="239">
        <v>443100</v>
      </c>
      <c r="FZ181" s="239">
        <v>128345759</v>
      </c>
      <c r="GA181" s="214" t="s">
        <v>1295</v>
      </c>
    </row>
    <row r="182" spans="2:183" s="214" customFormat="1" x14ac:dyDescent="0.2">
      <c r="B182" s="610" t="s">
        <v>447</v>
      </c>
      <c r="C182" s="610" t="s">
        <v>446</v>
      </c>
      <c r="D182" s="239">
        <v>0</v>
      </c>
      <c r="E182" s="239">
        <v>0</v>
      </c>
      <c r="F182" s="239">
        <v>0</v>
      </c>
      <c r="G182" s="239">
        <v>-631668</v>
      </c>
      <c r="H182" s="239">
        <v>0</v>
      </c>
      <c r="I182" s="239">
        <v>-631668</v>
      </c>
      <c r="J182" s="239">
        <v>0</v>
      </c>
      <c r="K182" s="239">
        <v>0</v>
      </c>
      <c r="L182" s="239">
        <v>0</v>
      </c>
      <c r="M182" s="239">
        <v>22000</v>
      </c>
      <c r="N182" s="239">
        <v>0</v>
      </c>
      <c r="O182" s="239">
        <v>22000</v>
      </c>
      <c r="P182" s="239">
        <v>-609668</v>
      </c>
      <c r="Q182" s="239">
        <v>0</v>
      </c>
      <c r="R182" s="239">
        <v>-609668</v>
      </c>
      <c r="S182" s="239">
        <v>-4640443</v>
      </c>
      <c r="T182" s="239">
        <v>0</v>
      </c>
      <c r="U182" s="239">
        <v>-4640443</v>
      </c>
      <c r="V182" s="239">
        <v>-24266</v>
      </c>
      <c r="W182" s="239">
        <v>0</v>
      </c>
      <c r="X182" s="239">
        <v>-24266</v>
      </c>
      <c r="Y182" s="239">
        <v>-394005</v>
      </c>
      <c r="Z182" s="239">
        <v>0</v>
      </c>
      <c r="AA182" s="239">
        <v>-394005</v>
      </c>
      <c r="AB182" s="239">
        <v>-228019</v>
      </c>
      <c r="AC182" s="239">
        <v>0</v>
      </c>
      <c r="AD182" s="239">
        <v>-228019</v>
      </c>
      <c r="AE182" s="239">
        <v>0</v>
      </c>
      <c r="AF182" s="239">
        <v>0</v>
      </c>
      <c r="AG182" s="239">
        <v>0</v>
      </c>
      <c r="AH182" s="239">
        <v>828995</v>
      </c>
      <c r="AI182" s="239">
        <v>0</v>
      </c>
      <c r="AJ182" s="239">
        <v>828995</v>
      </c>
      <c r="AK182" s="239">
        <v>-22965</v>
      </c>
      <c r="AL182" s="239">
        <v>0</v>
      </c>
      <c r="AM182" s="239">
        <v>-22965</v>
      </c>
      <c r="AN182" s="239">
        <v>-2261850</v>
      </c>
      <c r="AO182" s="239">
        <v>0</v>
      </c>
      <c r="AP182" s="239">
        <v>-2261850</v>
      </c>
      <c r="AQ182" s="239">
        <v>-31632</v>
      </c>
      <c r="AR182" s="239">
        <v>0</v>
      </c>
      <c r="AS182" s="239">
        <v>-31632</v>
      </c>
      <c r="AT182" s="239">
        <v>-128800</v>
      </c>
      <c r="AU182" s="239">
        <v>0</v>
      </c>
      <c r="AV182" s="239">
        <v>-128800</v>
      </c>
      <c r="AW182" s="239">
        <v>0</v>
      </c>
      <c r="AX182" s="239">
        <v>0</v>
      </c>
      <c r="AY182" s="239">
        <v>0</v>
      </c>
      <c r="AZ182" s="239">
        <v>-40854</v>
      </c>
      <c r="BA182" s="239">
        <v>0</v>
      </c>
      <c r="BB182" s="239">
        <v>-40854</v>
      </c>
      <c r="BC182" s="239">
        <v>57</v>
      </c>
      <c r="BD182" s="239">
        <v>0</v>
      </c>
      <c r="BE182" s="239">
        <v>57</v>
      </c>
      <c r="BF182" s="239">
        <v>-6691497</v>
      </c>
      <c r="BG182" s="239">
        <v>0</v>
      </c>
      <c r="BH182" s="239">
        <v>-6691497</v>
      </c>
      <c r="BI182" s="239">
        <v>-2353</v>
      </c>
      <c r="BJ182" s="239">
        <v>0</v>
      </c>
      <c r="BK182" s="239">
        <v>-2353</v>
      </c>
      <c r="BL182" s="239">
        <v>53</v>
      </c>
      <c r="BM182" s="239">
        <v>0</v>
      </c>
      <c r="BN182" s="239">
        <v>53</v>
      </c>
      <c r="BO182" s="239">
        <v>-619649</v>
      </c>
      <c r="BP182" s="239">
        <v>0</v>
      </c>
      <c r="BQ182" s="239">
        <v>-619649</v>
      </c>
      <c r="BR182" s="239">
        <v>11552</v>
      </c>
      <c r="BS182" s="239">
        <v>0</v>
      </c>
      <c r="BT182" s="239">
        <v>11552</v>
      </c>
      <c r="BU182" s="239">
        <v>-610397</v>
      </c>
      <c r="BV182" s="239">
        <v>0</v>
      </c>
      <c r="BW182" s="239">
        <v>-610397</v>
      </c>
      <c r="BX182" s="239">
        <v>-121306</v>
      </c>
      <c r="BY182" s="239">
        <v>0</v>
      </c>
      <c r="BZ182" s="239">
        <v>-121306</v>
      </c>
      <c r="CA182" s="239">
        <v>6748</v>
      </c>
      <c r="CB182" s="239">
        <v>0</v>
      </c>
      <c r="CC182" s="239">
        <v>6748</v>
      </c>
      <c r="CD182" s="239">
        <v>-165146</v>
      </c>
      <c r="CE182" s="239">
        <v>0</v>
      </c>
      <c r="CF182" s="239">
        <v>-165146</v>
      </c>
      <c r="CG182" s="239">
        <v>-546</v>
      </c>
      <c r="CH182" s="239">
        <v>0</v>
      </c>
      <c r="CI182" s="239">
        <v>-546</v>
      </c>
      <c r="CJ182" s="239">
        <v>-9402</v>
      </c>
      <c r="CK182" s="239">
        <v>0</v>
      </c>
      <c r="CL182" s="239">
        <v>-9402</v>
      </c>
      <c r="CM182" s="239">
        <v>0</v>
      </c>
      <c r="CN182" s="239">
        <v>0</v>
      </c>
      <c r="CO182" s="239">
        <v>0</v>
      </c>
      <c r="CP182" s="239">
        <v>-17399</v>
      </c>
      <c r="CQ182" s="239">
        <v>0</v>
      </c>
      <c r="CR182" s="239">
        <v>-17399</v>
      </c>
      <c r="CS182" s="239">
        <v>-1606</v>
      </c>
      <c r="CT182" s="239">
        <v>0</v>
      </c>
      <c r="CU182" s="239">
        <v>-1606</v>
      </c>
      <c r="CV182" s="239">
        <v>-8334</v>
      </c>
      <c r="CW182" s="239">
        <v>0</v>
      </c>
      <c r="CX182" s="239">
        <v>-8334</v>
      </c>
      <c r="CY182" s="239">
        <v>0</v>
      </c>
      <c r="CZ182" s="239">
        <v>0</v>
      </c>
      <c r="DA182" s="239">
        <v>0</v>
      </c>
      <c r="DB182" s="239">
        <v>0</v>
      </c>
      <c r="DC182" s="239">
        <v>0</v>
      </c>
      <c r="DD182" s="239">
        <v>0</v>
      </c>
      <c r="DE182" s="239">
        <v>0</v>
      </c>
      <c r="DF182" s="239">
        <v>0</v>
      </c>
      <c r="DG182" s="239">
        <v>0</v>
      </c>
      <c r="DH182" s="239">
        <v>0</v>
      </c>
      <c r="DI182" s="239">
        <v>0</v>
      </c>
      <c r="DJ182" s="239">
        <v>-316991</v>
      </c>
      <c r="DK182" s="239">
        <v>0</v>
      </c>
      <c r="DL182" s="239">
        <v>-316991</v>
      </c>
      <c r="DM182" s="239">
        <v>0</v>
      </c>
      <c r="DN182" s="239">
        <v>0</v>
      </c>
      <c r="DO182" s="239">
        <v>0</v>
      </c>
      <c r="DP182" s="239">
        <v>0</v>
      </c>
      <c r="DQ182" s="239">
        <v>0</v>
      </c>
      <c r="DR182" s="239">
        <v>0</v>
      </c>
      <c r="DS182" s="239">
        <v>-11366</v>
      </c>
      <c r="DT182" s="239">
        <v>0</v>
      </c>
      <c r="DU182" s="239">
        <v>-11366</v>
      </c>
      <c r="DV182" s="239">
        <v>-3112</v>
      </c>
      <c r="DW182" s="239">
        <v>0</v>
      </c>
      <c r="DX182" s="239">
        <v>-3112</v>
      </c>
      <c r="DY182" s="239">
        <v>-819593</v>
      </c>
      <c r="DZ182" s="239">
        <v>0</v>
      </c>
      <c r="EA182" s="239">
        <v>-819593</v>
      </c>
      <c r="EB182" s="239">
        <v>-10206</v>
      </c>
      <c r="EC182" s="239">
        <v>0</v>
      </c>
      <c r="ED182" s="239">
        <v>-10206</v>
      </c>
      <c r="EE182" s="239">
        <v>0</v>
      </c>
      <c r="EF182" s="239">
        <v>0</v>
      </c>
      <c r="EG182" s="239">
        <v>0</v>
      </c>
      <c r="EH182" s="239">
        <v>0</v>
      </c>
      <c r="EI182" s="239">
        <v>0</v>
      </c>
      <c r="EJ182" s="239">
        <v>0</v>
      </c>
      <c r="EK182" s="239">
        <v>-39240</v>
      </c>
      <c r="EL182" s="239">
        <v>0</v>
      </c>
      <c r="EM182" s="239">
        <v>-39240</v>
      </c>
      <c r="EN182" s="239">
        <v>-883517</v>
      </c>
      <c r="EO182" s="239">
        <v>0</v>
      </c>
      <c r="EP182" s="239">
        <v>-883517</v>
      </c>
      <c r="EQ182" s="239">
        <v>0</v>
      </c>
      <c r="ER182" s="239">
        <v>0</v>
      </c>
      <c r="ES182" s="239">
        <v>0</v>
      </c>
      <c r="ET182" s="239">
        <v>0</v>
      </c>
      <c r="EU182" s="239">
        <v>0</v>
      </c>
      <c r="EV182" s="239">
        <v>0</v>
      </c>
      <c r="EW182" s="239">
        <v>0</v>
      </c>
      <c r="EX182" s="239">
        <v>0</v>
      </c>
      <c r="EY182" s="239">
        <v>0</v>
      </c>
      <c r="EZ182" s="239">
        <v>40016572</v>
      </c>
      <c r="FA182" s="239">
        <v>0</v>
      </c>
      <c r="FB182" s="239">
        <v>40016572</v>
      </c>
      <c r="FC182" s="239">
        <v>-609668</v>
      </c>
      <c r="FD182" s="239">
        <v>0</v>
      </c>
      <c r="FE182" s="239">
        <v>-609668</v>
      </c>
      <c r="FF182" s="239">
        <v>-6691497</v>
      </c>
      <c r="FG182" s="239">
        <v>0</v>
      </c>
      <c r="FH182" s="239">
        <v>-6691497</v>
      </c>
      <c r="FI182" s="239">
        <v>-610397</v>
      </c>
      <c r="FJ182" s="239">
        <v>0</v>
      </c>
      <c r="FK182" s="239">
        <v>-610397</v>
      </c>
      <c r="FL182" s="239">
        <v>-316991</v>
      </c>
      <c r="FM182" s="239">
        <v>0</v>
      </c>
      <c r="FN182" s="239">
        <v>-316991</v>
      </c>
      <c r="FO182" s="239">
        <v>-883517</v>
      </c>
      <c r="FP182" s="239">
        <v>0</v>
      </c>
      <c r="FQ182" s="239">
        <v>-883517</v>
      </c>
      <c r="FR182" s="239">
        <v>0</v>
      </c>
      <c r="FS182" s="239">
        <v>0</v>
      </c>
      <c r="FT182" s="239">
        <v>0</v>
      </c>
      <c r="FU182" s="239">
        <v>-9112070</v>
      </c>
      <c r="FV182" s="239">
        <v>0</v>
      </c>
      <c r="FW182" s="239">
        <v>-9112070</v>
      </c>
      <c r="FX182" s="239">
        <v>30904502</v>
      </c>
      <c r="FY182" s="239">
        <v>0</v>
      </c>
      <c r="FZ182" s="239">
        <v>30904502</v>
      </c>
      <c r="GA182" s="214" t="s">
        <v>1294</v>
      </c>
    </row>
    <row r="183" spans="2:183" s="214" customFormat="1" x14ac:dyDescent="0.2">
      <c r="B183" s="610" t="s">
        <v>449</v>
      </c>
      <c r="C183" s="610" t="s">
        <v>448</v>
      </c>
      <c r="D183" s="239">
        <v>0</v>
      </c>
      <c r="E183" s="239">
        <v>0</v>
      </c>
      <c r="F183" s="239">
        <v>0</v>
      </c>
      <c r="G183" s="239">
        <v>16857</v>
      </c>
      <c r="H183" s="239">
        <v>0</v>
      </c>
      <c r="I183" s="239">
        <v>16857</v>
      </c>
      <c r="J183" s="239">
        <v>0</v>
      </c>
      <c r="K183" s="239">
        <v>0</v>
      </c>
      <c r="L183" s="239">
        <v>0</v>
      </c>
      <c r="M183" s="239">
        <v>130636</v>
      </c>
      <c r="N183" s="239">
        <v>0</v>
      </c>
      <c r="O183" s="239">
        <v>130636</v>
      </c>
      <c r="P183" s="239">
        <v>147493</v>
      </c>
      <c r="Q183" s="239">
        <v>0</v>
      </c>
      <c r="R183" s="239">
        <v>147493</v>
      </c>
      <c r="S183" s="239">
        <v>-1873767</v>
      </c>
      <c r="T183" s="239">
        <v>0</v>
      </c>
      <c r="U183" s="239">
        <v>-1873767</v>
      </c>
      <c r="V183" s="239">
        <v>-3366</v>
      </c>
      <c r="W183" s="239">
        <v>0</v>
      </c>
      <c r="X183" s="239">
        <v>-3366</v>
      </c>
      <c r="Y183" s="239">
        <v>-119424</v>
      </c>
      <c r="Z183" s="239">
        <v>0</v>
      </c>
      <c r="AA183" s="239">
        <v>-119424</v>
      </c>
      <c r="AB183" s="239">
        <v>-62546</v>
      </c>
      <c r="AC183" s="239">
        <v>0</v>
      </c>
      <c r="AD183" s="239">
        <v>-62546</v>
      </c>
      <c r="AE183" s="239">
        <v>0</v>
      </c>
      <c r="AF183" s="239">
        <v>0</v>
      </c>
      <c r="AG183" s="239">
        <v>0</v>
      </c>
      <c r="AH183" s="239">
        <v>377978</v>
      </c>
      <c r="AI183" s="239">
        <v>0</v>
      </c>
      <c r="AJ183" s="239">
        <v>377978</v>
      </c>
      <c r="AK183" s="239">
        <v>-20390</v>
      </c>
      <c r="AL183" s="239">
        <v>0</v>
      </c>
      <c r="AM183" s="239">
        <v>-20390</v>
      </c>
      <c r="AN183" s="239">
        <v>-2639046</v>
      </c>
      <c r="AO183" s="239">
        <v>0</v>
      </c>
      <c r="AP183" s="239">
        <v>-2639046</v>
      </c>
      <c r="AQ183" s="239">
        <v>421529</v>
      </c>
      <c r="AR183" s="239">
        <v>0</v>
      </c>
      <c r="AS183" s="239">
        <v>421529</v>
      </c>
      <c r="AT183" s="239">
        <v>-1124</v>
      </c>
      <c r="AU183" s="239">
        <v>0</v>
      </c>
      <c r="AV183" s="239">
        <v>-1124</v>
      </c>
      <c r="AW183" s="239">
        <v>0</v>
      </c>
      <c r="AX183" s="239">
        <v>0</v>
      </c>
      <c r="AY183" s="239">
        <v>0</v>
      </c>
      <c r="AZ183" s="239">
        <v>-43717</v>
      </c>
      <c r="BA183" s="239">
        <v>0</v>
      </c>
      <c r="BB183" s="239">
        <v>-43717</v>
      </c>
      <c r="BC183" s="239">
        <v>0</v>
      </c>
      <c r="BD183" s="239">
        <v>0</v>
      </c>
      <c r="BE183" s="239">
        <v>0</v>
      </c>
      <c r="BF183" s="239">
        <v>-3897961</v>
      </c>
      <c r="BG183" s="239">
        <v>0</v>
      </c>
      <c r="BH183" s="239">
        <v>-3897961</v>
      </c>
      <c r="BI183" s="239">
        <v>-9829</v>
      </c>
      <c r="BJ183" s="239">
        <v>0</v>
      </c>
      <c r="BK183" s="239">
        <v>-9829</v>
      </c>
      <c r="BL183" s="239">
        <v>-2129</v>
      </c>
      <c r="BM183" s="239">
        <v>0</v>
      </c>
      <c r="BN183" s="239">
        <v>-2129</v>
      </c>
      <c r="BO183" s="239">
        <v>-371548</v>
      </c>
      <c r="BP183" s="239">
        <v>0</v>
      </c>
      <c r="BQ183" s="239">
        <v>-371548</v>
      </c>
      <c r="BR183" s="239">
        <v>-54985</v>
      </c>
      <c r="BS183" s="239">
        <v>0</v>
      </c>
      <c r="BT183" s="239">
        <v>-54985</v>
      </c>
      <c r="BU183" s="239">
        <v>-438491</v>
      </c>
      <c r="BV183" s="239">
        <v>0</v>
      </c>
      <c r="BW183" s="239">
        <v>-438491</v>
      </c>
      <c r="BX183" s="239">
        <v>-30357</v>
      </c>
      <c r="BY183" s="239">
        <v>0</v>
      </c>
      <c r="BZ183" s="239">
        <v>-30357</v>
      </c>
      <c r="CA183" s="239">
        <v>-656</v>
      </c>
      <c r="CB183" s="239">
        <v>0</v>
      </c>
      <c r="CC183" s="239">
        <v>-656</v>
      </c>
      <c r="CD183" s="239">
        <v>-2566</v>
      </c>
      <c r="CE183" s="239">
        <v>0</v>
      </c>
      <c r="CF183" s="239">
        <v>-2566</v>
      </c>
      <c r="CG183" s="239">
        <v>0</v>
      </c>
      <c r="CH183" s="239">
        <v>0</v>
      </c>
      <c r="CI183" s="239">
        <v>0</v>
      </c>
      <c r="CJ183" s="239">
        <v>0</v>
      </c>
      <c r="CK183" s="239">
        <v>0</v>
      </c>
      <c r="CL183" s="239">
        <v>0</v>
      </c>
      <c r="CM183" s="239">
        <v>0</v>
      </c>
      <c r="CN183" s="239">
        <v>0</v>
      </c>
      <c r="CO183" s="239">
        <v>0</v>
      </c>
      <c r="CP183" s="239">
        <v>-971</v>
      </c>
      <c r="CQ183" s="239">
        <v>0</v>
      </c>
      <c r="CR183" s="239">
        <v>-971</v>
      </c>
      <c r="CS183" s="239">
        <v>0</v>
      </c>
      <c r="CT183" s="239">
        <v>0</v>
      </c>
      <c r="CU183" s="239">
        <v>0</v>
      </c>
      <c r="CV183" s="239">
        <v>0</v>
      </c>
      <c r="CW183" s="239">
        <v>0</v>
      </c>
      <c r="CX183" s="239">
        <v>0</v>
      </c>
      <c r="CY183" s="239">
        <v>0</v>
      </c>
      <c r="CZ183" s="239">
        <v>0</v>
      </c>
      <c r="DA183" s="239">
        <v>0</v>
      </c>
      <c r="DB183" s="239">
        <v>0</v>
      </c>
      <c r="DC183" s="239">
        <v>0</v>
      </c>
      <c r="DD183" s="239">
        <v>0</v>
      </c>
      <c r="DE183" s="239">
        <v>0</v>
      </c>
      <c r="DF183" s="239">
        <v>0</v>
      </c>
      <c r="DG183" s="239">
        <v>0</v>
      </c>
      <c r="DH183" s="239">
        <v>0</v>
      </c>
      <c r="DI183" s="239">
        <v>0</v>
      </c>
      <c r="DJ183" s="239">
        <v>-34550</v>
      </c>
      <c r="DK183" s="239">
        <v>0</v>
      </c>
      <c r="DL183" s="239">
        <v>-34550</v>
      </c>
      <c r="DM183" s="239">
        <v>-7105</v>
      </c>
      <c r="DN183" s="239">
        <v>0</v>
      </c>
      <c r="DO183" s="239">
        <v>-7105</v>
      </c>
      <c r="DP183" s="239">
        <v>0</v>
      </c>
      <c r="DQ183" s="239">
        <v>0</v>
      </c>
      <c r="DR183" s="239">
        <v>0</v>
      </c>
      <c r="DS183" s="239">
        <v>-3944</v>
      </c>
      <c r="DT183" s="239">
        <v>0</v>
      </c>
      <c r="DU183" s="239">
        <v>-3944</v>
      </c>
      <c r="DV183" s="239">
        <v>-146</v>
      </c>
      <c r="DW183" s="239">
        <v>0</v>
      </c>
      <c r="DX183" s="239">
        <v>-146</v>
      </c>
      <c r="DY183" s="239">
        <v>-460629</v>
      </c>
      <c r="DZ183" s="239">
        <v>0</v>
      </c>
      <c r="EA183" s="239">
        <v>-460629</v>
      </c>
      <c r="EB183" s="239">
        <v>-1625</v>
      </c>
      <c r="EC183" s="239">
        <v>0</v>
      </c>
      <c r="ED183" s="239">
        <v>-1625</v>
      </c>
      <c r="EE183" s="239">
        <v>0</v>
      </c>
      <c r="EF183" s="239">
        <v>0</v>
      </c>
      <c r="EG183" s="239">
        <v>0</v>
      </c>
      <c r="EH183" s="239">
        <v>464</v>
      </c>
      <c r="EI183" s="239">
        <v>0</v>
      </c>
      <c r="EJ183" s="239">
        <v>464</v>
      </c>
      <c r="EK183" s="239">
        <v>-24942</v>
      </c>
      <c r="EL183" s="239">
        <v>0</v>
      </c>
      <c r="EM183" s="239">
        <v>-24942</v>
      </c>
      <c r="EN183" s="239">
        <v>-497927</v>
      </c>
      <c r="EO183" s="239">
        <v>0</v>
      </c>
      <c r="EP183" s="239">
        <v>-497927</v>
      </c>
      <c r="EQ183" s="239">
        <v>0</v>
      </c>
      <c r="ER183" s="239">
        <v>0</v>
      </c>
      <c r="ES183" s="239">
        <v>0</v>
      </c>
      <c r="ET183" s="239">
        <v>0</v>
      </c>
      <c r="EU183" s="239">
        <v>0</v>
      </c>
      <c r="EV183" s="239">
        <v>0</v>
      </c>
      <c r="EW183" s="239">
        <v>0</v>
      </c>
      <c r="EX183" s="239">
        <v>0</v>
      </c>
      <c r="EY183" s="239">
        <v>0</v>
      </c>
      <c r="EZ183" s="239">
        <v>17605978</v>
      </c>
      <c r="FA183" s="239">
        <v>0</v>
      </c>
      <c r="FB183" s="239">
        <v>17605978</v>
      </c>
      <c r="FC183" s="239">
        <v>147493</v>
      </c>
      <c r="FD183" s="239">
        <v>0</v>
      </c>
      <c r="FE183" s="239">
        <v>147493</v>
      </c>
      <c r="FF183" s="239">
        <v>-3897961</v>
      </c>
      <c r="FG183" s="239">
        <v>0</v>
      </c>
      <c r="FH183" s="239">
        <v>-3897961</v>
      </c>
      <c r="FI183" s="239">
        <v>-438491</v>
      </c>
      <c r="FJ183" s="239">
        <v>0</v>
      </c>
      <c r="FK183" s="239">
        <v>-438491</v>
      </c>
      <c r="FL183" s="239">
        <v>-34550</v>
      </c>
      <c r="FM183" s="239">
        <v>0</v>
      </c>
      <c r="FN183" s="239">
        <v>-34550</v>
      </c>
      <c r="FO183" s="239">
        <v>-497927</v>
      </c>
      <c r="FP183" s="239">
        <v>0</v>
      </c>
      <c r="FQ183" s="239">
        <v>-497927</v>
      </c>
      <c r="FR183" s="239">
        <v>0</v>
      </c>
      <c r="FS183" s="239">
        <v>0</v>
      </c>
      <c r="FT183" s="239">
        <v>0</v>
      </c>
      <c r="FU183" s="239">
        <v>-4721436</v>
      </c>
      <c r="FV183" s="239">
        <v>0</v>
      </c>
      <c r="FW183" s="239">
        <v>-4721436</v>
      </c>
      <c r="FX183" s="239">
        <v>12884542</v>
      </c>
      <c r="FY183" s="239">
        <v>0</v>
      </c>
      <c r="FZ183" s="239">
        <v>12884542</v>
      </c>
      <c r="GA183" s="214" t="s">
        <v>1294</v>
      </c>
    </row>
    <row r="184" spans="2:183" s="214" customFormat="1" x14ac:dyDescent="0.2">
      <c r="B184" s="610" t="s">
        <v>451</v>
      </c>
      <c r="C184" s="610" t="s">
        <v>450</v>
      </c>
      <c r="D184" s="239">
        <v>0</v>
      </c>
      <c r="E184" s="239">
        <v>0</v>
      </c>
      <c r="F184" s="239">
        <v>0</v>
      </c>
      <c r="G184" s="239">
        <v>-69751</v>
      </c>
      <c r="H184" s="239">
        <v>0</v>
      </c>
      <c r="I184" s="239">
        <v>-69751</v>
      </c>
      <c r="J184" s="239">
        <v>0</v>
      </c>
      <c r="K184" s="239">
        <v>0</v>
      </c>
      <c r="L184" s="239">
        <v>0</v>
      </c>
      <c r="M184" s="239">
        <v>2091</v>
      </c>
      <c r="N184" s="239">
        <v>0</v>
      </c>
      <c r="O184" s="239">
        <v>2091</v>
      </c>
      <c r="P184" s="239">
        <v>-67660</v>
      </c>
      <c r="Q184" s="239">
        <v>0</v>
      </c>
      <c r="R184" s="239">
        <v>-67660</v>
      </c>
      <c r="S184" s="239">
        <v>-1835835</v>
      </c>
      <c r="T184" s="239">
        <v>0</v>
      </c>
      <c r="U184" s="239">
        <v>-1835835</v>
      </c>
      <c r="V184" s="239">
        <v>0</v>
      </c>
      <c r="W184" s="239">
        <v>0</v>
      </c>
      <c r="X184" s="239">
        <v>0</v>
      </c>
      <c r="Y184" s="239">
        <v>-108791</v>
      </c>
      <c r="Z184" s="239">
        <v>0</v>
      </c>
      <c r="AA184" s="239">
        <v>-108791</v>
      </c>
      <c r="AB184" s="239">
        <v>-108791</v>
      </c>
      <c r="AC184" s="239">
        <v>0</v>
      </c>
      <c r="AD184" s="239">
        <v>-108791</v>
      </c>
      <c r="AE184" s="239">
        <v>0</v>
      </c>
      <c r="AF184" s="239">
        <v>0</v>
      </c>
      <c r="AG184" s="239">
        <v>0</v>
      </c>
      <c r="AH184" s="239">
        <v>393588</v>
      </c>
      <c r="AI184" s="239">
        <v>0</v>
      </c>
      <c r="AJ184" s="239">
        <v>393588</v>
      </c>
      <c r="AK184" s="239">
        <v>-3200</v>
      </c>
      <c r="AL184" s="239">
        <v>0</v>
      </c>
      <c r="AM184" s="239">
        <v>-3200</v>
      </c>
      <c r="AN184" s="239">
        <v>-537136</v>
      </c>
      <c r="AO184" s="239">
        <v>0</v>
      </c>
      <c r="AP184" s="239">
        <v>-537136</v>
      </c>
      <c r="AQ184" s="239">
        <v>-651</v>
      </c>
      <c r="AR184" s="239">
        <v>0</v>
      </c>
      <c r="AS184" s="239">
        <v>-651</v>
      </c>
      <c r="AT184" s="239">
        <v>-10235</v>
      </c>
      <c r="AU184" s="239">
        <v>0</v>
      </c>
      <c r="AV184" s="239">
        <v>-10235</v>
      </c>
      <c r="AW184" s="239">
        <v>0</v>
      </c>
      <c r="AX184" s="239">
        <v>0</v>
      </c>
      <c r="AY184" s="239">
        <v>0</v>
      </c>
      <c r="AZ184" s="239">
        <v>-9208</v>
      </c>
      <c r="BA184" s="239">
        <v>0</v>
      </c>
      <c r="BB184" s="239">
        <v>-9208</v>
      </c>
      <c r="BC184" s="239">
        <v>0</v>
      </c>
      <c r="BD184" s="239">
        <v>0</v>
      </c>
      <c r="BE184" s="239">
        <v>0</v>
      </c>
      <c r="BF184" s="239">
        <v>-2111468</v>
      </c>
      <c r="BG184" s="239">
        <v>0</v>
      </c>
      <c r="BH184" s="239">
        <v>-2111468</v>
      </c>
      <c r="BI184" s="239">
        <v>-5966</v>
      </c>
      <c r="BJ184" s="239">
        <v>0</v>
      </c>
      <c r="BK184" s="239">
        <v>-5966</v>
      </c>
      <c r="BL184" s="239">
        <v>0</v>
      </c>
      <c r="BM184" s="239">
        <v>0</v>
      </c>
      <c r="BN184" s="239">
        <v>0</v>
      </c>
      <c r="BO184" s="239">
        <v>-430194</v>
      </c>
      <c r="BP184" s="239">
        <v>0</v>
      </c>
      <c r="BQ184" s="239">
        <v>-430194</v>
      </c>
      <c r="BR184" s="239">
        <v>-26112</v>
      </c>
      <c r="BS184" s="239">
        <v>0</v>
      </c>
      <c r="BT184" s="239">
        <v>-26112</v>
      </c>
      <c r="BU184" s="239">
        <v>-462272</v>
      </c>
      <c r="BV184" s="239">
        <v>0</v>
      </c>
      <c r="BW184" s="239">
        <v>-462272</v>
      </c>
      <c r="BX184" s="239">
        <v>-30768</v>
      </c>
      <c r="BY184" s="239">
        <v>0</v>
      </c>
      <c r="BZ184" s="239">
        <v>-30768</v>
      </c>
      <c r="CA184" s="239">
        <v>436</v>
      </c>
      <c r="CB184" s="239">
        <v>0</v>
      </c>
      <c r="CC184" s="239">
        <v>436</v>
      </c>
      <c r="CD184" s="239">
        <v>-16437</v>
      </c>
      <c r="CE184" s="239">
        <v>0</v>
      </c>
      <c r="CF184" s="239">
        <v>-16437</v>
      </c>
      <c r="CG184" s="239">
        <v>1176</v>
      </c>
      <c r="CH184" s="239">
        <v>0</v>
      </c>
      <c r="CI184" s="239">
        <v>1176</v>
      </c>
      <c r="CJ184" s="239">
        <v>-227</v>
      </c>
      <c r="CK184" s="239">
        <v>0</v>
      </c>
      <c r="CL184" s="239">
        <v>-227</v>
      </c>
      <c r="CM184" s="239">
        <v>0</v>
      </c>
      <c r="CN184" s="239">
        <v>0</v>
      </c>
      <c r="CO184" s="239">
        <v>0</v>
      </c>
      <c r="CP184" s="239">
        <v>-1263</v>
      </c>
      <c r="CQ184" s="239">
        <v>0</v>
      </c>
      <c r="CR184" s="239">
        <v>-1263</v>
      </c>
      <c r="CS184" s="239">
        <v>0</v>
      </c>
      <c r="CT184" s="239">
        <v>0</v>
      </c>
      <c r="CU184" s="239">
        <v>0</v>
      </c>
      <c r="CV184" s="239">
        <v>0</v>
      </c>
      <c r="CW184" s="239">
        <v>0</v>
      </c>
      <c r="CX184" s="239">
        <v>0</v>
      </c>
      <c r="CY184" s="239">
        <v>0</v>
      </c>
      <c r="CZ184" s="239">
        <v>0</v>
      </c>
      <c r="DA184" s="239">
        <v>0</v>
      </c>
      <c r="DB184" s="239">
        <v>0</v>
      </c>
      <c r="DC184" s="239">
        <v>0</v>
      </c>
      <c r="DD184" s="239">
        <v>0</v>
      </c>
      <c r="DE184" s="239">
        <v>0</v>
      </c>
      <c r="DF184" s="239">
        <v>0</v>
      </c>
      <c r="DG184" s="239">
        <v>0</v>
      </c>
      <c r="DH184" s="239">
        <v>0</v>
      </c>
      <c r="DI184" s="239">
        <v>0</v>
      </c>
      <c r="DJ184" s="239">
        <v>-47083</v>
      </c>
      <c r="DK184" s="239">
        <v>0</v>
      </c>
      <c r="DL184" s="239">
        <v>-47083</v>
      </c>
      <c r="DM184" s="239">
        <v>0</v>
      </c>
      <c r="DN184" s="239">
        <v>0</v>
      </c>
      <c r="DO184" s="239">
        <v>0</v>
      </c>
      <c r="DP184" s="239">
        <v>0</v>
      </c>
      <c r="DQ184" s="239">
        <v>0</v>
      </c>
      <c r="DR184" s="239">
        <v>0</v>
      </c>
      <c r="DS184" s="239">
        <v>0</v>
      </c>
      <c r="DT184" s="239">
        <v>0</v>
      </c>
      <c r="DU184" s="239">
        <v>0</v>
      </c>
      <c r="DV184" s="239">
        <v>0</v>
      </c>
      <c r="DW184" s="239">
        <v>0</v>
      </c>
      <c r="DX184" s="239">
        <v>0</v>
      </c>
      <c r="DY184" s="239">
        <v>-337046</v>
      </c>
      <c r="DZ184" s="239">
        <v>0</v>
      </c>
      <c r="EA184" s="239">
        <v>-337046</v>
      </c>
      <c r="EB184" s="239">
        <v>-8311</v>
      </c>
      <c r="EC184" s="239">
        <v>0</v>
      </c>
      <c r="ED184" s="239">
        <v>-8311</v>
      </c>
      <c r="EE184" s="239">
        <v>0</v>
      </c>
      <c r="EF184" s="239">
        <v>0</v>
      </c>
      <c r="EG184" s="239">
        <v>0</v>
      </c>
      <c r="EH184" s="239">
        <v>0</v>
      </c>
      <c r="EI184" s="239">
        <v>0</v>
      </c>
      <c r="EJ184" s="239">
        <v>0</v>
      </c>
      <c r="EK184" s="239">
        <v>-8168</v>
      </c>
      <c r="EL184" s="239">
        <v>0</v>
      </c>
      <c r="EM184" s="239">
        <v>-8168</v>
      </c>
      <c r="EN184" s="239">
        <v>-353525</v>
      </c>
      <c r="EO184" s="239">
        <v>0</v>
      </c>
      <c r="EP184" s="239">
        <v>-353525</v>
      </c>
      <c r="EQ184" s="239">
        <v>0</v>
      </c>
      <c r="ER184" s="239">
        <v>0</v>
      </c>
      <c r="ES184" s="239">
        <v>0</v>
      </c>
      <c r="ET184" s="239">
        <v>0</v>
      </c>
      <c r="EU184" s="239">
        <v>0</v>
      </c>
      <c r="EV184" s="239">
        <v>0</v>
      </c>
      <c r="EW184" s="239">
        <v>0</v>
      </c>
      <c r="EX184" s="239">
        <v>0</v>
      </c>
      <c r="EY184" s="239">
        <v>0</v>
      </c>
      <c r="EZ184" s="239">
        <v>19169050</v>
      </c>
      <c r="FA184" s="239">
        <v>0</v>
      </c>
      <c r="FB184" s="239">
        <v>19169050</v>
      </c>
      <c r="FC184" s="239">
        <v>-67660</v>
      </c>
      <c r="FD184" s="239">
        <v>0</v>
      </c>
      <c r="FE184" s="239">
        <v>-67660</v>
      </c>
      <c r="FF184" s="239">
        <v>-2111468</v>
      </c>
      <c r="FG184" s="239">
        <v>0</v>
      </c>
      <c r="FH184" s="239">
        <v>-2111468</v>
      </c>
      <c r="FI184" s="239">
        <v>-462272</v>
      </c>
      <c r="FJ184" s="239">
        <v>0</v>
      </c>
      <c r="FK184" s="239">
        <v>-462272</v>
      </c>
      <c r="FL184" s="239">
        <v>-47083</v>
      </c>
      <c r="FM184" s="239">
        <v>0</v>
      </c>
      <c r="FN184" s="239">
        <v>-47083</v>
      </c>
      <c r="FO184" s="239">
        <v>-353525</v>
      </c>
      <c r="FP184" s="239">
        <v>0</v>
      </c>
      <c r="FQ184" s="239">
        <v>-353525</v>
      </c>
      <c r="FR184" s="239">
        <v>0</v>
      </c>
      <c r="FS184" s="239">
        <v>0</v>
      </c>
      <c r="FT184" s="239">
        <v>0</v>
      </c>
      <c r="FU184" s="239">
        <v>-3042008</v>
      </c>
      <c r="FV184" s="239">
        <v>0</v>
      </c>
      <c r="FW184" s="239">
        <v>-3042008</v>
      </c>
      <c r="FX184" s="239">
        <v>16127042</v>
      </c>
      <c r="FY184" s="239">
        <v>0</v>
      </c>
      <c r="FZ184" s="239">
        <v>16127042</v>
      </c>
      <c r="GA184" s="214" t="s">
        <v>1294</v>
      </c>
    </row>
    <row r="185" spans="2:183" s="214" customFormat="1" x14ac:dyDescent="0.2">
      <c r="B185" s="610" t="s">
        <v>453</v>
      </c>
      <c r="C185" s="610" t="s">
        <v>452</v>
      </c>
      <c r="D185" s="239">
        <v>0</v>
      </c>
      <c r="E185" s="239">
        <v>0</v>
      </c>
      <c r="F185" s="239">
        <v>0</v>
      </c>
      <c r="G185" s="239">
        <v>-872705</v>
      </c>
      <c r="H185" s="239">
        <v>0</v>
      </c>
      <c r="I185" s="239">
        <v>-872705</v>
      </c>
      <c r="J185" s="239">
        <v>0</v>
      </c>
      <c r="K185" s="239">
        <v>0</v>
      </c>
      <c r="L185" s="239">
        <v>0</v>
      </c>
      <c r="M185" s="239">
        <v>51193</v>
      </c>
      <c r="N185" s="239">
        <v>0</v>
      </c>
      <c r="O185" s="239">
        <v>51193</v>
      </c>
      <c r="P185" s="239">
        <v>-821512</v>
      </c>
      <c r="Q185" s="239">
        <v>0</v>
      </c>
      <c r="R185" s="239">
        <v>-821512</v>
      </c>
      <c r="S185" s="239">
        <v>-3445753</v>
      </c>
      <c r="T185" s="239">
        <v>0</v>
      </c>
      <c r="U185" s="239">
        <v>-3445753</v>
      </c>
      <c r="V185" s="239">
        <v>-37338</v>
      </c>
      <c r="W185" s="239">
        <v>0</v>
      </c>
      <c r="X185" s="239">
        <v>-37338</v>
      </c>
      <c r="Y185" s="239">
        <v>-123401</v>
      </c>
      <c r="Z185" s="239">
        <v>0</v>
      </c>
      <c r="AA185" s="239">
        <v>-123401</v>
      </c>
      <c r="AB185" s="239">
        <v>-47073</v>
      </c>
      <c r="AC185" s="239">
        <v>0</v>
      </c>
      <c r="AD185" s="239">
        <v>-47073</v>
      </c>
      <c r="AE185" s="239">
        <v>-812</v>
      </c>
      <c r="AF185" s="239">
        <v>0</v>
      </c>
      <c r="AG185" s="239">
        <v>-812</v>
      </c>
      <c r="AH185" s="239">
        <v>1857648</v>
      </c>
      <c r="AI185" s="239">
        <v>0</v>
      </c>
      <c r="AJ185" s="239">
        <v>1857648</v>
      </c>
      <c r="AK185" s="239">
        <v>32971</v>
      </c>
      <c r="AL185" s="239">
        <v>0</v>
      </c>
      <c r="AM185" s="239">
        <v>32971</v>
      </c>
      <c r="AN185" s="239">
        <v>-3084500</v>
      </c>
      <c r="AO185" s="239">
        <v>0</v>
      </c>
      <c r="AP185" s="239">
        <v>-3084500</v>
      </c>
      <c r="AQ185" s="239">
        <v>-81536</v>
      </c>
      <c r="AR185" s="239">
        <v>0</v>
      </c>
      <c r="AS185" s="239">
        <v>-81536</v>
      </c>
      <c r="AT185" s="239">
        <v>-91540</v>
      </c>
      <c r="AU185" s="239">
        <v>0</v>
      </c>
      <c r="AV185" s="239">
        <v>-91540</v>
      </c>
      <c r="AW185" s="239">
        <v>0</v>
      </c>
      <c r="AX185" s="239">
        <v>0</v>
      </c>
      <c r="AY185" s="239">
        <v>0</v>
      </c>
      <c r="AZ185" s="239">
        <v>-592</v>
      </c>
      <c r="BA185" s="239">
        <v>0</v>
      </c>
      <c r="BB185" s="239">
        <v>-592</v>
      </c>
      <c r="BC185" s="239">
        <v>0</v>
      </c>
      <c r="BD185" s="239">
        <v>0</v>
      </c>
      <c r="BE185" s="239">
        <v>0</v>
      </c>
      <c r="BF185" s="239">
        <v>-4936703</v>
      </c>
      <c r="BG185" s="239">
        <v>0</v>
      </c>
      <c r="BH185" s="239">
        <v>-4936703</v>
      </c>
      <c r="BI185" s="239">
        <v>0</v>
      </c>
      <c r="BJ185" s="239">
        <v>0</v>
      </c>
      <c r="BK185" s="239">
        <v>0</v>
      </c>
      <c r="BL185" s="239">
        <v>527</v>
      </c>
      <c r="BM185" s="239">
        <v>0</v>
      </c>
      <c r="BN185" s="239">
        <v>527</v>
      </c>
      <c r="BO185" s="239">
        <v>-1958427</v>
      </c>
      <c r="BP185" s="239">
        <v>0</v>
      </c>
      <c r="BQ185" s="239">
        <v>-1958427</v>
      </c>
      <c r="BR185" s="239">
        <v>40991</v>
      </c>
      <c r="BS185" s="239">
        <v>0</v>
      </c>
      <c r="BT185" s="239">
        <v>40991</v>
      </c>
      <c r="BU185" s="239">
        <v>-1916909</v>
      </c>
      <c r="BV185" s="239">
        <v>0</v>
      </c>
      <c r="BW185" s="239">
        <v>-1916909</v>
      </c>
      <c r="BX185" s="239">
        <v>-29073</v>
      </c>
      <c r="BY185" s="239">
        <v>0</v>
      </c>
      <c r="BZ185" s="239">
        <v>-29073</v>
      </c>
      <c r="CA185" s="239">
        <v>-370</v>
      </c>
      <c r="CB185" s="239">
        <v>0</v>
      </c>
      <c r="CC185" s="239">
        <v>-370</v>
      </c>
      <c r="CD185" s="239">
        <v>-224722</v>
      </c>
      <c r="CE185" s="239">
        <v>0</v>
      </c>
      <c r="CF185" s="239">
        <v>-224722</v>
      </c>
      <c r="CG185" s="239">
        <v>28500</v>
      </c>
      <c r="CH185" s="239">
        <v>0</v>
      </c>
      <c r="CI185" s="239">
        <v>28500</v>
      </c>
      <c r="CJ185" s="239">
        <v>-2841</v>
      </c>
      <c r="CK185" s="239">
        <v>0</v>
      </c>
      <c r="CL185" s="239">
        <v>-2841</v>
      </c>
      <c r="CM185" s="239">
        <v>0</v>
      </c>
      <c r="CN185" s="239">
        <v>0</v>
      </c>
      <c r="CO185" s="239">
        <v>0</v>
      </c>
      <c r="CP185" s="239">
        <v>-569</v>
      </c>
      <c r="CQ185" s="239">
        <v>0</v>
      </c>
      <c r="CR185" s="239">
        <v>-569</v>
      </c>
      <c r="CS185" s="239">
        <v>0</v>
      </c>
      <c r="CT185" s="239">
        <v>0</v>
      </c>
      <c r="CU185" s="239">
        <v>0</v>
      </c>
      <c r="CV185" s="239">
        <v>0</v>
      </c>
      <c r="CW185" s="239">
        <v>0</v>
      </c>
      <c r="CX185" s="239">
        <v>0</v>
      </c>
      <c r="CY185" s="239">
        <v>0</v>
      </c>
      <c r="CZ185" s="239">
        <v>0</v>
      </c>
      <c r="DA185" s="239">
        <v>0</v>
      </c>
      <c r="DB185" s="239">
        <v>0</v>
      </c>
      <c r="DC185" s="239">
        <v>-65199</v>
      </c>
      <c r="DD185" s="239">
        <v>-65199</v>
      </c>
      <c r="DE185" s="239">
        <v>0</v>
      </c>
      <c r="DF185" s="239">
        <v>0</v>
      </c>
      <c r="DG185" s="239">
        <v>0</v>
      </c>
      <c r="DH185" s="239">
        <v>-65199</v>
      </c>
      <c r="DI185" s="239">
        <v>0</v>
      </c>
      <c r="DJ185" s="239">
        <v>-229075</v>
      </c>
      <c r="DK185" s="239">
        <v>-65199</v>
      </c>
      <c r="DL185" s="239">
        <v>-294274</v>
      </c>
      <c r="DM185" s="239">
        <v>-3843</v>
      </c>
      <c r="DN185" s="239">
        <v>0</v>
      </c>
      <c r="DO185" s="239">
        <v>-3843</v>
      </c>
      <c r="DP185" s="239">
        <v>-7448</v>
      </c>
      <c r="DQ185" s="239">
        <v>0</v>
      </c>
      <c r="DR185" s="239">
        <v>-7448</v>
      </c>
      <c r="DS185" s="239">
        <v>-25551</v>
      </c>
      <c r="DT185" s="239">
        <v>0</v>
      </c>
      <c r="DU185" s="239">
        <v>-25551</v>
      </c>
      <c r="DV185" s="239">
        <v>0</v>
      </c>
      <c r="DW185" s="239">
        <v>0</v>
      </c>
      <c r="DX185" s="239">
        <v>0</v>
      </c>
      <c r="DY185" s="239">
        <v>-619777</v>
      </c>
      <c r="DZ185" s="239">
        <v>0</v>
      </c>
      <c r="EA185" s="239">
        <v>-619777</v>
      </c>
      <c r="EB185" s="239">
        <v>-20038</v>
      </c>
      <c r="EC185" s="239">
        <v>0</v>
      </c>
      <c r="ED185" s="239">
        <v>-20038</v>
      </c>
      <c r="EE185" s="239">
        <v>-2000</v>
      </c>
      <c r="EF185" s="239">
        <v>0</v>
      </c>
      <c r="EG185" s="239">
        <v>-2000</v>
      </c>
      <c r="EH185" s="239">
        <v>2000</v>
      </c>
      <c r="EI185" s="239">
        <v>0</v>
      </c>
      <c r="EJ185" s="239">
        <v>2000</v>
      </c>
      <c r="EK185" s="239">
        <v>-3034</v>
      </c>
      <c r="EL185" s="239">
        <v>0</v>
      </c>
      <c r="EM185" s="239">
        <v>-3034</v>
      </c>
      <c r="EN185" s="239">
        <v>-679691</v>
      </c>
      <c r="EO185" s="239">
        <v>0</v>
      </c>
      <c r="EP185" s="239">
        <v>-679691</v>
      </c>
      <c r="EQ185" s="239">
        <v>0</v>
      </c>
      <c r="ER185" s="239">
        <v>0</v>
      </c>
      <c r="ES185" s="239">
        <v>0</v>
      </c>
      <c r="ET185" s="239">
        <v>0</v>
      </c>
      <c r="EU185" s="239">
        <v>0</v>
      </c>
      <c r="EV185" s="239">
        <v>0</v>
      </c>
      <c r="EW185" s="239">
        <v>0</v>
      </c>
      <c r="EX185" s="239">
        <v>0</v>
      </c>
      <c r="EY185" s="239">
        <v>0</v>
      </c>
      <c r="EZ185" s="239">
        <v>76696844</v>
      </c>
      <c r="FA185" s="239">
        <v>65199</v>
      </c>
      <c r="FB185" s="239">
        <v>76762043</v>
      </c>
      <c r="FC185" s="239">
        <v>-821512</v>
      </c>
      <c r="FD185" s="239">
        <v>0</v>
      </c>
      <c r="FE185" s="239">
        <v>-821512</v>
      </c>
      <c r="FF185" s="239">
        <v>-4936703</v>
      </c>
      <c r="FG185" s="239">
        <v>0</v>
      </c>
      <c r="FH185" s="239">
        <v>-4936703</v>
      </c>
      <c r="FI185" s="239">
        <v>-1916909</v>
      </c>
      <c r="FJ185" s="239">
        <v>0</v>
      </c>
      <c r="FK185" s="239">
        <v>-1916909</v>
      </c>
      <c r="FL185" s="239">
        <v>-229075</v>
      </c>
      <c r="FM185" s="239">
        <v>-65199</v>
      </c>
      <c r="FN185" s="239">
        <v>-294274</v>
      </c>
      <c r="FO185" s="239">
        <v>-679691</v>
      </c>
      <c r="FP185" s="239">
        <v>0</v>
      </c>
      <c r="FQ185" s="239">
        <v>-679691</v>
      </c>
      <c r="FR185" s="239">
        <v>0</v>
      </c>
      <c r="FS185" s="239">
        <v>0</v>
      </c>
      <c r="FT185" s="239">
        <v>0</v>
      </c>
      <c r="FU185" s="239">
        <v>-8583890</v>
      </c>
      <c r="FV185" s="239">
        <v>-65199</v>
      </c>
      <c r="FW185" s="239">
        <v>-8649089</v>
      </c>
      <c r="FX185" s="239">
        <v>68112954</v>
      </c>
      <c r="FY185" s="239">
        <v>0</v>
      </c>
      <c r="FZ185" s="239">
        <v>68112954</v>
      </c>
      <c r="GA185" s="214" t="s">
        <v>748</v>
      </c>
    </row>
    <row r="186" spans="2:183" s="214" customFormat="1" x14ac:dyDescent="0.2">
      <c r="B186" s="610" t="s">
        <v>455</v>
      </c>
      <c r="C186" s="610" t="s">
        <v>454</v>
      </c>
      <c r="D186" s="239">
        <v>0</v>
      </c>
      <c r="E186" s="239">
        <v>0</v>
      </c>
      <c r="F186" s="239">
        <v>0</v>
      </c>
      <c r="G186" s="239">
        <v>113706</v>
      </c>
      <c r="H186" s="239">
        <v>0</v>
      </c>
      <c r="I186" s="239">
        <v>113706</v>
      </c>
      <c r="J186" s="239">
        <v>0</v>
      </c>
      <c r="K186" s="239">
        <v>0</v>
      </c>
      <c r="L186" s="239">
        <v>0</v>
      </c>
      <c r="M186" s="239">
        <v>456456</v>
      </c>
      <c r="N186" s="239">
        <v>0</v>
      </c>
      <c r="O186" s="239">
        <v>456456</v>
      </c>
      <c r="P186" s="239">
        <v>570162</v>
      </c>
      <c r="Q186" s="239">
        <v>0</v>
      </c>
      <c r="R186" s="239">
        <v>570162</v>
      </c>
      <c r="S186" s="239">
        <v>-2579767</v>
      </c>
      <c r="T186" s="239">
        <v>0</v>
      </c>
      <c r="U186" s="239">
        <v>-2579767</v>
      </c>
      <c r="V186" s="239">
        <v>0</v>
      </c>
      <c r="W186" s="239">
        <v>0</v>
      </c>
      <c r="X186" s="239">
        <v>0</v>
      </c>
      <c r="Y186" s="239">
        <v>-189817</v>
      </c>
      <c r="Z186" s="239">
        <v>0</v>
      </c>
      <c r="AA186" s="239">
        <v>-189817</v>
      </c>
      <c r="AB186" s="239">
        <v>0</v>
      </c>
      <c r="AC186" s="239">
        <v>0</v>
      </c>
      <c r="AD186" s="239">
        <v>0</v>
      </c>
      <c r="AE186" s="239">
        <v>0</v>
      </c>
      <c r="AF186" s="239">
        <v>0</v>
      </c>
      <c r="AG186" s="239">
        <v>0</v>
      </c>
      <c r="AH186" s="239">
        <v>994482</v>
      </c>
      <c r="AI186" s="239">
        <v>0</v>
      </c>
      <c r="AJ186" s="239">
        <v>994482</v>
      </c>
      <c r="AK186" s="239">
        <v>-9865</v>
      </c>
      <c r="AL186" s="239">
        <v>0</v>
      </c>
      <c r="AM186" s="239">
        <v>-9865</v>
      </c>
      <c r="AN186" s="239">
        <v>-2659151</v>
      </c>
      <c r="AO186" s="239">
        <v>0</v>
      </c>
      <c r="AP186" s="239">
        <v>-2659151</v>
      </c>
      <c r="AQ186" s="239">
        <v>-102380</v>
      </c>
      <c r="AR186" s="239">
        <v>0</v>
      </c>
      <c r="AS186" s="239">
        <v>-102380</v>
      </c>
      <c r="AT186" s="239">
        <v>-124834</v>
      </c>
      <c r="AU186" s="239">
        <v>0</v>
      </c>
      <c r="AV186" s="239">
        <v>-124834</v>
      </c>
      <c r="AW186" s="239">
        <v>13367</v>
      </c>
      <c r="AX186" s="239">
        <v>0</v>
      </c>
      <c r="AY186" s="239">
        <v>13367</v>
      </c>
      <c r="AZ186" s="239">
        <v>-15456</v>
      </c>
      <c r="BA186" s="239">
        <v>0</v>
      </c>
      <c r="BB186" s="239">
        <v>-15456</v>
      </c>
      <c r="BC186" s="239">
        <v>-2314</v>
      </c>
      <c r="BD186" s="239">
        <v>0</v>
      </c>
      <c r="BE186" s="239">
        <v>-2314</v>
      </c>
      <c r="BF186" s="239">
        <v>-4675735</v>
      </c>
      <c r="BG186" s="239">
        <v>0</v>
      </c>
      <c r="BH186" s="239">
        <v>-4675735</v>
      </c>
      <c r="BI186" s="239">
        <v>-18257</v>
      </c>
      <c r="BJ186" s="239">
        <v>0</v>
      </c>
      <c r="BK186" s="239">
        <v>-18257</v>
      </c>
      <c r="BL186" s="239">
        <v>-2629</v>
      </c>
      <c r="BM186" s="239">
        <v>0</v>
      </c>
      <c r="BN186" s="239">
        <v>-2629</v>
      </c>
      <c r="BO186" s="239">
        <v>-1577330</v>
      </c>
      <c r="BP186" s="239">
        <v>0</v>
      </c>
      <c r="BQ186" s="239">
        <v>-1577330</v>
      </c>
      <c r="BR186" s="239">
        <v>-14825</v>
      </c>
      <c r="BS186" s="239">
        <v>0</v>
      </c>
      <c r="BT186" s="239">
        <v>-14825</v>
      </c>
      <c r="BU186" s="239">
        <v>-1613041</v>
      </c>
      <c r="BV186" s="239">
        <v>0</v>
      </c>
      <c r="BW186" s="239">
        <v>-1613041</v>
      </c>
      <c r="BX186" s="239">
        <v>-177598</v>
      </c>
      <c r="BY186" s="239">
        <v>0</v>
      </c>
      <c r="BZ186" s="239">
        <v>-177598</v>
      </c>
      <c r="CA186" s="239">
        <v>-6498</v>
      </c>
      <c r="CB186" s="239">
        <v>0</v>
      </c>
      <c r="CC186" s="239">
        <v>-6498</v>
      </c>
      <c r="CD186" s="239">
        <v>-92556</v>
      </c>
      <c r="CE186" s="239">
        <v>0</v>
      </c>
      <c r="CF186" s="239">
        <v>-92556</v>
      </c>
      <c r="CG186" s="239">
        <v>9431</v>
      </c>
      <c r="CH186" s="239">
        <v>0</v>
      </c>
      <c r="CI186" s="239">
        <v>9431</v>
      </c>
      <c r="CJ186" s="239">
        <v>-16247</v>
      </c>
      <c r="CK186" s="239">
        <v>0</v>
      </c>
      <c r="CL186" s="239">
        <v>-16247</v>
      </c>
      <c r="CM186" s="239">
        <v>-1123</v>
      </c>
      <c r="CN186" s="239">
        <v>0</v>
      </c>
      <c r="CO186" s="239">
        <v>-1123</v>
      </c>
      <c r="CP186" s="239">
        <v>-12345</v>
      </c>
      <c r="CQ186" s="239">
        <v>0</v>
      </c>
      <c r="CR186" s="239">
        <v>-12345</v>
      </c>
      <c r="CS186" s="239">
        <v>0</v>
      </c>
      <c r="CT186" s="239">
        <v>0</v>
      </c>
      <c r="CU186" s="239">
        <v>0</v>
      </c>
      <c r="CV186" s="239">
        <v>-6319</v>
      </c>
      <c r="CW186" s="239">
        <v>0</v>
      </c>
      <c r="CX186" s="239">
        <v>-6319</v>
      </c>
      <c r="CY186" s="239">
        <v>0</v>
      </c>
      <c r="CZ186" s="239">
        <v>0</v>
      </c>
      <c r="DA186" s="239">
        <v>0</v>
      </c>
      <c r="DB186" s="239">
        <v>0</v>
      </c>
      <c r="DC186" s="239">
        <v>0</v>
      </c>
      <c r="DD186" s="239">
        <v>0</v>
      </c>
      <c r="DE186" s="239">
        <v>0</v>
      </c>
      <c r="DF186" s="239">
        <v>0</v>
      </c>
      <c r="DG186" s="239">
        <v>0</v>
      </c>
      <c r="DH186" s="239">
        <v>0</v>
      </c>
      <c r="DI186" s="239">
        <v>0</v>
      </c>
      <c r="DJ186" s="239">
        <v>-303255</v>
      </c>
      <c r="DK186" s="239">
        <v>0</v>
      </c>
      <c r="DL186" s="239">
        <v>-303255</v>
      </c>
      <c r="DM186" s="239">
        <v>0</v>
      </c>
      <c r="DN186" s="239">
        <v>0</v>
      </c>
      <c r="DO186" s="239">
        <v>0</v>
      </c>
      <c r="DP186" s="239">
        <v>0</v>
      </c>
      <c r="DQ186" s="239">
        <v>0</v>
      </c>
      <c r="DR186" s="239">
        <v>0</v>
      </c>
      <c r="DS186" s="239">
        <v>0</v>
      </c>
      <c r="DT186" s="239">
        <v>0</v>
      </c>
      <c r="DU186" s="239">
        <v>0</v>
      </c>
      <c r="DV186" s="239">
        <v>0</v>
      </c>
      <c r="DW186" s="239">
        <v>0</v>
      </c>
      <c r="DX186" s="239">
        <v>0</v>
      </c>
      <c r="DY186" s="239">
        <v>-725000</v>
      </c>
      <c r="DZ186" s="239">
        <v>0</v>
      </c>
      <c r="EA186" s="239">
        <v>-725000</v>
      </c>
      <c r="EB186" s="239">
        <v>-34994</v>
      </c>
      <c r="EC186" s="239">
        <v>0</v>
      </c>
      <c r="ED186" s="239">
        <v>-34994</v>
      </c>
      <c r="EE186" s="239">
        <v>0</v>
      </c>
      <c r="EF186" s="239">
        <v>0</v>
      </c>
      <c r="EG186" s="239">
        <v>0</v>
      </c>
      <c r="EH186" s="239">
        <v>0</v>
      </c>
      <c r="EI186" s="239">
        <v>0</v>
      </c>
      <c r="EJ186" s="239">
        <v>0</v>
      </c>
      <c r="EK186" s="239">
        <v>-5956</v>
      </c>
      <c r="EL186" s="239">
        <v>0</v>
      </c>
      <c r="EM186" s="239">
        <v>-5956</v>
      </c>
      <c r="EN186" s="239">
        <v>-765950</v>
      </c>
      <c r="EO186" s="239">
        <v>0</v>
      </c>
      <c r="EP186" s="239">
        <v>-765950</v>
      </c>
      <c r="EQ186" s="239">
        <v>0</v>
      </c>
      <c r="ER186" s="239">
        <v>0</v>
      </c>
      <c r="ES186" s="239">
        <v>0</v>
      </c>
      <c r="ET186" s="239">
        <v>0</v>
      </c>
      <c r="EU186" s="239">
        <v>0</v>
      </c>
      <c r="EV186" s="239">
        <v>0</v>
      </c>
      <c r="EW186" s="239">
        <v>0</v>
      </c>
      <c r="EX186" s="239">
        <v>0</v>
      </c>
      <c r="EY186" s="239">
        <v>0</v>
      </c>
      <c r="EZ186" s="239">
        <v>44500839</v>
      </c>
      <c r="FA186" s="239">
        <v>0</v>
      </c>
      <c r="FB186" s="239">
        <v>44500839</v>
      </c>
      <c r="FC186" s="239">
        <v>570162</v>
      </c>
      <c r="FD186" s="239">
        <v>0</v>
      </c>
      <c r="FE186" s="239">
        <v>570162</v>
      </c>
      <c r="FF186" s="239">
        <v>-4675735</v>
      </c>
      <c r="FG186" s="239">
        <v>0</v>
      </c>
      <c r="FH186" s="239">
        <v>-4675735</v>
      </c>
      <c r="FI186" s="239">
        <v>-1613041</v>
      </c>
      <c r="FJ186" s="239">
        <v>0</v>
      </c>
      <c r="FK186" s="239">
        <v>-1613041</v>
      </c>
      <c r="FL186" s="239">
        <v>-303255</v>
      </c>
      <c r="FM186" s="239">
        <v>0</v>
      </c>
      <c r="FN186" s="239">
        <v>-303255</v>
      </c>
      <c r="FO186" s="239">
        <v>-765950</v>
      </c>
      <c r="FP186" s="239">
        <v>0</v>
      </c>
      <c r="FQ186" s="239">
        <v>-765950</v>
      </c>
      <c r="FR186" s="239">
        <v>0</v>
      </c>
      <c r="FS186" s="239">
        <v>0</v>
      </c>
      <c r="FT186" s="239">
        <v>0</v>
      </c>
      <c r="FU186" s="239">
        <v>-6787819</v>
      </c>
      <c r="FV186" s="239">
        <v>0</v>
      </c>
      <c r="FW186" s="239">
        <v>-6787819</v>
      </c>
      <c r="FX186" s="239">
        <v>37713020</v>
      </c>
      <c r="FY186" s="239">
        <v>0</v>
      </c>
      <c r="FZ186" s="239">
        <v>37713020</v>
      </c>
      <c r="GA186" s="214" t="s">
        <v>1294</v>
      </c>
    </row>
    <row r="187" spans="2:183" s="214" customFormat="1" x14ac:dyDescent="0.2">
      <c r="B187" s="610" t="s">
        <v>457</v>
      </c>
      <c r="C187" s="610" t="s">
        <v>456</v>
      </c>
      <c r="D187" s="239">
        <v>0</v>
      </c>
      <c r="E187" s="239">
        <v>0</v>
      </c>
      <c r="F187" s="239">
        <v>0</v>
      </c>
      <c r="G187" s="239">
        <v>-10217</v>
      </c>
      <c r="H187" s="239">
        <v>0</v>
      </c>
      <c r="I187" s="239">
        <v>-10217</v>
      </c>
      <c r="J187" s="239">
        <v>0</v>
      </c>
      <c r="K187" s="239">
        <v>0</v>
      </c>
      <c r="L187" s="239">
        <v>0</v>
      </c>
      <c r="M187" s="239">
        <v>6070</v>
      </c>
      <c r="N187" s="239">
        <v>0</v>
      </c>
      <c r="O187" s="239">
        <v>6070</v>
      </c>
      <c r="P187" s="239">
        <v>-4147</v>
      </c>
      <c r="Q187" s="239">
        <v>0</v>
      </c>
      <c r="R187" s="239">
        <v>-4147</v>
      </c>
      <c r="S187" s="239">
        <v>-2359901</v>
      </c>
      <c r="T187" s="239">
        <v>0</v>
      </c>
      <c r="U187" s="239">
        <v>-2359901</v>
      </c>
      <c r="V187" s="239">
        <v>-11150</v>
      </c>
      <c r="W187" s="239">
        <v>0</v>
      </c>
      <c r="X187" s="239">
        <v>-11150</v>
      </c>
      <c r="Y187" s="239">
        <v>-73334</v>
      </c>
      <c r="Z187" s="239">
        <v>0</v>
      </c>
      <c r="AA187" s="239">
        <v>-73334</v>
      </c>
      <c r="AB187" s="239">
        <v>444</v>
      </c>
      <c r="AC187" s="239">
        <v>0</v>
      </c>
      <c r="AD187" s="239">
        <v>444</v>
      </c>
      <c r="AE187" s="239">
        <v>0</v>
      </c>
      <c r="AF187" s="239">
        <v>0</v>
      </c>
      <c r="AG187" s="239">
        <v>0</v>
      </c>
      <c r="AH187" s="239">
        <v>653227</v>
      </c>
      <c r="AI187" s="239">
        <v>0</v>
      </c>
      <c r="AJ187" s="239">
        <v>653227</v>
      </c>
      <c r="AK187" s="239">
        <v>-11053</v>
      </c>
      <c r="AL187" s="239">
        <v>0</v>
      </c>
      <c r="AM187" s="239">
        <v>-11053</v>
      </c>
      <c r="AN187" s="239">
        <v>-1677755</v>
      </c>
      <c r="AO187" s="239">
        <v>0</v>
      </c>
      <c r="AP187" s="239">
        <v>-1677755</v>
      </c>
      <c r="AQ187" s="239">
        <v>-6968</v>
      </c>
      <c r="AR187" s="239">
        <v>0</v>
      </c>
      <c r="AS187" s="239">
        <v>-6968</v>
      </c>
      <c r="AT187" s="239">
        <v>-42773</v>
      </c>
      <c r="AU187" s="239">
        <v>0</v>
      </c>
      <c r="AV187" s="239">
        <v>-42773</v>
      </c>
      <c r="AW187" s="239">
        <v>0</v>
      </c>
      <c r="AX187" s="239">
        <v>0</v>
      </c>
      <c r="AY187" s="239">
        <v>0</v>
      </c>
      <c r="AZ187" s="239">
        <v>-44438</v>
      </c>
      <c r="BA187" s="239">
        <v>0</v>
      </c>
      <c r="BB187" s="239">
        <v>-44438</v>
      </c>
      <c r="BC187" s="239">
        <v>-11125</v>
      </c>
      <c r="BD187" s="239">
        <v>0</v>
      </c>
      <c r="BE187" s="239">
        <v>-11125</v>
      </c>
      <c r="BF187" s="239">
        <v>-3574120</v>
      </c>
      <c r="BG187" s="239">
        <v>0</v>
      </c>
      <c r="BH187" s="239">
        <v>-3574120</v>
      </c>
      <c r="BI187" s="239">
        <v>0</v>
      </c>
      <c r="BJ187" s="239">
        <v>0</v>
      </c>
      <c r="BK187" s="239">
        <v>0</v>
      </c>
      <c r="BL187" s="239">
        <v>0</v>
      </c>
      <c r="BM187" s="239">
        <v>0</v>
      </c>
      <c r="BN187" s="239">
        <v>0</v>
      </c>
      <c r="BO187" s="239">
        <v>-788591</v>
      </c>
      <c r="BP187" s="239">
        <v>0</v>
      </c>
      <c r="BQ187" s="239">
        <v>-788591</v>
      </c>
      <c r="BR187" s="239">
        <v>32946</v>
      </c>
      <c r="BS187" s="239">
        <v>0</v>
      </c>
      <c r="BT187" s="239">
        <v>32946</v>
      </c>
      <c r="BU187" s="239">
        <v>-755645</v>
      </c>
      <c r="BV187" s="239">
        <v>0</v>
      </c>
      <c r="BW187" s="239">
        <v>-755645</v>
      </c>
      <c r="BX187" s="239">
        <v>-68348</v>
      </c>
      <c r="BY187" s="239">
        <v>0</v>
      </c>
      <c r="BZ187" s="239">
        <v>-68348</v>
      </c>
      <c r="CA187" s="239">
        <v>-770</v>
      </c>
      <c r="CB187" s="239">
        <v>0</v>
      </c>
      <c r="CC187" s="239">
        <v>-770</v>
      </c>
      <c r="CD187" s="239">
        <v>-13334</v>
      </c>
      <c r="CE187" s="239">
        <v>0</v>
      </c>
      <c r="CF187" s="239">
        <v>-13334</v>
      </c>
      <c r="CG187" s="239">
        <v>0</v>
      </c>
      <c r="CH187" s="239">
        <v>0</v>
      </c>
      <c r="CI187" s="239">
        <v>0</v>
      </c>
      <c r="CJ187" s="239">
        <v>0</v>
      </c>
      <c r="CK187" s="239">
        <v>0</v>
      </c>
      <c r="CL187" s="239">
        <v>0</v>
      </c>
      <c r="CM187" s="239">
        <v>0</v>
      </c>
      <c r="CN187" s="239">
        <v>0</v>
      </c>
      <c r="CO187" s="239">
        <v>0</v>
      </c>
      <c r="CP187" s="239">
        <v>-7276</v>
      </c>
      <c r="CQ187" s="239">
        <v>0</v>
      </c>
      <c r="CR187" s="239">
        <v>-7276</v>
      </c>
      <c r="CS187" s="239">
        <v>0</v>
      </c>
      <c r="CT187" s="239">
        <v>0</v>
      </c>
      <c r="CU187" s="239">
        <v>0</v>
      </c>
      <c r="CV187" s="239">
        <v>0</v>
      </c>
      <c r="CW187" s="239">
        <v>0</v>
      </c>
      <c r="CX187" s="239">
        <v>0</v>
      </c>
      <c r="CY187" s="239">
        <v>0</v>
      </c>
      <c r="CZ187" s="239">
        <v>0</v>
      </c>
      <c r="DA187" s="239">
        <v>0</v>
      </c>
      <c r="DB187" s="239">
        <v>-58136</v>
      </c>
      <c r="DC187" s="239">
        <v>0</v>
      </c>
      <c r="DD187" s="239">
        <v>-58136</v>
      </c>
      <c r="DE187" s="239">
        <v>0</v>
      </c>
      <c r="DF187" s="239">
        <v>0</v>
      </c>
      <c r="DG187" s="239">
        <v>0</v>
      </c>
      <c r="DH187" s="239">
        <v>0</v>
      </c>
      <c r="DI187" s="239">
        <v>0</v>
      </c>
      <c r="DJ187" s="239">
        <v>-147864</v>
      </c>
      <c r="DK187" s="239">
        <v>0</v>
      </c>
      <c r="DL187" s="239">
        <v>-147864</v>
      </c>
      <c r="DM187" s="239">
        <v>-23420</v>
      </c>
      <c r="DN187" s="239">
        <v>0</v>
      </c>
      <c r="DO187" s="239">
        <v>-23420</v>
      </c>
      <c r="DP187" s="239">
        <v>2429</v>
      </c>
      <c r="DQ187" s="239">
        <v>0</v>
      </c>
      <c r="DR187" s="239">
        <v>2429</v>
      </c>
      <c r="DS187" s="239">
        <v>-16120</v>
      </c>
      <c r="DT187" s="239">
        <v>0</v>
      </c>
      <c r="DU187" s="239">
        <v>-16120</v>
      </c>
      <c r="DV187" s="239">
        <v>0</v>
      </c>
      <c r="DW187" s="239">
        <v>0</v>
      </c>
      <c r="DX187" s="239">
        <v>0</v>
      </c>
      <c r="DY187" s="239">
        <v>-312193</v>
      </c>
      <c r="DZ187" s="239">
        <v>0</v>
      </c>
      <c r="EA187" s="239">
        <v>-312193</v>
      </c>
      <c r="EB187" s="239">
        <v>-25696</v>
      </c>
      <c r="EC187" s="239">
        <v>0</v>
      </c>
      <c r="ED187" s="239">
        <v>-25696</v>
      </c>
      <c r="EE187" s="239">
        <v>0</v>
      </c>
      <c r="EF187" s="239">
        <v>0</v>
      </c>
      <c r="EG187" s="239">
        <v>0</v>
      </c>
      <c r="EH187" s="239">
        <v>0</v>
      </c>
      <c r="EI187" s="239">
        <v>0</v>
      </c>
      <c r="EJ187" s="239">
        <v>0</v>
      </c>
      <c r="EK187" s="239">
        <v>0</v>
      </c>
      <c r="EL187" s="239">
        <v>0</v>
      </c>
      <c r="EM187" s="239">
        <v>0</v>
      </c>
      <c r="EN187" s="239">
        <v>-375000</v>
      </c>
      <c r="EO187" s="239">
        <v>0</v>
      </c>
      <c r="EP187" s="239">
        <v>-375000</v>
      </c>
      <c r="EQ187" s="239">
        <v>0</v>
      </c>
      <c r="ER187" s="239">
        <v>0</v>
      </c>
      <c r="ES187" s="239">
        <v>0</v>
      </c>
      <c r="ET187" s="239">
        <v>0</v>
      </c>
      <c r="EU187" s="239">
        <v>0</v>
      </c>
      <c r="EV187" s="239">
        <v>0</v>
      </c>
      <c r="EW187" s="239">
        <v>0</v>
      </c>
      <c r="EX187" s="239">
        <v>0</v>
      </c>
      <c r="EY187" s="239">
        <v>0</v>
      </c>
      <c r="EZ187" s="239">
        <v>29096563</v>
      </c>
      <c r="FA187" s="239">
        <v>0</v>
      </c>
      <c r="FB187" s="239">
        <v>29096563</v>
      </c>
      <c r="FC187" s="239">
        <v>-4147</v>
      </c>
      <c r="FD187" s="239">
        <v>0</v>
      </c>
      <c r="FE187" s="239">
        <v>-4147</v>
      </c>
      <c r="FF187" s="239">
        <v>-3574120</v>
      </c>
      <c r="FG187" s="239">
        <v>0</v>
      </c>
      <c r="FH187" s="239">
        <v>-3574120</v>
      </c>
      <c r="FI187" s="239">
        <v>-755645</v>
      </c>
      <c r="FJ187" s="239">
        <v>0</v>
      </c>
      <c r="FK187" s="239">
        <v>-755645</v>
      </c>
      <c r="FL187" s="239">
        <v>-147864</v>
      </c>
      <c r="FM187" s="239">
        <v>0</v>
      </c>
      <c r="FN187" s="239">
        <v>-147864</v>
      </c>
      <c r="FO187" s="239">
        <v>-375000</v>
      </c>
      <c r="FP187" s="239">
        <v>0</v>
      </c>
      <c r="FQ187" s="239">
        <v>-375000</v>
      </c>
      <c r="FR187" s="239">
        <v>0</v>
      </c>
      <c r="FS187" s="239">
        <v>0</v>
      </c>
      <c r="FT187" s="239">
        <v>0</v>
      </c>
      <c r="FU187" s="239">
        <v>-4856776</v>
      </c>
      <c r="FV187" s="239">
        <v>0</v>
      </c>
      <c r="FW187" s="239">
        <v>-4856776</v>
      </c>
      <c r="FX187" s="239">
        <v>24239787</v>
      </c>
      <c r="FY187" s="239">
        <v>0</v>
      </c>
      <c r="FZ187" s="239">
        <v>24239787</v>
      </c>
      <c r="GA187" s="214" t="s">
        <v>1294</v>
      </c>
    </row>
    <row r="188" spans="2:183" s="214" customFormat="1" x14ac:dyDescent="0.2">
      <c r="B188" s="610" t="s">
        <v>459</v>
      </c>
      <c r="C188" s="610" t="s">
        <v>458</v>
      </c>
      <c r="D188" s="239">
        <v>0</v>
      </c>
      <c r="E188" s="239">
        <v>0</v>
      </c>
      <c r="F188" s="239">
        <v>0</v>
      </c>
      <c r="G188" s="239">
        <v>1147061</v>
      </c>
      <c r="H188" s="239">
        <v>0</v>
      </c>
      <c r="I188" s="239">
        <v>1147061</v>
      </c>
      <c r="J188" s="239">
        <v>0</v>
      </c>
      <c r="K188" s="239">
        <v>0</v>
      </c>
      <c r="L188" s="239">
        <v>0</v>
      </c>
      <c r="M188" s="239">
        <v>107639</v>
      </c>
      <c r="N188" s="239">
        <v>0</v>
      </c>
      <c r="O188" s="239">
        <v>107639</v>
      </c>
      <c r="P188" s="239">
        <v>1254700</v>
      </c>
      <c r="Q188" s="239">
        <v>0</v>
      </c>
      <c r="R188" s="239">
        <v>1254700</v>
      </c>
      <c r="S188" s="239">
        <v>-3583623</v>
      </c>
      <c r="T188" s="239">
        <v>0</v>
      </c>
      <c r="U188" s="239">
        <v>-3583623</v>
      </c>
      <c r="V188" s="239">
        <v>-29472</v>
      </c>
      <c r="W188" s="239">
        <v>0</v>
      </c>
      <c r="X188" s="239">
        <v>-29472</v>
      </c>
      <c r="Y188" s="239">
        <v>-124680</v>
      </c>
      <c r="Z188" s="239">
        <v>0</v>
      </c>
      <c r="AA188" s="239">
        <v>-124680</v>
      </c>
      <c r="AB188" s="239">
        <v>-45561</v>
      </c>
      <c r="AC188" s="239">
        <v>0</v>
      </c>
      <c r="AD188" s="239">
        <v>-45561</v>
      </c>
      <c r="AE188" s="239">
        <v>-7171</v>
      </c>
      <c r="AF188" s="239">
        <v>0</v>
      </c>
      <c r="AG188" s="239">
        <v>-7171</v>
      </c>
      <c r="AH188" s="239">
        <v>2480432</v>
      </c>
      <c r="AI188" s="239">
        <v>0</v>
      </c>
      <c r="AJ188" s="239">
        <v>2480432</v>
      </c>
      <c r="AK188" s="239">
        <v>729721</v>
      </c>
      <c r="AL188" s="239">
        <v>0</v>
      </c>
      <c r="AM188" s="239">
        <v>729721</v>
      </c>
      <c r="AN188" s="239">
        <v>-2355220</v>
      </c>
      <c r="AO188" s="239">
        <v>0</v>
      </c>
      <c r="AP188" s="239">
        <v>-2355220</v>
      </c>
      <c r="AQ188" s="239">
        <v>-12048</v>
      </c>
      <c r="AR188" s="239">
        <v>0</v>
      </c>
      <c r="AS188" s="239">
        <v>-12048</v>
      </c>
      <c r="AT188" s="239">
        <v>-37532</v>
      </c>
      <c r="AU188" s="239">
        <v>0</v>
      </c>
      <c r="AV188" s="239">
        <v>-37532</v>
      </c>
      <c r="AW188" s="239">
        <v>0</v>
      </c>
      <c r="AX188" s="239">
        <v>0</v>
      </c>
      <c r="AY188" s="239">
        <v>0</v>
      </c>
      <c r="AZ188" s="239">
        <v>-24087</v>
      </c>
      <c r="BA188" s="239">
        <v>0</v>
      </c>
      <c r="BB188" s="239">
        <v>-24087</v>
      </c>
      <c r="BC188" s="239">
        <v>0</v>
      </c>
      <c r="BD188" s="239">
        <v>0</v>
      </c>
      <c r="BE188" s="239">
        <v>0</v>
      </c>
      <c r="BF188" s="239">
        <v>-2927037</v>
      </c>
      <c r="BG188" s="239">
        <v>0</v>
      </c>
      <c r="BH188" s="239">
        <v>-2927037</v>
      </c>
      <c r="BI188" s="239">
        <v>-31007</v>
      </c>
      <c r="BJ188" s="239">
        <v>0</v>
      </c>
      <c r="BK188" s="239">
        <v>-31007</v>
      </c>
      <c r="BL188" s="239">
        <v>379927</v>
      </c>
      <c r="BM188" s="239">
        <v>0</v>
      </c>
      <c r="BN188" s="239">
        <v>379927</v>
      </c>
      <c r="BO188" s="239">
        <v>-3709337</v>
      </c>
      <c r="BP188" s="239">
        <v>0</v>
      </c>
      <c r="BQ188" s="239">
        <v>-3709337</v>
      </c>
      <c r="BR188" s="239">
        <v>-4584608</v>
      </c>
      <c r="BS188" s="239">
        <v>0</v>
      </c>
      <c r="BT188" s="239">
        <v>-4584608</v>
      </c>
      <c r="BU188" s="239">
        <v>-7945025</v>
      </c>
      <c r="BV188" s="239">
        <v>0</v>
      </c>
      <c r="BW188" s="239">
        <v>-7945025</v>
      </c>
      <c r="BX188" s="239">
        <v>-84941</v>
      </c>
      <c r="BY188" s="239">
        <v>0</v>
      </c>
      <c r="BZ188" s="239">
        <v>-84941</v>
      </c>
      <c r="CA188" s="239">
        <v>-6911</v>
      </c>
      <c r="CB188" s="239">
        <v>0</v>
      </c>
      <c r="CC188" s="239">
        <v>-6911</v>
      </c>
      <c r="CD188" s="239">
        <v>-95229</v>
      </c>
      <c r="CE188" s="239">
        <v>0</v>
      </c>
      <c r="CF188" s="239">
        <v>-95229</v>
      </c>
      <c r="CG188" s="239">
        <v>-7075</v>
      </c>
      <c r="CH188" s="239">
        <v>0</v>
      </c>
      <c r="CI188" s="239">
        <v>-7075</v>
      </c>
      <c r="CJ188" s="239">
        <v>-3228</v>
      </c>
      <c r="CK188" s="239">
        <v>0</v>
      </c>
      <c r="CL188" s="239">
        <v>-3228</v>
      </c>
      <c r="CM188" s="239">
        <v>0</v>
      </c>
      <c r="CN188" s="239">
        <v>0</v>
      </c>
      <c r="CO188" s="239">
        <v>0</v>
      </c>
      <c r="CP188" s="239">
        <v>-21144</v>
      </c>
      <c r="CQ188" s="239">
        <v>0</v>
      </c>
      <c r="CR188" s="239">
        <v>-21144</v>
      </c>
      <c r="CS188" s="239">
        <v>0</v>
      </c>
      <c r="CT188" s="239">
        <v>0</v>
      </c>
      <c r="CU188" s="239">
        <v>0</v>
      </c>
      <c r="CV188" s="239">
        <v>-878</v>
      </c>
      <c r="CW188" s="239">
        <v>0</v>
      </c>
      <c r="CX188" s="239">
        <v>-878</v>
      </c>
      <c r="CY188" s="239">
        <v>0</v>
      </c>
      <c r="CZ188" s="239">
        <v>0</v>
      </c>
      <c r="DA188" s="239">
        <v>0</v>
      </c>
      <c r="DB188" s="239">
        <v>0</v>
      </c>
      <c r="DC188" s="239">
        <v>0</v>
      </c>
      <c r="DD188" s="239">
        <v>0</v>
      </c>
      <c r="DE188" s="239">
        <v>0</v>
      </c>
      <c r="DF188" s="239">
        <v>0</v>
      </c>
      <c r="DG188" s="239">
        <v>0</v>
      </c>
      <c r="DH188" s="239">
        <v>0</v>
      </c>
      <c r="DI188" s="239">
        <v>0</v>
      </c>
      <c r="DJ188" s="239">
        <v>-219406</v>
      </c>
      <c r="DK188" s="239">
        <v>0</v>
      </c>
      <c r="DL188" s="239">
        <v>-219406</v>
      </c>
      <c r="DM188" s="239">
        <v>-21951</v>
      </c>
      <c r="DN188" s="239">
        <v>0</v>
      </c>
      <c r="DO188" s="239">
        <v>-21951</v>
      </c>
      <c r="DP188" s="239">
        <v>-9888</v>
      </c>
      <c r="DQ188" s="239">
        <v>0</v>
      </c>
      <c r="DR188" s="239">
        <v>-9888</v>
      </c>
      <c r="DS188" s="239">
        <v>-39862</v>
      </c>
      <c r="DT188" s="239">
        <v>0</v>
      </c>
      <c r="DU188" s="239">
        <v>-39862</v>
      </c>
      <c r="DV188" s="239">
        <v>-370</v>
      </c>
      <c r="DW188" s="239">
        <v>0</v>
      </c>
      <c r="DX188" s="239">
        <v>-370</v>
      </c>
      <c r="DY188" s="239">
        <v>-631746</v>
      </c>
      <c r="DZ188" s="239">
        <v>0</v>
      </c>
      <c r="EA188" s="239">
        <v>-631746</v>
      </c>
      <c r="EB188" s="239">
        <v>-27391</v>
      </c>
      <c r="EC188" s="239">
        <v>0</v>
      </c>
      <c r="ED188" s="239">
        <v>-27391</v>
      </c>
      <c r="EE188" s="239">
        <v>0</v>
      </c>
      <c r="EF188" s="239">
        <v>0</v>
      </c>
      <c r="EG188" s="239">
        <v>0</v>
      </c>
      <c r="EH188" s="239">
        <v>1742</v>
      </c>
      <c r="EI188" s="239">
        <v>0</v>
      </c>
      <c r="EJ188" s="239">
        <v>1742</v>
      </c>
      <c r="EK188" s="239">
        <v>-10832</v>
      </c>
      <c r="EL188" s="239">
        <v>0</v>
      </c>
      <c r="EM188" s="239">
        <v>-10832</v>
      </c>
      <c r="EN188" s="239">
        <v>-740298</v>
      </c>
      <c r="EO188" s="239">
        <v>0</v>
      </c>
      <c r="EP188" s="239">
        <v>-740298</v>
      </c>
      <c r="EQ188" s="239">
        <v>0</v>
      </c>
      <c r="ER188" s="239">
        <v>0</v>
      </c>
      <c r="ES188" s="239">
        <v>0</v>
      </c>
      <c r="ET188" s="239">
        <v>-840</v>
      </c>
      <c r="EU188" s="239">
        <v>0</v>
      </c>
      <c r="EV188" s="239">
        <v>-840</v>
      </c>
      <c r="EW188" s="239">
        <v>-840</v>
      </c>
      <c r="EX188" s="239">
        <v>0</v>
      </c>
      <c r="EY188" s="239">
        <v>-840</v>
      </c>
      <c r="EZ188" s="239">
        <v>88462902</v>
      </c>
      <c r="FA188" s="239">
        <v>1131435</v>
      </c>
      <c r="FB188" s="239">
        <v>89594337</v>
      </c>
      <c r="FC188" s="239">
        <v>1254700</v>
      </c>
      <c r="FD188" s="239">
        <v>0</v>
      </c>
      <c r="FE188" s="239">
        <v>1254700</v>
      </c>
      <c r="FF188" s="239">
        <v>-2927037</v>
      </c>
      <c r="FG188" s="239">
        <v>0</v>
      </c>
      <c r="FH188" s="239">
        <v>-2927037</v>
      </c>
      <c r="FI188" s="239">
        <v>-7945025</v>
      </c>
      <c r="FJ188" s="239">
        <v>0</v>
      </c>
      <c r="FK188" s="239">
        <v>-7945025</v>
      </c>
      <c r="FL188" s="239">
        <v>-219406</v>
      </c>
      <c r="FM188" s="239">
        <v>0</v>
      </c>
      <c r="FN188" s="239">
        <v>-219406</v>
      </c>
      <c r="FO188" s="239">
        <v>-740298</v>
      </c>
      <c r="FP188" s="239">
        <v>0</v>
      </c>
      <c r="FQ188" s="239">
        <v>-740298</v>
      </c>
      <c r="FR188" s="239">
        <v>-840</v>
      </c>
      <c r="FS188" s="239">
        <v>0</v>
      </c>
      <c r="FT188" s="239">
        <v>-840</v>
      </c>
      <c r="FU188" s="239">
        <v>-10577906</v>
      </c>
      <c r="FV188" s="239">
        <v>0</v>
      </c>
      <c r="FW188" s="239">
        <v>-10577906</v>
      </c>
      <c r="FX188" s="239">
        <v>77884996</v>
      </c>
      <c r="FY188" s="239">
        <v>1131435</v>
      </c>
      <c r="FZ188" s="239">
        <v>79016431</v>
      </c>
      <c r="GA188" s="214" t="s">
        <v>748</v>
      </c>
    </row>
    <row r="189" spans="2:183" s="214" customFormat="1" x14ac:dyDescent="0.2">
      <c r="B189" s="610" t="s">
        <v>461</v>
      </c>
      <c r="C189" s="610" t="s">
        <v>460</v>
      </c>
      <c r="D189" s="239">
        <v>0</v>
      </c>
      <c r="E189" s="239">
        <v>0</v>
      </c>
      <c r="F189" s="239">
        <v>0</v>
      </c>
      <c r="G189" s="239">
        <v>205907</v>
      </c>
      <c r="H189" s="239">
        <v>0</v>
      </c>
      <c r="I189" s="239">
        <v>205907</v>
      </c>
      <c r="J189" s="239">
        <v>0</v>
      </c>
      <c r="K189" s="239">
        <v>0</v>
      </c>
      <c r="L189" s="239">
        <v>0</v>
      </c>
      <c r="M189" s="239">
        <v>-3372</v>
      </c>
      <c r="N189" s="239">
        <v>0</v>
      </c>
      <c r="O189" s="239">
        <v>-3372</v>
      </c>
      <c r="P189" s="239">
        <v>202535</v>
      </c>
      <c r="Q189" s="239">
        <v>0</v>
      </c>
      <c r="R189" s="239">
        <v>202535</v>
      </c>
      <c r="S189" s="239">
        <v>-4447014</v>
      </c>
      <c r="T189" s="239">
        <v>0</v>
      </c>
      <c r="U189" s="239">
        <v>-4447014</v>
      </c>
      <c r="V189" s="239">
        <v>-17935</v>
      </c>
      <c r="W189" s="239">
        <v>0</v>
      </c>
      <c r="X189" s="239">
        <v>-17935</v>
      </c>
      <c r="Y189" s="239">
        <v>-229293</v>
      </c>
      <c r="Z189" s="239">
        <v>0</v>
      </c>
      <c r="AA189" s="239">
        <v>-229293</v>
      </c>
      <c r="AB189" s="239">
        <v>-130873</v>
      </c>
      <c r="AC189" s="239">
        <v>0</v>
      </c>
      <c r="AD189" s="239">
        <v>-130873</v>
      </c>
      <c r="AE189" s="239">
        <v>-8560</v>
      </c>
      <c r="AF189" s="239">
        <v>0</v>
      </c>
      <c r="AG189" s="239">
        <v>-8560</v>
      </c>
      <c r="AH189" s="239">
        <v>592300</v>
      </c>
      <c r="AI189" s="239">
        <v>0</v>
      </c>
      <c r="AJ189" s="239">
        <v>592300</v>
      </c>
      <c r="AK189" s="239">
        <v>-7963</v>
      </c>
      <c r="AL189" s="239">
        <v>0</v>
      </c>
      <c r="AM189" s="239">
        <v>-7963</v>
      </c>
      <c r="AN189" s="239">
        <v>-1608405</v>
      </c>
      <c r="AO189" s="239">
        <v>0</v>
      </c>
      <c r="AP189" s="239">
        <v>-1608405</v>
      </c>
      <c r="AQ189" s="239">
        <v>-54738</v>
      </c>
      <c r="AR189" s="239">
        <v>0</v>
      </c>
      <c r="AS189" s="239">
        <v>-54738</v>
      </c>
      <c r="AT189" s="239">
        <v>-66259</v>
      </c>
      <c r="AU189" s="239">
        <v>0</v>
      </c>
      <c r="AV189" s="239">
        <v>-66259</v>
      </c>
      <c r="AW189" s="239">
        <v>-6027</v>
      </c>
      <c r="AX189" s="239">
        <v>0</v>
      </c>
      <c r="AY189" s="239">
        <v>-6027</v>
      </c>
      <c r="AZ189" s="239">
        <v>-105513</v>
      </c>
      <c r="BA189" s="239">
        <v>0</v>
      </c>
      <c r="BB189" s="239">
        <v>-105513</v>
      </c>
      <c r="BC189" s="239">
        <v>-2496</v>
      </c>
      <c r="BD189" s="239">
        <v>0</v>
      </c>
      <c r="BE189" s="239">
        <v>-2496</v>
      </c>
      <c r="BF189" s="239">
        <v>-5935408</v>
      </c>
      <c r="BG189" s="239">
        <v>0</v>
      </c>
      <c r="BH189" s="239">
        <v>-5935408</v>
      </c>
      <c r="BI189" s="239">
        <v>-2594</v>
      </c>
      <c r="BJ189" s="239">
        <v>0</v>
      </c>
      <c r="BK189" s="239">
        <v>-2594</v>
      </c>
      <c r="BL189" s="239">
        <v>-2097</v>
      </c>
      <c r="BM189" s="239">
        <v>0</v>
      </c>
      <c r="BN189" s="239">
        <v>-2097</v>
      </c>
      <c r="BO189" s="239">
        <v>-463308</v>
      </c>
      <c r="BP189" s="239">
        <v>0</v>
      </c>
      <c r="BQ189" s="239">
        <v>-463308</v>
      </c>
      <c r="BR189" s="239">
        <v>-11299</v>
      </c>
      <c r="BS189" s="239">
        <v>0</v>
      </c>
      <c r="BT189" s="239">
        <v>-11299</v>
      </c>
      <c r="BU189" s="239">
        <v>-479298</v>
      </c>
      <c r="BV189" s="239">
        <v>0</v>
      </c>
      <c r="BW189" s="239">
        <v>-479298</v>
      </c>
      <c r="BX189" s="239">
        <v>-27146</v>
      </c>
      <c r="BY189" s="239">
        <v>0</v>
      </c>
      <c r="BZ189" s="239">
        <v>-27146</v>
      </c>
      <c r="CA189" s="239">
        <v>934</v>
      </c>
      <c r="CB189" s="239">
        <v>0</v>
      </c>
      <c r="CC189" s="239">
        <v>934</v>
      </c>
      <c r="CD189" s="239">
        <v>-288</v>
      </c>
      <c r="CE189" s="239">
        <v>0</v>
      </c>
      <c r="CF189" s="239">
        <v>-288</v>
      </c>
      <c r="CG189" s="239">
        <v>5889</v>
      </c>
      <c r="CH189" s="239">
        <v>0</v>
      </c>
      <c r="CI189" s="239">
        <v>5889</v>
      </c>
      <c r="CJ189" s="239">
        <v>0</v>
      </c>
      <c r="CK189" s="239">
        <v>0</v>
      </c>
      <c r="CL189" s="239">
        <v>0</v>
      </c>
      <c r="CM189" s="239">
        <v>0</v>
      </c>
      <c r="CN189" s="239">
        <v>0</v>
      </c>
      <c r="CO189" s="239">
        <v>0</v>
      </c>
      <c r="CP189" s="239">
        <v>-4530</v>
      </c>
      <c r="CQ189" s="239">
        <v>0</v>
      </c>
      <c r="CR189" s="239">
        <v>-4530</v>
      </c>
      <c r="CS189" s="239">
        <v>17</v>
      </c>
      <c r="CT189" s="239">
        <v>0</v>
      </c>
      <c r="CU189" s="239">
        <v>17</v>
      </c>
      <c r="CV189" s="239">
        <v>0</v>
      </c>
      <c r="CW189" s="239">
        <v>0</v>
      </c>
      <c r="CX189" s="239">
        <v>0</v>
      </c>
      <c r="CY189" s="239">
        <v>0</v>
      </c>
      <c r="CZ189" s="239">
        <v>0</v>
      </c>
      <c r="DA189" s="239">
        <v>0</v>
      </c>
      <c r="DB189" s="239">
        <v>0</v>
      </c>
      <c r="DC189" s="239">
        <v>0</v>
      </c>
      <c r="DD189" s="239">
        <v>0</v>
      </c>
      <c r="DE189" s="239">
        <v>0</v>
      </c>
      <c r="DF189" s="239">
        <v>0</v>
      </c>
      <c r="DG189" s="239">
        <v>0</v>
      </c>
      <c r="DH189" s="239">
        <v>0</v>
      </c>
      <c r="DI189" s="239">
        <v>0</v>
      </c>
      <c r="DJ189" s="239">
        <v>-25124</v>
      </c>
      <c r="DK189" s="239">
        <v>0</v>
      </c>
      <c r="DL189" s="239">
        <v>-25124</v>
      </c>
      <c r="DM189" s="239">
        <v>-13220</v>
      </c>
      <c r="DN189" s="239">
        <v>0</v>
      </c>
      <c r="DO189" s="239">
        <v>-13220</v>
      </c>
      <c r="DP189" s="239">
        <v>2257</v>
      </c>
      <c r="DQ189" s="239">
        <v>0</v>
      </c>
      <c r="DR189" s="239">
        <v>2257</v>
      </c>
      <c r="DS189" s="239">
        <v>-3458</v>
      </c>
      <c r="DT189" s="239">
        <v>0</v>
      </c>
      <c r="DU189" s="239">
        <v>-3458</v>
      </c>
      <c r="DV189" s="239">
        <v>-87</v>
      </c>
      <c r="DW189" s="239">
        <v>0</v>
      </c>
      <c r="DX189" s="239">
        <v>-87</v>
      </c>
      <c r="DY189" s="239">
        <v>-926331</v>
      </c>
      <c r="DZ189" s="239">
        <v>0</v>
      </c>
      <c r="EA189" s="239">
        <v>-926331</v>
      </c>
      <c r="EB189" s="239">
        <v>7564</v>
      </c>
      <c r="EC189" s="239">
        <v>0</v>
      </c>
      <c r="ED189" s="239">
        <v>7564</v>
      </c>
      <c r="EE189" s="239">
        <v>0</v>
      </c>
      <c r="EF189" s="239">
        <v>0</v>
      </c>
      <c r="EG189" s="239">
        <v>0</v>
      </c>
      <c r="EH189" s="239">
        <v>3774</v>
      </c>
      <c r="EI189" s="239">
        <v>0</v>
      </c>
      <c r="EJ189" s="239">
        <v>3774</v>
      </c>
      <c r="EK189" s="239">
        <v>-44775</v>
      </c>
      <c r="EL189" s="239">
        <v>0</v>
      </c>
      <c r="EM189" s="239">
        <v>-44775</v>
      </c>
      <c r="EN189" s="239">
        <v>-974276</v>
      </c>
      <c r="EO189" s="239">
        <v>0</v>
      </c>
      <c r="EP189" s="239">
        <v>-974276</v>
      </c>
      <c r="EQ189" s="239">
        <v>0</v>
      </c>
      <c r="ER189" s="239">
        <v>0</v>
      </c>
      <c r="ES189" s="239">
        <v>0</v>
      </c>
      <c r="ET189" s="239">
        <v>0</v>
      </c>
      <c r="EU189" s="239">
        <v>0</v>
      </c>
      <c r="EV189" s="239">
        <v>0</v>
      </c>
      <c r="EW189" s="239">
        <v>0</v>
      </c>
      <c r="EX189" s="239">
        <v>0</v>
      </c>
      <c r="EY189" s="239">
        <v>0</v>
      </c>
      <c r="EZ189" s="239">
        <v>31749842</v>
      </c>
      <c r="FA189" s="239">
        <v>0</v>
      </c>
      <c r="FB189" s="239">
        <v>31749842</v>
      </c>
      <c r="FC189" s="239">
        <v>202535</v>
      </c>
      <c r="FD189" s="239">
        <v>0</v>
      </c>
      <c r="FE189" s="239">
        <v>202535</v>
      </c>
      <c r="FF189" s="239">
        <v>-5935408</v>
      </c>
      <c r="FG189" s="239">
        <v>0</v>
      </c>
      <c r="FH189" s="239">
        <v>-5935408</v>
      </c>
      <c r="FI189" s="239">
        <v>-479298</v>
      </c>
      <c r="FJ189" s="239">
        <v>0</v>
      </c>
      <c r="FK189" s="239">
        <v>-479298</v>
      </c>
      <c r="FL189" s="239">
        <v>-25124</v>
      </c>
      <c r="FM189" s="239">
        <v>0</v>
      </c>
      <c r="FN189" s="239">
        <v>-25124</v>
      </c>
      <c r="FO189" s="239">
        <v>-974276</v>
      </c>
      <c r="FP189" s="239">
        <v>0</v>
      </c>
      <c r="FQ189" s="239">
        <v>-974276</v>
      </c>
      <c r="FR189" s="239">
        <v>0</v>
      </c>
      <c r="FS189" s="239">
        <v>0</v>
      </c>
      <c r="FT189" s="239">
        <v>0</v>
      </c>
      <c r="FU189" s="239">
        <v>-7211571</v>
      </c>
      <c r="FV189" s="239">
        <v>0</v>
      </c>
      <c r="FW189" s="239">
        <v>-7211571</v>
      </c>
      <c r="FX189" s="239">
        <v>24538271</v>
      </c>
      <c r="FY189" s="239">
        <v>0</v>
      </c>
      <c r="FZ189" s="239">
        <v>24538271</v>
      </c>
      <c r="GA189" s="214" t="s">
        <v>1294</v>
      </c>
    </row>
    <row r="190" spans="2:183" s="214" customFormat="1" x14ac:dyDescent="0.2">
      <c r="B190" s="610" t="s">
        <v>463</v>
      </c>
      <c r="C190" s="610" t="s">
        <v>462</v>
      </c>
      <c r="D190" s="239">
        <v>0</v>
      </c>
      <c r="E190" s="239">
        <v>0</v>
      </c>
      <c r="F190" s="239">
        <v>0</v>
      </c>
      <c r="G190" s="239">
        <v>33272</v>
      </c>
      <c r="H190" s="239">
        <v>47</v>
      </c>
      <c r="I190" s="239">
        <v>33319</v>
      </c>
      <c r="J190" s="239">
        <v>0</v>
      </c>
      <c r="K190" s="239">
        <v>0</v>
      </c>
      <c r="L190" s="239">
        <v>0</v>
      </c>
      <c r="M190" s="239">
        <v>84932</v>
      </c>
      <c r="N190" s="239">
        <v>0</v>
      </c>
      <c r="O190" s="239">
        <v>84932</v>
      </c>
      <c r="P190" s="239">
        <v>118204</v>
      </c>
      <c r="Q190" s="239">
        <v>47</v>
      </c>
      <c r="R190" s="239">
        <v>118251</v>
      </c>
      <c r="S190" s="239">
        <v>-4100013</v>
      </c>
      <c r="T190" s="239">
        <v>-47162</v>
      </c>
      <c r="U190" s="239">
        <v>-4147175</v>
      </c>
      <c r="V190" s="239">
        <v>-7506</v>
      </c>
      <c r="W190" s="239">
        <v>0</v>
      </c>
      <c r="X190" s="239">
        <v>-7506</v>
      </c>
      <c r="Y190" s="239">
        <v>-157944</v>
      </c>
      <c r="Z190" s="239">
        <v>-6256</v>
      </c>
      <c r="AA190" s="239">
        <v>-164200</v>
      </c>
      <c r="AB190" s="239">
        <v>-94729</v>
      </c>
      <c r="AC190" s="239">
        <v>-2949</v>
      </c>
      <c r="AD190" s="239">
        <v>-97678</v>
      </c>
      <c r="AE190" s="239">
        <v>-310</v>
      </c>
      <c r="AF190" s="239">
        <v>0</v>
      </c>
      <c r="AG190" s="239">
        <v>-310</v>
      </c>
      <c r="AH190" s="239">
        <v>1639747</v>
      </c>
      <c r="AI190" s="239">
        <v>17776</v>
      </c>
      <c r="AJ190" s="239">
        <v>1657523</v>
      </c>
      <c r="AK190" s="239">
        <v>141267</v>
      </c>
      <c r="AL190" s="239">
        <v>-195</v>
      </c>
      <c r="AM190" s="239">
        <v>141072</v>
      </c>
      <c r="AN190" s="239">
        <v>-4284293</v>
      </c>
      <c r="AO190" s="239">
        <v>-166034</v>
      </c>
      <c r="AP190" s="239">
        <v>-4450327</v>
      </c>
      <c r="AQ190" s="239">
        <v>2641</v>
      </c>
      <c r="AR190" s="239">
        <v>0</v>
      </c>
      <c r="AS190" s="239">
        <v>2641</v>
      </c>
      <c r="AT190" s="239">
        <v>-116033</v>
      </c>
      <c r="AU190" s="239">
        <v>0</v>
      </c>
      <c r="AV190" s="239">
        <v>-116033</v>
      </c>
      <c r="AW190" s="239">
        <v>-2555</v>
      </c>
      <c r="AX190" s="239">
        <v>0</v>
      </c>
      <c r="AY190" s="239">
        <v>-2555</v>
      </c>
      <c r="AZ190" s="239">
        <v>-13856</v>
      </c>
      <c r="BA190" s="239">
        <v>0</v>
      </c>
      <c r="BB190" s="239">
        <v>-13856</v>
      </c>
      <c r="BC190" s="239">
        <v>0</v>
      </c>
      <c r="BD190" s="239">
        <v>0</v>
      </c>
      <c r="BE190" s="239">
        <v>0</v>
      </c>
      <c r="BF190" s="239">
        <v>-6891039</v>
      </c>
      <c r="BG190" s="239">
        <v>-201871</v>
      </c>
      <c r="BH190" s="239">
        <v>-7092910</v>
      </c>
      <c r="BI190" s="239">
        <v>-6143</v>
      </c>
      <c r="BJ190" s="239">
        <v>0</v>
      </c>
      <c r="BK190" s="239">
        <v>-6143</v>
      </c>
      <c r="BL190" s="239">
        <v>-3205</v>
      </c>
      <c r="BM190" s="239">
        <v>0</v>
      </c>
      <c r="BN190" s="239">
        <v>-3205</v>
      </c>
      <c r="BO190" s="239">
        <v>-2399686</v>
      </c>
      <c r="BP190" s="239">
        <v>-25242</v>
      </c>
      <c r="BQ190" s="239">
        <v>-2424928</v>
      </c>
      <c r="BR190" s="239">
        <v>-137634</v>
      </c>
      <c r="BS190" s="239">
        <v>745</v>
      </c>
      <c r="BT190" s="239">
        <v>-136889</v>
      </c>
      <c r="BU190" s="239">
        <v>-2546668</v>
      </c>
      <c r="BV190" s="239">
        <v>-24497</v>
      </c>
      <c r="BW190" s="239">
        <v>-2571165</v>
      </c>
      <c r="BX190" s="239">
        <v>-72645</v>
      </c>
      <c r="BY190" s="239">
        <v>0</v>
      </c>
      <c r="BZ190" s="239">
        <v>-72645</v>
      </c>
      <c r="CA190" s="239">
        <v>227</v>
      </c>
      <c r="CB190" s="239">
        <v>0</v>
      </c>
      <c r="CC190" s="239">
        <v>227</v>
      </c>
      <c r="CD190" s="239">
        <v>-624459</v>
      </c>
      <c r="CE190" s="239">
        <v>-7789</v>
      </c>
      <c r="CF190" s="239">
        <v>-632248</v>
      </c>
      <c r="CG190" s="239">
        <v>15211</v>
      </c>
      <c r="CH190" s="239">
        <v>5191</v>
      </c>
      <c r="CI190" s="239">
        <v>20402</v>
      </c>
      <c r="CJ190" s="239">
        <v>0</v>
      </c>
      <c r="CK190" s="239">
        <v>0</v>
      </c>
      <c r="CL190" s="239">
        <v>0</v>
      </c>
      <c r="CM190" s="239">
        <v>0</v>
      </c>
      <c r="CN190" s="239">
        <v>0</v>
      </c>
      <c r="CO190" s="239">
        <v>0</v>
      </c>
      <c r="CP190" s="239">
        <v>-4184</v>
      </c>
      <c r="CQ190" s="239">
        <v>0</v>
      </c>
      <c r="CR190" s="239">
        <v>-4184</v>
      </c>
      <c r="CS190" s="239">
        <v>0</v>
      </c>
      <c r="CT190" s="239">
        <v>0</v>
      </c>
      <c r="CU190" s="239">
        <v>0</v>
      </c>
      <c r="CV190" s="239">
        <v>-1490</v>
      </c>
      <c r="CW190" s="239">
        <v>0</v>
      </c>
      <c r="CX190" s="239">
        <v>-1490</v>
      </c>
      <c r="CY190" s="239">
        <v>0</v>
      </c>
      <c r="CZ190" s="239">
        <v>0</v>
      </c>
      <c r="DA190" s="239">
        <v>0</v>
      </c>
      <c r="DB190" s="239">
        <v>0</v>
      </c>
      <c r="DC190" s="239">
        <v>0</v>
      </c>
      <c r="DD190" s="239">
        <v>0</v>
      </c>
      <c r="DE190" s="239">
        <v>0</v>
      </c>
      <c r="DF190" s="239">
        <v>0</v>
      </c>
      <c r="DG190" s="239">
        <v>0</v>
      </c>
      <c r="DH190" s="239">
        <v>0</v>
      </c>
      <c r="DI190" s="239">
        <v>0</v>
      </c>
      <c r="DJ190" s="239">
        <v>-687340</v>
      </c>
      <c r="DK190" s="239">
        <v>-2598</v>
      </c>
      <c r="DL190" s="239">
        <v>-689938</v>
      </c>
      <c r="DM190" s="239">
        <v>0</v>
      </c>
      <c r="DN190" s="239">
        <v>-35683</v>
      </c>
      <c r="DO190" s="239">
        <v>-35683</v>
      </c>
      <c r="DP190" s="239">
        <v>-2311</v>
      </c>
      <c r="DQ190" s="239">
        <v>0</v>
      </c>
      <c r="DR190" s="239">
        <v>-2311</v>
      </c>
      <c r="DS190" s="239">
        <v>-6482</v>
      </c>
      <c r="DT190" s="239">
        <v>0</v>
      </c>
      <c r="DU190" s="239">
        <v>-6482</v>
      </c>
      <c r="DV190" s="239">
        <v>0</v>
      </c>
      <c r="DW190" s="239">
        <v>0</v>
      </c>
      <c r="DX190" s="239">
        <v>0</v>
      </c>
      <c r="DY190" s="239">
        <v>-815331</v>
      </c>
      <c r="DZ190" s="239">
        <v>-123</v>
      </c>
      <c r="EA190" s="239">
        <v>-815454</v>
      </c>
      <c r="EB190" s="239">
        <v>-48384</v>
      </c>
      <c r="EC190" s="239">
        <v>0</v>
      </c>
      <c r="ED190" s="239">
        <v>-48384</v>
      </c>
      <c r="EE190" s="239">
        <v>0</v>
      </c>
      <c r="EF190" s="239">
        <v>0</v>
      </c>
      <c r="EG190" s="239">
        <v>0</v>
      </c>
      <c r="EH190" s="239">
        <v>0</v>
      </c>
      <c r="EI190" s="239">
        <v>0</v>
      </c>
      <c r="EJ190" s="239">
        <v>0</v>
      </c>
      <c r="EK190" s="239">
        <v>-21748</v>
      </c>
      <c r="EL190" s="239">
        <v>0</v>
      </c>
      <c r="EM190" s="239">
        <v>-21748</v>
      </c>
      <c r="EN190" s="239">
        <v>-894256</v>
      </c>
      <c r="EO190" s="239">
        <v>-35806</v>
      </c>
      <c r="EP190" s="239">
        <v>-930062</v>
      </c>
      <c r="EQ190" s="239">
        <v>0</v>
      </c>
      <c r="ER190" s="239">
        <v>0</v>
      </c>
      <c r="ES190" s="239">
        <v>0</v>
      </c>
      <c r="ET190" s="239">
        <v>0</v>
      </c>
      <c r="EU190" s="239">
        <v>0</v>
      </c>
      <c r="EV190" s="239">
        <v>0</v>
      </c>
      <c r="EW190" s="239">
        <v>0</v>
      </c>
      <c r="EX190" s="239">
        <v>0</v>
      </c>
      <c r="EY190" s="239">
        <v>0</v>
      </c>
      <c r="EZ190" s="239">
        <v>79584104</v>
      </c>
      <c r="FA190" s="239">
        <v>733076</v>
      </c>
      <c r="FB190" s="239">
        <v>80317180</v>
      </c>
      <c r="FC190" s="239">
        <v>118204</v>
      </c>
      <c r="FD190" s="239">
        <v>47</v>
      </c>
      <c r="FE190" s="239">
        <v>118251</v>
      </c>
      <c r="FF190" s="239">
        <v>-6891039</v>
      </c>
      <c r="FG190" s="239">
        <v>-201871</v>
      </c>
      <c r="FH190" s="239">
        <v>-7092910</v>
      </c>
      <c r="FI190" s="239">
        <v>-2546668</v>
      </c>
      <c r="FJ190" s="239">
        <v>-24497</v>
      </c>
      <c r="FK190" s="239">
        <v>-2571165</v>
      </c>
      <c r="FL190" s="239">
        <v>-687340</v>
      </c>
      <c r="FM190" s="239">
        <v>-2598</v>
      </c>
      <c r="FN190" s="239">
        <v>-689938</v>
      </c>
      <c r="FO190" s="239">
        <v>-894256</v>
      </c>
      <c r="FP190" s="239">
        <v>-35806</v>
      </c>
      <c r="FQ190" s="239">
        <v>-930062</v>
      </c>
      <c r="FR190" s="239">
        <v>0</v>
      </c>
      <c r="FS190" s="239">
        <v>0</v>
      </c>
      <c r="FT190" s="239">
        <v>0</v>
      </c>
      <c r="FU190" s="239">
        <v>-10901099</v>
      </c>
      <c r="FV190" s="239">
        <v>-264725</v>
      </c>
      <c r="FW190" s="239">
        <v>-11165824</v>
      </c>
      <c r="FX190" s="239">
        <v>68683005</v>
      </c>
      <c r="FY190" s="239">
        <v>468351</v>
      </c>
      <c r="FZ190" s="239">
        <v>69151356</v>
      </c>
      <c r="GA190" s="214" t="s">
        <v>748</v>
      </c>
    </row>
    <row r="191" spans="2:183" s="214" customFormat="1" x14ac:dyDescent="0.2">
      <c r="B191" s="610" t="s">
        <v>465</v>
      </c>
      <c r="C191" s="610" t="s">
        <v>464</v>
      </c>
      <c r="D191" s="239">
        <v>0</v>
      </c>
      <c r="E191" s="239">
        <v>0</v>
      </c>
      <c r="F191" s="239">
        <v>0</v>
      </c>
      <c r="G191" s="239">
        <v>49981</v>
      </c>
      <c r="H191" s="239">
        <v>948</v>
      </c>
      <c r="I191" s="239">
        <v>50929</v>
      </c>
      <c r="J191" s="239">
        <v>0</v>
      </c>
      <c r="K191" s="239">
        <v>0</v>
      </c>
      <c r="L191" s="239">
        <v>0</v>
      </c>
      <c r="M191" s="239">
        <v>206034</v>
      </c>
      <c r="N191" s="239">
        <v>0</v>
      </c>
      <c r="O191" s="239">
        <v>206034</v>
      </c>
      <c r="P191" s="239">
        <v>256015</v>
      </c>
      <c r="Q191" s="239">
        <v>948</v>
      </c>
      <c r="R191" s="239">
        <v>256963</v>
      </c>
      <c r="S191" s="239">
        <v>-3611793</v>
      </c>
      <c r="T191" s="239">
        <v>-5050</v>
      </c>
      <c r="U191" s="239">
        <v>-3616843</v>
      </c>
      <c r="V191" s="239">
        <v>-19869</v>
      </c>
      <c r="W191" s="239">
        <v>-1579</v>
      </c>
      <c r="X191" s="239">
        <v>-21448</v>
      </c>
      <c r="Y191" s="239">
        <v>-63152</v>
      </c>
      <c r="Z191" s="239">
        <v>-2061</v>
      </c>
      <c r="AA191" s="239">
        <v>-65213</v>
      </c>
      <c r="AB191" s="239">
        <v>-56394</v>
      </c>
      <c r="AC191" s="239">
        <v>-2061</v>
      </c>
      <c r="AD191" s="239">
        <v>-58455</v>
      </c>
      <c r="AE191" s="239">
        <v>2017</v>
      </c>
      <c r="AF191" s="239">
        <v>-1160</v>
      </c>
      <c r="AG191" s="239">
        <v>857</v>
      </c>
      <c r="AH191" s="239">
        <v>1678024</v>
      </c>
      <c r="AI191" s="239">
        <v>16919</v>
      </c>
      <c r="AJ191" s="239">
        <v>1694943</v>
      </c>
      <c r="AK191" s="239">
        <v>-20724</v>
      </c>
      <c r="AL191" s="239">
        <v>-366</v>
      </c>
      <c r="AM191" s="239">
        <v>-21090</v>
      </c>
      <c r="AN191" s="239">
        <v>-4201306</v>
      </c>
      <c r="AO191" s="239">
        <v>0</v>
      </c>
      <c r="AP191" s="239">
        <v>-4201306</v>
      </c>
      <c r="AQ191" s="239">
        <v>62720</v>
      </c>
      <c r="AR191" s="239">
        <v>0</v>
      </c>
      <c r="AS191" s="239">
        <v>62720</v>
      </c>
      <c r="AT191" s="239">
        <v>-60635</v>
      </c>
      <c r="AU191" s="239">
        <v>0</v>
      </c>
      <c r="AV191" s="239">
        <v>-60635</v>
      </c>
      <c r="AW191" s="239">
        <v>0</v>
      </c>
      <c r="AX191" s="239">
        <v>0</v>
      </c>
      <c r="AY191" s="239">
        <v>0</v>
      </c>
      <c r="AZ191" s="239">
        <v>0</v>
      </c>
      <c r="BA191" s="239">
        <v>0</v>
      </c>
      <c r="BB191" s="239">
        <v>0</v>
      </c>
      <c r="BC191" s="239">
        <v>0</v>
      </c>
      <c r="BD191" s="239">
        <v>0</v>
      </c>
      <c r="BE191" s="239">
        <v>0</v>
      </c>
      <c r="BF191" s="239">
        <v>-6216866</v>
      </c>
      <c r="BG191" s="239">
        <v>9442</v>
      </c>
      <c r="BH191" s="239">
        <v>-6207424</v>
      </c>
      <c r="BI191" s="239">
        <v>-30668</v>
      </c>
      <c r="BJ191" s="239">
        <v>0</v>
      </c>
      <c r="BK191" s="239">
        <v>-30668</v>
      </c>
      <c r="BL191" s="239">
        <v>-337923</v>
      </c>
      <c r="BM191" s="239">
        <v>0</v>
      </c>
      <c r="BN191" s="239">
        <v>-337923</v>
      </c>
      <c r="BO191" s="239">
        <v>-2433444</v>
      </c>
      <c r="BP191" s="239">
        <v>-2343</v>
      </c>
      <c r="BQ191" s="239">
        <v>-2435787</v>
      </c>
      <c r="BR191" s="239">
        <v>-211258</v>
      </c>
      <c r="BS191" s="239">
        <v>0</v>
      </c>
      <c r="BT191" s="239">
        <v>-211258</v>
      </c>
      <c r="BU191" s="239">
        <v>-3013293</v>
      </c>
      <c r="BV191" s="239">
        <v>-2343</v>
      </c>
      <c r="BW191" s="239">
        <v>-3015636</v>
      </c>
      <c r="BX191" s="239">
        <v>-303844</v>
      </c>
      <c r="BY191" s="239">
        <v>0</v>
      </c>
      <c r="BZ191" s="239">
        <v>-303844</v>
      </c>
      <c r="CA191" s="239">
        <v>-620</v>
      </c>
      <c r="CB191" s="239">
        <v>0</v>
      </c>
      <c r="CC191" s="239">
        <v>-620</v>
      </c>
      <c r="CD191" s="239">
        <v>-34269</v>
      </c>
      <c r="CE191" s="239">
        <v>0</v>
      </c>
      <c r="CF191" s="239">
        <v>-34269</v>
      </c>
      <c r="CG191" s="239">
        <v>0</v>
      </c>
      <c r="CH191" s="239">
        <v>0</v>
      </c>
      <c r="CI191" s="239">
        <v>0</v>
      </c>
      <c r="CJ191" s="239">
        <v>-15159</v>
      </c>
      <c r="CK191" s="239">
        <v>0</v>
      </c>
      <c r="CL191" s="239">
        <v>-15159</v>
      </c>
      <c r="CM191" s="239">
        <v>0</v>
      </c>
      <c r="CN191" s="239">
        <v>0</v>
      </c>
      <c r="CO191" s="239">
        <v>0</v>
      </c>
      <c r="CP191" s="239">
        <v>0</v>
      </c>
      <c r="CQ191" s="239">
        <v>0</v>
      </c>
      <c r="CR191" s="239">
        <v>0</v>
      </c>
      <c r="CS191" s="239">
        <v>0</v>
      </c>
      <c r="CT191" s="239">
        <v>0</v>
      </c>
      <c r="CU191" s="239">
        <v>0</v>
      </c>
      <c r="CV191" s="239">
        <v>0</v>
      </c>
      <c r="CW191" s="239">
        <v>0</v>
      </c>
      <c r="CX191" s="239">
        <v>0</v>
      </c>
      <c r="CY191" s="239">
        <v>0</v>
      </c>
      <c r="CZ191" s="239">
        <v>0</v>
      </c>
      <c r="DA191" s="239">
        <v>0</v>
      </c>
      <c r="DB191" s="239">
        <v>0</v>
      </c>
      <c r="DC191" s="239">
        <v>-63188</v>
      </c>
      <c r="DD191" s="239">
        <v>-63188</v>
      </c>
      <c r="DE191" s="239">
        <v>0</v>
      </c>
      <c r="DF191" s="239">
        <v>-5117</v>
      </c>
      <c r="DG191" s="239">
        <v>-5117</v>
      </c>
      <c r="DH191" s="239">
        <v>-68305</v>
      </c>
      <c r="DI191" s="239">
        <v>0</v>
      </c>
      <c r="DJ191" s="239">
        <v>-353892</v>
      </c>
      <c r="DK191" s="239">
        <v>-68305</v>
      </c>
      <c r="DL191" s="239">
        <v>-422197</v>
      </c>
      <c r="DM191" s="239">
        <v>0</v>
      </c>
      <c r="DN191" s="239">
        <v>0</v>
      </c>
      <c r="DO191" s="239">
        <v>0</v>
      </c>
      <c r="DP191" s="239">
        <v>0</v>
      </c>
      <c r="DQ191" s="239">
        <v>0</v>
      </c>
      <c r="DR191" s="239">
        <v>0</v>
      </c>
      <c r="DS191" s="239">
        <v>-69472</v>
      </c>
      <c r="DT191" s="239">
        <v>0</v>
      </c>
      <c r="DU191" s="239">
        <v>-69472</v>
      </c>
      <c r="DV191" s="239">
        <v>-29517</v>
      </c>
      <c r="DW191" s="239">
        <v>0</v>
      </c>
      <c r="DX191" s="239">
        <v>-29517</v>
      </c>
      <c r="DY191" s="239">
        <v>-1073842</v>
      </c>
      <c r="DZ191" s="239">
        <v>0</v>
      </c>
      <c r="EA191" s="239">
        <v>-1073842</v>
      </c>
      <c r="EB191" s="239">
        <v>-33693</v>
      </c>
      <c r="EC191" s="239">
        <v>0</v>
      </c>
      <c r="ED191" s="239">
        <v>-33693</v>
      </c>
      <c r="EE191" s="239">
        <v>0</v>
      </c>
      <c r="EF191" s="239">
        <v>0</v>
      </c>
      <c r="EG191" s="239">
        <v>0</v>
      </c>
      <c r="EH191" s="239">
        <v>0</v>
      </c>
      <c r="EI191" s="239">
        <v>0</v>
      </c>
      <c r="EJ191" s="239">
        <v>0</v>
      </c>
      <c r="EK191" s="239">
        <v>-4550</v>
      </c>
      <c r="EL191" s="239">
        <v>0</v>
      </c>
      <c r="EM191" s="239">
        <v>-4550</v>
      </c>
      <c r="EN191" s="239">
        <v>-1211074</v>
      </c>
      <c r="EO191" s="239">
        <v>0</v>
      </c>
      <c r="EP191" s="239">
        <v>-1211074</v>
      </c>
      <c r="EQ191" s="239">
        <v>-2022</v>
      </c>
      <c r="ER191" s="239">
        <v>0</v>
      </c>
      <c r="ES191" s="239">
        <v>-2022</v>
      </c>
      <c r="ET191" s="239">
        <v>744</v>
      </c>
      <c r="EU191" s="239">
        <v>0</v>
      </c>
      <c r="EV191" s="239">
        <v>744</v>
      </c>
      <c r="EW191" s="239">
        <v>-1278</v>
      </c>
      <c r="EX191" s="239">
        <v>0</v>
      </c>
      <c r="EY191" s="239">
        <v>-1278</v>
      </c>
      <c r="EZ191" s="239">
        <v>67950852</v>
      </c>
      <c r="FA191" s="239">
        <v>636582</v>
      </c>
      <c r="FB191" s="239">
        <v>68587434</v>
      </c>
      <c r="FC191" s="239">
        <v>256015</v>
      </c>
      <c r="FD191" s="239">
        <v>948</v>
      </c>
      <c r="FE191" s="239">
        <v>256963</v>
      </c>
      <c r="FF191" s="239">
        <v>-6216866</v>
      </c>
      <c r="FG191" s="239">
        <v>9442</v>
      </c>
      <c r="FH191" s="239">
        <v>-6207424</v>
      </c>
      <c r="FI191" s="239">
        <v>-3013293</v>
      </c>
      <c r="FJ191" s="239">
        <v>-2343</v>
      </c>
      <c r="FK191" s="239">
        <v>-3015636</v>
      </c>
      <c r="FL191" s="239">
        <v>-353892</v>
      </c>
      <c r="FM191" s="239">
        <v>-68305</v>
      </c>
      <c r="FN191" s="239">
        <v>-422197</v>
      </c>
      <c r="FO191" s="239">
        <v>-1211074</v>
      </c>
      <c r="FP191" s="239">
        <v>0</v>
      </c>
      <c r="FQ191" s="239">
        <v>-1211074</v>
      </c>
      <c r="FR191" s="239">
        <v>-1278</v>
      </c>
      <c r="FS191" s="239">
        <v>0</v>
      </c>
      <c r="FT191" s="239">
        <v>-1278</v>
      </c>
      <c r="FU191" s="239">
        <v>-10540388</v>
      </c>
      <c r="FV191" s="239">
        <v>-60258</v>
      </c>
      <c r="FW191" s="239">
        <v>-10600646</v>
      </c>
      <c r="FX191" s="239">
        <v>57410464</v>
      </c>
      <c r="FY191" s="239">
        <v>576324</v>
      </c>
      <c r="FZ191" s="239">
        <v>57986788</v>
      </c>
      <c r="GA191" s="214" t="s">
        <v>1296</v>
      </c>
    </row>
    <row r="192" spans="2:183" s="214" customFormat="1" x14ac:dyDescent="0.2">
      <c r="B192" s="610" t="s">
        <v>467</v>
      </c>
      <c r="C192" s="610" t="s">
        <v>466</v>
      </c>
      <c r="D192" s="239">
        <v>0</v>
      </c>
      <c r="E192" s="239">
        <v>0</v>
      </c>
      <c r="F192" s="239">
        <v>0</v>
      </c>
      <c r="G192" s="239">
        <v>-1351</v>
      </c>
      <c r="H192" s="239">
        <v>0</v>
      </c>
      <c r="I192" s="239">
        <v>-1351</v>
      </c>
      <c r="J192" s="239">
        <v>0</v>
      </c>
      <c r="K192" s="239">
        <v>0</v>
      </c>
      <c r="L192" s="239">
        <v>0</v>
      </c>
      <c r="M192" s="239">
        <v>186780</v>
      </c>
      <c r="N192" s="239">
        <v>0</v>
      </c>
      <c r="O192" s="239">
        <v>186780</v>
      </c>
      <c r="P192" s="239">
        <v>185429</v>
      </c>
      <c r="Q192" s="239">
        <v>0</v>
      </c>
      <c r="R192" s="239">
        <v>185429</v>
      </c>
      <c r="S192" s="239">
        <v>-1401994</v>
      </c>
      <c r="T192" s="239">
        <v>0</v>
      </c>
      <c r="U192" s="239">
        <v>-1401994</v>
      </c>
      <c r="V192" s="239">
        <v>-6870</v>
      </c>
      <c r="W192" s="239">
        <v>0</v>
      </c>
      <c r="X192" s="239">
        <v>-6870</v>
      </c>
      <c r="Y192" s="239">
        <v>-117829</v>
      </c>
      <c r="Z192" s="239">
        <v>0</v>
      </c>
      <c r="AA192" s="239">
        <v>-117829</v>
      </c>
      <c r="AB192" s="239">
        <v>-66101</v>
      </c>
      <c r="AC192" s="239">
        <v>0</v>
      </c>
      <c r="AD192" s="239">
        <v>-66101</v>
      </c>
      <c r="AE192" s="239">
        <v>-411</v>
      </c>
      <c r="AF192" s="239">
        <v>0</v>
      </c>
      <c r="AG192" s="239">
        <v>-411</v>
      </c>
      <c r="AH192" s="239">
        <v>1161405</v>
      </c>
      <c r="AI192" s="239">
        <v>0</v>
      </c>
      <c r="AJ192" s="239">
        <v>1161405</v>
      </c>
      <c r="AK192" s="239">
        <v>-21175</v>
      </c>
      <c r="AL192" s="239">
        <v>0</v>
      </c>
      <c r="AM192" s="239">
        <v>-21175</v>
      </c>
      <c r="AN192" s="239">
        <v>-877693</v>
      </c>
      <c r="AO192" s="239">
        <v>0</v>
      </c>
      <c r="AP192" s="239">
        <v>-877693</v>
      </c>
      <c r="AQ192" s="239">
        <v>11783</v>
      </c>
      <c r="AR192" s="239">
        <v>0</v>
      </c>
      <c r="AS192" s="239">
        <v>11783</v>
      </c>
      <c r="AT192" s="239">
        <v>-30955</v>
      </c>
      <c r="AU192" s="239">
        <v>0</v>
      </c>
      <c r="AV192" s="239">
        <v>-30955</v>
      </c>
      <c r="AW192" s="239">
        <v>0</v>
      </c>
      <c r="AX192" s="239">
        <v>0</v>
      </c>
      <c r="AY192" s="239">
        <v>0</v>
      </c>
      <c r="AZ192" s="239">
        <v>-15924</v>
      </c>
      <c r="BA192" s="239">
        <v>0</v>
      </c>
      <c r="BB192" s="239">
        <v>-15924</v>
      </c>
      <c r="BC192" s="239">
        <v>425</v>
      </c>
      <c r="BD192" s="239">
        <v>0</v>
      </c>
      <c r="BE192" s="239">
        <v>425</v>
      </c>
      <c r="BF192" s="239">
        <v>-1291957</v>
      </c>
      <c r="BG192" s="239">
        <v>0</v>
      </c>
      <c r="BH192" s="239">
        <v>-1291957</v>
      </c>
      <c r="BI192" s="239">
        <v>0</v>
      </c>
      <c r="BJ192" s="239">
        <v>0</v>
      </c>
      <c r="BK192" s="239">
        <v>0</v>
      </c>
      <c r="BL192" s="239">
        <v>-162546</v>
      </c>
      <c r="BM192" s="239">
        <v>0</v>
      </c>
      <c r="BN192" s="239">
        <v>-162546</v>
      </c>
      <c r="BO192" s="239">
        <v>-1204380</v>
      </c>
      <c r="BP192" s="239">
        <v>0</v>
      </c>
      <c r="BQ192" s="239">
        <v>-1204380</v>
      </c>
      <c r="BR192" s="239">
        <v>-33392</v>
      </c>
      <c r="BS192" s="239">
        <v>0</v>
      </c>
      <c r="BT192" s="239">
        <v>-33392</v>
      </c>
      <c r="BU192" s="239">
        <v>-1400318</v>
      </c>
      <c r="BV192" s="239">
        <v>0</v>
      </c>
      <c r="BW192" s="239">
        <v>-1400318</v>
      </c>
      <c r="BX192" s="239">
        <v>-32500</v>
      </c>
      <c r="BY192" s="239">
        <v>0</v>
      </c>
      <c r="BZ192" s="239">
        <v>-32500</v>
      </c>
      <c r="CA192" s="239">
        <v>-6019</v>
      </c>
      <c r="CB192" s="239">
        <v>0</v>
      </c>
      <c r="CC192" s="239">
        <v>-6019</v>
      </c>
      <c r="CD192" s="239">
        <v>-10971</v>
      </c>
      <c r="CE192" s="239">
        <v>0</v>
      </c>
      <c r="CF192" s="239">
        <v>-10971</v>
      </c>
      <c r="CG192" s="239">
        <v>-1784</v>
      </c>
      <c r="CH192" s="239">
        <v>0</v>
      </c>
      <c r="CI192" s="239">
        <v>-1784</v>
      </c>
      <c r="CJ192" s="239">
        <v>-1353</v>
      </c>
      <c r="CK192" s="239">
        <v>0</v>
      </c>
      <c r="CL192" s="239">
        <v>-1353</v>
      </c>
      <c r="CM192" s="239">
        <v>-884</v>
      </c>
      <c r="CN192" s="239">
        <v>0</v>
      </c>
      <c r="CO192" s="239">
        <v>-884</v>
      </c>
      <c r="CP192" s="239">
        <v>0</v>
      </c>
      <c r="CQ192" s="239">
        <v>0</v>
      </c>
      <c r="CR192" s="239">
        <v>0</v>
      </c>
      <c r="CS192" s="239">
        <v>0</v>
      </c>
      <c r="CT192" s="239">
        <v>0</v>
      </c>
      <c r="CU192" s="239">
        <v>0</v>
      </c>
      <c r="CV192" s="239">
        <v>0</v>
      </c>
      <c r="CW192" s="239">
        <v>0</v>
      </c>
      <c r="CX192" s="239">
        <v>0</v>
      </c>
      <c r="CY192" s="239">
        <v>0</v>
      </c>
      <c r="CZ192" s="239">
        <v>0</v>
      </c>
      <c r="DA192" s="239">
        <v>0</v>
      </c>
      <c r="DB192" s="239">
        <v>0</v>
      </c>
      <c r="DC192" s="239">
        <v>0</v>
      </c>
      <c r="DD192" s="239">
        <v>0</v>
      </c>
      <c r="DE192" s="239">
        <v>0</v>
      </c>
      <c r="DF192" s="239">
        <v>0</v>
      </c>
      <c r="DG192" s="239">
        <v>0</v>
      </c>
      <c r="DH192" s="239">
        <v>0</v>
      </c>
      <c r="DI192" s="239">
        <v>0</v>
      </c>
      <c r="DJ192" s="239">
        <v>-53511</v>
      </c>
      <c r="DK192" s="239">
        <v>0</v>
      </c>
      <c r="DL192" s="239">
        <v>-53511</v>
      </c>
      <c r="DM192" s="239">
        <v>0</v>
      </c>
      <c r="DN192" s="239">
        <v>0</v>
      </c>
      <c r="DO192" s="239">
        <v>0</v>
      </c>
      <c r="DP192" s="239">
        <v>0</v>
      </c>
      <c r="DQ192" s="239">
        <v>0</v>
      </c>
      <c r="DR192" s="239">
        <v>0</v>
      </c>
      <c r="DS192" s="239">
        <v>-5718</v>
      </c>
      <c r="DT192" s="239">
        <v>0</v>
      </c>
      <c r="DU192" s="239">
        <v>-5718</v>
      </c>
      <c r="DV192" s="239">
        <v>0</v>
      </c>
      <c r="DW192" s="239">
        <v>0</v>
      </c>
      <c r="DX192" s="239">
        <v>0</v>
      </c>
      <c r="DY192" s="239">
        <v>-224389</v>
      </c>
      <c r="DZ192" s="239">
        <v>0</v>
      </c>
      <c r="EA192" s="239">
        <v>-224389</v>
      </c>
      <c r="EB192" s="239">
        <v>-1411</v>
      </c>
      <c r="EC192" s="239">
        <v>0</v>
      </c>
      <c r="ED192" s="239">
        <v>-1411</v>
      </c>
      <c r="EE192" s="239">
        <v>0</v>
      </c>
      <c r="EF192" s="239">
        <v>0</v>
      </c>
      <c r="EG192" s="239">
        <v>0</v>
      </c>
      <c r="EH192" s="239">
        <v>0</v>
      </c>
      <c r="EI192" s="239">
        <v>0</v>
      </c>
      <c r="EJ192" s="239">
        <v>0</v>
      </c>
      <c r="EK192" s="239">
        <v>-5495</v>
      </c>
      <c r="EL192" s="239">
        <v>0</v>
      </c>
      <c r="EM192" s="239">
        <v>-5495</v>
      </c>
      <c r="EN192" s="239">
        <v>-237013</v>
      </c>
      <c r="EO192" s="239">
        <v>0</v>
      </c>
      <c r="EP192" s="239">
        <v>-237013</v>
      </c>
      <c r="EQ192" s="239">
        <v>0</v>
      </c>
      <c r="ER192" s="239">
        <v>0</v>
      </c>
      <c r="ES192" s="239">
        <v>0</v>
      </c>
      <c r="ET192" s="239">
        <v>0</v>
      </c>
      <c r="EU192" s="239">
        <v>0</v>
      </c>
      <c r="EV192" s="239">
        <v>0</v>
      </c>
      <c r="EW192" s="239">
        <v>0</v>
      </c>
      <c r="EX192" s="239">
        <v>0</v>
      </c>
      <c r="EY192" s="239">
        <v>0</v>
      </c>
      <c r="EZ192" s="239">
        <v>46064932</v>
      </c>
      <c r="FA192" s="239">
        <v>0</v>
      </c>
      <c r="FB192" s="239">
        <v>46064932</v>
      </c>
      <c r="FC192" s="239">
        <v>185429</v>
      </c>
      <c r="FD192" s="239">
        <v>0</v>
      </c>
      <c r="FE192" s="239">
        <v>185429</v>
      </c>
      <c r="FF192" s="239">
        <v>-1291957</v>
      </c>
      <c r="FG192" s="239">
        <v>0</v>
      </c>
      <c r="FH192" s="239">
        <v>-1291957</v>
      </c>
      <c r="FI192" s="239">
        <v>-1400318</v>
      </c>
      <c r="FJ192" s="239">
        <v>0</v>
      </c>
      <c r="FK192" s="239">
        <v>-1400318</v>
      </c>
      <c r="FL192" s="239">
        <v>-53511</v>
      </c>
      <c r="FM192" s="239">
        <v>0</v>
      </c>
      <c r="FN192" s="239">
        <v>-53511</v>
      </c>
      <c r="FO192" s="239">
        <v>-237013</v>
      </c>
      <c r="FP192" s="239">
        <v>0</v>
      </c>
      <c r="FQ192" s="239">
        <v>-237013</v>
      </c>
      <c r="FR192" s="239">
        <v>0</v>
      </c>
      <c r="FS192" s="239">
        <v>0</v>
      </c>
      <c r="FT192" s="239">
        <v>0</v>
      </c>
      <c r="FU192" s="239">
        <v>-2797370</v>
      </c>
      <c r="FV192" s="239">
        <v>0</v>
      </c>
      <c r="FW192" s="239">
        <v>-2797370</v>
      </c>
      <c r="FX192" s="239">
        <v>43267562</v>
      </c>
      <c r="FY192" s="239">
        <v>0</v>
      </c>
      <c r="FZ192" s="239">
        <v>43267562</v>
      </c>
      <c r="GA192" s="214" t="s">
        <v>1294</v>
      </c>
    </row>
    <row r="193" spans="2:183" s="214" customFormat="1" x14ac:dyDescent="0.2">
      <c r="B193" s="610" t="s">
        <v>469</v>
      </c>
      <c r="C193" s="610" t="s">
        <v>468</v>
      </c>
      <c r="D193" s="239">
        <v>0</v>
      </c>
      <c r="E193" s="239">
        <v>0</v>
      </c>
      <c r="F193" s="239">
        <v>0</v>
      </c>
      <c r="G193" s="239">
        <v>4009.83</v>
      </c>
      <c r="H193" s="239">
        <v>0</v>
      </c>
      <c r="I193" s="239">
        <v>4009.83</v>
      </c>
      <c r="J193" s="239">
        <v>0</v>
      </c>
      <c r="K193" s="239">
        <v>0</v>
      </c>
      <c r="L193" s="239">
        <v>0</v>
      </c>
      <c r="M193" s="239">
        <v>60588.959999999999</v>
      </c>
      <c r="N193" s="239">
        <v>0</v>
      </c>
      <c r="O193" s="239">
        <v>60588.959999999999</v>
      </c>
      <c r="P193" s="239">
        <v>64599</v>
      </c>
      <c r="Q193" s="239">
        <v>0</v>
      </c>
      <c r="R193" s="239">
        <v>64599</v>
      </c>
      <c r="S193" s="239">
        <v>-1993007</v>
      </c>
      <c r="T193" s="239">
        <v>0</v>
      </c>
      <c r="U193" s="239">
        <v>-1993007</v>
      </c>
      <c r="V193" s="239">
        <v>-6866</v>
      </c>
      <c r="W193" s="239">
        <v>0</v>
      </c>
      <c r="X193" s="239">
        <v>-6866</v>
      </c>
      <c r="Y193" s="239">
        <v>-74636.55</v>
      </c>
      <c r="Z193" s="239">
        <v>0</v>
      </c>
      <c r="AA193" s="239">
        <v>-74636.55</v>
      </c>
      <c r="AB193" s="239">
        <v>-57802</v>
      </c>
      <c r="AC193" s="239">
        <v>0</v>
      </c>
      <c r="AD193" s="239">
        <v>-57802</v>
      </c>
      <c r="AE193" s="239">
        <v>0</v>
      </c>
      <c r="AF193" s="239">
        <v>0</v>
      </c>
      <c r="AG193" s="239">
        <v>0</v>
      </c>
      <c r="AH193" s="239">
        <v>1378681</v>
      </c>
      <c r="AI193" s="239">
        <v>0</v>
      </c>
      <c r="AJ193" s="239">
        <v>1378681</v>
      </c>
      <c r="AK193" s="239">
        <v>-7481</v>
      </c>
      <c r="AL193" s="239">
        <v>0</v>
      </c>
      <c r="AM193" s="239">
        <v>-7481</v>
      </c>
      <c r="AN193" s="239">
        <v>-1409666</v>
      </c>
      <c r="AO193" s="239">
        <v>0</v>
      </c>
      <c r="AP193" s="239">
        <v>-1409666</v>
      </c>
      <c r="AQ193" s="239">
        <v>28914</v>
      </c>
      <c r="AR193" s="239">
        <v>0</v>
      </c>
      <c r="AS193" s="239">
        <v>28914</v>
      </c>
      <c r="AT193" s="239">
        <v>-22126</v>
      </c>
      <c r="AU193" s="239">
        <v>0</v>
      </c>
      <c r="AV193" s="239">
        <v>-22126</v>
      </c>
      <c r="AW193" s="239">
        <v>-21321</v>
      </c>
      <c r="AX193" s="239">
        <v>0</v>
      </c>
      <c r="AY193" s="239">
        <v>-21321</v>
      </c>
      <c r="AZ193" s="239">
        <v>-12486</v>
      </c>
      <c r="BA193" s="239">
        <v>0</v>
      </c>
      <c r="BB193" s="239">
        <v>-12486</v>
      </c>
      <c r="BC193" s="239">
        <v>948</v>
      </c>
      <c r="BD193" s="239">
        <v>0</v>
      </c>
      <c r="BE193" s="239">
        <v>948</v>
      </c>
      <c r="BF193" s="239">
        <v>-2132181</v>
      </c>
      <c r="BG193" s="239">
        <v>0</v>
      </c>
      <c r="BH193" s="239">
        <v>-2132181</v>
      </c>
      <c r="BI193" s="239">
        <v>-61648</v>
      </c>
      <c r="BJ193" s="239">
        <v>0</v>
      </c>
      <c r="BK193" s="239">
        <v>-61648</v>
      </c>
      <c r="BL193" s="239">
        <v>-60057</v>
      </c>
      <c r="BM193" s="239">
        <v>0</v>
      </c>
      <c r="BN193" s="239">
        <v>-60057</v>
      </c>
      <c r="BO193" s="239">
        <v>-1083389</v>
      </c>
      <c r="BP193" s="239">
        <v>0</v>
      </c>
      <c r="BQ193" s="239">
        <v>-1083389</v>
      </c>
      <c r="BR193" s="239">
        <v>204369</v>
      </c>
      <c r="BS193" s="239">
        <v>0</v>
      </c>
      <c r="BT193" s="239">
        <v>204369</v>
      </c>
      <c r="BU193" s="239">
        <v>-1000725</v>
      </c>
      <c r="BV193" s="239">
        <v>0</v>
      </c>
      <c r="BW193" s="239">
        <v>-1000725</v>
      </c>
      <c r="BX193" s="239">
        <v>-54177</v>
      </c>
      <c r="BY193" s="239">
        <v>0</v>
      </c>
      <c r="BZ193" s="239">
        <v>-54177</v>
      </c>
      <c r="CA193" s="239">
        <v>-1947</v>
      </c>
      <c r="CB193" s="239">
        <v>0</v>
      </c>
      <c r="CC193" s="239">
        <v>-1947</v>
      </c>
      <c r="CD193" s="239">
        <v>-82537</v>
      </c>
      <c r="CE193" s="239">
        <v>0</v>
      </c>
      <c r="CF193" s="239">
        <v>-82537</v>
      </c>
      <c r="CG193" s="239">
        <v>-1401</v>
      </c>
      <c r="CH193" s="239">
        <v>0</v>
      </c>
      <c r="CI193" s="239">
        <v>-1401</v>
      </c>
      <c r="CJ193" s="239">
        <v>-1300</v>
      </c>
      <c r="CK193" s="239">
        <v>0</v>
      </c>
      <c r="CL193" s="239">
        <v>-1300</v>
      </c>
      <c r="CM193" s="239">
        <v>0</v>
      </c>
      <c r="CN193" s="239">
        <v>0</v>
      </c>
      <c r="CO193" s="239">
        <v>0</v>
      </c>
      <c r="CP193" s="239">
        <v>-12486</v>
      </c>
      <c r="CQ193" s="239">
        <v>0</v>
      </c>
      <c r="CR193" s="239">
        <v>-12486</v>
      </c>
      <c r="CS193" s="239">
        <v>-644</v>
      </c>
      <c r="CT193" s="239">
        <v>0</v>
      </c>
      <c r="CU193" s="239">
        <v>-644</v>
      </c>
      <c r="CV193" s="239">
        <v>-238</v>
      </c>
      <c r="CW193" s="239">
        <v>0</v>
      </c>
      <c r="CX193" s="239">
        <v>-238</v>
      </c>
      <c r="CY193" s="239">
        <v>0</v>
      </c>
      <c r="CZ193" s="239">
        <v>0</v>
      </c>
      <c r="DA193" s="239">
        <v>0</v>
      </c>
      <c r="DB193" s="239">
        <v>0</v>
      </c>
      <c r="DC193" s="239">
        <v>0</v>
      </c>
      <c r="DD193" s="239">
        <v>0</v>
      </c>
      <c r="DE193" s="239">
        <v>0</v>
      </c>
      <c r="DF193" s="239">
        <v>0</v>
      </c>
      <c r="DG193" s="239">
        <v>0</v>
      </c>
      <c r="DH193" s="239">
        <v>0</v>
      </c>
      <c r="DI193" s="239">
        <v>0</v>
      </c>
      <c r="DJ193" s="239">
        <v>-154730</v>
      </c>
      <c r="DK193" s="239">
        <v>0</v>
      </c>
      <c r="DL193" s="239">
        <v>-154730</v>
      </c>
      <c r="DM193" s="239">
        <v>-1839</v>
      </c>
      <c r="DN193" s="239">
        <v>0</v>
      </c>
      <c r="DO193" s="239">
        <v>-1839</v>
      </c>
      <c r="DP193" s="239">
        <v>0</v>
      </c>
      <c r="DQ193" s="239">
        <v>0</v>
      </c>
      <c r="DR193" s="239">
        <v>0</v>
      </c>
      <c r="DS193" s="239">
        <v>0</v>
      </c>
      <c r="DT193" s="239">
        <v>0</v>
      </c>
      <c r="DU193" s="239">
        <v>0</v>
      </c>
      <c r="DV193" s="239">
        <v>0</v>
      </c>
      <c r="DW193" s="239">
        <v>0</v>
      </c>
      <c r="DX193" s="239">
        <v>0</v>
      </c>
      <c r="DY193" s="239">
        <v>-315920</v>
      </c>
      <c r="DZ193" s="239">
        <v>0</v>
      </c>
      <c r="EA193" s="239">
        <v>-315920</v>
      </c>
      <c r="EB193" s="239">
        <v>-4922</v>
      </c>
      <c r="EC193" s="239">
        <v>0</v>
      </c>
      <c r="ED193" s="239">
        <v>-4922</v>
      </c>
      <c r="EE193" s="239">
        <v>0</v>
      </c>
      <c r="EF193" s="239">
        <v>0</v>
      </c>
      <c r="EG193" s="239">
        <v>0</v>
      </c>
      <c r="EH193" s="239">
        <v>0</v>
      </c>
      <c r="EI193" s="239">
        <v>0</v>
      </c>
      <c r="EJ193" s="239">
        <v>0</v>
      </c>
      <c r="EK193" s="239">
        <v>-7307</v>
      </c>
      <c r="EL193" s="239">
        <v>0</v>
      </c>
      <c r="EM193" s="239">
        <v>-7307</v>
      </c>
      <c r="EN193" s="239">
        <v>-329988</v>
      </c>
      <c r="EO193" s="239">
        <v>0</v>
      </c>
      <c r="EP193" s="239">
        <v>-329988</v>
      </c>
      <c r="EQ193" s="239">
        <v>0</v>
      </c>
      <c r="ER193" s="239">
        <v>0</v>
      </c>
      <c r="ES193" s="239">
        <v>0</v>
      </c>
      <c r="ET193" s="239">
        <v>0</v>
      </c>
      <c r="EU193" s="239">
        <v>0</v>
      </c>
      <c r="EV193" s="239">
        <v>0</v>
      </c>
      <c r="EW193" s="239">
        <v>0</v>
      </c>
      <c r="EX193" s="239">
        <v>0</v>
      </c>
      <c r="EY193" s="239">
        <v>0</v>
      </c>
      <c r="EZ193" s="239">
        <v>55775411</v>
      </c>
      <c r="FA193" s="239">
        <v>0</v>
      </c>
      <c r="FB193" s="239">
        <v>55775411</v>
      </c>
      <c r="FC193" s="239">
        <v>64599</v>
      </c>
      <c r="FD193" s="239">
        <v>0</v>
      </c>
      <c r="FE193" s="239">
        <v>64599</v>
      </c>
      <c r="FF193" s="239">
        <v>-2132181</v>
      </c>
      <c r="FG193" s="239">
        <v>0</v>
      </c>
      <c r="FH193" s="239">
        <v>-2132181</v>
      </c>
      <c r="FI193" s="239">
        <v>-1000725</v>
      </c>
      <c r="FJ193" s="239">
        <v>0</v>
      </c>
      <c r="FK193" s="239">
        <v>-1000725</v>
      </c>
      <c r="FL193" s="239">
        <v>-154730</v>
      </c>
      <c r="FM193" s="239">
        <v>0</v>
      </c>
      <c r="FN193" s="239">
        <v>-154730</v>
      </c>
      <c r="FO193" s="239">
        <v>-329988</v>
      </c>
      <c r="FP193" s="239">
        <v>0</v>
      </c>
      <c r="FQ193" s="239">
        <v>-329988</v>
      </c>
      <c r="FR193" s="239">
        <v>0</v>
      </c>
      <c r="FS193" s="239">
        <v>0</v>
      </c>
      <c r="FT193" s="239">
        <v>0</v>
      </c>
      <c r="FU193" s="239">
        <v>-3553025</v>
      </c>
      <c r="FV193" s="239">
        <v>0</v>
      </c>
      <c r="FW193" s="239">
        <v>-3553025</v>
      </c>
      <c r="FX193" s="239">
        <v>52222386</v>
      </c>
      <c r="FY193" s="239">
        <v>0</v>
      </c>
      <c r="FZ193" s="239">
        <v>52222386</v>
      </c>
      <c r="GA193" s="214" t="s">
        <v>1294</v>
      </c>
    </row>
    <row r="194" spans="2:183" s="214" customFormat="1" x14ac:dyDescent="0.2">
      <c r="B194" s="610" t="s">
        <v>471</v>
      </c>
      <c r="C194" s="610" t="s">
        <v>470</v>
      </c>
      <c r="D194" s="239">
        <v>0</v>
      </c>
      <c r="E194" s="239">
        <v>0</v>
      </c>
      <c r="F194" s="239">
        <v>0</v>
      </c>
      <c r="G194" s="239">
        <v>9023</v>
      </c>
      <c r="H194" s="239">
        <v>0</v>
      </c>
      <c r="I194" s="239">
        <v>9023</v>
      </c>
      <c r="J194" s="239">
        <v>0</v>
      </c>
      <c r="K194" s="239">
        <v>0</v>
      </c>
      <c r="L194" s="239">
        <v>0</v>
      </c>
      <c r="M194" s="239">
        <v>127901</v>
      </c>
      <c r="N194" s="239">
        <v>12495</v>
      </c>
      <c r="O194" s="239">
        <v>140396</v>
      </c>
      <c r="P194" s="239">
        <v>136924</v>
      </c>
      <c r="Q194" s="239">
        <v>12495</v>
      </c>
      <c r="R194" s="239">
        <v>149419</v>
      </c>
      <c r="S194" s="239">
        <v>-3750228</v>
      </c>
      <c r="T194" s="239">
        <v>-68440</v>
      </c>
      <c r="U194" s="239">
        <v>-3818668</v>
      </c>
      <c r="V194" s="239">
        <v>0</v>
      </c>
      <c r="W194" s="239">
        <v>0</v>
      </c>
      <c r="X194" s="239">
        <v>0</v>
      </c>
      <c r="Y194" s="239">
        <v>-108099</v>
      </c>
      <c r="Z194" s="239">
        <v>0</v>
      </c>
      <c r="AA194" s="239">
        <v>-108099</v>
      </c>
      <c r="AB194" s="239">
        <v>0</v>
      </c>
      <c r="AC194" s="239">
        <v>0</v>
      </c>
      <c r="AD194" s="239">
        <v>0</v>
      </c>
      <c r="AE194" s="239">
        <v>0</v>
      </c>
      <c r="AF194" s="239">
        <v>0</v>
      </c>
      <c r="AG194" s="239">
        <v>0</v>
      </c>
      <c r="AH194" s="239">
        <v>2762047</v>
      </c>
      <c r="AI194" s="239">
        <v>114910</v>
      </c>
      <c r="AJ194" s="239">
        <v>2876957</v>
      </c>
      <c r="AK194" s="239">
        <v>-25897</v>
      </c>
      <c r="AL194" s="239">
        <v>-2171</v>
      </c>
      <c r="AM194" s="239">
        <v>-28068</v>
      </c>
      <c r="AN194" s="239">
        <v>-6953577</v>
      </c>
      <c r="AO194" s="239">
        <v>-82379</v>
      </c>
      <c r="AP194" s="239">
        <v>-7035956</v>
      </c>
      <c r="AQ194" s="239">
        <v>6071</v>
      </c>
      <c r="AR194" s="239">
        <v>0</v>
      </c>
      <c r="AS194" s="239">
        <v>6071</v>
      </c>
      <c r="AT194" s="239">
        <v>-15776</v>
      </c>
      <c r="AU194" s="239">
        <v>0</v>
      </c>
      <c r="AV194" s="239">
        <v>-15776</v>
      </c>
      <c r="AW194" s="239">
        <v>0</v>
      </c>
      <c r="AX194" s="239">
        <v>0</v>
      </c>
      <c r="AY194" s="239">
        <v>0</v>
      </c>
      <c r="AZ194" s="239">
        <v>0</v>
      </c>
      <c r="BA194" s="239">
        <v>0</v>
      </c>
      <c r="BB194" s="239">
        <v>0</v>
      </c>
      <c r="BC194" s="239">
        <v>0</v>
      </c>
      <c r="BD194" s="239">
        <v>0</v>
      </c>
      <c r="BE194" s="239">
        <v>0</v>
      </c>
      <c r="BF194" s="239">
        <v>-8085459</v>
      </c>
      <c r="BG194" s="239">
        <v>-38080</v>
      </c>
      <c r="BH194" s="239">
        <v>-8123539</v>
      </c>
      <c r="BI194" s="239">
        <v>-185437</v>
      </c>
      <c r="BJ194" s="239">
        <v>-3821</v>
      </c>
      <c r="BK194" s="239">
        <v>-189258</v>
      </c>
      <c r="BL194" s="239">
        <v>-25972</v>
      </c>
      <c r="BM194" s="239">
        <v>-4086</v>
      </c>
      <c r="BN194" s="239">
        <v>-30058</v>
      </c>
      <c r="BO194" s="239">
        <v>-4019502</v>
      </c>
      <c r="BP194" s="239">
        <v>-129194</v>
      </c>
      <c r="BQ194" s="239">
        <v>-4148696</v>
      </c>
      <c r="BR194" s="239">
        <v>726100</v>
      </c>
      <c r="BS194" s="239">
        <v>-14351</v>
      </c>
      <c r="BT194" s="239">
        <v>711749</v>
      </c>
      <c r="BU194" s="239">
        <v>-3504811</v>
      </c>
      <c r="BV194" s="239">
        <v>-151452</v>
      </c>
      <c r="BW194" s="239">
        <v>-3656263</v>
      </c>
      <c r="BX194" s="239">
        <v>-224792</v>
      </c>
      <c r="BY194" s="239">
        <v>-3762</v>
      </c>
      <c r="BZ194" s="239">
        <v>-228554</v>
      </c>
      <c r="CA194" s="239">
        <v>135</v>
      </c>
      <c r="CB194" s="239">
        <v>0</v>
      </c>
      <c r="CC194" s="239">
        <v>135</v>
      </c>
      <c r="CD194" s="239">
        <v>-216731</v>
      </c>
      <c r="CE194" s="239">
        <v>0</v>
      </c>
      <c r="CF194" s="239">
        <v>-216731</v>
      </c>
      <c r="CG194" s="239">
        <v>-1524</v>
      </c>
      <c r="CH194" s="239">
        <v>0</v>
      </c>
      <c r="CI194" s="239">
        <v>-1524</v>
      </c>
      <c r="CJ194" s="239">
        <v>-2958</v>
      </c>
      <c r="CK194" s="239">
        <v>0</v>
      </c>
      <c r="CL194" s="239">
        <v>-2958</v>
      </c>
      <c r="CM194" s="239">
        <v>0</v>
      </c>
      <c r="CN194" s="239">
        <v>0</v>
      </c>
      <c r="CO194" s="239">
        <v>0</v>
      </c>
      <c r="CP194" s="239">
        <v>0</v>
      </c>
      <c r="CQ194" s="239">
        <v>0</v>
      </c>
      <c r="CR194" s="239">
        <v>0</v>
      </c>
      <c r="CS194" s="239">
        <v>0</v>
      </c>
      <c r="CT194" s="239">
        <v>0</v>
      </c>
      <c r="CU194" s="239">
        <v>0</v>
      </c>
      <c r="CV194" s="239">
        <v>0</v>
      </c>
      <c r="CW194" s="239">
        <v>0</v>
      </c>
      <c r="CX194" s="239">
        <v>0</v>
      </c>
      <c r="CY194" s="239">
        <v>0</v>
      </c>
      <c r="CZ194" s="239">
        <v>0</v>
      </c>
      <c r="DA194" s="239">
        <v>0</v>
      </c>
      <c r="DB194" s="239">
        <v>0</v>
      </c>
      <c r="DC194" s="239">
        <v>-2078454</v>
      </c>
      <c r="DD194" s="239">
        <v>-2078454</v>
      </c>
      <c r="DE194" s="239">
        <v>0</v>
      </c>
      <c r="DF194" s="239">
        <v>-38646</v>
      </c>
      <c r="DG194" s="239">
        <v>-38646</v>
      </c>
      <c r="DH194" s="239">
        <v>-2117100</v>
      </c>
      <c r="DI194" s="239">
        <v>0</v>
      </c>
      <c r="DJ194" s="239">
        <v>-445870</v>
      </c>
      <c r="DK194" s="239">
        <v>-2120862</v>
      </c>
      <c r="DL194" s="239">
        <v>-2566732</v>
      </c>
      <c r="DM194" s="239">
        <v>0</v>
      </c>
      <c r="DN194" s="239">
        <v>0</v>
      </c>
      <c r="DO194" s="239">
        <v>0</v>
      </c>
      <c r="DP194" s="239">
        <v>0</v>
      </c>
      <c r="DQ194" s="239">
        <v>0</v>
      </c>
      <c r="DR194" s="239">
        <v>0</v>
      </c>
      <c r="DS194" s="239">
        <v>-258179</v>
      </c>
      <c r="DT194" s="239">
        <v>0</v>
      </c>
      <c r="DU194" s="239">
        <v>-258179</v>
      </c>
      <c r="DV194" s="239">
        <v>-18008</v>
      </c>
      <c r="DW194" s="239">
        <v>0</v>
      </c>
      <c r="DX194" s="239">
        <v>-18008</v>
      </c>
      <c r="DY194" s="239">
        <v>-1217100</v>
      </c>
      <c r="DZ194" s="239">
        <v>-4500</v>
      </c>
      <c r="EA194" s="239">
        <v>-1221600</v>
      </c>
      <c r="EB194" s="239">
        <v>-29171</v>
      </c>
      <c r="EC194" s="239">
        <v>-668</v>
      </c>
      <c r="ED194" s="239">
        <v>-29839</v>
      </c>
      <c r="EE194" s="239">
        <v>0</v>
      </c>
      <c r="EF194" s="239">
        <v>0</v>
      </c>
      <c r="EG194" s="239">
        <v>0</v>
      </c>
      <c r="EH194" s="239">
        <v>0</v>
      </c>
      <c r="EI194" s="239">
        <v>0</v>
      </c>
      <c r="EJ194" s="239">
        <v>0</v>
      </c>
      <c r="EK194" s="239">
        <v>0</v>
      </c>
      <c r="EL194" s="239">
        <v>0</v>
      </c>
      <c r="EM194" s="239">
        <v>0</v>
      </c>
      <c r="EN194" s="239">
        <v>-1522458</v>
      </c>
      <c r="EO194" s="239">
        <v>-5168</v>
      </c>
      <c r="EP194" s="239">
        <v>-1527626</v>
      </c>
      <c r="EQ194" s="239">
        <v>0</v>
      </c>
      <c r="ER194" s="239">
        <v>0</v>
      </c>
      <c r="ES194" s="239">
        <v>0</v>
      </c>
      <c r="ET194" s="239">
        <v>0</v>
      </c>
      <c r="EU194" s="239">
        <v>0</v>
      </c>
      <c r="EV194" s="239">
        <v>0</v>
      </c>
      <c r="EW194" s="239">
        <v>0</v>
      </c>
      <c r="EX194" s="239">
        <v>0</v>
      </c>
      <c r="EY194" s="239">
        <v>0</v>
      </c>
      <c r="EZ194" s="239">
        <v>111616500</v>
      </c>
      <c r="FA194" s="239">
        <v>6605680</v>
      </c>
      <c r="FB194" s="239">
        <v>118222180</v>
      </c>
      <c r="FC194" s="239">
        <v>136924</v>
      </c>
      <c r="FD194" s="239">
        <v>12495</v>
      </c>
      <c r="FE194" s="239">
        <v>149419</v>
      </c>
      <c r="FF194" s="239">
        <v>-8085459</v>
      </c>
      <c r="FG194" s="239">
        <v>-38080</v>
      </c>
      <c r="FH194" s="239">
        <v>-8123539</v>
      </c>
      <c r="FI194" s="239">
        <v>-3504811</v>
      </c>
      <c r="FJ194" s="239">
        <v>-151452</v>
      </c>
      <c r="FK194" s="239">
        <v>-3656263</v>
      </c>
      <c r="FL194" s="239">
        <v>-445870</v>
      </c>
      <c r="FM194" s="239">
        <v>-2120862</v>
      </c>
      <c r="FN194" s="239">
        <v>-2566732</v>
      </c>
      <c r="FO194" s="239">
        <v>-1522458</v>
      </c>
      <c r="FP194" s="239">
        <v>-5168</v>
      </c>
      <c r="FQ194" s="239">
        <v>-1527626</v>
      </c>
      <c r="FR194" s="239">
        <v>0</v>
      </c>
      <c r="FS194" s="239">
        <v>0</v>
      </c>
      <c r="FT194" s="239">
        <v>0</v>
      </c>
      <c r="FU194" s="239">
        <v>-13421674</v>
      </c>
      <c r="FV194" s="239">
        <v>-2303067</v>
      </c>
      <c r="FW194" s="239">
        <v>-15724741</v>
      </c>
      <c r="FX194" s="239">
        <v>98194826</v>
      </c>
      <c r="FY194" s="239">
        <v>4302613</v>
      </c>
      <c r="FZ194" s="239">
        <v>102497439</v>
      </c>
      <c r="GA194" s="214" t="s">
        <v>1294</v>
      </c>
    </row>
    <row r="195" spans="2:183" s="214" customFormat="1" x14ac:dyDescent="0.2">
      <c r="B195" s="610" t="s">
        <v>473</v>
      </c>
      <c r="C195" s="610" t="s">
        <v>472</v>
      </c>
      <c r="D195" s="239">
        <v>0</v>
      </c>
      <c r="E195" s="239">
        <v>0</v>
      </c>
      <c r="F195" s="239">
        <v>0</v>
      </c>
      <c r="G195" s="239">
        <v>148786</v>
      </c>
      <c r="H195" s="239">
        <v>0</v>
      </c>
      <c r="I195" s="239">
        <v>148786</v>
      </c>
      <c r="J195" s="239">
        <v>0</v>
      </c>
      <c r="K195" s="239">
        <v>0</v>
      </c>
      <c r="L195" s="239">
        <v>0</v>
      </c>
      <c r="M195" s="239">
        <v>124987</v>
      </c>
      <c r="N195" s="239">
        <v>0</v>
      </c>
      <c r="O195" s="239">
        <v>124987</v>
      </c>
      <c r="P195" s="239">
        <v>273773</v>
      </c>
      <c r="Q195" s="239">
        <v>0</v>
      </c>
      <c r="R195" s="239">
        <v>273773</v>
      </c>
      <c r="S195" s="239">
        <v>-8050155</v>
      </c>
      <c r="T195" s="239">
        <v>0</v>
      </c>
      <c r="U195" s="239">
        <v>-8050155</v>
      </c>
      <c r="V195" s="239">
        <v>-43428</v>
      </c>
      <c r="W195" s="239">
        <v>0</v>
      </c>
      <c r="X195" s="239">
        <v>-43428</v>
      </c>
      <c r="Y195" s="239">
        <v>-390171</v>
      </c>
      <c r="Z195" s="239">
        <v>0</v>
      </c>
      <c r="AA195" s="239">
        <v>-390171</v>
      </c>
      <c r="AB195" s="239">
        <v>-202999</v>
      </c>
      <c r="AC195" s="239">
        <v>0</v>
      </c>
      <c r="AD195" s="239">
        <v>-202999</v>
      </c>
      <c r="AE195" s="239">
        <v>232</v>
      </c>
      <c r="AF195" s="239">
        <v>0</v>
      </c>
      <c r="AG195" s="239">
        <v>232</v>
      </c>
      <c r="AH195" s="239">
        <v>2073325</v>
      </c>
      <c r="AI195" s="239">
        <v>5590</v>
      </c>
      <c r="AJ195" s="239">
        <v>2078915</v>
      </c>
      <c r="AK195" s="239">
        <v>21958</v>
      </c>
      <c r="AL195" s="239">
        <v>0</v>
      </c>
      <c r="AM195" s="239">
        <v>21958</v>
      </c>
      <c r="AN195" s="239">
        <v>-6215943</v>
      </c>
      <c r="AO195" s="239">
        <v>0</v>
      </c>
      <c r="AP195" s="239">
        <v>-6215943</v>
      </c>
      <c r="AQ195" s="239">
        <v>250067</v>
      </c>
      <c r="AR195" s="239">
        <v>0</v>
      </c>
      <c r="AS195" s="239">
        <v>250067</v>
      </c>
      <c r="AT195" s="239">
        <v>-196589</v>
      </c>
      <c r="AU195" s="239">
        <v>0</v>
      </c>
      <c r="AV195" s="239">
        <v>-196589</v>
      </c>
      <c r="AW195" s="239">
        <v>-102</v>
      </c>
      <c r="AX195" s="239">
        <v>0</v>
      </c>
      <c r="AY195" s="239">
        <v>-102</v>
      </c>
      <c r="AZ195" s="239">
        <v>-92441</v>
      </c>
      <c r="BA195" s="239">
        <v>0</v>
      </c>
      <c r="BB195" s="239">
        <v>-92441</v>
      </c>
      <c r="BC195" s="239">
        <v>-8409</v>
      </c>
      <c r="BD195" s="239">
        <v>0</v>
      </c>
      <c r="BE195" s="239">
        <v>-8409</v>
      </c>
      <c r="BF195" s="239">
        <v>-12608460</v>
      </c>
      <c r="BG195" s="239">
        <v>5590</v>
      </c>
      <c r="BH195" s="239">
        <v>-12602870</v>
      </c>
      <c r="BI195" s="239">
        <v>-54008</v>
      </c>
      <c r="BJ195" s="239">
        <v>0</v>
      </c>
      <c r="BK195" s="239">
        <v>-54008</v>
      </c>
      <c r="BL195" s="239">
        <v>207887</v>
      </c>
      <c r="BM195" s="239">
        <v>0</v>
      </c>
      <c r="BN195" s="239">
        <v>207887</v>
      </c>
      <c r="BO195" s="239">
        <v>-2491397</v>
      </c>
      <c r="BP195" s="239">
        <v>-15934</v>
      </c>
      <c r="BQ195" s="239">
        <v>-2507331</v>
      </c>
      <c r="BR195" s="239">
        <v>-24685</v>
      </c>
      <c r="BS195" s="239">
        <v>-5831</v>
      </c>
      <c r="BT195" s="239">
        <v>-30516</v>
      </c>
      <c r="BU195" s="239">
        <v>-2362203</v>
      </c>
      <c r="BV195" s="239">
        <v>-21765</v>
      </c>
      <c r="BW195" s="239">
        <v>-2383968</v>
      </c>
      <c r="BX195" s="239">
        <v>-640339</v>
      </c>
      <c r="BY195" s="239">
        <v>0</v>
      </c>
      <c r="BZ195" s="239">
        <v>-640339</v>
      </c>
      <c r="CA195" s="239">
        <v>-1404</v>
      </c>
      <c r="CB195" s="239">
        <v>0</v>
      </c>
      <c r="CC195" s="239">
        <v>-1404</v>
      </c>
      <c r="CD195" s="239">
        <v>-386280</v>
      </c>
      <c r="CE195" s="239">
        <v>0</v>
      </c>
      <c r="CF195" s="239">
        <v>-386280</v>
      </c>
      <c r="CG195" s="239">
        <v>2972</v>
      </c>
      <c r="CH195" s="239">
        <v>0</v>
      </c>
      <c r="CI195" s="239">
        <v>2972</v>
      </c>
      <c r="CJ195" s="239">
        <v>-20905</v>
      </c>
      <c r="CK195" s="239">
        <v>0</v>
      </c>
      <c r="CL195" s="239">
        <v>-20905</v>
      </c>
      <c r="CM195" s="239">
        <v>0</v>
      </c>
      <c r="CN195" s="239">
        <v>0</v>
      </c>
      <c r="CO195" s="239">
        <v>0</v>
      </c>
      <c r="CP195" s="239">
        <v>-11163</v>
      </c>
      <c r="CQ195" s="239">
        <v>0</v>
      </c>
      <c r="CR195" s="239">
        <v>-11163</v>
      </c>
      <c r="CS195" s="239">
        <v>0</v>
      </c>
      <c r="CT195" s="239">
        <v>0</v>
      </c>
      <c r="CU195" s="239">
        <v>0</v>
      </c>
      <c r="CV195" s="239">
        <v>-21201</v>
      </c>
      <c r="CW195" s="239">
        <v>0</v>
      </c>
      <c r="CX195" s="239">
        <v>-21201</v>
      </c>
      <c r="CY195" s="239">
        <v>-13452</v>
      </c>
      <c r="CZ195" s="239">
        <v>0</v>
      </c>
      <c r="DA195" s="239">
        <v>-13452</v>
      </c>
      <c r="DB195" s="239">
        <v>-50005</v>
      </c>
      <c r="DC195" s="239">
        <v>-61754</v>
      </c>
      <c r="DD195" s="239">
        <v>-111759</v>
      </c>
      <c r="DE195" s="239">
        <v>0</v>
      </c>
      <c r="DF195" s="239">
        <v>-277</v>
      </c>
      <c r="DG195" s="239">
        <v>-277</v>
      </c>
      <c r="DH195" s="239">
        <v>-62031</v>
      </c>
      <c r="DI195" s="239">
        <v>0</v>
      </c>
      <c r="DJ195" s="239">
        <v>-1141777</v>
      </c>
      <c r="DK195" s="239">
        <v>-62031</v>
      </c>
      <c r="DL195" s="239">
        <v>-1203808</v>
      </c>
      <c r="DM195" s="239">
        <v>-25338</v>
      </c>
      <c r="DN195" s="239">
        <v>0</v>
      </c>
      <c r="DO195" s="239">
        <v>-25338</v>
      </c>
      <c r="DP195" s="239">
        <v>-43523</v>
      </c>
      <c r="DQ195" s="239">
        <v>0</v>
      </c>
      <c r="DR195" s="239">
        <v>-43523</v>
      </c>
      <c r="DS195" s="239">
        <v>-60703</v>
      </c>
      <c r="DT195" s="239">
        <v>0</v>
      </c>
      <c r="DU195" s="239">
        <v>-60703</v>
      </c>
      <c r="DV195" s="239">
        <v>-1823</v>
      </c>
      <c r="DW195" s="239">
        <v>0</v>
      </c>
      <c r="DX195" s="239">
        <v>-1823</v>
      </c>
      <c r="DY195" s="239">
        <v>-1719151</v>
      </c>
      <c r="DZ195" s="239">
        <v>0</v>
      </c>
      <c r="EA195" s="239">
        <v>-1719151</v>
      </c>
      <c r="EB195" s="239">
        <v>-53443</v>
      </c>
      <c r="EC195" s="239">
        <v>0</v>
      </c>
      <c r="ED195" s="239">
        <v>-53443</v>
      </c>
      <c r="EE195" s="239">
        <v>-86489</v>
      </c>
      <c r="EF195" s="239">
        <v>0</v>
      </c>
      <c r="EG195" s="239">
        <v>-86489</v>
      </c>
      <c r="EH195" s="239">
        <v>0</v>
      </c>
      <c r="EI195" s="239">
        <v>0</v>
      </c>
      <c r="EJ195" s="239">
        <v>0</v>
      </c>
      <c r="EK195" s="239">
        <v>-36571</v>
      </c>
      <c r="EL195" s="239">
        <v>0</v>
      </c>
      <c r="EM195" s="239">
        <v>-36571</v>
      </c>
      <c r="EN195" s="239">
        <v>-2027041</v>
      </c>
      <c r="EO195" s="239">
        <v>0</v>
      </c>
      <c r="EP195" s="239">
        <v>-2027041</v>
      </c>
      <c r="EQ195" s="239">
        <v>-91831</v>
      </c>
      <c r="ER195" s="239">
        <v>0</v>
      </c>
      <c r="ES195" s="239">
        <v>-91831</v>
      </c>
      <c r="ET195" s="239">
        <v>-638</v>
      </c>
      <c r="EU195" s="239">
        <v>0</v>
      </c>
      <c r="EV195" s="239">
        <v>-638</v>
      </c>
      <c r="EW195" s="239">
        <v>-92469</v>
      </c>
      <c r="EX195" s="239">
        <v>0</v>
      </c>
      <c r="EY195" s="239">
        <v>-92469</v>
      </c>
      <c r="EZ195" s="239">
        <v>93634041</v>
      </c>
      <c r="FA195" s="239">
        <v>123400</v>
      </c>
      <c r="FB195" s="239">
        <v>93757441</v>
      </c>
      <c r="FC195" s="239">
        <v>273773</v>
      </c>
      <c r="FD195" s="239">
        <v>0</v>
      </c>
      <c r="FE195" s="239">
        <v>273773</v>
      </c>
      <c r="FF195" s="239">
        <v>-12608460</v>
      </c>
      <c r="FG195" s="239">
        <v>5590</v>
      </c>
      <c r="FH195" s="239">
        <v>-12602870</v>
      </c>
      <c r="FI195" s="239">
        <v>-2362203</v>
      </c>
      <c r="FJ195" s="239">
        <v>-21765</v>
      </c>
      <c r="FK195" s="239">
        <v>-2383968</v>
      </c>
      <c r="FL195" s="239">
        <v>-1141777</v>
      </c>
      <c r="FM195" s="239">
        <v>-62031</v>
      </c>
      <c r="FN195" s="239">
        <v>-1203808</v>
      </c>
      <c r="FO195" s="239">
        <v>-2027041</v>
      </c>
      <c r="FP195" s="239">
        <v>0</v>
      </c>
      <c r="FQ195" s="239">
        <v>-2027041</v>
      </c>
      <c r="FR195" s="239">
        <v>-92469</v>
      </c>
      <c r="FS195" s="239">
        <v>0</v>
      </c>
      <c r="FT195" s="239">
        <v>-92469</v>
      </c>
      <c r="FU195" s="239">
        <v>-17958177</v>
      </c>
      <c r="FV195" s="239">
        <v>-78206</v>
      </c>
      <c r="FW195" s="239">
        <v>-18036383</v>
      </c>
      <c r="FX195" s="239">
        <v>75675864</v>
      </c>
      <c r="FY195" s="239">
        <v>45194</v>
      </c>
      <c r="FZ195" s="239">
        <v>75721058</v>
      </c>
      <c r="GA195" s="214" t="s">
        <v>748</v>
      </c>
    </row>
    <row r="196" spans="2:183" s="214" customFormat="1" x14ac:dyDescent="0.2">
      <c r="B196" s="610" t="s">
        <v>475</v>
      </c>
      <c r="C196" s="610" t="s">
        <v>474</v>
      </c>
      <c r="D196" s="239">
        <v>0</v>
      </c>
      <c r="E196" s="239">
        <v>0</v>
      </c>
      <c r="F196" s="239">
        <v>0</v>
      </c>
      <c r="G196" s="239">
        <v>141689</v>
      </c>
      <c r="H196" s="239">
        <v>0</v>
      </c>
      <c r="I196" s="239">
        <v>141689</v>
      </c>
      <c r="J196" s="239">
        <v>0</v>
      </c>
      <c r="K196" s="239">
        <v>0</v>
      </c>
      <c r="L196" s="239">
        <v>0</v>
      </c>
      <c r="M196" s="239">
        <v>312779</v>
      </c>
      <c r="N196" s="239">
        <v>0</v>
      </c>
      <c r="O196" s="239">
        <v>312779</v>
      </c>
      <c r="P196" s="239">
        <v>454468</v>
      </c>
      <c r="Q196" s="239">
        <v>0</v>
      </c>
      <c r="R196" s="239">
        <v>454468</v>
      </c>
      <c r="S196" s="239">
        <v>-3469825</v>
      </c>
      <c r="T196" s="239">
        <v>0</v>
      </c>
      <c r="U196" s="239">
        <v>-3469825</v>
      </c>
      <c r="V196" s="239">
        <v>-10799</v>
      </c>
      <c r="W196" s="239">
        <v>0</v>
      </c>
      <c r="X196" s="239">
        <v>-10799</v>
      </c>
      <c r="Y196" s="239">
        <v>-269533</v>
      </c>
      <c r="Z196" s="239">
        <v>0</v>
      </c>
      <c r="AA196" s="239">
        <v>-269533</v>
      </c>
      <c r="AB196" s="239">
        <v>-145160</v>
      </c>
      <c r="AC196" s="239">
        <v>0</v>
      </c>
      <c r="AD196" s="239">
        <v>-145160</v>
      </c>
      <c r="AE196" s="239">
        <v>370</v>
      </c>
      <c r="AF196" s="239">
        <v>0</v>
      </c>
      <c r="AG196" s="239">
        <v>370</v>
      </c>
      <c r="AH196" s="239">
        <v>2210173</v>
      </c>
      <c r="AI196" s="239">
        <v>0</v>
      </c>
      <c r="AJ196" s="239">
        <v>2210173</v>
      </c>
      <c r="AK196" s="239">
        <v>1315</v>
      </c>
      <c r="AL196" s="239">
        <v>0</v>
      </c>
      <c r="AM196" s="239">
        <v>1315</v>
      </c>
      <c r="AN196" s="239">
        <v>-5646138</v>
      </c>
      <c r="AO196" s="239">
        <v>0</v>
      </c>
      <c r="AP196" s="239">
        <v>-5646138</v>
      </c>
      <c r="AQ196" s="239">
        <v>-31816</v>
      </c>
      <c r="AR196" s="239">
        <v>0</v>
      </c>
      <c r="AS196" s="239">
        <v>-31816</v>
      </c>
      <c r="AT196" s="239">
        <v>-24630</v>
      </c>
      <c r="AU196" s="239">
        <v>0</v>
      </c>
      <c r="AV196" s="239">
        <v>-24630</v>
      </c>
      <c r="AW196" s="239">
        <v>0</v>
      </c>
      <c r="AX196" s="239">
        <v>0</v>
      </c>
      <c r="AY196" s="239">
        <v>0</v>
      </c>
      <c r="AZ196" s="239">
        <v>0</v>
      </c>
      <c r="BA196" s="239">
        <v>0</v>
      </c>
      <c r="BB196" s="239">
        <v>0</v>
      </c>
      <c r="BC196" s="239">
        <v>0</v>
      </c>
      <c r="BD196" s="239">
        <v>0</v>
      </c>
      <c r="BE196" s="239">
        <v>0</v>
      </c>
      <c r="BF196" s="239">
        <v>-7230454</v>
      </c>
      <c r="BG196" s="239">
        <v>0</v>
      </c>
      <c r="BH196" s="239">
        <v>-7230454</v>
      </c>
      <c r="BI196" s="239">
        <v>-12184</v>
      </c>
      <c r="BJ196" s="239">
        <v>0</v>
      </c>
      <c r="BK196" s="239">
        <v>-12184</v>
      </c>
      <c r="BL196" s="239">
        <v>4817</v>
      </c>
      <c r="BM196" s="239">
        <v>0</v>
      </c>
      <c r="BN196" s="239">
        <v>4817</v>
      </c>
      <c r="BO196" s="239">
        <v>-3741009</v>
      </c>
      <c r="BP196" s="239">
        <v>0</v>
      </c>
      <c r="BQ196" s="239">
        <v>-3741009</v>
      </c>
      <c r="BR196" s="239">
        <v>-127270</v>
      </c>
      <c r="BS196" s="239">
        <v>0</v>
      </c>
      <c r="BT196" s="239">
        <v>-127270</v>
      </c>
      <c r="BU196" s="239">
        <v>-3875646</v>
      </c>
      <c r="BV196" s="239">
        <v>0</v>
      </c>
      <c r="BW196" s="239">
        <v>-3875646</v>
      </c>
      <c r="BX196" s="239">
        <v>-92633</v>
      </c>
      <c r="BY196" s="239">
        <v>0</v>
      </c>
      <c r="BZ196" s="239">
        <v>-92633</v>
      </c>
      <c r="CA196" s="239">
        <v>-8601</v>
      </c>
      <c r="CB196" s="239">
        <v>0</v>
      </c>
      <c r="CC196" s="239">
        <v>-8601</v>
      </c>
      <c r="CD196" s="239">
        <v>-53145</v>
      </c>
      <c r="CE196" s="239">
        <v>0</v>
      </c>
      <c r="CF196" s="239">
        <v>-53145</v>
      </c>
      <c r="CG196" s="239">
        <v>-29553</v>
      </c>
      <c r="CH196" s="239">
        <v>0</v>
      </c>
      <c r="CI196" s="239">
        <v>-29553</v>
      </c>
      <c r="CJ196" s="239">
        <v>0</v>
      </c>
      <c r="CK196" s="239">
        <v>0</v>
      </c>
      <c r="CL196" s="239">
        <v>0</v>
      </c>
      <c r="CM196" s="239">
        <v>0</v>
      </c>
      <c r="CN196" s="239">
        <v>0</v>
      </c>
      <c r="CO196" s="239">
        <v>0</v>
      </c>
      <c r="CP196" s="239">
        <v>0</v>
      </c>
      <c r="CQ196" s="239">
        <v>0</v>
      </c>
      <c r="CR196" s="239">
        <v>0</v>
      </c>
      <c r="CS196" s="239">
        <v>0</v>
      </c>
      <c r="CT196" s="239">
        <v>0</v>
      </c>
      <c r="CU196" s="239">
        <v>0</v>
      </c>
      <c r="CV196" s="239">
        <v>0</v>
      </c>
      <c r="CW196" s="239">
        <v>0</v>
      </c>
      <c r="CX196" s="239">
        <v>0</v>
      </c>
      <c r="CY196" s="239">
        <v>0</v>
      </c>
      <c r="CZ196" s="239">
        <v>0</v>
      </c>
      <c r="DA196" s="239">
        <v>0</v>
      </c>
      <c r="DB196" s="239">
        <v>0</v>
      </c>
      <c r="DC196" s="239">
        <v>0</v>
      </c>
      <c r="DD196" s="239">
        <v>0</v>
      </c>
      <c r="DE196" s="239">
        <v>0</v>
      </c>
      <c r="DF196" s="239">
        <v>0</v>
      </c>
      <c r="DG196" s="239">
        <v>0</v>
      </c>
      <c r="DH196" s="239">
        <v>0</v>
      </c>
      <c r="DI196" s="239">
        <v>0</v>
      </c>
      <c r="DJ196" s="239">
        <v>-183932</v>
      </c>
      <c r="DK196" s="239">
        <v>0</v>
      </c>
      <c r="DL196" s="239">
        <v>-183932</v>
      </c>
      <c r="DM196" s="239">
        <v>0</v>
      </c>
      <c r="DN196" s="239">
        <v>0</v>
      </c>
      <c r="DO196" s="239">
        <v>0</v>
      </c>
      <c r="DP196" s="239">
        <v>0</v>
      </c>
      <c r="DQ196" s="239">
        <v>0</v>
      </c>
      <c r="DR196" s="239">
        <v>0</v>
      </c>
      <c r="DS196" s="239">
        <v>-25932</v>
      </c>
      <c r="DT196" s="239">
        <v>0</v>
      </c>
      <c r="DU196" s="239">
        <v>-25932</v>
      </c>
      <c r="DV196" s="239">
        <v>0</v>
      </c>
      <c r="DW196" s="239">
        <v>0</v>
      </c>
      <c r="DX196" s="239">
        <v>0</v>
      </c>
      <c r="DY196" s="239">
        <v>-1190567</v>
      </c>
      <c r="DZ196" s="239">
        <v>0</v>
      </c>
      <c r="EA196" s="239">
        <v>-1190567</v>
      </c>
      <c r="EB196" s="239">
        <v>-15235</v>
      </c>
      <c r="EC196" s="239">
        <v>0</v>
      </c>
      <c r="ED196" s="239">
        <v>-15235</v>
      </c>
      <c r="EE196" s="239">
        <v>0</v>
      </c>
      <c r="EF196" s="239">
        <v>0</v>
      </c>
      <c r="EG196" s="239">
        <v>0</v>
      </c>
      <c r="EH196" s="239">
        <v>0</v>
      </c>
      <c r="EI196" s="239">
        <v>0</v>
      </c>
      <c r="EJ196" s="239">
        <v>0</v>
      </c>
      <c r="EK196" s="239">
        <v>-13306</v>
      </c>
      <c r="EL196" s="239">
        <v>0</v>
      </c>
      <c r="EM196" s="239">
        <v>-13306</v>
      </c>
      <c r="EN196" s="239">
        <v>-1245040</v>
      </c>
      <c r="EO196" s="239">
        <v>0</v>
      </c>
      <c r="EP196" s="239">
        <v>-1245040</v>
      </c>
      <c r="EQ196" s="239">
        <v>0</v>
      </c>
      <c r="ER196" s="239">
        <v>0</v>
      </c>
      <c r="ES196" s="239">
        <v>0</v>
      </c>
      <c r="ET196" s="239">
        <v>0</v>
      </c>
      <c r="EU196" s="239">
        <v>0</v>
      </c>
      <c r="EV196" s="239">
        <v>0</v>
      </c>
      <c r="EW196" s="239">
        <v>0</v>
      </c>
      <c r="EX196" s="239">
        <v>0</v>
      </c>
      <c r="EY196" s="239">
        <v>0</v>
      </c>
      <c r="EZ196" s="239">
        <v>90452566</v>
      </c>
      <c r="FA196" s="239">
        <v>0</v>
      </c>
      <c r="FB196" s="239">
        <v>90452566</v>
      </c>
      <c r="FC196" s="239">
        <v>454468</v>
      </c>
      <c r="FD196" s="239">
        <v>0</v>
      </c>
      <c r="FE196" s="239">
        <v>454468</v>
      </c>
      <c r="FF196" s="239">
        <v>-7230454</v>
      </c>
      <c r="FG196" s="239">
        <v>0</v>
      </c>
      <c r="FH196" s="239">
        <v>-7230454</v>
      </c>
      <c r="FI196" s="239">
        <v>-3875646</v>
      </c>
      <c r="FJ196" s="239">
        <v>0</v>
      </c>
      <c r="FK196" s="239">
        <v>-3875646</v>
      </c>
      <c r="FL196" s="239">
        <v>-183932</v>
      </c>
      <c r="FM196" s="239">
        <v>0</v>
      </c>
      <c r="FN196" s="239">
        <v>-183932</v>
      </c>
      <c r="FO196" s="239">
        <v>-1245040</v>
      </c>
      <c r="FP196" s="239">
        <v>0</v>
      </c>
      <c r="FQ196" s="239">
        <v>-1245040</v>
      </c>
      <c r="FR196" s="239">
        <v>0</v>
      </c>
      <c r="FS196" s="239">
        <v>0</v>
      </c>
      <c r="FT196" s="239">
        <v>0</v>
      </c>
      <c r="FU196" s="239">
        <v>-12080604</v>
      </c>
      <c r="FV196" s="239">
        <v>0</v>
      </c>
      <c r="FW196" s="239">
        <v>-12080604</v>
      </c>
      <c r="FX196" s="239">
        <v>78371962</v>
      </c>
      <c r="FY196" s="239">
        <v>0</v>
      </c>
      <c r="FZ196" s="239">
        <v>78371962</v>
      </c>
      <c r="GA196" s="214" t="s">
        <v>1294</v>
      </c>
    </row>
    <row r="197" spans="2:183" s="214" customFormat="1" x14ac:dyDescent="0.2">
      <c r="B197" s="610" t="s">
        <v>477</v>
      </c>
      <c r="C197" s="610" t="s">
        <v>476</v>
      </c>
      <c r="D197" s="239">
        <v>0</v>
      </c>
      <c r="E197" s="239">
        <v>0</v>
      </c>
      <c r="F197" s="239">
        <v>0</v>
      </c>
      <c r="G197" s="239">
        <v>-43832</v>
      </c>
      <c r="H197" s="239">
        <v>-7295</v>
      </c>
      <c r="I197" s="239">
        <v>-51127</v>
      </c>
      <c r="J197" s="239">
        <v>0</v>
      </c>
      <c r="K197" s="239">
        <v>0</v>
      </c>
      <c r="L197" s="239">
        <v>0</v>
      </c>
      <c r="M197" s="239">
        <v>-43804</v>
      </c>
      <c r="N197" s="239">
        <v>-26203</v>
      </c>
      <c r="O197" s="239">
        <v>-70007</v>
      </c>
      <c r="P197" s="239">
        <v>-87636</v>
      </c>
      <c r="Q197" s="239">
        <v>-33498</v>
      </c>
      <c r="R197" s="239">
        <v>-121134</v>
      </c>
      <c r="S197" s="239">
        <v>-5382250</v>
      </c>
      <c r="T197" s="239">
        <v>-274184</v>
      </c>
      <c r="U197" s="239">
        <v>-5656434</v>
      </c>
      <c r="V197" s="239">
        <v>-16236</v>
      </c>
      <c r="W197" s="239">
        <v>-1647</v>
      </c>
      <c r="X197" s="239">
        <v>-17883</v>
      </c>
      <c r="Y197" s="239">
        <v>-221138</v>
      </c>
      <c r="Z197" s="239">
        <v>-53515</v>
      </c>
      <c r="AA197" s="239">
        <v>-274653</v>
      </c>
      <c r="AB197" s="239">
        <v>-112610</v>
      </c>
      <c r="AC197" s="239">
        <v>-24195</v>
      </c>
      <c r="AD197" s="239">
        <v>-136805</v>
      </c>
      <c r="AE197" s="239">
        <v>4080</v>
      </c>
      <c r="AF197" s="239">
        <v>0</v>
      </c>
      <c r="AG197" s="239">
        <v>4080</v>
      </c>
      <c r="AH197" s="239">
        <v>3447629</v>
      </c>
      <c r="AI197" s="239">
        <v>288753</v>
      </c>
      <c r="AJ197" s="239">
        <v>3736382</v>
      </c>
      <c r="AK197" s="239">
        <v>38679</v>
      </c>
      <c r="AL197" s="239">
        <v>3075</v>
      </c>
      <c r="AM197" s="239">
        <v>41754</v>
      </c>
      <c r="AN197" s="239">
        <v>-12469054</v>
      </c>
      <c r="AO197" s="239">
        <v>-503340</v>
      </c>
      <c r="AP197" s="239">
        <v>-12972394</v>
      </c>
      <c r="AQ197" s="239">
        <v>476013</v>
      </c>
      <c r="AR197" s="239">
        <v>-16946</v>
      </c>
      <c r="AS197" s="239">
        <v>459067</v>
      </c>
      <c r="AT197" s="239">
        <v>-46342</v>
      </c>
      <c r="AU197" s="239">
        <v>0</v>
      </c>
      <c r="AV197" s="239">
        <v>-46342</v>
      </c>
      <c r="AW197" s="239">
        <v>0</v>
      </c>
      <c r="AX197" s="239">
        <v>0</v>
      </c>
      <c r="AY197" s="239">
        <v>0</v>
      </c>
      <c r="AZ197" s="239">
        <v>0</v>
      </c>
      <c r="BA197" s="239">
        <v>0</v>
      </c>
      <c r="BB197" s="239">
        <v>0</v>
      </c>
      <c r="BC197" s="239">
        <v>0</v>
      </c>
      <c r="BD197" s="239">
        <v>0</v>
      </c>
      <c r="BE197" s="239">
        <v>0</v>
      </c>
      <c r="BF197" s="239">
        <v>-14156463</v>
      </c>
      <c r="BG197" s="239">
        <v>-556157</v>
      </c>
      <c r="BH197" s="239">
        <v>-14712620</v>
      </c>
      <c r="BI197" s="239">
        <v>-155119</v>
      </c>
      <c r="BJ197" s="239">
        <v>0</v>
      </c>
      <c r="BK197" s="239">
        <v>-155119</v>
      </c>
      <c r="BL197" s="239">
        <v>-9784</v>
      </c>
      <c r="BM197" s="239">
        <v>-735</v>
      </c>
      <c r="BN197" s="239">
        <v>-10519</v>
      </c>
      <c r="BO197" s="239">
        <v>-6290293</v>
      </c>
      <c r="BP197" s="239">
        <v>-149751</v>
      </c>
      <c r="BQ197" s="239">
        <v>-6440044</v>
      </c>
      <c r="BR197" s="239">
        <v>-105785</v>
      </c>
      <c r="BS197" s="239">
        <v>-36379</v>
      </c>
      <c r="BT197" s="239">
        <v>-142164</v>
      </c>
      <c r="BU197" s="239">
        <v>-6560981</v>
      </c>
      <c r="BV197" s="239">
        <v>-186865</v>
      </c>
      <c r="BW197" s="239">
        <v>-6747846</v>
      </c>
      <c r="BX197" s="239">
        <v>-182056</v>
      </c>
      <c r="BY197" s="239">
        <v>-3496</v>
      </c>
      <c r="BZ197" s="239">
        <v>-185552</v>
      </c>
      <c r="CA197" s="239">
        <v>-8740</v>
      </c>
      <c r="CB197" s="239">
        <v>0</v>
      </c>
      <c r="CC197" s="239">
        <v>-8740</v>
      </c>
      <c r="CD197" s="239">
        <v>-297898</v>
      </c>
      <c r="CE197" s="239">
        <v>-285876</v>
      </c>
      <c r="CF197" s="239">
        <v>-583774</v>
      </c>
      <c r="CG197" s="239">
        <v>40888</v>
      </c>
      <c r="CH197" s="239">
        <v>-5487</v>
      </c>
      <c r="CI197" s="239">
        <v>35401</v>
      </c>
      <c r="CJ197" s="239">
        <v>-838</v>
      </c>
      <c r="CK197" s="239">
        <v>0</v>
      </c>
      <c r="CL197" s="239">
        <v>-838</v>
      </c>
      <c r="CM197" s="239">
        <v>0</v>
      </c>
      <c r="CN197" s="239">
        <v>0</v>
      </c>
      <c r="CO197" s="239">
        <v>0</v>
      </c>
      <c r="CP197" s="239">
        <v>0</v>
      </c>
      <c r="CQ197" s="239">
        <v>0</v>
      </c>
      <c r="CR197" s="239">
        <v>0</v>
      </c>
      <c r="CS197" s="239">
        <v>0</v>
      </c>
      <c r="CT197" s="239">
        <v>0</v>
      </c>
      <c r="CU197" s="239">
        <v>0</v>
      </c>
      <c r="CV197" s="239">
        <v>0</v>
      </c>
      <c r="CW197" s="239">
        <v>0</v>
      </c>
      <c r="CX197" s="239">
        <v>0</v>
      </c>
      <c r="CY197" s="239">
        <v>0</v>
      </c>
      <c r="CZ197" s="239">
        <v>0</v>
      </c>
      <c r="DA197" s="239">
        <v>0</v>
      </c>
      <c r="DB197" s="239">
        <v>-23620</v>
      </c>
      <c r="DC197" s="239">
        <v>-20763</v>
      </c>
      <c r="DD197" s="239">
        <v>-44383</v>
      </c>
      <c r="DE197" s="239">
        <v>0</v>
      </c>
      <c r="DF197" s="239">
        <v>0</v>
      </c>
      <c r="DG197" s="239">
        <v>0</v>
      </c>
      <c r="DH197" s="239">
        <v>0</v>
      </c>
      <c r="DI197" s="239">
        <v>0</v>
      </c>
      <c r="DJ197" s="239">
        <v>-472264</v>
      </c>
      <c r="DK197" s="239">
        <v>-315622</v>
      </c>
      <c r="DL197" s="239">
        <v>-787886</v>
      </c>
      <c r="DM197" s="239">
        <v>-2217</v>
      </c>
      <c r="DN197" s="239">
        <v>-59191</v>
      </c>
      <c r="DO197" s="239">
        <v>-61408</v>
      </c>
      <c r="DP197" s="239">
        <v>0</v>
      </c>
      <c r="DQ197" s="239">
        <v>-110223</v>
      </c>
      <c r="DR197" s="239">
        <v>-110223</v>
      </c>
      <c r="DS197" s="239">
        <v>-217507</v>
      </c>
      <c r="DT197" s="239">
        <v>-9154</v>
      </c>
      <c r="DU197" s="239">
        <v>-226661</v>
      </c>
      <c r="DV197" s="239">
        <v>-11761</v>
      </c>
      <c r="DW197" s="239">
        <v>0</v>
      </c>
      <c r="DX197" s="239">
        <v>-11761</v>
      </c>
      <c r="DY197" s="239">
        <v>-1207508</v>
      </c>
      <c r="DZ197" s="239">
        <v>-144965</v>
      </c>
      <c r="EA197" s="239">
        <v>-1352473</v>
      </c>
      <c r="EB197" s="239">
        <v>-37827</v>
      </c>
      <c r="EC197" s="239">
        <v>-5892</v>
      </c>
      <c r="ED197" s="239">
        <v>-43719</v>
      </c>
      <c r="EE197" s="239">
        <v>-428</v>
      </c>
      <c r="EF197" s="239">
        <v>0</v>
      </c>
      <c r="EG197" s="239">
        <v>-428</v>
      </c>
      <c r="EH197" s="239">
        <v>0</v>
      </c>
      <c r="EI197" s="239">
        <v>0</v>
      </c>
      <c r="EJ197" s="239">
        <v>0</v>
      </c>
      <c r="EK197" s="239">
        <v>-1854</v>
      </c>
      <c r="EL197" s="239">
        <v>0</v>
      </c>
      <c r="EM197" s="239">
        <v>-1854</v>
      </c>
      <c r="EN197" s="239">
        <v>-1479102</v>
      </c>
      <c r="EO197" s="239">
        <v>-329425</v>
      </c>
      <c r="EP197" s="239">
        <v>-1808527</v>
      </c>
      <c r="EQ197" s="239">
        <v>0</v>
      </c>
      <c r="ER197" s="239">
        <v>0</v>
      </c>
      <c r="ES197" s="239">
        <v>0</v>
      </c>
      <c r="ET197" s="239">
        <v>0</v>
      </c>
      <c r="EU197" s="239">
        <v>0</v>
      </c>
      <c r="EV197" s="239">
        <v>0</v>
      </c>
      <c r="EW197" s="239">
        <v>0</v>
      </c>
      <c r="EX197" s="239">
        <v>0</v>
      </c>
      <c r="EY197" s="239">
        <v>0</v>
      </c>
      <c r="EZ197" s="239">
        <v>139356461</v>
      </c>
      <c r="FA197" s="239">
        <v>10982569</v>
      </c>
      <c r="FB197" s="239">
        <v>150339030</v>
      </c>
      <c r="FC197" s="239">
        <v>-87636</v>
      </c>
      <c r="FD197" s="239">
        <v>-33498</v>
      </c>
      <c r="FE197" s="239">
        <v>-121134</v>
      </c>
      <c r="FF197" s="239">
        <v>-14156463</v>
      </c>
      <c r="FG197" s="239">
        <v>-556157</v>
      </c>
      <c r="FH197" s="239">
        <v>-14712620</v>
      </c>
      <c r="FI197" s="239">
        <v>-6560981</v>
      </c>
      <c r="FJ197" s="239">
        <v>-186865</v>
      </c>
      <c r="FK197" s="239">
        <v>-6747846</v>
      </c>
      <c r="FL197" s="239">
        <v>-472264</v>
      </c>
      <c r="FM197" s="239">
        <v>-315622</v>
      </c>
      <c r="FN197" s="239">
        <v>-787886</v>
      </c>
      <c r="FO197" s="239">
        <v>-1479102</v>
      </c>
      <c r="FP197" s="239">
        <v>-329425</v>
      </c>
      <c r="FQ197" s="239">
        <v>-1808527</v>
      </c>
      <c r="FR197" s="239">
        <v>0</v>
      </c>
      <c r="FS197" s="239">
        <v>0</v>
      </c>
      <c r="FT197" s="239">
        <v>0</v>
      </c>
      <c r="FU197" s="239">
        <v>-22756446</v>
      </c>
      <c r="FV197" s="239">
        <v>-1421567</v>
      </c>
      <c r="FW197" s="239">
        <v>-24178013</v>
      </c>
      <c r="FX197" s="239">
        <v>116600015</v>
      </c>
      <c r="FY197" s="239">
        <v>9561002</v>
      </c>
      <c r="FZ197" s="239">
        <v>126161017</v>
      </c>
      <c r="GA197" s="214" t="s">
        <v>748</v>
      </c>
    </row>
    <row r="198" spans="2:183" s="214" customFormat="1" x14ac:dyDescent="0.2">
      <c r="B198" s="610" t="s">
        <v>479</v>
      </c>
      <c r="C198" s="610" t="s">
        <v>478</v>
      </c>
      <c r="D198" s="239">
        <v>0</v>
      </c>
      <c r="E198" s="239">
        <v>0</v>
      </c>
      <c r="F198" s="239">
        <v>0</v>
      </c>
      <c r="G198" s="239">
        <v>14741</v>
      </c>
      <c r="H198" s="239">
        <v>0</v>
      </c>
      <c r="I198" s="239">
        <v>14741</v>
      </c>
      <c r="J198" s="239">
        <v>0</v>
      </c>
      <c r="K198" s="239">
        <v>0</v>
      </c>
      <c r="L198" s="239">
        <v>0</v>
      </c>
      <c r="M198" s="239">
        <v>47557</v>
      </c>
      <c r="N198" s="239">
        <v>0</v>
      </c>
      <c r="O198" s="239">
        <v>47557</v>
      </c>
      <c r="P198" s="239">
        <v>62298</v>
      </c>
      <c r="Q198" s="239">
        <v>0</v>
      </c>
      <c r="R198" s="239">
        <v>62298</v>
      </c>
      <c r="S198" s="239">
        <v>-1997070</v>
      </c>
      <c r="T198" s="239">
        <v>0</v>
      </c>
      <c r="U198" s="239">
        <v>-1997070</v>
      </c>
      <c r="V198" s="239">
        <v>0</v>
      </c>
      <c r="W198" s="239">
        <v>0</v>
      </c>
      <c r="X198" s="239">
        <v>0</v>
      </c>
      <c r="Y198" s="239">
        <v>-117198</v>
      </c>
      <c r="Z198" s="239">
        <v>0</v>
      </c>
      <c r="AA198" s="239">
        <v>-117198</v>
      </c>
      <c r="AB198" s="239">
        <v>-58434</v>
      </c>
      <c r="AC198" s="239">
        <v>0</v>
      </c>
      <c r="AD198" s="239">
        <v>-58434</v>
      </c>
      <c r="AE198" s="239">
        <v>0</v>
      </c>
      <c r="AF198" s="239">
        <v>0</v>
      </c>
      <c r="AG198" s="239">
        <v>0</v>
      </c>
      <c r="AH198" s="239">
        <v>932451</v>
      </c>
      <c r="AI198" s="239">
        <v>0</v>
      </c>
      <c r="AJ198" s="239">
        <v>932451</v>
      </c>
      <c r="AK198" s="239">
        <v>-23906</v>
      </c>
      <c r="AL198" s="239">
        <v>0</v>
      </c>
      <c r="AM198" s="239">
        <v>-23906</v>
      </c>
      <c r="AN198" s="239">
        <v>-2040766</v>
      </c>
      <c r="AO198" s="239">
        <v>0</v>
      </c>
      <c r="AP198" s="239">
        <v>-2040766</v>
      </c>
      <c r="AQ198" s="239">
        <v>-35365</v>
      </c>
      <c r="AR198" s="239">
        <v>0</v>
      </c>
      <c r="AS198" s="239">
        <v>-35365</v>
      </c>
      <c r="AT198" s="239">
        <v>-22575</v>
      </c>
      <c r="AU198" s="239">
        <v>0</v>
      </c>
      <c r="AV198" s="239">
        <v>-22575</v>
      </c>
      <c r="AW198" s="239">
        <v>7586</v>
      </c>
      <c r="AX198" s="239">
        <v>0</v>
      </c>
      <c r="AY198" s="239">
        <v>7586</v>
      </c>
      <c r="AZ198" s="239">
        <v>0</v>
      </c>
      <c r="BA198" s="239">
        <v>0</v>
      </c>
      <c r="BB198" s="239">
        <v>0</v>
      </c>
      <c r="BC198" s="239">
        <v>0</v>
      </c>
      <c r="BD198" s="239">
        <v>0</v>
      </c>
      <c r="BE198" s="239">
        <v>0</v>
      </c>
      <c r="BF198" s="239">
        <v>-3296843</v>
      </c>
      <c r="BG198" s="239">
        <v>0</v>
      </c>
      <c r="BH198" s="239">
        <v>-3296843</v>
      </c>
      <c r="BI198" s="239">
        <v>-17477</v>
      </c>
      <c r="BJ198" s="239">
        <v>0</v>
      </c>
      <c r="BK198" s="239">
        <v>-17477</v>
      </c>
      <c r="BL198" s="239">
        <v>2651</v>
      </c>
      <c r="BM198" s="239">
        <v>0</v>
      </c>
      <c r="BN198" s="239">
        <v>2651</v>
      </c>
      <c r="BO198" s="239">
        <v>-845350</v>
      </c>
      <c r="BP198" s="239">
        <v>0</v>
      </c>
      <c r="BQ198" s="239">
        <v>-845350</v>
      </c>
      <c r="BR198" s="239">
        <v>-34428</v>
      </c>
      <c r="BS198" s="239">
        <v>0</v>
      </c>
      <c r="BT198" s="239">
        <v>-34428</v>
      </c>
      <c r="BU198" s="239">
        <v>-894604</v>
      </c>
      <c r="BV198" s="239">
        <v>0</v>
      </c>
      <c r="BW198" s="239">
        <v>-894604</v>
      </c>
      <c r="BX198" s="239">
        <v>-37660</v>
      </c>
      <c r="BY198" s="239">
        <v>0</v>
      </c>
      <c r="BZ198" s="239">
        <v>-37660</v>
      </c>
      <c r="CA198" s="239">
        <v>1079</v>
      </c>
      <c r="CB198" s="239">
        <v>0</v>
      </c>
      <c r="CC198" s="239">
        <v>1079</v>
      </c>
      <c r="CD198" s="239">
        <v>-20505</v>
      </c>
      <c r="CE198" s="239">
        <v>0</v>
      </c>
      <c r="CF198" s="239">
        <v>-20505</v>
      </c>
      <c r="CG198" s="239">
        <v>0</v>
      </c>
      <c r="CH198" s="239">
        <v>0</v>
      </c>
      <c r="CI198" s="239">
        <v>0</v>
      </c>
      <c r="CJ198" s="239">
        <v>0</v>
      </c>
      <c r="CK198" s="239">
        <v>0</v>
      </c>
      <c r="CL198" s="239">
        <v>0</v>
      </c>
      <c r="CM198" s="239">
        <v>0</v>
      </c>
      <c r="CN198" s="239">
        <v>0</v>
      </c>
      <c r="CO198" s="239">
        <v>0</v>
      </c>
      <c r="CP198" s="239">
        <v>0</v>
      </c>
      <c r="CQ198" s="239">
        <v>0</v>
      </c>
      <c r="CR198" s="239">
        <v>0</v>
      </c>
      <c r="CS198" s="239">
        <v>0</v>
      </c>
      <c r="CT198" s="239">
        <v>0</v>
      </c>
      <c r="CU198" s="239">
        <v>0</v>
      </c>
      <c r="CV198" s="239">
        <v>0</v>
      </c>
      <c r="CW198" s="239">
        <v>0</v>
      </c>
      <c r="CX198" s="239">
        <v>0</v>
      </c>
      <c r="CY198" s="239">
        <v>0</v>
      </c>
      <c r="CZ198" s="239">
        <v>0</v>
      </c>
      <c r="DA198" s="239">
        <v>0</v>
      </c>
      <c r="DB198" s="239">
        <v>-23862</v>
      </c>
      <c r="DC198" s="239">
        <v>0</v>
      </c>
      <c r="DD198" s="239">
        <v>-23862</v>
      </c>
      <c r="DE198" s="239">
        <v>0</v>
      </c>
      <c r="DF198" s="239">
        <v>0</v>
      </c>
      <c r="DG198" s="239">
        <v>0</v>
      </c>
      <c r="DH198" s="239">
        <v>0</v>
      </c>
      <c r="DI198" s="239">
        <v>0</v>
      </c>
      <c r="DJ198" s="239">
        <v>-80948</v>
      </c>
      <c r="DK198" s="239">
        <v>0</v>
      </c>
      <c r="DL198" s="239">
        <v>-80948</v>
      </c>
      <c r="DM198" s="239">
        <v>-60713</v>
      </c>
      <c r="DN198" s="239">
        <v>0</v>
      </c>
      <c r="DO198" s="239">
        <v>-60713</v>
      </c>
      <c r="DP198" s="239">
        <v>0</v>
      </c>
      <c r="DQ198" s="239">
        <v>0</v>
      </c>
      <c r="DR198" s="239">
        <v>0</v>
      </c>
      <c r="DS198" s="239">
        <v>-7025</v>
      </c>
      <c r="DT198" s="239">
        <v>0</v>
      </c>
      <c r="DU198" s="239">
        <v>-7025</v>
      </c>
      <c r="DV198" s="239">
        <v>0</v>
      </c>
      <c r="DW198" s="239">
        <v>0</v>
      </c>
      <c r="DX198" s="239">
        <v>0</v>
      </c>
      <c r="DY198" s="239">
        <v>-486153</v>
      </c>
      <c r="DZ198" s="239">
        <v>0</v>
      </c>
      <c r="EA198" s="239">
        <v>-486153</v>
      </c>
      <c r="EB198" s="239">
        <v>-30101</v>
      </c>
      <c r="EC198" s="239">
        <v>0</v>
      </c>
      <c r="ED198" s="239">
        <v>-30101</v>
      </c>
      <c r="EE198" s="239">
        <v>0</v>
      </c>
      <c r="EF198" s="239">
        <v>0</v>
      </c>
      <c r="EG198" s="239">
        <v>0</v>
      </c>
      <c r="EH198" s="239">
        <v>0</v>
      </c>
      <c r="EI198" s="239">
        <v>0</v>
      </c>
      <c r="EJ198" s="239">
        <v>0</v>
      </c>
      <c r="EK198" s="239">
        <v>-4618</v>
      </c>
      <c r="EL198" s="239">
        <v>0</v>
      </c>
      <c r="EM198" s="239">
        <v>-4618</v>
      </c>
      <c r="EN198" s="239">
        <v>-588610</v>
      </c>
      <c r="EO198" s="239">
        <v>0</v>
      </c>
      <c r="EP198" s="239">
        <v>-588610</v>
      </c>
      <c r="EQ198" s="239">
        <v>0</v>
      </c>
      <c r="ER198" s="239">
        <v>0</v>
      </c>
      <c r="ES198" s="239">
        <v>0</v>
      </c>
      <c r="ET198" s="239">
        <v>0</v>
      </c>
      <c r="EU198" s="239">
        <v>0</v>
      </c>
      <c r="EV198" s="239">
        <v>0</v>
      </c>
      <c r="EW198" s="239">
        <v>0</v>
      </c>
      <c r="EX198" s="239">
        <v>0</v>
      </c>
      <c r="EY198" s="239">
        <v>0</v>
      </c>
      <c r="EZ198" s="239">
        <v>39576561</v>
      </c>
      <c r="FA198" s="239">
        <v>0</v>
      </c>
      <c r="FB198" s="239">
        <v>39576561</v>
      </c>
      <c r="FC198" s="239">
        <v>62298</v>
      </c>
      <c r="FD198" s="239">
        <v>0</v>
      </c>
      <c r="FE198" s="239">
        <v>62298</v>
      </c>
      <c r="FF198" s="239">
        <v>-3296843</v>
      </c>
      <c r="FG198" s="239">
        <v>0</v>
      </c>
      <c r="FH198" s="239">
        <v>-3296843</v>
      </c>
      <c r="FI198" s="239">
        <v>-894604</v>
      </c>
      <c r="FJ198" s="239">
        <v>0</v>
      </c>
      <c r="FK198" s="239">
        <v>-894604</v>
      </c>
      <c r="FL198" s="239">
        <v>-80948</v>
      </c>
      <c r="FM198" s="239">
        <v>0</v>
      </c>
      <c r="FN198" s="239">
        <v>-80948</v>
      </c>
      <c r="FO198" s="239">
        <v>-588610</v>
      </c>
      <c r="FP198" s="239">
        <v>0</v>
      </c>
      <c r="FQ198" s="239">
        <v>-588610</v>
      </c>
      <c r="FR198" s="239">
        <v>0</v>
      </c>
      <c r="FS198" s="239">
        <v>0</v>
      </c>
      <c r="FT198" s="239">
        <v>0</v>
      </c>
      <c r="FU198" s="239">
        <v>-4798707</v>
      </c>
      <c r="FV198" s="239">
        <v>0</v>
      </c>
      <c r="FW198" s="239">
        <v>-4798707</v>
      </c>
      <c r="FX198" s="239">
        <v>34777854</v>
      </c>
      <c r="FY198" s="239">
        <v>0</v>
      </c>
      <c r="FZ198" s="239">
        <v>34777854</v>
      </c>
      <c r="GA198" s="214" t="s">
        <v>1294</v>
      </c>
    </row>
    <row r="199" spans="2:183" s="214" customFormat="1" x14ac:dyDescent="0.2">
      <c r="B199" s="610" t="s">
        <v>481</v>
      </c>
      <c r="C199" s="610" t="s">
        <v>480</v>
      </c>
      <c r="D199" s="239">
        <v>0</v>
      </c>
      <c r="E199" s="239">
        <v>0</v>
      </c>
      <c r="F199" s="239">
        <v>0</v>
      </c>
      <c r="G199" s="239">
        <v>-1</v>
      </c>
      <c r="H199" s="239">
        <v>0</v>
      </c>
      <c r="I199" s="239">
        <v>-1</v>
      </c>
      <c r="J199" s="239">
        <v>0</v>
      </c>
      <c r="K199" s="239">
        <v>0</v>
      </c>
      <c r="L199" s="239">
        <v>0</v>
      </c>
      <c r="M199" s="239">
        <v>1047</v>
      </c>
      <c r="N199" s="239">
        <v>0</v>
      </c>
      <c r="O199" s="239">
        <v>1047</v>
      </c>
      <c r="P199" s="239">
        <v>1046</v>
      </c>
      <c r="Q199" s="239">
        <v>0</v>
      </c>
      <c r="R199" s="239">
        <v>1046</v>
      </c>
      <c r="S199" s="239">
        <v>-1023426</v>
      </c>
      <c r="T199" s="239">
        <v>0</v>
      </c>
      <c r="U199" s="239">
        <v>-1023426</v>
      </c>
      <c r="V199" s="239">
        <v>-5231</v>
      </c>
      <c r="W199" s="239">
        <v>0</v>
      </c>
      <c r="X199" s="239">
        <v>-5231</v>
      </c>
      <c r="Y199" s="239">
        <v>-28974</v>
      </c>
      <c r="Z199" s="239">
        <v>0</v>
      </c>
      <c r="AA199" s="239">
        <v>-28974</v>
      </c>
      <c r="AB199" s="239">
        <v>-18068</v>
      </c>
      <c r="AC199" s="239">
        <v>0</v>
      </c>
      <c r="AD199" s="239">
        <v>-18068</v>
      </c>
      <c r="AE199" s="239">
        <v>-1130</v>
      </c>
      <c r="AF199" s="239">
        <v>0</v>
      </c>
      <c r="AG199" s="239">
        <v>-1130</v>
      </c>
      <c r="AH199" s="239">
        <v>324734</v>
      </c>
      <c r="AI199" s="239">
        <v>0</v>
      </c>
      <c r="AJ199" s="239">
        <v>324734</v>
      </c>
      <c r="AK199" s="239">
        <v>-641</v>
      </c>
      <c r="AL199" s="239">
        <v>0</v>
      </c>
      <c r="AM199" s="239">
        <v>-641</v>
      </c>
      <c r="AN199" s="239">
        <v>-1400004</v>
      </c>
      <c r="AO199" s="239">
        <v>0</v>
      </c>
      <c r="AP199" s="239">
        <v>-1400004</v>
      </c>
      <c r="AQ199" s="239">
        <v>-2883</v>
      </c>
      <c r="AR199" s="239">
        <v>0</v>
      </c>
      <c r="AS199" s="239">
        <v>-2883</v>
      </c>
      <c r="AT199" s="239">
        <v>0</v>
      </c>
      <c r="AU199" s="239">
        <v>0</v>
      </c>
      <c r="AV199" s="239">
        <v>0</v>
      </c>
      <c r="AW199" s="239">
        <v>0</v>
      </c>
      <c r="AX199" s="239">
        <v>0</v>
      </c>
      <c r="AY199" s="239">
        <v>0</v>
      </c>
      <c r="AZ199" s="239">
        <v>0</v>
      </c>
      <c r="BA199" s="239">
        <v>0</v>
      </c>
      <c r="BB199" s="239">
        <v>0</v>
      </c>
      <c r="BC199" s="239">
        <v>0</v>
      </c>
      <c r="BD199" s="239">
        <v>0</v>
      </c>
      <c r="BE199" s="239">
        <v>0</v>
      </c>
      <c r="BF199" s="239">
        <v>-2131194</v>
      </c>
      <c r="BG199" s="239">
        <v>0</v>
      </c>
      <c r="BH199" s="239">
        <v>-2131194</v>
      </c>
      <c r="BI199" s="239">
        <v>0</v>
      </c>
      <c r="BJ199" s="239">
        <v>0</v>
      </c>
      <c r="BK199" s="239">
        <v>0</v>
      </c>
      <c r="BL199" s="239">
        <v>0</v>
      </c>
      <c r="BM199" s="239">
        <v>0</v>
      </c>
      <c r="BN199" s="239">
        <v>0</v>
      </c>
      <c r="BO199" s="239">
        <v>-487646</v>
      </c>
      <c r="BP199" s="239">
        <v>0</v>
      </c>
      <c r="BQ199" s="239">
        <v>-487646</v>
      </c>
      <c r="BR199" s="239">
        <v>199216</v>
      </c>
      <c r="BS199" s="239">
        <v>0</v>
      </c>
      <c r="BT199" s="239">
        <v>199216</v>
      </c>
      <c r="BU199" s="239">
        <v>-288430</v>
      </c>
      <c r="BV199" s="239">
        <v>0</v>
      </c>
      <c r="BW199" s="239">
        <v>-288430</v>
      </c>
      <c r="BX199" s="239">
        <v>-49192</v>
      </c>
      <c r="BY199" s="239">
        <v>0</v>
      </c>
      <c r="BZ199" s="239">
        <v>-49192</v>
      </c>
      <c r="CA199" s="239">
        <v>150</v>
      </c>
      <c r="CB199" s="239">
        <v>0</v>
      </c>
      <c r="CC199" s="239">
        <v>150</v>
      </c>
      <c r="CD199" s="239">
        <v>-13406</v>
      </c>
      <c r="CE199" s="239">
        <v>0</v>
      </c>
      <c r="CF199" s="239">
        <v>-13406</v>
      </c>
      <c r="CG199" s="239">
        <v>0</v>
      </c>
      <c r="CH199" s="239">
        <v>0</v>
      </c>
      <c r="CI199" s="239">
        <v>0</v>
      </c>
      <c r="CJ199" s="239">
        <v>0</v>
      </c>
      <c r="CK199" s="239">
        <v>0</v>
      </c>
      <c r="CL199" s="239">
        <v>0</v>
      </c>
      <c r="CM199" s="239">
        <v>0</v>
      </c>
      <c r="CN199" s="239">
        <v>0</v>
      </c>
      <c r="CO199" s="239">
        <v>0</v>
      </c>
      <c r="CP199" s="239">
        <v>0</v>
      </c>
      <c r="CQ199" s="239">
        <v>0</v>
      </c>
      <c r="CR199" s="239">
        <v>0</v>
      </c>
      <c r="CS199" s="239">
        <v>0</v>
      </c>
      <c r="CT199" s="239">
        <v>0</v>
      </c>
      <c r="CU199" s="239">
        <v>0</v>
      </c>
      <c r="CV199" s="239">
        <v>0</v>
      </c>
      <c r="CW199" s="239">
        <v>0</v>
      </c>
      <c r="CX199" s="239">
        <v>0</v>
      </c>
      <c r="CY199" s="239">
        <v>0</v>
      </c>
      <c r="CZ199" s="239">
        <v>0</v>
      </c>
      <c r="DA199" s="239">
        <v>0</v>
      </c>
      <c r="DB199" s="239">
        <v>0</v>
      </c>
      <c r="DC199" s="239">
        <v>0</v>
      </c>
      <c r="DD199" s="239">
        <v>0</v>
      </c>
      <c r="DE199" s="239">
        <v>0</v>
      </c>
      <c r="DF199" s="239">
        <v>0</v>
      </c>
      <c r="DG199" s="239">
        <v>0</v>
      </c>
      <c r="DH199" s="239">
        <v>0</v>
      </c>
      <c r="DI199" s="239">
        <v>0</v>
      </c>
      <c r="DJ199" s="239">
        <v>-62448</v>
      </c>
      <c r="DK199" s="239">
        <v>0</v>
      </c>
      <c r="DL199" s="239">
        <v>-62448</v>
      </c>
      <c r="DM199" s="239">
        <v>0</v>
      </c>
      <c r="DN199" s="239">
        <v>0</v>
      </c>
      <c r="DO199" s="239">
        <v>0</v>
      </c>
      <c r="DP199" s="239">
        <v>0</v>
      </c>
      <c r="DQ199" s="239">
        <v>0</v>
      </c>
      <c r="DR199" s="239">
        <v>0</v>
      </c>
      <c r="DS199" s="239">
        <v>-4759</v>
      </c>
      <c r="DT199" s="239">
        <v>0</v>
      </c>
      <c r="DU199" s="239">
        <v>-4759</v>
      </c>
      <c r="DV199" s="239">
        <v>0</v>
      </c>
      <c r="DW199" s="239">
        <v>0</v>
      </c>
      <c r="DX199" s="239">
        <v>0</v>
      </c>
      <c r="DY199" s="239">
        <v>-236877</v>
      </c>
      <c r="DZ199" s="239">
        <v>0</v>
      </c>
      <c r="EA199" s="239">
        <v>-236877</v>
      </c>
      <c r="EB199" s="239">
        <v>-11962</v>
      </c>
      <c r="EC199" s="239">
        <v>0</v>
      </c>
      <c r="ED199" s="239">
        <v>-11962</v>
      </c>
      <c r="EE199" s="239">
        <v>0</v>
      </c>
      <c r="EF199" s="239">
        <v>0</v>
      </c>
      <c r="EG199" s="239">
        <v>0</v>
      </c>
      <c r="EH199" s="239">
        <v>0</v>
      </c>
      <c r="EI199" s="239">
        <v>0</v>
      </c>
      <c r="EJ199" s="239">
        <v>0</v>
      </c>
      <c r="EK199" s="239">
        <v>-186</v>
      </c>
      <c r="EL199" s="239">
        <v>0</v>
      </c>
      <c r="EM199" s="239">
        <v>-186</v>
      </c>
      <c r="EN199" s="239">
        <v>-253784</v>
      </c>
      <c r="EO199" s="239">
        <v>0</v>
      </c>
      <c r="EP199" s="239">
        <v>-253784</v>
      </c>
      <c r="EQ199" s="239">
        <v>0</v>
      </c>
      <c r="ER199" s="239">
        <v>0</v>
      </c>
      <c r="ES199" s="239">
        <v>0</v>
      </c>
      <c r="ET199" s="239">
        <v>0</v>
      </c>
      <c r="EU199" s="239">
        <v>0</v>
      </c>
      <c r="EV199" s="239">
        <v>0</v>
      </c>
      <c r="EW199" s="239">
        <v>0</v>
      </c>
      <c r="EX199" s="239">
        <v>0</v>
      </c>
      <c r="EY199" s="239">
        <v>0</v>
      </c>
      <c r="EZ199" s="239">
        <v>15109838</v>
      </c>
      <c r="FA199" s="239">
        <v>0</v>
      </c>
      <c r="FB199" s="239">
        <v>15109838</v>
      </c>
      <c r="FC199" s="239">
        <v>1046</v>
      </c>
      <c r="FD199" s="239">
        <v>0</v>
      </c>
      <c r="FE199" s="239">
        <v>1046</v>
      </c>
      <c r="FF199" s="239">
        <v>-2131194</v>
      </c>
      <c r="FG199" s="239">
        <v>0</v>
      </c>
      <c r="FH199" s="239">
        <v>-2131194</v>
      </c>
      <c r="FI199" s="239">
        <v>-288430</v>
      </c>
      <c r="FJ199" s="239">
        <v>0</v>
      </c>
      <c r="FK199" s="239">
        <v>-288430</v>
      </c>
      <c r="FL199" s="239">
        <v>-62448</v>
      </c>
      <c r="FM199" s="239">
        <v>0</v>
      </c>
      <c r="FN199" s="239">
        <v>-62448</v>
      </c>
      <c r="FO199" s="239">
        <v>-253784</v>
      </c>
      <c r="FP199" s="239">
        <v>0</v>
      </c>
      <c r="FQ199" s="239">
        <v>-253784</v>
      </c>
      <c r="FR199" s="239">
        <v>0</v>
      </c>
      <c r="FS199" s="239">
        <v>0</v>
      </c>
      <c r="FT199" s="239">
        <v>0</v>
      </c>
      <c r="FU199" s="239">
        <v>-2734810</v>
      </c>
      <c r="FV199" s="239">
        <v>0</v>
      </c>
      <c r="FW199" s="239">
        <v>-2734810</v>
      </c>
      <c r="FX199" s="239">
        <v>12375028</v>
      </c>
      <c r="FY199" s="239">
        <v>0</v>
      </c>
      <c r="FZ199" s="239">
        <v>12375028</v>
      </c>
      <c r="GA199" s="214" t="s">
        <v>1294</v>
      </c>
    </row>
    <row r="200" spans="2:183" s="214" customFormat="1" x14ac:dyDescent="0.2">
      <c r="B200" s="610" t="s">
        <v>483</v>
      </c>
      <c r="C200" s="610" t="s">
        <v>482</v>
      </c>
      <c r="D200" s="239">
        <v>0</v>
      </c>
      <c r="E200" s="239">
        <v>0</v>
      </c>
      <c r="F200" s="239">
        <v>0</v>
      </c>
      <c r="G200" s="239">
        <v>-765265</v>
      </c>
      <c r="H200" s="239">
        <v>0</v>
      </c>
      <c r="I200" s="239">
        <v>-765265</v>
      </c>
      <c r="J200" s="239">
        <v>0</v>
      </c>
      <c r="K200" s="239">
        <v>0</v>
      </c>
      <c r="L200" s="239">
        <v>0</v>
      </c>
      <c r="M200" s="239">
        <v>159441</v>
      </c>
      <c r="N200" s="239">
        <v>0</v>
      </c>
      <c r="O200" s="239">
        <v>159441</v>
      </c>
      <c r="P200" s="239">
        <v>-605824</v>
      </c>
      <c r="Q200" s="239">
        <v>0</v>
      </c>
      <c r="R200" s="239">
        <v>-605824</v>
      </c>
      <c r="S200" s="239">
        <v>-6021036</v>
      </c>
      <c r="T200" s="239">
        <v>0</v>
      </c>
      <c r="U200" s="239">
        <v>-6021036</v>
      </c>
      <c r="V200" s="239">
        <v>-2068</v>
      </c>
      <c r="W200" s="239">
        <v>0</v>
      </c>
      <c r="X200" s="239">
        <v>-2068</v>
      </c>
      <c r="Y200" s="239">
        <v>-274876</v>
      </c>
      <c r="Z200" s="239">
        <v>0</v>
      </c>
      <c r="AA200" s="239">
        <v>-274876</v>
      </c>
      <c r="AB200" s="239">
        <v>-181412</v>
      </c>
      <c r="AC200" s="239">
        <v>0</v>
      </c>
      <c r="AD200" s="239">
        <v>-181412</v>
      </c>
      <c r="AE200" s="239">
        <v>0</v>
      </c>
      <c r="AF200" s="239">
        <v>0</v>
      </c>
      <c r="AG200" s="239">
        <v>0</v>
      </c>
      <c r="AH200" s="239">
        <v>1673522</v>
      </c>
      <c r="AI200" s="239">
        <v>0</v>
      </c>
      <c r="AJ200" s="239">
        <v>1673522</v>
      </c>
      <c r="AK200" s="239">
        <v>-24659</v>
      </c>
      <c r="AL200" s="239">
        <v>0</v>
      </c>
      <c r="AM200" s="239">
        <v>-24659</v>
      </c>
      <c r="AN200" s="239">
        <v>-5541881</v>
      </c>
      <c r="AO200" s="239">
        <v>0</v>
      </c>
      <c r="AP200" s="239">
        <v>-5541881</v>
      </c>
      <c r="AQ200" s="239">
        <v>174021</v>
      </c>
      <c r="AR200" s="239">
        <v>0</v>
      </c>
      <c r="AS200" s="239">
        <v>174021</v>
      </c>
      <c r="AT200" s="239">
        <v>-88493</v>
      </c>
      <c r="AU200" s="239">
        <v>0</v>
      </c>
      <c r="AV200" s="239">
        <v>-88493</v>
      </c>
      <c r="AW200" s="239">
        <v>0</v>
      </c>
      <c r="AX200" s="239">
        <v>0</v>
      </c>
      <c r="AY200" s="239">
        <v>0</v>
      </c>
      <c r="AZ200" s="239">
        <v>-10452</v>
      </c>
      <c r="BA200" s="239">
        <v>0</v>
      </c>
      <c r="BB200" s="239">
        <v>-10452</v>
      </c>
      <c r="BC200" s="239">
        <v>4982</v>
      </c>
      <c r="BD200" s="239">
        <v>0</v>
      </c>
      <c r="BE200" s="239">
        <v>4982</v>
      </c>
      <c r="BF200" s="239">
        <v>-10108872</v>
      </c>
      <c r="BG200" s="239">
        <v>0</v>
      </c>
      <c r="BH200" s="239">
        <v>-10108872</v>
      </c>
      <c r="BI200" s="239">
        <v>-3743</v>
      </c>
      <c r="BJ200" s="239">
        <v>0</v>
      </c>
      <c r="BK200" s="239">
        <v>-3743</v>
      </c>
      <c r="BL200" s="239">
        <v>12998</v>
      </c>
      <c r="BM200" s="239">
        <v>0</v>
      </c>
      <c r="BN200" s="239">
        <v>12998</v>
      </c>
      <c r="BO200" s="239">
        <v>-3007286</v>
      </c>
      <c r="BP200" s="239">
        <v>0</v>
      </c>
      <c r="BQ200" s="239">
        <v>-3007286</v>
      </c>
      <c r="BR200" s="239">
        <v>360746</v>
      </c>
      <c r="BS200" s="239">
        <v>0</v>
      </c>
      <c r="BT200" s="239">
        <v>360746</v>
      </c>
      <c r="BU200" s="239">
        <v>-2637285</v>
      </c>
      <c r="BV200" s="239">
        <v>0</v>
      </c>
      <c r="BW200" s="239">
        <v>-2637285</v>
      </c>
      <c r="BX200" s="239">
        <v>-194824</v>
      </c>
      <c r="BY200" s="239">
        <v>0</v>
      </c>
      <c r="BZ200" s="239">
        <v>-194824</v>
      </c>
      <c r="CA200" s="239">
        <v>37804</v>
      </c>
      <c r="CB200" s="239">
        <v>0</v>
      </c>
      <c r="CC200" s="239">
        <v>37804</v>
      </c>
      <c r="CD200" s="239">
        <v>-72613</v>
      </c>
      <c r="CE200" s="239">
        <v>0</v>
      </c>
      <c r="CF200" s="239">
        <v>-72613</v>
      </c>
      <c r="CG200" s="239">
        <v>244</v>
      </c>
      <c r="CH200" s="239">
        <v>0</v>
      </c>
      <c r="CI200" s="239">
        <v>244</v>
      </c>
      <c r="CJ200" s="239">
        <v>-150</v>
      </c>
      <c r="CK200" s="239">
        <v>0</v>
      </c>
      <c r="CL200" s="239">
        <v>-150</v>
      </c>
      <c r="CM200" s="239">
        <v>0</v>
      </c>
      <c r="CN200" s="239">
        <v>0</v>
      </c>
      <c r="CO200" s="239">
        <v>0</v>
      </c>
      <c r="CP200" s="239">
        <v>-739</v>
      </c>
      <c r="CQ200" s="239">
        <v>0</v>
      </c>
      <c r="CR200" s="239">
        <v>-739</v>
      </c>
      <c r="CS200" s="239">
        <v>4982</v>
      </c>
      <c r="CT200" s="239">
        <v>0</v>
      </c>
      <c r="CU200" s="239">
        <v>4982</v>
      </c>
      <c r="CV200" s="239">
        <v>0</v>
      </c>
      <c r="CW200" s="239">
        <v>0</v>
      </c>
      <c r="CX200" s="239">
        <v>0</v>
      </c>
      <c r="CY200" s="239">
        <v>0</v>
      </c>
      <c r="CZ200" s="239">
        <v>0</v>
      </c>
      <c r="DA200" s="239">
        <v>0</v>
      </c>
      <c r="DB200" s="239">
        <v>0</v>
      </c>
      <c r="DC200" s="239">
        <v>0</v>
      </c>
      <c r="DD200" s="239">
        <v>0</v>
      </c>
      <c r="DE200" s="239">
        <v>0</v>
      </c>
      <c r="DF200" s="239">
        <v>0</v>
      </c>
      <c r="DG200" s="239">
        <v>0</v>
      </c>
      <c r="DH200" s="239">
        <v>0</v>
      </c>
      <c r="DI200" s="239">
        <v>0</v>
      </c>
      <c r="DJ200" s="239">
        <v>-225296</v>
      </c>
      <c r="DK200" s="239">
        <v>0</v>
      </c>
      <c r="DL200" s="239">
        <v>-225296</v>
      </c>
      <c r="DM200" s="239">
        <v>0</v>
      </c>
      <c r="DN200" s="239">
        <v>0</v>
      </c>
      <c r="DO200" s="239">
        <v>0</v>
      </c>
      <c r="DP200" s="239">
        <v>0</v>
      </c>
      <c r="DQ200" s="239">
        <v>0</v>
      </c>
      <c r="DR200" s="239">
        <v>0</v>
      </c>
      <c r="DS200" s="239">
        <v>-93992</v>
      </c>
      <c r="DT200" s="239">
        <v>0</v>
      </c>
      <c r="DU200" s="239">
        <v>-93992</v>
      </c>
      <c r="DV200" s="239">
        <v>0</v>
      </c>
      <c r="DW200" s="239">
        <v>0</v>
      </c>
      <c r="DX200" s="239">
        <v>0</v>
      </c>
      <c r="DY200" s="239">
        <v>-1068851</v>
      </c>
      <c r="DZ200" s="239">
        <v>0</v>
      </c>
      <c r="EA200" s="239">
        <v>-1068851</v>
      </c>
      <c r="EB200" s="239">
        <v>-2981</v>
      </c>
      <c r="EC200" s="239">
        <v>0</v>
      </c>
      <c r="ED200" s="239">
        <v>-2981</v>
      </c>
      <c r="EE200" s="239">
        <v>0</v>
      </c>
      <c r="EF200" s="239">
        <v>0</v>
      </c>
      <c r="EG200" s="239">
        <v>0</v>
      </c>
      <c r="EH200" s="239">
        <v>0</v>
      </c>
      <c r="EI200" s="239">
        <v>0</v>
      </c>
      <c r="EJ200" s="239">
        <v>0</v>
      </c>
      <c r="EK200" s="239">
        <v>-8342</v>
      </c>
      <c r="EL200" s="239">
        <v>0</v>
      </c>
      <c r="EM200" s="239">
        <v>-8342</v>
      </c>
      <c r="EN200" s="239">
        <v>-1174166</v>
      </c>
      <c r="EO200" s="239">
        <v>0</v>
      </c>
      <c r="EP200" s="239">
        <v>-1174166</v>
      </c>
      <c r="EQ200" s="239">
        <v>0</v>
      </c>
      <c r="ER200" s="239">
        <v>0</v>
      </c>
      <c r="ES200" s="239">
        <v>0</v>
      </c>
      <c r="ET200" s="239">
        <v>-1753</v>
      </c>
      <c r="EU200" s="239">
        <v>0</v>
      </c>
      <c r="EV200" s="239">
        <v>-1753</v>
      </c>
      <c r="EW200" s="239">
        <v>-1753</v>
      </c>
      <c r="EX200" s="239">
        <v>0</v>
      </c>
      <c r="EY200" s="239">
        <v>-1753</v>
      </c>
      <c r="EZ200" s="239">
        <v>74090177</v>
      </c>
      <c r="FA200" s="239">
        <v>0</v>
      </c>
      <c r="FB200" s="239">
        <v>74090177</v>
      </c>
      <c r="FC200" s="239">
        <v>-605824</v>
      </c>
      <c r="FD200" s="239">
        <v>0</v>
      </c>
      <c r="FE200" s="239">
        <v>-605824</v>
      </c>
      <c r="FF200" s="239">
        <v>-10108872</v>
      </c>
      <c r="FG200" s="239">
        <v>0</v>
      </c>
      <c r="FH200" s="239">
        <v>-10108872</v>
      </c>
      <c r="FI200" s="239">
        <v>-2637285</v>
      </c>
      <c r="FJ200" s="239">
        <v>0</v>
      </c>
      <c r="FK200" s="239">
        <v>-2637285</v>
      </c>
      <c r="FL200" s="239">
        <v>-225296</v>
      </c>
      <c r="FM200" s="239">
        <v>0</v>
      </c>
      <c r="FN200" s="239">
        <v>-225296</v>
      </c>
      <c r="FO200" s="239">
        <v>-1174166</v>
      </c>
      <c r="FP200" s="239">
        <v>0</v>
      </c>
      <c r="FQ200" s="239">
        <v>-1174166</v>
      </c>
      <c r="FR200" s="239">
        <v>-1753</v>
      </c>
      <c r="FS200" s="239">
        <v>0</v>
      </c>
      <c r="FT200" s="239">
        <v>-1753</v>
      </c>
      <c r="FU200" s="239">
        <v>-14753196</v>
      </c>
      <c r="FV200" s="239">
        <v>0</v>
      </c>
      <c r="FW200" s="239">
        <v>-14753196</v>
      </c>
      <c r="FX200" s="239">
        <v>59336981</v>
      </c>
      <c r="FY200" s="239">
        <v>0</v>
      </c>
      <c r="FZ200" s="239">
        <v>59336981</v>
      </c>
      <c r="GA200" s="214" t="s">
        <v>1296</v>
      </c>
    </row>
    <row r="201" spans="2:183" s="214" customFormat="1" x14ac:dyDescent="0.2">
      <c r="B201" s="610" t="s">
        <v>485</v>
      </c>
      <c r="C201" s="610" t="s">
        <v>484</v>
      </c>
      <c r="D201" s="239">
        <v>0</v>
      </c>
      <c r="E201" s="239">
        <v>0</v>
      </c>
      <c r="F201" s="239">
        <v>0</v>
      </c>
      <c r="G201" s="239">
        <v>67910</v>
      </c>
      <c r="H201" s="239">
        <v>0</v>
      </c>
      <c r="I201" s="239">
        <v>67910</v>
      </c>
      <c r="J201" s="239">
        <v>0</v>
      </c>
      <c r="K201" s="239">
        <v>0</v>
      </c>
      <c r="L201" s="239">
        <v>0</v>
      </c>
      <c r="M201" s="239">
        <v>17269</v>
      </c>
      <c r="N201" s="239">
        <v>0</v>
      </c>
      <c r="O201" s="239">
        <v>17269</v>
      </c>
      <c r="P201" s="239">
        <v>85179</v>
      </c>
      <c r="Q201" s="239">
        <v>0</v>
      </c>
      <c r="R201" s="239">
        <v>85179</v>
      </c>
      <c r="S201" s="239">
        <v>-1215541</v>
      </c>
      <c r="T201" s="239">
        <v>0</v>
      </c>
      <c r="U201" s="239">
        <v>-1215541</v>
      </c>
      <c r="V201" s="239">
        <v>-65</v>
      </c>
      <c r="W201" s="239">
        <v>0</v>
      </c>
      <c r="X201" s="239">
        <v>-65</v>
      </c>
      <c r="Y201" s="239">
        <v>-35372</v>
      </c>
      <c r="Z201" s="239">
        <v>0</v>
      </c>
      <c r="AA201" s="239">
        <v>-35372</v>
      </c>
      <c r="AB201" s="239">
        <v>-20639</v>
      </c>
      <c r="AC201" s="239">
        <v>0</v>
      </c>
      <c r="AD201" s="239">
        <v>-20639</v>
      </c>
      <c r="AE201" s="239">
        <v>0</v>
      </c>
      <c r="AF201" s="239">
        <v>0</v>
      </c>
      <c r="AG201" s="239">
        <v>0</v>
      </c>
      <c r="AH201" s="239">
        <v>2813977</v>
      </c>
      <c r="AI201" s="239">
        <v>0</v>
      </c>
      <c r="AJ201" s="239">
        <v>2813977</v>
      </c>
      <c r="AK201" s="239">
        <v>-17722</v>
      </c>
      <c r="AL201" s="239">
        <v>0</v>
      </c>
      <c r="AM201" s="239">
        <v>-17722</v>
      </c>
      <c r="AN201" s="239">
        <v>-20432517</v>
      </c>
      <c r="AO201" s="239">
        <v>0</v>
      </c>
      <c r="AP201" s="239">
        <v>-20432517</v>
      </c>
      <c r="AQ201" s="239">
        <v>338123</v>
      </c>
      <c r="AR201" s="239">
        <v>0</v>
      </c>
      <c r="AS201" s="239">
        <v>338123</v>
      </c>
      <c r="AT201" s="239">
        <v>-34727</v>
      </c>
      <c r="AU201" s="239">
        <v>0</v>
      </c>
      <c r="AV201" s="239">
        <v>-34727</v>
      </c>
      <c r="AW201" s="239">
        <v>0</v>
      </c>
      <c r="AX201" s="239">
        <v>0</v>
      </c>
      <c r="AY201" s="239">
        <v>0</v>
      </c>
      <c r="AZ201" s="239">
        <v>0</v>
      </c>
      <c r="BA201" s="239">
        <v>0</v>
      </c>
      <c r="BB201" s="239">
        <v>0</v>
      </c>
      <c r="BC201" s="239">
        <v>0</v>
      </c>
      <c r="BD201" s="239">
        <v>0</v>
      </c>
      <c r="BE201" s="239">
        <v>0</v>
      </c>
      <c r="BF201" s="239">
        <v>-18583779</v>
      </c>
      <c r="BG201" s="239">
        <v>0</v>
      </c>
      <c r="BH201" s="239">
        <v>-18583779</v>
      </c>
      <c r="BI201" s="239">
        <v>-20234</v>
      </c>
      <c r="BJ201" s="239">
        <v>0</v>
      </c>
      <c r="BK201" s="239">
        <v>-20234</v>
      </c>
      <c r="BL201" s="239">
        <v>-9020</v>
      </c>
      <c r="BM201" s="239">
        <v>0</v>
      </c>
      <c r="BN201" s="239">
        <v>-9020</v>
      </c>
      <c r="BO201" s="239">
        <v>-1538234</v>
      </c>
      <c r="BP201" s="239">
        <v>0</v>
      </c>
      <c r="BQ201" s="239">
        <v>-1538234</v>
      </c>
      <c r="BR201" s="239">
        <v>388518</v>
      </c>
      <c r="BS201" s="239">
        <v>0</v>
      </c>
      <c r="BT201" s="239">
        <v>388518</v>
      </c>
      <c r="BU201" s="239">
        <v>-1178970</v>
      </c>
      <c r="BV201" s="239">
        <v>0</v>
      </c>
      <c r="BW201" s="239">
        <v>-1178970</v>
      </c>
      <c r="BX201" s="239">
        <v>0</v>
      </c>
      <c r="BY201" s="239">
        <v>0</v>
      </c>
      <c r="BZ201" s="239">
        <v>0</v>
      </c>
      <c r="CA201" s="239">
        <v>0</v>
      </c>
      <c r="CB201" s="239">
        <v>0</v>
      </c>
      <c r="CC201" s="239">
        <v>0</v>
      </c>
      <c r="CD201" s="239">
        <v>-46483</v>
      </c>
      <c r="CE201" s="239">
        <v>0</v>
      </c>
      <c r="CF201" s="239">
        <v>-46483</v>
      </c>
      <c r="CG201" s="239">
        <v>0</v>
      </c>
      <c r="CH201" s="239">
        <v>0</v>
      </c>
      <c r="CI201" s="239">
        <v>0</v>
      </c>
      <c r="CJ201" s="239">
        <v>0</v>
      </c>
      <c r="CK201" s="239">
        <v>0</v>
      </c>
      <c r="CL201" s="239">
        <v>0</v>
      </c>
      <c r="CM201" s="239">
        <v>0</v>
      </c>
      <c r="CN201" s="239">
        <v>0</v>
      </c>
      <c r="CO201" s="239">
        <v>0</v>
      </c>
      <c r="CP201" s="239">
        <v>0</v>
      </c>
      <c r="CQ201" s="239">
        <v>0</v>
      </c>
      <c r="CR201" s="239">
        <v>0</v>
      </c>
      <c r="CS201" s="239">
        <v>0</v>
      </c>
      <c r="CT201" s="239">
        <v>0</v>
      </c>
      <c r="CU201" s="239">
        <v>0</v>
      </c>
      <c r="CV201" s="239">
        <v>0</v>
      </c>
      <c r="CW201" s="239">
        <v>0</v>
      </c>
      <c r="CX201" s="239">
        <v>0</v>
      </c>
      <c r="CY201" s="239">
        <v>0</v>
      </c>
      <c r="CZ201" s="239">
        <v>0</v>
      </c>
      <c r="DA201" s="239">
        <v>0</v>
      </c>
      <c r="DB201" s="239">
        <v>0</v>
      </c>
      <c r="DC201" s="239">
        <v>0</v>
      </c>
      <c r="DD201" s="239">
        <v>0</v>
      </c>
      <c r="DE201" s="239">
        <v>0</v>
      </c>
      <c r="DF201" s="239">
        <v>0</v>
      </c>
      <c r="DG201" s="239">
        <v>0</v>
      </c>
      <c r="DH201" s="239">
        <v>0</v>
      </c>
      <c r="DI201" s="239">
        <v>0</v>
      </c>
      <c r="DJ201" s="239">
        <v>-46483</v>
      </c>
      <c r="DK201" s="239">
        <v>0</v>
      </c>
      <c r="DL201" s="239">
        <v>-46483</v>
      </c>
      <c r="DM201" s="239">
        <v>-32376</v>
      </c>
      <c r="DN201" s="239">
        <v>0</v>
      </c>
      <c r="DO201" s="239">
        <v>-32376</v>
      </c>
      <c r="DP201" s="239">
        <v>0</v>
      </c>
      <c r="DQ201" s="239">
        <v>0</v>
      </c>
      <c r="DR201" s="239">
        <v>0</v>
      </c>
      <c r="DS201" s="239">
        <v>-100600</v>
      </c>
      <c r="DT201" s="239">
        <v>0</v>
      </c>
      <c r="DU201" s="239">
        <v>-100600</v>
      </c>
      <c r="DV201" s="239">
        <v>-3857</v>
      </c>
      <c r="DW201" s="239">
        <v>0</v>
      </c>
      <c r="DX201" s="239">
        <v>-3857</v>
      </c>
      <c r="DY201" s="239">
        <v>-1176731</v>
      </c>
      <c r="DZ201" s="239">
        <v>0</v>
      </c>
      <c r="EA201" s="239">
        <v>-1176731</v>
      </c>
      <c r="EB201" s="239">
        <v>-4886</v>
      </c>
      <c r="EC201" s="239">
        <v>0</v>
      </c>
      <c r="ED201" s="239">
        <v>-4886</v>
      </c>
      <c r="EE201" s="239">
        <v>0</v>
      </c>
      <c r="EF201" s="239">
        <v>0</v>
      </c>
      <c r="EG201" s="239">
        <v>0</v>
      </c>
      <c r="EH201" s="239">
        <v>0</v>
      </c>
      <c r="EI201" s="239">
        <v>0</v>
      </c>
      <c r="EJ201" s="239">
        <v>0</v>
      </c>
      <c r="EK201" s="239">
        <v>-19057</v>
      </c>
      <c r="EL201" s="239">
        <v>0</v>
      </c>
      <c r="EM201" s="239">
        <v>-19057</v>
      </c>
      <c r="EN201" s="239">
        <v>-1337507</v>
      </c>
      <c r="EO201" s="239">
        <v>0</v>
      </c>
      <c r="EP201" s="239">
        <v>-1337507</v>
      </c>
      <c r="EQ201" s="239">
        <v>0</v>
      </c>
      <c r="ER201" s="239">
        <v>0</v>
      </c>
      <c r="ES201" s="239">
        <v>0</v>
      </c>
      <c r="ET201" s="239">
        <v>0</v>
      </c>
      <c r="EU201" s="239">
        <v>0</v>
      </c>
      <c r="EV201" s="239">
        <v>0</v>
      </c>
      <c r="EW201" s="239">
        <v>0</v>
      </c>
      <c r="EX201" s="239">
        <v>0</v>
      </c>
      <c r="EY201" s="239">
        <v>0</v>
      </c>
      <c r="EZ201" s="239">
        <v>109569039</v>
      </c>
      <c r="FA201" s="239">
        <v>0</v>
      </c>
      <c r="FB201" s="239">
        <v>109569039</v>
      </c>
      <c r="FC201" s="239">
        <v>85179</v>
      </c>
      <c r="FD201" s="239">
        <v>0</v>
      </c>
      <c r="FE201" s="239">
        <v>85179</v>
      </c>
      <c r="FF201" s="239">
        <v>-18583779</v>
      </c>
      <c r="FG201" s="239">
        <v>0</v>
      </c>
      <c r="FH201" s="239">
        <v>-18583779</v>
      </c>
      <c r="FI201" s="239">
        <v>-1178970</v>
      </c>
      <c r="FJ201" s="239">
        <v>0</v>
      </c>
      <c r="FK201" s="239">
        <v>-1178970</v>
      </c>
      <c r="FL201" s="239">
        <v>-46483</v>
      </c>
      <c r="FM201" s="239">
        <v>0</v>
      </c>
      <c r="FN201" s="239">
        <v>-46483</v>
      </c>
      <c r="FO201" s="239">
        <v>-1337507</v>
      </c>
      <c r="FP201" s="239">
        <v>0</v>
      </c>
      <c r="FQ201" s="239">
        <v>-1337507</v>
      </c>
      <c r="FR201" s="239">
        <v>0</v>
      </c>
      <c r="FS201" s="239">
        <v>0</v>
      </c>
      <c r="FT201" s="239">
        <v>0</v>
      </c>
      <c r="FU201" s="239">
        <v>-21061560</v>
      </c>
      <c r="FV201" s="239">
        <v>0</v>
      </c>
      <c r="FW201" s="239">
        <v>-21061560</v>
      </c>
      <c r="FX201" s="239">
        <v>88507479</v>
      </c>
      <c r="FY201" s="239">
        <v>0</v>
      </c>
      <c r="FZ201" s="239">
        <v>88507479</v>
      </c>
      <c r="GA201" s="214" t="s">
        <v>1294</v>
      </c>
    </row>
    <row r="202" spans="2:183" s="214" customFormat="1" x14ac:dyDescent="0.2">
      <c r="B202" s="610" t="s">
        <v>487</v>
      </c>
      <c r="C202" s="610" t="s">
        <v>486</v>
      </c>
      <c r="D202" s="239">
        <v>0</v>
      </c>
      <c r="E202" s="239">
        <v>0</v>
      </c>
      <c r="F202" s="239">
        <v>0</v>
      </c>
      <c r="G202" s="239">
        <v>143424</v>
      </c>
      <c r="H202" s="239">
        <v>0</v>
      </c>
      <c r="I202" s="239">
        <v>143424</v>
      </c>
      <c r="J202" s="239">
        <v>0</v>
      </c>
      <c r="K202" s="239">
        <v>0</v>
      </c>
      <c r="L202" s="239">
        <v>0</v>
      </c>
      <c r="M202" s="239">
        <v>9747</v>
      </c>
      <c r="N202" s="239">
        <v>0</v>
      </c>
      <c r="O202" s="239">
        <v>9747</v>
      </c>
      <c r="P202" s="239">
        <v>153171</v>
      </c>
      <c r="Q202" s="239">
        <v>0</v>
      </c>
      <c r="R202" s="239">
        <v>153171</v>
      </c>
      <c r="S202" s="239">
        <v>-2822425</v>
      </c>
      <c r="T202" s="239">
        <v>0</v>
      </c>
      <c r="U202" s="239">
        <v>-2822425</v>
      </c>
      <c r="V202" s="239">
        <v>-547</v>
      </c>
      <c r="W202" s="239">
        <v>0</v>
      </c>
      <c r="X202" s="239">
        <v>-547</v>
      </c>
      <c r="Y202" s="239">
        <v>-99887</v>
      </c>
      <c r="Z202" s="239">
        <v>0</v>
      </c>
      <c r="AA202" s="239">
        <v>-99887</v>
      </c>
      <c r="AB202" s="239">
        <v>-47309</v>
      </c>
      <c r="AC202" s="239">
        <v>0</v>
      </c>
      <c r="AD202" s="239">
        <v>-47309</v>
      </c>
      <c r="AE202" s="239">
        <v>848</v>
      </c>
      <c r="AF202" s="239">
        <v>0</v>
      </c>
      <c r="AG202" s="239">
        <v>848</v>
      </c>
      <c r="AH202" s="239">
        <v>535370</v>
      </c>
      <c r="AI202" s="239">
        <v>0</v>
      </c>
      <c r="AJ202" s="239">
        <v>535370</v>
      </c>
      <c r="AK202" s="239">
        <v>-8003</v>
      </c>
      <c r="AL202" s="239">
        <v>0</v>
      </c>
      <c r="AM202" s="239">
        <v>-8003</v>
      </c>
      <c r="AN202" s="239">
        <v>-1146281</v>
      </c>
      <c r="AO202" s="239">
        <v>0</v>
      </c>
      <c r="AP202" s="239">
        <v>-1146281</v>
      </c>
      <c r="AQ202" s="239">
        <v>-36040</v>
      </c>
      <c r="AR202" s="239">
        <v>0</v>
      </c>
      <c r="AS202" s="239">
        <v>-36040</v>
      </c>
      <c r="AT202" s="239">
        <v>0</v>
      </c>
      <c r="AU202" s="239">
        <v>0</v>
      </c>
      <c r="AV202" s="239">
        <v>0</v>
      </c>
      <c r="AW202" s="239">
        <v>0</v>
      </c>
      <c r="AX202" s="239">
        <v>0</v>
      </c>
      <c r="AY202" s="239">
        <v>0</v>
      </c>
      <c r="AZ202" s="239">
        <v>-943</v>
      </c>
      <c r="BA202" s="239">
        <v>0</v>
      </c>
      <c r="BB202" s="239">
        <v>-943</v>
      </c>
      <c r="BC202" s="239">
        <v>0</v>
      </c>
      <c r="BD202" s="239">
        <v>0</v>
      </c>
      <c r="BE202" s="239">
        <v>0</v>
      </c>
      <c r="BF202" s="239">
        <v>-3578209</v>
      </c>
      <c r="BG202" s="239">
        <v>0</v>
      </c>
      <c r="BH202" s="239">
        <v>-3578209</v>
      </c>
      <c r="BI202" s="239">
        <v>-12067</v>
      </c>
      <c r="BJ202" s="239">
        <v>0</v>
      </c>
      <c r="BK202" s="239">
        <v>-12067</v>
      </c>
      <c r="BL202" s="239">
        <v>-13</v>
      </c>
      <c r="BM202" s="239">
        <v>0</v>
      </c>
      <c r="BN202" s="239">
        <v>-13</v>
      </c>
      <c r="BO202" s="239">
        <v>-997559</v>
      </c>
      <c r="BP202" s="239">
        <v>0</v>
      </c>
      <c r="BQ202" s="239">
        <v>-997559</v>
      </c>
      <c r="BR202" s="239">
        <v>-41991</v>
      </c>
      <c r="BS202" s="239">
        <v>0</v>
      </c>
      <c r="BT202" s="239">
        <v>-41991</v>
      </c>
      <c r="BU202" s="239">
        <v>-1051630</v>
      </c>
      <c r="BV202" s="239">
        <v>0</v>
      </c>
      <c r="BW202" s="239">
        <v>-1051630</v>
      </c>
      <c r="BX202" s="239">
        <v>-127418</v>
      </c>
      <c r="BY202" s="239">
        <v>0</v>
      </c>
      <c r="BZ202" s="239">
        <v>-127418</v>
      </c>
      <c r="CA202" s="239">
        <v>-342</v>
      </c>
      <c r="CB202" s="239">
        <v>0</v>
      </c>
      <c r="CC202" s="239">
        <v>-342</v>
      </c>
      <c r="CD202" s="239">
        <v>-120872</v>
      </c>
      <c r="CE202" s="239">
        <v>0</v>
      </c>
      <c r="CF202" s="239">
        <v>-120872</v>
      </c>
      <c r="CG202" s="239">
        <v>-1743</v>
      </c>
      <c r="CH202" s="239">
        <v>0</v>
      </c>
      <c r="CI202" s="239">
        <v>-1743</v>
      </c>
      <c r="CJ202" s="239">
        <v>0</v>
      </c>
      <c r="CK202" s="239">
        <v>0</v>
      </c>
      <c r="CL202" s="239">
        <v>0</v>
      </c>
      <c r="CM202" s="239">
        <v>0</v>
      </c>
      <c r="CN202" s="239">
        <v>0</v>
      </c>
      <c r="CO202" s="239">
        <v>0</v>
      </c>
      <c r="CP202" s="239">
        <v>-943</v>
      </c>
      <c r="CQ202" s="239">
        <v>0</v>
      </c>
      <c r="CR202" s="239">
        <v>-943</v>
      </c>
      <c r="CS202" s="239">
        <v>0</v>
      </c>
      <c r="CT202" s="239">
        <v>0</v>
      </c>
      <c r="CU202" s="239">
        <v>0</v>
      </c>
      <c r="CV202" s="239">
        <v>0</v>
      </c>
      <c r="CW202" s="239">
        <v>0</v>
      </c>
      <c r="CX202" s="239">
        <v>0</v>
      </c>
      <c r="CY202" s="239">
        <v>0</v>
      </c>
      <c r="CZ202" s="239">
        <v>0</v>
      </c>
      <c r="DA202" s="239">
        <v>0</v>
      </c>
      <c r="DB202" s="239">
        <v>-7756</v>
      </c>
      <c r="DC202" s="239">
        <v>0</v>
      </c>
      <c r="DD202" s="239">
        <v>-7756</v>
      </c>
      <c r="DE202" s="239">
        <v>0</v>
      </c>
      <c r="DF202" s="239">
        <v>0</v>
      </c>
      <c r="DG202" s="239">
        <v>0</v>
      </c>
      <c r="DH202" s="239">
        <v>0</v>
      </c>
      <c r="DI202" s="239">
        <v>0</v>
      </c>
      <c r="DJ202" s="239">
        <v>-259074</v>
      </c>
      <c r="DK202" s="239">
        <v>0</v>
      </c>
      <c r="DL202" s="239">
        <v>-259074</v>
      </c>
      <c r="DM202" s="239">
        <v>0</v>
      </c>
      <c r="DN202" s="239">
        <v>0</v>
      </c>
      <c r="DO202" s="239">
        <v>0</v>
      </c>
      <c r="DP202" s="239">
        <v>0</v>
      </c>
      <c r="DQ202" s="239">
        <v>0</v>
      </c>
      <c r="DR202" s="239">
        <v>0</v>
      </c>
      <c r="DS202" s="239">
        <v>-4885</v>
      </c>
      <c r="DT202" s="239">
        <v>0</v>
      </c>
      <c r="DU202" s="239">
        <v>-4885</v>
      </c>
      <c r="DV202" s="239">
        <v>0</v>
      </c>
      <c r="DW202" s="239">
        <v>0</v>
      </c>
      <c r="DX202" s="239">
        <v>0</v>
      </c>
      <c r="DY202" s="239">
        <v>-337977</v>
      </c>
      <c r="DZ202" s="239">
        <v>0</v>
      </c>
      <c r="EA202" s="239">
        <v>-337977</v>
      </c>
      <c r="EB202" s="239">
        <v>-5362</v>
      </c>
      <c r="EC202" s="239">
        <v>0</v>
      </c>
      <c r="ED202" s="239">
        <v>-5362</v>
      </c>
      <c r="EE202" s="239">
        <v>-17406</v>
      </c>
      <c r="EF202" s="239">
        <v>0</v>
      </c>
      <c r="EG202" s="239">
        <v>-17406</v>
      </c>
      <c r="EH202" s="239">
        <v>0</v>
      </c>
      <c r="EI202" s="239">
        <v>0</v>
      </c>
      <c r="EJ202" s="239">
        <v>0</v>
      </c>
      <c r="EK202" s="239">
        <v>0</v>
      </c>
      <c r="EL202" s="239">
        <v>0</v>
      </c>
      <c r="EM202" s="239">
        <v>0</v>
      </c>
      <c r="EN202" s="239">
        <v>-365630</v>
      </c>
      <c r="EO202" s="239">
        <v>0</v>
      </c>
      <c r="EP202" s="239">
        <v>-365630</v>
      </c>
      <c r="EQ202" s="239">
        <v>0</v>
      </c>
      <c r="ER202" s="239">
        <v>0</v>
      </c>
      <c r="ES202" s="239">
        <v>0</v>
      </c>
      <c r="ET202" s="239">
        <v>0</v>
      </c>
      <c r="EU202" s="239">
        <v>0</v>
      </c>
      <c r="EV202" s="239">
        <v>0</v>
      </c>
      <c r="EW202" s="239">
        <v>0</v>
      </c>
      <c r="EX202" s="239">
        <v>0</v>
      </c>
      <c r="EY202" s="239">
        <v>0</v>
      </c>
      <c r="EZ202" s="239">
        <v>23809037</v>
      </c>
      <c r="FA202" s="239">
        <v>0</v>
      </c>
      <c r="FB202" s="239">
        <v>23809037</v>
      </c>
      <c r="FC202" s="239">
        <v>153171</v>
      </c>
      <c r="FD202" s="239">
        <v>0</v>
      </c>
      <c r="FE202" s="239">
        <v>153171</v>
      </c>
      <c r="FF202" s="239">
        <v>-3578209</v>
      </c>
      <c r="FG202" s="239">
        <v>0</v>
      </c>
      <c r="FH202" s="239">
        <v>-3578209</v>
      </c>
      <c r="FI202" s="239">
        <v>-1051630</v>
      </c>
      <c r="FJ202" s="239">
        <v>0</v>
      </c>
      <c r="FK202" s="239">
        <v>-1051630</v>
      </c>
      <c r="FL202" s="239">
        <v>-259074</v>
      </c>
      <c r="FM202" s="239">
        <v>0</v>
      </c>
      <c r="FN202" s="239">
        <v>-259074</v>
      </c>
      <c r="FO202" s="239">
        <v>-365630</v>
      </c>
      <c r="FP202" s="239">
        <v>0</v>
      </c>
      <c r="FQ202" s="239">
        <v>-365630</v>
      </c>
      <c r="FR202" s="239">
        <v>0</v>
      </c>
      <c r="FS202" s="239">
        <v>0</v>
      </c>
      <c r="FT202" s="239">
        <v>0</v>
      </c>
      <c r="FU202" s="239">
        <v>-5101372</v>
      </c>
      <c r="FV202" s="239">
        <v>0</v>
      </c>
      <c r="FW202" s="239">
        <v>-5101372</v>
      </c>
      <c r="FX202" s="239">
        <v>18707665</v>
      </c>
      <c r="FY202" s="239">
        <v>0</v>
      </c>
      <c r="FZ202" s="239">
        <v>18707665</v>
      </c>
      <c r="GA202" s="214" t="s">
        <v>1294</v>
      </c>
    </row>
    <row r="203" spans="2:183" s="214" customFormat="1" x14ac:dyDescent="0.2">
      <c r="B203" s="610" t="s">
        <v>489</v>
      </c>
      <c r="C203" s="610" t="s">
        <v>488</v>
      </c>
      <c r="D203" s="239">
        <v>0</v>
      </c>
      <c r="E203" s="239">
        <v>0</v>
      </c>
      <c r="F203" s="239">
        <v>0</v>
      </c>
      <c r="G203" s="239">
        <v>4552021</v>
      </c>
      <c r="H203" s="239">
        <v>0</v>
      </c>
      <c r="I203" s="239">
        <v>4552021</v>
      </c>
      <c r="J203" s="239">
        <v>0</v>
      </c>
      <c r="K203" s="239">
        <v>0</v>
      </c>
      <c r="L203" s="239">
        <v>0</v>
      </c>
      <c r="M203" s="239">
        <v>286294</v>
      </c>
      <c r="N203" s="239">
        <v>0</v>
      </c>
      <c r="O203" s="239">
        <v>286294</v>
      </c>
      <c r="P203" s="239">
        <v>4838315</v>
      </c>
      <c r="Q203" s="239">
        <v>0</v>
      </c>
      <c r="R203" s="239">
        <v>4838315</v>
      </c>
      <c r="S203" s="239">
        <v>-3233555</v>
      </c>
      <c r="T203" s="239">
        <v>0</v>
      </c>
      <c r="U203" s="239">
        <v>-3233555</v>
      </c>
      <c r="V203" s="239">
        <v>-19525</v>
      </c>
      <c r="W203" s="239">
        <v>0</v>
      </c>
      <c r="X203" s="239">
        <v>-19525</v>
      </c>
      <c r="Y203" s="239">
        <v>-91474</v>
      </c>
      <c r="Z203" s="239">
        <v>0</v>
      </c>
      <c r="AA203" s="239">
        <v>-91474</v>
      </c>
      <c r="AB203" s="239">
        <v>-64245</v>
      </c>
      <c r="AC203" s="239">
        <v>0</v>
      </c>
      <c r="AD203" s="239">
        <v>-64245</v>
      </c>
      <c r="AE203" s="239">
        <v>105</v>
      </c>
      <c r="AF203" s="239">
        <v>0</v>
      </c>
      <c r="AG203" s="239">
        <v>105</v>
      </c>
      <c r="AH203" s="239">
        <v>2727150</v>
      </c>
      <c r="AI203" s="239">
        <v>0</v>
      </c>
      <c r="AJ203" s="239">
        <v>2727150</v>
      </c>
      <c r="AK203" s="239">
        <v>-24645</v>
      </c>
      <c r="AL203" s="239">
        <v>0</v>
      </c>
      <c r="AM203" s="239">
        <v>-24645</v>
      </c>
      <c r="AN203" s="239">
        <v>-6291023</v>
      </c>
      <c r="AO203" s="239">
        <v>0</v>
      </c>
      <c r="AP203" s="239">
        <v>-6291023</v>
      </c>
      <c r="AQ203" s="239">
        <v>-50007</v>
      </c>
      <c r="AR203" s="239">
        <v>0</v>
      </c>
      <c r="AS203" s="239">
        <v>-50007</v>
      </c>
      <c r="AT203" s="239">
        <v>-57218</v>
      </c>
      <c r="AU203" s="239">
        <v>0</v>
      </c>
      <c r="AV203" s="239">
        <v>-57218</v>
      </c>
      <c r="AW203" s="239">
        <v>10044</v>
      </c>
      <c r="AX203" s="239">
        <v>0</v>
      </c>
      <c r="AY203" s="239">
        <v>10044</v>
      </c>
      <c r="AZ203" s="239">
        <v>-13496</v>
      </c>
      <c r="BA203" s="239">
        <v>0</v>
      </c>
      <c r="BB203" s="239">
        <v>-13496</v>
      </c>
      <c r="BC203" s="239">
        <v>344</v>
      </c>
      <c r="BD203" s="239">
        <v>0</v>
      </c>
      <c r="BE203" s="239">
        <v>344</v>
      </c>
      <c r="BF203" s="239">
        <v>-7023880</v>
      </c>
      <c r="BG203" s="239">
        <v>0</v>
      </c>
      <c r="BH203" s="239">
        <v>-7023880</v>
      </c>
      <c r="BI203" s="239">
        <v>-140569</v>
      </c>
      <c r="BJ203" s="239">
        <v>0</v>
      </c>
      <c r="BK203" s="239">
        <v>-140569</v>
      </c>
      <c r="BL203" s="239">
        <v>-288029</v>
      </c>
      <c r="BM203" s="239">
        <v>0</v>
      </c>
      <c r="BN203" s="239">
        <v>-288029</v>
      </c>
      <c r="BO203" s="239">
        <v>-2533042</v>
      </c>
      <c r="BP203" s="239">
        <v>0</v>
      </c>
      <c r="BQ203" s="239">
        <v>-2533042</v>
      </c>
      <c r="BR203" s="239">
        <v>-112292</v>
      </c>
      <c r="BS203" s="239">
        <v>0</v>
      </c>
      <c r="BT203" s="239">
        <v>-112292</v>
      </c>
      <c r="BU203" s="239">
        <v>-3073932</v>
      </c>
      <c r="BV203" s="239">
        <v>0</v>
      </c>
      <c r="BW203" s="239">
        <v>-3073932</v>
      </c>
      <c r="BX203" s="239">
        <v>-243627</v>
      </c>
      <c r="BY203" s="239">
        <v>0</v>
      </c>
      <c r="BZ203" s="239">
        <v>-243627</v>
      </c>
      <c r="CA203" s="239">
        <v>-3842</v>
      </c>
      <c r="CB203" s="239">
        <v>0</v>
      </c>
      <c r="CC203" s="239">
        <v>-3842</v>
      </c>
      <c r="CD203" s="239">
        <v>-30480</v>
      </c>
      <c r="CE203" s="239">
        <v>0</v>
      </c>
      <c r="CF203" s="239">
        <v>-30480</v>
      </c>
      <c r="CG203" s="239">
        <v>-8042</v>
      </c>
      <c r="CH203" s="239">
        <v>0</v>
      </c>
      <c r="CI203" s="239">
        <v>-8042</v>
      </c>
      <c r="CJ203" s="239">
        <v>-2206</v>
      </c>
      <c r="CK203" s="239">
        <v>0</v>
      </c>
      <c r="CL203" s="239">
        <v>-2206</v>
      </c>
      <c r="CM203" s="239">
        <v>1948</v>
      </c>
      <c r="CN203" s="239">
        <v>0</v>
      </c>
      <c r="CO203" s="239">
        <v>1948</v>
      </c>
      <c r="CP203" s="239">
        <v>-481</v>
      </c>
      <c r="CQ203" s="239">
        <v>0</v>
      </c>
      <c r="CR203" s="239">
        <v>-481</v>
      </c>
      <c r="CS203" s="239">
        <v>344</v>
      </c>
      <c r="CT203" s="239">
        <v>0</v>
      </c>
      <c r="CU203" s="239">
        <v>344</v>
      </c>
      <c r="CV203" s="239">
        <v>0</v>
      </c>
      <c r="CW203" s="239">
        <v>0</v>
      </c>
      <c r="CX203" s="239">
        <v>0</v>
      </c>
      <c r="CY203" s="239">
        <v>0</v>
      </c>
      <c r="CZ203" s="239">
        <v>0</v>
      </c>
      <c r="DA203" s="239">
        <v>0</v>
      </c>
      <c r="DB203" s="239">
        <v>0</v>
      </c>
      <c r="DC203" s="239">
        <v>0</v>
      </c>
      <c r="DD203" s="239">
        <v>0</v>
      </c>
      <c r="DE203" s="239">
        <v>0</v>
      </c>
      <c r="DF203" s="239">
        <v>0</v>
      </c>
      <c r="DG203" s="239">
        <v>0</v>
      </c>
      <c r="DH203" s="239">
        <v>0</v>
      </c>
      <c r="DI203" s="239">
        <v>0</v>
      </c>
      <c r="DJ203" s="239">
        <v>-286386</v>
      </c>
      <c r="DK203" s="239">
        <v>0</v>
      </c>
      <c r="DL203" s="239">
        <v>-286386</v>
      </c>
      <c r="DM203" s="239">
        <v>0</v>
      </c>
      <c r="DN203" s="239">
        <v>0</v>
      </c>
      <c r="DO203" s="239">
        <v>0</v>
      </c>
      <c r="DP203" s="239">
        <v>0</v>
      </c>
      <c r="DQ203" s="239">
        <v>0</v>
      </c>
      <c r="DR203" s="239">
        <v>0</v>
      </c>
      <c r="DS203" s="239">
        <v>-34372</v>
      </c>
      <c r="DT203" s="239">
        <v>0</v>
      </c>
      <c r="DU203" s="239">
        <v>-34372</v>
      </c>
      <c r="DV203" s="239">
        <v>-5111</v>
      </c>
      <c r="DW203" s="239">
        <v>0</v>
      </c>
      <c r="DX203" s="239">
        <v>-5111</v>
      </c>
      <c r="DY203" s="239">
        <v>-861459</v>
      </c>
      <c r="DZ203" s="239">
        <v>0</v>
      </c>
      <c r="EA203" s="239">
        <v>-861459</v>
      </c>
      <c r="EB203" s="239">
        <v>-30633</v>
      </c>
      <c r="EC203" s="239">
        <v>0</v>
      </c>
      <c r="ED203" s="239">
        <v>-30633</v>
      </c>
      <c r="EE203" s="239">
        <v>0</v>
      </c>
      <c r="EF203" s="239">
        <v>0</v>
      </c>
      <c r="EG203" s="239">
        <v>0</v>
      </c>
      <c r="EH203" s="239">
        <v>0</v>
      </c>
      <c r="EI203" s="239">
        <v>0</v>
      </c>
      <c r="EJ203" s="239">
        <v>0</v>
      </c>
      <c r="EK203" s="239">
        <v>-17791</v>
      </c>
      <c r="EL203" s="239">
        <v>0</v>
      </c>
      <c r="EM203" s="239">
        <v>-17791</v>
      </c>
      <c r="EN203" s="239">
        <v>-949366</v>
      </c>
      <c r="EO203" s="239">
        <v>0</v>
      </c>
      <c r="EP203" s="239">
        <v>-949366</v>
      </c>
      <c r="EQ203" s="239">
        <v>0</v>
      </c>
      <c r="ER203" s="239">
        <v>0</v>
      </c>
      <c r="ES203" s="239">
        <v>0</v>
      </c>
      <c r="ET203" s="239">
        <v>0</v>
      </c>
      <c r="EU203" s="239">
        <v>0</v>
      </c>
      <c r="EV203" s="239">
        <v>0</v>
      </c>
      <c r="EW203" s="239">
        <v>0</v>
      </c>
      <c r="EX203" s="239">
        <v>0</v>
      </c>
      <c r="EY203" s="239">
        <v>0</v>
      </c>
      <c r="EZ203" s="239">
        <v>110754878</v>
      </c>
      <c r="FA203" s="239">
        <v>0</v>
      </c>
      <c r="FB203" s="239">
        <v>110754878</v>
      </c>
      <c r="FC203" s="239">
        <v>4838315</v>
      </c>
      <c r="FD203" s="239">
        <v>0</v>
      </c>
      <c r="FE203" s="239">
        <v>4838315</v>
      </c>
      <c r="FF203" s="239">
        <v>-7023880</v>
      </c>
      <c r="FG203" s="239">
        <v>0</v>
      </c>
      <c r="FH203" s="239">
        <v>-7023880</v>
      </c>
      <c r="FI203" s="239">
        <v>-3073932</v>
      </c>
      <c r="FJ203" s="239">
        <v>0</v>
      </c>
      <c r="FK203" s="239">
        <v>-3073932</v>
      </c>
      <c r="FL203" s="239">
        <v>-286386</v>
      </c>
      <c r="FM203" s="239">
        <v>0</v>
      </c>
      <c r="FN203" s="239">
        <v>-286386</v>
      </c>
      <c r="FO203" s="239">
        <v>-949366</v>
      </c>
      <c r="FP203" s="239">
        <v>0</v>
      </c>
      <c r="FQ203" s="239">
        <v>-949366</v>
      </c>
      <c r="FR203" s="239">
        <v>0</v>
      </c>
      <c r="FS203" s="239">
        <v>0</v>
      </c>
      <c r="FT203" s="239">
        <v>0</v>
      </c>
      <c r="FU203" s="239">
        <v>-6495249</v>
      </c>
      <c r="FV203" s="239">
        <v>0</v>
      </c>
      <c r="FW203" s="239">
        <v>-6495249</v>
      </c>
      <c r="FX203" s="239">
        <v>104259629</v>
      </c>
      <c r="FY203" s="239">
        <v>0</v>
      </c>
      <c r="FZ203" s="239">
        <v>104259629</v>
      </c>
      <c r="GA203" s="214" t="s">
        <v>748</v>
      </c>
    </row>
    <row r="204" spans="2:183" s="214" customFormat="1" x14ac:dyDescent="0.2">
      <c r="B204" s="610" t="s">
        <v>491</v>
      </c>
      <c r="C204" s="610" t="s">
        <v>490</v>
      </c>
      <c r="D204" s="239">
        <v>0</v>
      </c>
      <c r="E204" s="239">
        <v>0</v>
      </c>
      <c r="F204" s="239">
        <v>0</v>
      </c>
      <c r="G204" s="239">
        <v>-353579</v>
      </c>
      <c r="H204" s="239">
        <v>0</v>
      </c>
      <c r="I204" s="239">
        <v>-353579</v>
      </c>
      <c r="J204" s="239">
        <v>0</v>
      </c>
      <c r="K204" s="239">
        <v>0</v>
      </c>
      <c r="L204" s="239">
        <v>0</v>
      </c>
      <c r="M204" s="239">
        <v>175250</v>
      </c>
      <c r="N204" s="239">
        <v>0</v>
      </c>
      <c r="O204" s="239">
        <v>175250</v>
      </c>
      <c r="P204" s="239">
        <v>-178329</v>
      </c>
      <c r="Q204" s="239">
        <v>0</v>
      </c>
      <c r="R204" s="239">
        <v>-178329</v>
      </c>
      <c r="S204" s="239">
        <v>-4574628</v>
      </c>
      <c r="T204" s="239">
        <v>0</v>
      </c>
      <c r="U204" s="239">
        <v>-4574628</v>
      </c>
      <c r="V204" s="239">
        <v>-21206</v>
      </c>
      <c r="W204" s="239">
        <v>0</v>
      </c>
      <c r="X204" s="239">
        <v>-21206</v>
      </c>
      <c r="Y204" s="239">
        <v>-131899</v>
      </c>
      <c r="Z204" s="239">
        <v>0</v>
      </c>
      <c r="AA204" s="239">
        <v>-131899</v>
      </c>
      <c r="AB204" s="239">
        <v>-133371</v>
      </c>
      <c r="AC204" s="239">
        <v>0</v>
      </c>
      <c r="AD204" s="239">
        <v>-133371</v>
      </c>
      <c r="AE204" s="239">
        <v>1472</v>
      </c>
      <c r="AF204" s="239">
        <v>0</v>
      </c>
      <c r="AG204" s="239">
        <v>1472</v>
      </c>
      <c r="AH204" s="239">
        <v>2579772</v>
      </c>
      <c r="AI204" s="239">
        <v>0</v>
      </c>
      <c r="AJ204" s="239">
        <v>2579772</v>
      </c>
      <c r="AK204" s="239">
        <v>-44329</v>
      </c>
      <c r="AL204" s="239">
        <v>0</v>
      </c>
      <c r="AM204" s="239">
        <v>-44329</v>
      </c>
      <c r="AN204" s="239">
        <v>-9920291</v>
      </c>
      <c r="AO204" s="239">
        <v>0</v>
      </c>
      <c r="AP204" s="239">
        <v>-9920291</v>
      </c>
      <c r="AQ204" s="239">
        <v>-285697</v>
      </c>
      <c r="AR204" s="239">
        <v>0</v>
      </c>
      <c r="AS204" s="239">
        <v>-285697</v>
      </c>
      <c r="AT204" s="239">
        <v>-10195</v>
      </c>
      <c r="AU204" s="239">
        <v>0</v>
      </c>
      <c r="AV204" s="239">
        <v>-10195</v>
      </c>
      <c r="AW204" s="239">
        <v>0</v>
      </c>
      <c r="AX204" s="239">
        <v>0</v>
      </c>
      <c r="AY204" s="239">
        <v>0</v>
      </c>
      <c r="AZ204" s="239">
        <v>0</v>
      </c>
      <c r="BA204" s="239">
        <v>0</v>
      </c>
      <c r="BB204" s="239">
        <v>0</v>
      </c>
      <c r="BC204" s="239">
        <v>0</v>
      </c>
      <c r="BD204" s="239">
        <v>0</v>
      </c>
      <c r="BE204" s="239">
        <v>0</v>
      </c>
      <c r="BF204" s="239">
        <v>-12387267</v>
      </c>
      <c r="BG204" s="239">
        <v>0</v>
      </c>
      <c r="BH204" s="239">
        <v>-12387267</v>
      </c>
      <c r="BI204" s="239">
        <v>-1099543</v>
      </c>
      <c r="BJ204" s="239">
        <v>0</v>
      </c>
      <c r="BK204" s="239">
        <v>-1099543</v>
      </c>
      <c r="BL204" s="239">
        <v>497</v>
      </c>
      <c r="BM204" s="239">
        <v>0</v>
      </c>
      <c r="BN204" s="239">
        <v>497</v>
      </c>
      <c r="BO204" s="239">
        <v>-2296582</v>
      </c>
      <c r="BP204" s="239">
        <v>0</v>
      </c>
      <c r="BQ204" s="239">
        <v>-2296582</v>
      </c>
      <c r="BR204" s="239">
        <v>-100921</v>
      </c>
      <c r="BS204" s="239">
        <v>0</v>
      </c>
      <c r="BT204" s="239">
        <v>-100921</v>
      </c>
      <c r="BU204" s="239">
        <v>-3496549</v>
      </c>
      <c r="BV204" s="239">
        <v>0</v>
      </c>
      <c r="BW204" s="239">
        <v>-3496549</v>
      </c>
      <c r="BX204" s="239">
        <v>-55364</v>
      </c>
      <c r="BY204" s="239">
        <v>0</v>
      </c>
      <c r="BZ204" s="239">
        <v>-55364</v>
      </c>
      <c r="CA204" s="239">
        <v>0</v>
      </c>
      <c r="CB204" s="239">
        <v>0</v>
      </c>
      <c r="CC204" s="239">
        <v>0</v>
      </c>
      <c r="CD204" s="239">
        <v>-112971</v>
      </c>
      <c r="CE204" s="239">
        <v>0</v>
      </c>
      <c r="CF204" s="239">
        <v>-112971</v>
      </c>
      <c r="CG204" s="239">
        <v>90117</v>
      </c>
      <c r="CH204" s="239">
        <v>0</v>
      </c>
      <c r="CI204" s="239">
        <v>90117</v>
      </c>
      <c r="CJ204" s="239">
        <v>0</v>
      </c>
      <c r="CK204" s="239">
        <v>0</v>
      </c>
      <c r="CL204" s="239">
        <v>0</v>
      </c>
      <c r="CM204" s="239">
        <v>0</v>
      </c>
      <c r="CN204" s="239">
        <v>0</v>
      </c>
      <c r="CO204" s="239">
        <v>0</v>
      </c>
      <c r="CP204" s="239">
        <v>0</v>
      </c>
      <c r="CQ204" s="239">
        <v>0</v>
      </c>
      <c r="CR204" s="239">
        <v>0</v>
      </c>
      <c r="CS204" s="239">
        <v>0</v>
      </c>
      <c r="CT204" s="239">
        <v>0</v>
      </c>
      <c r="CU204" s="239">
        <v>0</v>
      </c>
      <c r="CV204" s="239">
        <v>0</v>
      </c>
      <c r="CW204" s="239">
        <v>0</v>
      </c>
      <c r="CX204" s="239">
        <v>0</v>
      </c>
      <c r="CY204" s="239">
        <v>0</v>
      </c>
      <c r="CZ204" s="239">
        <v>0</v>
      </c>
      <c r="DA204" s="239">
        <v>0</v>
      </c>
      <c r="DB204" s="239">
        <v>-149557</v>
      </c>
      <c r="DC204" s="239">
        <v>0</v>
      </c>
      <c r="DD204" s="239">
        <v>-149557</v>
      </c>
      <c r="DE204" s="239">
        <v>0</v>
      </c>
      <c r="DF204" s="239">
        <v>0</v>
      </c>
      <c r="DG204" s="239">
        <v>0</v>
      </c>
      <c r="DH204" s="239">
        <v>0</v>
      </c>
      <c r="DI204" s="239">
        <v>0</v>
      </c>
      <c r="DJ204" s="239">
        <v>-227775</v>
      </c>
      <c r="DK204" s="239">
        <v>0</v>
      </c>
      <c r="DL204" s="239">
        <v>-227775</v>
      </c>
      <c r="DM204" s="239">
        <v>-118822</v>
      </c>
      <c r="DN204" s="239">
        <v>0</v>
      </c>
      <c r="DO204" s="239">
        <v>-118822</v>
      </c>
      <c r="DP204" s="239">
        <v>-428</v>
      </c>
      <c r="DQ204" s="239">
        <v>0</v>
      </c>
      <c r="DR204" s="239">
        <v>-428</v>
      </c>
      <c r="DS204" s="239">
        <v>-184128</v>
      </c>
      <c r="DT204" s="239">
        <v>0</v>
      </c>
      <c r="DU204" s="239">
        <v>-184128</v>
      </c>
      <c r="DV204" s="239">
        <v>-12505</v>
      </c>
      <c r="DW204" s="239">
        <v>0</v>
      </c>
      <c r="DX204" s="239">
        <v>-12505</v>
      </c>
      <c r="DY204" s="239">
        <v>-1294862</v>
      </c>
      <c r="DZ204" s="239">
        <v>0</v>
      </c>
      <c r="EA204" s="239">
        <v>-1294862</v>
      </c>
      <c r="EB204" s="239">
        <v>-36891</v>
      </c>
      <c r="EC204" s="239">
        <v>0</v>
      </c>
      <c r="ED204" s="239">
        <v>-36891</v>
      </c>
      <c r="EE204" s="239">
        <v>0</v>
      </c>
      <c r="EF204" s="239">
        <v>0</v>
      </c>
      <c r="EG204" s="239">
        <v>0</v>
      </c>
      <c r="EH204" s="239">
        <v>0</v>
      </c>
      <c r="EI204" s="239">
        <v>0</v>
      </c>
      <c r="EJ204" s="239">
        <v>0</v>
      </c>
      <c r="EK204" s="239">
        <v>61179</v>
      </c>
      <c r="EL204" s="239">
        <v>0</v>
      </c>
      <c r="EM204" s="239">
        <v>61179</v>
      </c>
      <c r="EN204" s="239">
        <v>-1586457</v>
      </c>
      <c r="EO204" s="239">
        <v>0</v>
      </c>
      <c r="EP204" s="239">
        <v>-1586457</v>
      </c>
      <c r="EQ204" s="239">
        <v>-65626</v>
      </c>
      <c r="ER204" s="239">
        <v>0</v>
      </c>
      <c r="ES204" s="239">
        <v>-65626</v>
      </c>
      <c r="ET204" s="239">
        <v>34057</v>
      </c>
      <c r="EU204" s="239">
        <v>0</v>
      </c>
      <c r="EV204" s="239">
        <v>34057</v>
      </c>
      <c r="EW204" s="239">
        <v>-31569</v>
      </c>
      <c r="EX204" s="239">
        <v>0</v>
      </c>
      <c r="EY204" s="239">
        <v>-31569</v>
      </c>
      <c r="EZ204" s="239">
        <v>106145313</v>
      </c>
      <c r="FA204" s="239">
        <v>0</v>
      </c>
      <c r="FB204" s="239">
        <v>106145313</v>
      </c>
      <c r="FC204" s="239">
        <v>-178329</v>
      </c>
      <c r="FD204" s="239">
        <v>0</v>
      </c>
      <c r="FE204" s="239">
        <v>-178329</v>
      </c>
      <c r="FF204" s="239">
        <v>-12387267</v>
      </c>
      <c r="FG204" s="239">
        <v>0</v>
      </c>
      <c r="FH204" s="239">
        <v>-12387267</v>
      </c>
      <c r="FI204" s="239">
        <v>-3496549</v>
      </c>
      <c r="FJ204" s="239">
        <v>0</v>
      </c>
      <c r="FK204" s="239">
        <v>-3496549</v>
      </c>
      <c r="FL204" s="239">
        <v>-227775</v>
      </c>
      <c r="FM204" s="239">
        <v>0</v>
      </c>
      <c r="FN204" s="239">
        <v>-227775</v>
      </c>
      <c r="FO204" s="239">
        <v>-1586457</v>
      </c>
      <c r="FP204" s="239">
        <v>0</v>
      </c>
      <c r="FQ204" s="239">
        <v>-1586457</v>
      </c>
      <c r="FR204" s="239">
        <v>-31569</v>
      </c>
      <c r="FS204" s="239">
        <v>0</v>
      </c>
      <c r="FT204" s="239">
        <v>-31569</v>
      </c>
      <c r="FU204" s="239">
        <v>-17907946</v>
      </c>
      <c r="FV204" s="239">
        <v>0</v>
      </c>
      <c r="FW204" s="239">
        <v>-17907946</v>
      </c>
      <c r="FX204" s="239">
        <v>88237367</v>
      </c>
      <c r="FY204" s="239">
        <v>0</v>
      </c>
      <c r="FZ204" s="239">
        <v>88237367</v>
      </c>
      <c r="GA204" s="214" t="s">
        <v>748</v>
      </c>
    </row>
    <row r="205" spans="2:183" s="214" customFormat="1" x14ac:dyDescent="0.2">
      <c r="B205" s="610" t="s">
        <v>493</v>
      </c>
      <c r="C205" s="610" t="s">
        <v>492</v>
      </c>
      <c r="D205" s="239">
        <v>0</v>
      </c>
      <c r="E205" s="239">
        <v>0</v>
      </c>
      <c r="F205" s="239">
        <v>0</v>
      </c>
      <c r="G205" s="239">
        <v>15029</v>
      </c>
      <c r="H205" s="239">
        <v>0</v>
      </c>
      <c r="I205" s="239">
        <v>15029</v>
      </c>
      <c r="J205" s="239">
        <v>0</v>
      </c>
      <c r="K205" s="239">
        <v>0</v>
      </c>
      <c r="L205" s="239">
        <v>0</v>
      </c>
      <c r="M205" s="239">
        <v>77378</v>
      </c>
      <c r="N205" s="239">
        <v>0</v>
      </c>
      <c r="O205" s="239">
        <v>77378</v>
      </c>
      <c r="P205" s="239">
        <v>92407</v>
      </c>
      <c r="Q205" s="239">
        <v>0</v>
      </c>
      <c r="R205" s="239">
        <v>92407</v>
      </c>
      <c r="S205" s="239">
        <v>-3128683</v>
      </c>
      <c r="T205" s="239">
        <v>0</v>
      </c>
      <c r="U205" s="239">
        <v>-3128683</v>
      </c>
      <c r="V205" s="239">
        <v>0</v>
      </c>
      <c r="W205" s="239">
        <v>0</v>
      </c>
      <c r="X205" s="239">
        <v>0</v>
      </c>
      <c r="Y205" s="239">
        <v>-148455</v>
      </c>
      <c r="Z205" s="239">
        <v>0</v>
      </c>
      <c r="AA205" s="239">
        <v>-148455</v>
      </c>
      <c r="AB205" s="239">
        <v>-85436</v>
      </c>
      <c r="AC205" s="239">
        <v>0</v>
      </c>
      <c r="AD205" s="239">
        <v>-85436</v>
      </c>
      <c r="AE205" s="239">
        <v>0</v>
      </c>
      <c r="AF205" s="239">
        <v>0</v>
      </c>
      <c r="AG205" s="239">
        <v>0</v>
      </c>
      <c r="AH205" s="239">
        <v>1725292</v>
      </c>
      <c r="AI205" s="239">
        <v>0</v>
      </c>
      <c r="AJ205" s="239">
        <v>1725292</v>
      </c>
      <c r="AK205" s="239">
        <v>-22562</v>
      </c>
      <c r="AL205" s="239">
        <v>0</v>
      </c>
      <c r="AM205" s="239">
        <v>-22562</v>
      </c>
      <c r="AN205" s="239">
        <v>-5042641</v>
      </c>
      <c r="AO205" s="239">
        <v>0</v>
      </c>
      <c r="AP205" s="239">
        <v>-5042641</v>
      </c>
      <c r="AQ205" s="239">
        <v>100585</v>
      </c>
      <c r="AR205" s="239">
        <v>0</v>
      </c>
      <c r="AS205" s="239">
        <v>100585</v>
      </c>
      <c r="AT205" s="239">
        <v>-37334</v>
      </c>
      <c r="AU205" s="239">
        <v>0</v>
      </c>
      <c r="AV205" s="239">
        <v>-37334</v>
      </c>
      <c r="AW205" s="239">
        <v>0</v>
      </c>
      <c r="AX205" s="239">
        <v>0</v>
      </c>
      <c r="AY205" s="239">
        <v>0</v>
      </c>
      <c r="AZ205" s="239">
        <v>0</v>
      </c>
      <c r="BA205" s="239">
        <v>0</v>
      </c>
      <c r="BB205" s="239">
        <v>0</v>
      </c>
      <c r="BC205" s="239">
        <v>0</v>
      </c>
      <c r="BD205" s="239">
        <v>0</v>
      </c>
      <c r="BE205" s="239">
        <v>0</v>
      </c>
      <c r="BF205" s="239">
        <v>-6553798</v>
      </c>
      <c r="BG205" s="239">
        <v>0</v>
      </c>
      <c r="BH205" s="239">
        <v>-6553798</v>
      </c>
      <c r="BI205" s="239">
        <v>-86030</v>
      </c>
      <c r="BJ205" s="239">
        <v>0</v>
      </c>
      <c r="BK205" s="239">
        <v>-86030</v>
      </c>
      <c r="BL205" s="239">
        <v>1917</v>
      </c>
      <c r="BM205" s="239">
        <v>0</v>
      </c>
      <c r="BN205" s="239">
        <v>1917</v>
      </c>
      <c r="BO205" s="239">
        <v>-1583521</v>
      </c>
      <c r="BP205" s="239">
        <v>0</v>
      </c>
      <c r="BQ205" s="239">
        <v>-1583521</v>
      </c>
      <c r="BR205" s="239">
        <v>120081</v>
      </c>
      <c r="BS205" s="239">
        <v>0</v>
      </c>
      <c r="BT205" s="239">
        <v>120081</v>
      </c>
      <c r="BU205" s="239">
        <v>-1547553</v>
      </c>
      <c r="BV205" s="239">
        <v>0</v>
      </c>
      <c r="BW205" s="239">
        <v>-1547553</v>
      </c>
      <c r="BX205" s="239">
        <v>-178925</v>
      </c>
      <c r="BY205" s="239">
        <v>0</v>
      </c>
      <c r="BZ205" s="239">
        <v>-178925</v>
      </c>
      <c r="CA205" s="239">
        <v>-506</v>
      </c>
      <c r="CB205" s="239">
        <v>0</v>
      </c>
      <c r="CC205" s="239">
        <v>-506</v>
      </c>
      <c r="CD205" s="239">
        <v>-38246</v>
      </c>
      <c r="CE205" s="239">
        <v>0</v>
      </c>
      <c r="CF205" s="239">
        <v>-38246</v>
      </c>
      <c r="CG205" s="239">
        <v>1462</v>
      </c>
      <c r="CH205" s="239">
        <v>0</v>
      </c>
      <c r="CI205" s="239">
        <v>1462</v>
      </c>
      <c r="CJ205" s="239">
        <v>-2833</v>
      </c>
      <c r="CK205" s="239">
        <v>0</v>
      </c>
      <c r="CL205" s="239">
        <v>-2833</v>
      </c>
      <c r="CM205" s="239">
        <v>0</v>
      </c>
      <c r="CN205" s="239">
        <v>0</v>
      </c>
      <c r="CO205" s="239">
        <v>0</v>
      </c>
      <c r="CP205" s="239">
        <v>0</v>
      </c>
      <c r="CQ205" s="239">
        <v>0</v>
      </c>
      <c r="CR205" s="239">
        <v>0</v>
      </c>
      <c r="CS205" s="239">
        <v>0</v>
      </c>
      <c r="CT205" s="239">
        <v>0</v>
      </c>
      <c r="CU205" s="239">
        <v>0</v>
      </c>
      <c r="CV205" s="239">
        <v>0</v>
      </c>
      <c r="CW205" s="239">
        <v>0</v>
      </c>
      <c r="CX205" s="239">
        <v>0</v>
      </c>
      <c r="CY205" s="239">
        <v>0</v>
      </c>
      <c r="CZ205" s="239">
        <v>0</v>
      </c>
      <c r="DA205" s="239">
        <v>0</v>
      </c>
      <c r="DB205" s="239">
        <v>0</v>
      </c>
      <c r="DC205" s="239">
        <v>0</v>
      </c>
      <c r="DD205" s="239">
        <v>0</v>
      </c>
      <c r="DE205" s="239">
        <v>0</v>
      </c>
      <c r="DF205" s="239">
        <v>0</v>
      </c>
      <c r="DG205" s="239">
        <v>0</v>
      </c>
      <c r="DH205" s="239">
        <v>0</v>
      </c>
      <c r="DI205" s="239">
        <v>0</v>
      </c>
      <c r="DJ205" s="239">
        <v>-219048</v>
      </c>
      <c r="DK205" s="239">
        <v>0</v>
      </c>
      <c r="DL205" s="239">
        <v>-219048</v>
      </c>
      <c r="DM205" s="239">
        <v>0</v>
      </c>
      <c r="DN205" s="239">
        <v>0</v>
      </c>
      <c r="DO205" s="239">
        <v>0</v>
      </c>
      <c r="DP205" s="239">
        <v>0</v>
      </c>
      <c r="DQ205" s="239">
        <v>0</v>
      </c>
      <c r="DR205" s="239">
        <v>0</v>
      </c>
      <c r="DS205" s="239">
        <v>-21799</v>
      </c>
      <c r="DT205" s="239">
        <v>0</v>
      </c>
      <c r="DU205" s="239">
        <v>-21799</v>
      </c>
      <c r="DV205" s="239">
        <v>-6789</v>
      </c>
      <c r="DW205" s="239">
        <v>0</v>
      </c>
      <c r="DX205" s="239">
        <v>-6789</v>
      </c>
      <c r="DY205" s="239">
        <v>-917756</v>
      </c>
      <c r="DZ205" s="239">
        <v>0</v>
      </c>
      <c r="EA205" s="239">
        <v>-917756</v>
      </c>
      <c r="EB205" s="239">
        <v>-6470</v>
      </c>
      <c r="EC205" s="239">
        <v>0</v>
      </c>
      <c r="ED205" s="239">
        <v>-6470</v>
      </c>
      <c r="EE205" s="239">
        <v>0</v>
      </c>
      <c r="EF205" s="239">
        <v>0</v>
      </c>
      <c r="EG205" s="239">
        <v>0</v>
      </c>
      <c r="EH205" s="239">
        <v>0</v>
      </c>
      <c r="EI205" s="239">
        <v>0</v>
      </c>
      <c r="EJ205" s="239">
        <v>0</v>
      </c>
      <c r="EK205" s="239">
        <v>-12917</v>
      </c>
      <c r="EL205" s="239">
        <v>0</v>
      </c>
      <c r="EM205" s="239">
        <v>-12917</v>
      </c>
      <c r="EN205" s="239">
        <v>-965731</v>
      </c>
      <c r="EO205" s="239">
        <v>0</v>
      </c>
      <c r="EP205" s="239">
        <v>-965731</v>
      </c>
      <c r="EQ205" s="239">
        <v>0</v>
      </c>
      <c r="ER205" s="239">
        <v>0</v>
      </c>
      <c r="ES205" s="239">
        <v>0</v>
      </c>
      <c r="ET205" s="239">
        <v>0</v>
      </c>
      <c r="EU205" s="239">
        <v>0</v>
      </c>
      <c r="EV205" s="239">
        <v>0</v>
      </c>
      <c r="EW205" s="239">
        <v>0</v>
      </c>
      <c r="EX205" s="239">
        <v>0</v>
      </c>
      <c r="EY205" s="239">
        <v>0</v>
      </c>
      <c r="EZ205" s="239">
        <v>72116739</v>
      </c>
      <c r="FA205" s="239">
        <v>0</v>
      </c>
      <c r="FB205" s="239">
        <v>72116739</v>
      </c>
      <c r="FC205" s="239">
        <v>92407</v>
      </c>
      <c r="FD205" s="239">
        <v>0</v>
      </c>
      <c r="FE205" s="239">
        <v>92407</v>
      </c>
      <c r="FF205" s="239">
        <v>-6553798</v>
      </c>
      <c r="FG205" s="239">
        <v>0</v>
      </c>
      <c r="FH205" s="239">
        <v>-6553798</v>
      </c>
      <c r="FI205" s="239">
        <v>-1547553</v>
      </c>
      <c r="FJ205" s="239">
        <v>0</v>
      </c>
      <c r="FK205" s="239">
        <v>-1547553</v>
      </c>
      <c r="FL205" s="239">
        <v>-219048</v>
      </c>
      <c r="FM205" s="239">
        <v>0</v>
      </c>
      <c r="FN205" s="239">
        <v>-219048</v>
      </c>
      <c r="FO205" s="239">
        <v>-965731</v>
      </c>
      <c r="FP205" s="239">
        <v>0</v>
      </c>
      <c r="FQ205" s="239">
        <v>-965731</v>
      </c>
      <c r="FR205" s="239">
        <v>0</v>
      </c>
      <c r="FS205" s="239">
        <v>0</v>
      </c>
      <c r="FT205" s="239">
        <v>0</v>
      </c>
      <c r="FU205" s="239">
        <v>-9193723</v>
      </c>
      <c r="FV205" s="239">
        <v>0</v>
      </c>
      <c r="FW205" s="239">
        <v>-9193723</v>
      </c>
      <c r="FX205" s="239">
        <v>62923016</v>
      </c>
      <c r="FY205" s="239">
        <v>0</v>
      </c>
      <c r="FZ205" s="239">
        <v>62923016</v>
      </c>
      <c r="GA205" s="214" t="s">
        <v>748</v>
      </c>
    </row>
    <row r="206" spans="2:183" s="214" customFormat="1" x14ac:dyDescent="0.2">
      <c r="B206" s="610" t="s">
        <v>495</v>
      </c>
      <c r="C206" s="610" t="s">
        <v>494</v>
      </c>
      <c r="D206" s="239">
        <v>0</v>
      </c>
      <c r="E206" s="239">
        <v>0</v>
      </c>
      <c r="F206" s="239">
        <v>0</v>
      </c>
      <c r="G206" s="239">
        <v>-588548</v>
      </c>
      <c r="H206" s="239">
        <v>0</v>
      </c>
      <c r="I206" s="239">
        <v>-588548</v>
      </c>
      <c r="J206" s="239">
        <v>0</v>
      </c>
      <c r="K206" s="239">
        <v>0</v>
      </c>
      <c r="L206" s="239">
        <v>0</v>
      </c>
      <c r="M206" s="239">
        <v>110180</v>
      </c>
      <c r="N206" s="239">
        <v>0</v>
      </c>
      <c r="O206" s="239">
        <v>110180</v>
      </c>
      <c r="P206" s="239">
        <v>-478368</v>
      </c>
      <c r="Q206" s="239">
        <v>0</v>
      </c>
      <c r="R206" s="239">
        <v>-478368</v>
      </c>
      <c r="S206" s="239">
        <v>-3666736</v>
      </c>
      <c r="T206" s="239">
        <v>0</v>
      </c>
      <c r="U206" s="239">
        <v>-3666736</v>
      </c>
      <c r="V206" s="239">
        <v>-31830</v>
      </c>
      <c r="W206" s="239">
        <v>0</v>
      </c>
      <c r="X206" s="239">
        <v>-31830</v>
      </c>
      <c r="Y206" s="239">
        <v>-159088</v>
      </c>
      <c r="Z206" s="239">
        <v>0</v>
      </c>
      <c r="AA206" s="239">
        <v>-159088</v>
      </c>
      <c r="AB206" s="239">
        <v>-99631</v>
      </c>
      <c r="AC206" s="239">
        <v>0</v>
      </c>
      <c r="AD206" s="239">
        <v>-99631</v>
      </c>
      <c r="AE206" s="239">
        <v>-6407</v>
      </c>
      <c r="AF206" s="239">
        <v>0</v>
      </c>
      <c r="AG206" s="239">
        <v>-6407</v>
      </c>
      <c r="AH206" s="239">
        <v>2302479</v>
      </c>
      <c r="AI206" s="239">
        <v>0</v>
      </c>
      <c r="AJ206" s="239">
        <v>2302479</v>
      </c>
      <c r="AK206" s="239">
        <v>0</v>
      </c>
      <c r="AL206" s="239">
        <v>0</v>
      </c>
      <c r="AM206" s="239">
        <v>0</v>
      </c>
      <c r="AN206" s="239">
        <v>-6730421</v>
      </c>
      <c r="AO206" s="239">
        <v>0</v>
      </c>
      <c r="AP206" s="239">
        <v>-6730421</v>
      </c>
      <c r="AQ206" s="239">
        <v>-920400</v>
      </c>
      <c r="AR206" s="239">
        <v>0</v>
      </c>
      <c r="AS206" s="239">
        <v>-920400</v>
      </c>
      <c r="AT206" s="239">
        <v>-34561</v>
      </c>
      <c r="AU206" s="239">
        <v>0</v>
      </c>
      <c r="AV206" s="239">
        <v>-34561</v>
      </c>
      <c r="AW206" s="239">
        <v>-211</v>
      </c>
      <c r="AX206" s="239">
        <v>0</v>
      </c>
      <c r="AY206" s="239">
        <v>-211</v>
      </c>
      <c r="AZ206" s="239">
        <v>0</v>
      </c>
      <c r="BA206" s="239">
        <v>0</v>
      </c>
      <c r="BB206" s="239">
        <v>0</v>
      </c>
      <c r="BC206" s="239">
        <v>0</v>
      </c>
      <c r="BD206" s="239">
        <v>0</v>
      </c>
      <c r="BE206" s="239">
        <v>0</v>
      </c>
      <c r="BF206" s="239">
        <v>-9208938</v>
      </c>
      <c r="BG206" s="239">
        <v>0</v>
      </c>
      <c r="BH206" s="239">
        <v>-9208938</v>
      </c>
      <c r="BI206" s="239">
        <v>-55999</v>
      </c>
      <c r="BJ206" s="239">
        <v>0</v>
      </c>
      <c r="BK206" s="239">
        <v>-55999</v>
      </c>
      <c r="BL206" s="239">
        <v>-619</v>
      </c>
      <c r="BM206" s="239">
        <v>0</v>
      </c>
      <c r="BN206" s="239">
        <v>-619</v>
      </c>
      <c r="BO206" s="239">
        <v>-2251062</v>
      </c>
      <c r="BP206" s="239">
        <v>0</v>
      </c>
      <c r="BQ206" s="239">
        <v>-2251062</v>
      </c>
      <c r="BR206" s="239">
        <v>-224277</v>
      </c>
      <c r="BS206" s="239">
        <v>0</v>
      </c>
      <c r="BT206" s="239">
        <v>-224277</v>
      </c>
      <c r="BU206" s="239">
        <v>-2531957</v>
      </c>
      <c r="BV206" s="239">
        <v>0</v>
      </c>
      <c r="BW206" s="239">
        <v>-2531957</v>
      </c>
      <c r="BX206" s="239">
        <v>-271783</v>
      </c>
      <c r="BY206" s="239">
        <v>0</v>
      </c>
      <c r="BZ206" s="239">
        <v>-271783</v>
      </c>
      <c r="CA206" s="239">
        <v>0</v>
      </c>
      <c r="CB206" s="239">
        <v>0</v>
      </c>
      <c r="CC206" s="239">
        <v>0</v>
      </c>
      <c r="CD206" s="239">
        <v>0</v>
      </c>
      <c r="CE206" s="239">
        <v>0</v>
      </c>
      <c r="CF206" s="239">
        <v>0</v>
      </c>
      <c r="CG206" s="239">
        <v>0</v>
      </c>
      <c r="CH206" s="239">
        <v>0</v>
      </c>
      <c r="CI206" s="239">
        <v>0</v>
      </c>
      <c r="CJ206" s="239">
        <v>-917</v>
      </c>
      <c r="CK206" s="239">
        <v>0</v>
      </c>
      <c r="CL206" s="239">
        <v>-917</v>
      </c>
      <c r="CM206" s="239">
        <v>0</v>
      </c>
      <c r="CN206" s="239">
        <v>0</v>
      </c>
      <c r="CO206" s="239">
        <v>0</v>
      </c>
      <c r="CP206" s="239">
        <v>0</v>
      </c>
      <c r="CQ206" s="239">
        <v>0</v>
      </c>
      <c r="CR206" s="239">
        <v>0</v>
      </c>
      <c r="CS206" s="239">
        <v>0</v>
      </c>
      <c r="CT206" s="239">
        <v>0</v>
      </c>
      <c r="CU206" s="239">
        <v>0</v>
      </c>
      <c r="CV206" s="239">
        <v>0</v>
      </c>
      <c r="CW206" s="239">
        <v>0</v>
      </c>
      <c r="CX206" s="239">
        <v>0</v>
      </c>
      <c r="CY206" s="239">
        <v>0</v>
      </c>
      <c r="CZ206" s="239">
        <v>0</v>
      </c>
      <c r="DA206" s="239">
        <v>0</v>
      </c>
      <c r="DB206" s="239">
        <v>-378</v>
      </c>
      <c r="DC206" s="239">
        <v>0</v>
      </c>
      <c r="DD206" s="239">
        <v>-378</v>
      </c>
      <c r="DE206" s="239">
        <v>0</v>
      </c>
      <c r="DF206" s="239">
        <v>0</v>
      </c>
      <c r="DG206" s="239">
        <v>0</v>
      </c>
      <c r="DH206" s="239">
        <v>0</v>
      </c>
      <c r="DI206" s="239">
        <v>0</v>
      </c>
      <c r="DJ206" s="239">
        <v>-273078</v>
      </c>
      <c r="DK206" s="239">
        <v>0</v>
      </c>
      <c r="DL206" s="239">
        <v>-273078</v>
      </c>
      <c r="DM206" s="239">
        <v>0</v>
      </c>
      <c r="DN206" s="239">
        <v>0</v>
      </c>
      <c r="DO206" s="239">
        <v>0</v>
      </c>
      <c r="DP206" s="239">
        <v>0</v>
      </c>
      <c r="DQ206" s="239">
        <v>0</v>
      </c>
      <c r="DR206" s="239">
        <v>0</v>
      </c>
      <c r="DS206" s="239">
        <v>-52509</v>
      </c>
      <c r="DT206" s="239">
        <v>0</v>
      </c>
      <c r="DU206" s="239">
        <v>-52509</v>
      </c>
      <c r="DV206" s="239">
        <v>0</v>
      </c>
      <c r="DW206" s="239">
        <v>0</v>
      </c>
      <c r="DX206" s="239">
        <v>0</v>
      </c>
      <c r="DY206" s="239">
        <v>-1118882</v>
      </c>
      <c r="DZ206" s="239">
        <v>0</v>
      </c>
      <c r="EA206" s="239">
        <v>-1118882</v>
      </c>
      <c r="EB206" s="239">
        <v>-41314</v>
      </c>
      <c r="EC206" s="239">
        <v>0</v>
      </c>
      <c r="ED206" s="239">
        <v>-41314</v>
      </c>
      <c r="EE206" s="239">
        <v>0</v>
      </c>
      <c r="EF206" s="239">
        <v>0</v>
      </c>
      <c r="EG206" s="239">
        <v>0</v>
      </c>
      <c r="EH206" s="239">
        <v>0</v>
      </c>
      <c r="EI206" s="239">
        <v>0</v>
      </c>
      <c r="EJ206" s="239">
        <v>0</v>
      </c>
      <c r="EK206" s="239">
        <v>-3979</v>
      </c>
      <c r="EL206" s="239">
        <v>0</v>
      </c>
      <c r="EM206" s="239">
        <v>-3979</v>
      </c>
      <c r="EN206" s="239">
        <v>-1216684</v>
      </c>
      <c r="EO206" s="239">
        <v>0</v>
      </c>
      <c r="EP206" s="239">
        <v>-1216684</v>
      </c>
      <c r="EQ206" s="239">
        <v>0</v>
      </c>
      <c r="ER206" s="239">
        <v>0</v>
      </c>
      <c r="ES206" s="239">
        <v>0</v>
      </c>
      <c r="ET206" s="239">
        <v>0</v>
      </c>
      <c r="EU206" s="239">
        <v>0</v>
      </c>
      <c r="EV206" s="239">
        <v>0</v>
      </c>
      <c r="EW206" s="239">
        <v>0</v>
      </c>
      <c r="EX206" s="239">
        <v>0</v>
      </c>
      <c r="EY206" s="239">
        <v>0</v>
      </c>
      <c r="EZ206" s="239">
        <v>95425595</v>
      </c>
      <c r="FA206" s="239">
        <v>0</v>
      </c>
      <c r="FB206" s="239">
        <v>95425595</v>
      </c>
      <c r="FC206" s="239">
        <v>-478368</v>
      </c>
      <c r="FD206" s="239">
        <v>0</v>
      </c>
      <c r="FE206" s="239">
        <v>-478368</v>
      </c>
      <c r="FF206" s="239">
        <v>-9208938</v>
      </c>
      <c r="FG206" s="239">
        <v>0</v>
      </c>
      <c r="FH206" s="239">
        <v>-9208938</v>
      </c>
      <c r="FI206" s="239">
        <v>-2531957</v>
      </c>
      <c r="FJ206" s="239">
        <v>0</v>
      </c>
      <c r="FK206" s="239">
        <v>-2531957</v>
      </c>
      <c r="FL206" s="239">
        <v>-273078</v>
      </c>
      <c r="FM206" s="239">
        <v>0</v>
      </c>
      <c r="FN206" s="239">
        <v>-273078</v>
      </c>
      <c r="FO206" s="239">
        <v>-1216684</v>
      </c>
      <c r="FP206" s="239">
        <v>0</v>
      </c>
      <c r="FQ206" s="239">
        <v>-1216684</v>
      </c>
      <c r="FR206" s="239">
        <v>0</v>
      </c>
      <c r="FS206" s="239">
        <v>0</v>
      </c>
      <c r="FT206" s="239">
        <v>0</v>
      </c>
      <c r="FU206" s="239">
        <v>-13709025</v>
      </c>
      <c r="FV206" s="239">
        <v>0</v>
      </c>
      <c r="FW206" s="239">
        <v>-13709025</v>
      </c>
      <c r="FX206" s="239">
        <v>81716570</v>
      </c>
      <c r="FY206" s="239">
        <v>0</v>
      </c>
      <c r="FZ206" s="239">
        <v>81716570</v>
      </c>
      <c r="GA206" s="214" t="s">
        <v>748</v>
      </c>
    </row>
    <row r="207" spans="2:183" s="214" customFormat="1" x14ac:dyDescent="0.2">
      <c r="B207" s="610" t="s">
        <v>497</v>
      </c>
      <c r="C207" s="610" t="s">
        <v>496</v>
      </c>
      <c r="D207" s="239">
        <v>0</v>
      </c>
      <c r="E207" s="239">
        <v>0</v>
      </c>
      <c r="F207" s="239">
        <v>0</v>
      </c>
      <c r="G207" s="239">
        <v>38402</v>
      </c>
      <c r="H207" s="239">
        <v>0</v>
      </c>
      <c r="I207" s="239">
        <v>38402</v>
      </c>
      <c r="J207" s="239">
        <v>0</v>
      </c>
      <c r="K207" s="239">
        <v>0</v>
      </c>
      <c r="L207" s="239">
        <v>0</v>
      </c>
      <c r="M207" s="239">
        <v>90640</v>
      </c>
      <c r="N207" s="239">
        <v>0</v>
      </c>
      <c r="O207" s="239">
        <v>90640</v>
      </c>
      <c r="P207" s="239">
        <v>129042</v>
      </c>
      <c r="Q207" s="239">
        <v>0</v>
      </c>
      <c r="R207" s="239">
        <v>129042</v>
      </c>
      <c r="S207" s="239">
        <v>-3493399</v>
      </c>
      <c r="T207" s="239">
        <v>0</v>
      </c>
      <c r="U207" s="239">
        <v>-3493399</v>
      </c>
      <c r="V207" s="239">
        <v>-10059</v>
      </c>
      <c r="W207" s="239">
        <v>0</v>
      </c>
      <c r="X207" s="239">
        <v>-10059</v>
      </c>
      <c r="Y207" s="239">
        <v>-29134</v>
      </c>
      <c r="Z207" s="239">
        <v>0</v>
      </c>
      <c r="AA207" s="239">
        <v>-29134</v>
      </c>
      <c r="AB207" s="239">
        <v>-19639</v>
      </c>
      <c r="AC207" s="239">
        <v>0</v>
      </c>
      <c r="AD207" s="239">
        <v>-19639</v>
      </c>
      <c r="AE207" s="239">
        <v>-96</v>
      </c>
      <c r="AF207" s="239">
        <v>0</v>
      </c>
      <c r="AG207" s="239">
        <v>-96</v>
      </c>
      <c r="AH207" s="239">
        <v>1949101</v>
      </c>
      <c r="AI207" s="239">
        <v>0</v>
      </c>
      <c r="AJ207" s="239">
        <v>1949101</v>
      </c>
      <c r="AK207" s="239">
        <v>-34055</v>
      </c>
      <c r="AL207" s="239">
        <v>0</v>
      </c>
      <c r="AM207" s="239">
        <v>-34055</v>
      </c>
      <c r="AN207" s="239">
        <v>-4677478</v>
      </c>
      <c r="AO207" s="239">
        <v>0</v>
      </c>
      <c r="AP207" s="239">
        <v>-4677478</v>
      </c>
      <c r="AQ207" s="239">
        <v>69164</v>
      </c>
      <c r="AR207" s="239">
        <v>0</v>
      </c>
      <c r="AS207" s="239">
        <v>69164</v>
      </c>
      <c r="AT207" s="239">
        <v>-105392</v>
      </c>
      <c r="AU207" s="239">
        <v>0</v>
      </c>
      <c r="AV207" s="239">
        <v>-105392</v>
      </c>
      <c r="AW207" s="239">
        <v>0</v>
      </c>
      <c r="AX207" s="239">
        <v>0</v>
      </c>
      <c r="AY207" s="239">
        <v>0</v>
      </c>
      <c r="AZ207" s="239">
        <v>-1208</v>
      </c>
      <c r="BA207" s="239">
        <v>0</v>
      </c>
      <c r="BB207" s="239">
        <v>-1208</v>
      </c>
      <c r="BC207" s="239">
        <v>0</v>
      </c>
      <c r="BD207" s="239">
        <v>0</v>
      </c>
      <c r="BE207" s="239">
        <v>0</v>
      </c>
      <c r="BF207" s="239">
        <v>-6322401</v>
      </c>
      <c r="BG207" s="239">
        <v>0</v>
      </c>
      <c r="BH207" s="239">
        <v>-6322401</v>
      </c>
      <c r="BI207" s="239">
        <v>0</v>
      </c>
      <c r="BJ207" s="239">
        <v>0</v>
      </c>
      <c r="BK207" s="239">
        <v>0</v>
      </c>
      <c r="BL207" s="239">
        <v>886</v>
      </c>
      <c r="BM207" s="239">
        <v>0</v>
      </c>
      <c r="BN207" s="239">
        <v>886</v>
      </c>
      <c r="BO207" s="239">
        <v>-3209142</v>
      </c>
      <c r="BP207" s="239">
        <v>0</v>
      </c>
      <c r="BQ207" s="239">
        <v>-3209142</v>
      </c>
      <c r="BR207" s="239">
        <v>109968</v>
      </c>
      <c r="BS207" s="239">
        <v>0</v>
      </c>
      <c r="BT207" s="239">
        <v>109968</v>
      </c>
      <c r="BU207" s="239">
        <v>-3098288</v>
      </c>
      <c r="BV207" s="239">
        <v>0</v>
      </c>
      <c r="BW207" s="239">
        <v>-3098288</v>
      </c>
      <c r="BX207" s="239">
        <v>-54754</v>
      </c>
      <c r="BY207" s="239">
        <v>0</v>
      </c>
      <c r="BZ207" s="239">
        <v>-54754</v>
      </c>
      <c r="CA207" s="239">
        <v>-11326</v>
      </c>
      <c r="CB207" s="239">
        <v>0</v>
      </c>
      <c r="CC207" s="239">
        <v>-11326</v>
      </c>
      <c r="CD207" s="239">
        <v>-21502</v>
      </c>
      <c r="CE207" s="239">
        <v>0</v>
      </c>
      <c r="CF207" s="239">
        <v>-21502</v>
      </c>
      <c r="CG207" s="239">
        <v>0</v>
      </c>
      <c r="CH207" s="239">
        <v>0</v>
      </c>
      <c r="CI207" s="239">
        <v>0</v>
      </c>
      <c r="CJ207" s="239">
        <v>-5433</v>
      </c>
      <c r="CK207" s="239">
        <v>0</v>
      </c>
      <c r="CL207" s="239">
        <v>-5433</v>
      </c>
      <c r="CM207" s="239">
        <v>0</v>
      </c>
      <c r="CN207" s="239">
        <v>0</v>
      </c>
      <c r="CO207" s="239">
        <v>0</v>
      </c>
      <c r="CP207" s="239">
        <v>0</v>
      </c>
      <c r="CQ207" s="239">
        <v>0</v>
      </c>
      <c r="CR207" s="239">
        <v>0</v>
      </c>
      <c r="CS207" s="239">
        <v>0</v>
      </c>
      <c r="CT207" s="239">
        <v>0</v>
      </c>
      <c r="CU207" s="239">
        <v>0</v>
      </c>
      <c r="CV207" s="239">
        <v>0</v>
      </c>
      <c r="CW207" s="239">
        <v>0</v>
      </c>
      <c r="CX207" s="239">
        <v>0</v>
      </c>
      <c r="CY207" s="239">
        <v>0</v>
      </c>
      <c r="CZ207" s="239">
        <v>0</v>
      </c>
      <c r="DA207" s="239">
        <v>0</v>
      </c>
      <c r="DB207" s="239">
        <v>0</v>
      </c>
      <c r="DC207" s="239">
        <v>0</v>
      </c>
      <c r="DD207" s="239">
        <v>0</v>
      </c>
      <c r="DE207" s="239">
        <v>0</v>
      </c>
      <c r="DF207" s="239">
        <v>0</v>
      </c>
      <c r="DG207" s="239">
        <v>0</v>
      </c>
      <c r="DH207" s="239">
        <v>0</v>
      </c>
      <c r="DI207" s="239">
        <v>0</v>
      </c>
      <c r="DJ207" s="239">
        <v>-93015</v>
      </c>
      <c r="DK207" s="239">
        <v>0</v>
      </c>
      <c r="DL207" s="239">
        <v>-93015</v>
      </c>
      <c r="DM207" s="239">
        <v>-2703</v>
      </c>
      <c r="DN207" s="239">
        <v>0</v>
      </c>
      <c r="DO207" s="239">
        <v>-2703</v>
      </c>
      <c r="DP207" s="239">
        <v>0</v>
      </c>
      <c r="DQ207" s="239">
        <v>0</v>
      </c>
      <c r="DR207" s="239">
        <v>0</v>
      </c>
      <c r="DS207" s="239">
        <v>-281566</v>
      </c>
      <c r="DT207" s="239">
        <v>0</v>
      </c>
      <c r="DU207" s="239">
        <v>-281566</v>
      </c>
      <c r="DV207" s="239">
        <v>-2226</v>
      </c>
      <c r="DW207" s="239">
        <v>0</v>
      </c>
      <c r="DX207" s="239">
        <v>-2226</v>
      </c>
      <c r="DY207" s="239">
        <v>-1076127</v>
      </c>
      <c r="DZ207" s="239">
        <v>0</v>
      </c>
      <c r="EA207" s="239">
        <v>-1076127</v>
      </c>
      <c r="EB207" s="239">
        <v>-43123</v>
      </c>
      <c r="EC207" s="239">
        <v>0</v>
      </c>
      <c r="ED207" s="239">
        <v>-43123</v>
      </c>
      <c r="EE207" s="239">
        <v>-2232</v>
      </c>
      <c r="EF207" s="239">
        <v>0</v>
      </c>
      <c r="EG207" s="239">
        <v>-2232</v>
      </c>
      <c r="EH207" s="239">
        <v>0</v>
      </c>
      <c r="EI207" s="239">
        <v>0</v>
      </c>
      <c r="EJ207" s="239">
        <v>0</v>
      </c>
      <c r="EK207" s="239">
        <v>-17233</v>
      </c>
      <c r="EL207" s="239">
        <v>0</v>
      </c>
      <c r="EM207" s="239">
        <v>-17233</v>
      </c>
      <c r="EN207" s="239">
        <v>-1425210</v>
      </c>
      <c r="EO207" s="239">
        <v>0</v>
      </c>
      <c r="EP207" s="239">
        <v>-1425210</v>
      </c>
      <c r="EQ207" s="239">
        <v>-2324</v>
      </c>
      <c r="ER207" s="239">
        <v>0</v>
      </c>
      <c r="ES207" s="239">
        <v>-2324</v>
      </c>
      <c r="ET207" s="239">
        <v>-3778</v>
      </c>
      <c r="EU207" s="239">
        <v>0</v>
      </c>
      <c r="EV207" s="239">
        <v>-3778</v>
      </c>
      <c r="EW207" s="239">
        <v>-6102</v>
      </c>
      <c r="EX207" s="239">
        <v>0</v>
      </c>
      <c r="EY207" s="239">
        <v>-6102</v>
      </c>
      <c r="EZ207" s="239">
        <v>79738711</v>
      </c>
      <c r="FA207" s="239">
        <v>0</v>
      </c>
      <c r="FB207" s="239">
        <v>79738711</v>
      </c>
      <c r="FC207" s="239">
        <v>129042</v>
      </c>
      <c r="FD207" s="239">
        <v>0</v>
      </c>
      <c r="FE207" s="239">
        <v>129042</v>
      </c>
      <c r="FF207" s="239">
        <v>-6322401</v>
      </c>
      <c r="FG207" s="239">
        <v>0</v>
      </c>
      <c r="FH207" s="239">
        <v>-6322401</v>
      </c>
      <c r="FI207" s="239">
        <v>-3098288</v>
      </c>
      <c r="FJ207" s="239">
        <v>0</v>
      </c>
      <c r="FK207" s="239">
        <v>-3098288</v>
      </c>
      <c r="FL207" s="239">
        <v>-93015</v>
      </c>
      <c r="FM207" s="239">
        <v>0</v>
      </c>
      <c r="FN207" s="239">
        <v>-93015</v>
      </c>
      <c r="FO207" s="239">
        <v>-1425210</v>
      </c>
      <c r="FP207" s="239">
        <v>0</v>
      </c>
      <c r="FQ207" s="239">
        <v>-1425210</v>
      </c>
      <c r="FR207" s="239">
        <v>-6102</v>
      </c>
      <c r="FS207" s="239">
        <v>0</v>
      </c>
      <c r="FT207" s="239">
        <v>-6102</v>
      </c>
      <c r="FU207" s="239">
        <v>-10815974</v>
      </c>
      <c r="FV207" s="239">
        <v>0</v>
      </c>
      <c r="FW207" s="239">
        <v>-10815974</v>
      </c>
      <c r="FX207" s="239">
        <v>68922737</v>
      </c>
      <c r="FY207" s="239">
        <v>0</v>
      </c>
      <c r="FZ207" s="239">
        <v>68922737</v>
      </c>
      <c r="GA207" s="214" t="s">
        <v>1294</v>
      </c>
    </row>
    <row r="208" spans="2:183" s="214" customFormat="1" x14ac:dyDescent="0.2">
      <c r="B208" s="610" t="s">
        <v>499</v>
      </c>
      <c r="C208" s="610" t="s">
        <v>498</v>
      </c>
      <c r="D208" s="239">
        <v>0</v>
      </c>
      <c r="E208" s="239">
        <v>0</v>
      </c>
      <c r="F208" s="239">
        <v>0</v>
      </c>
      <c r="G208" s="239">
        <v>-18495</v>
      </c>
      <c r="H208" s="239">
        <v>0</v>
      </c>
      <c r="I208" s="239">
        <v>-18495</v>
      </c>
      <c r="J208" s="239">
        <v>0</v>
      </c>
      <c r="K208" s="239">
        <v>0</v>
      </c>
      <c r="L208" s="239">
        <v>0</v>
      </c>
      <c r="M208" s="239">
        <v>25501</v>
      </c>
      <c r="N208" s="239">
        <v>0</v>
      </c>
      <c r="O208" s="239">
        <v>25501</v>
      </c>
      <c r="P208" s="239">
        <v>7006</v>
      </c>
      <c r="Q208" s="239">
        <v>0</v>
      </c>
      <c r="R208" s="239">
        <v>7006</v>
      </c>
      <c r="S208" s="239">
        <v>-1863850</v>
      </c>
      <c r="T208" s="239">
        <v>0</v>
      </c>
      <c r="U208" s="239">
        <v>-1863850</v>
      </c>
      <c r="V208" s="239">
        <v>0</v>
      </c>
      <c r="W208" s="239">
        <v>0</v>
      </c>
      <c r="X208" s="239">
        <v>0</v>
      </c>
      <c r="Y208" s="239">
        <v>-103856</v>
      </c>
      <c r="Z208" s="239">
        <v>0</v>
      </c>
      <c r="AA208" s="239">
        <v>-103856</v>
      </c>
      <c r="AB208" s="239">
        <v>-71981</v>
      </c>
      <c r="AC208" s="239">
        <v>0</v>
      </c>
      <c r="AD208" s="239">
        <v>-71981</v>
      </c>
      <c r="AE208" s="239">
        <v>0</v>
      </c>
      <c r="AF208" s="239">
        <v>0</v>
      </c>
      <c r="AG208" s="239">
        <v>0</v>
      </c>
      <c r="AH208" s="239">
        <v>436272</v>
      </c>
      <c r="AI208" s="239">
        <v>0</v>
      </c>
      <c r="AJ208" s="239">
        <v>436272</v>
      </c>
      <c r="AK208" s="239">
        <v>-37406</v>
      </c>
      <c r="AL208" s="239">
        <v>0</v>
      </c>
      <c r="AM208" s="239">
        <v>-37406</v>
      </c>
      <c r="AN208" s="239">
        <v>-910321</v>
      </c>
      <c r="AO208" s="239">
        <v>0</v>
      </c>
      <c r="AP208" s="239">
        <v>-910321</v>
      </c>
      <c r="AQ208" s="239">
        <v>-114096</v>
      </c>
      <c r="AR208" s="239">
        <v>0</v>
      </c>
      <c r="AS208" s="239">
        <v>-114096</v>
      </c>
      <c r="AT208" s="239">
        <v>-45849</v>
      </c>
      <c r="AU208" s="239">
        <v>0</v>
      </c>
      <c r="AV208" s="239">
        <v>-45849</v>
      </c>
      <c r="AW208" s="239">
        <v>0</v>
      </c>
      <c r="AX208" s="239">
        <v>0</v>
      </c>
      <c r="AY208" s="239">
        <v>0</v>
      </c>
      <c r="AZ208" s="239">
        <v>-9021</v>
      </c>
      <c r="BA208" s="239">
        <v>0</v>
      </c>
      <c r="BB208" s="239">
        <v>-9021</v>
      </c>
      <c r="BC208" s="239">
        <v>0</v>
      </c>
      <c r="BD208" s="239">
        <v>0</v>
      </c>
      <c r="BE208" s="239">
        <v>0</v>
      </c>
      <c r="BF208" s="239">
        <v>-2648127</v>
      </c>
      <c r="BG208" s="239">
        <v>0</v>
      </c>
      <c r="BH208" s="239">
        <v>-2648127</v>
      </c>
      <c r="BI208" s="239">
        <v>0</v>
      </c>
      <c r="BJ208" s="239">
        <v>0</v>
      </c>
      <c r="BK208" s="239">
        <v>0</v>
      </c>
      <c r="BL208" s="239">
        <v>0</v>
      </c>
      <c r="BM208" s="239">
        <v>0</v>
      </c>
      <c r="BN208" s="239">
        <v>0</v>
      </c>
      <c r="BO208" s="239">
        <v>-605893</v>
      </c>
      <c r="BP208" s="239">
        <v>0</v>
      </c>
      <c r="BQ208" s="239">
        <v>-605893</v>
      </c>
      <c r="BR208" s="239">
        <v>42764</v>
      </c>
      <c r="BS208" s="239">
        <v>0</v>
      </c>
      <c r="BT208" s="239">
        <v>42764</v>
      </c>
      <c r="BU208" s="239">
        <v>-563129</v>
      </c>
      <c r="BV208" s="239">
        <v>0</v>
      </c>
      <c r="BW208" s="239">
        <v>-563129</v>
      </c>
      <c r="BX208" s="239">
        <v>-17360</v>
      </c>
      <c r="BY208" s="239">
        <v>0</v>
      </c>
      <c r="BZ208" s="239">
        <v>-17360</v>
      </c>
      <c r="CA208" s="239">
        <v>-234</v>
      </c>
      <c r="CB208" s="239">
        <v>0</v>
      </c>
      <c r="CC208" s="239">
        <v>-234</v>
      </c>
      <c r="CD208" s="239">
        <v>-6329</v>
      </c>
      <c r="CE208" s="239">
        <v>0</v>
      </c>
      <c r="CF208" s="239">
        <v>-6329</v>
      </c>
      <c r="CG208" s="239">
        <v>0</v>
      </c>
      <c r="CH208" s="239">
        <v>0</v>
      </c>
      <c r="CI208" s="239">
        <v>0</v>
      </c>
      <c r="CJ208" s="239">
        <v>-1686</v>
      </c>
      <c r="CK208" s="239">
        <v>0</v>
      </c>
      <c r="CL208" s="239">
        <v>-1686</v>
      </c>
      <c r="CM208" s="239">
        <v>0</v>
      </c>
      <c r="CN208" s="239">
        <v>0</v>
      </c>
      <c r="CO208" s="239">
        <v>0</v>
      </c>
      <c r="CP208" s="239">
        <v>-4129</v>
      </c>
      <c r="CQ208" s="239">
        <v>0</v>
      </c>
      <c r="CR208" s="239">
        <v>-4129</v>
      </c>
      <c r="CS208" s="239">
        <v>0</v>
      </c>
      <c r="CT208" s="239">
        <v>0</v>
      </c>
      <c r="CU208" s="239">
        <v>0</v>
      </c>
      <c r="CV208" s="239">
        <v>0</v>
      </c>
      <c r="CW208" s="239">
        <v>0</v>
      </c>
      <c r="CX208" s="239">
        <v>0</v>
      </c>
      <c r="CY208" s="239">
        <v>0</v>
      </c>
      <c r="CZ208" s="239">
        <v>0</v>
      </c>
      <c r="DA208" s="239">
        <v>0</v>
      </c>
      <c r="DB208" s="239">
        <v>0</v>
      </c>
      <c r="DC208" s="239">
        <v>0</v>
      </c>
      <c r="DD208" s="239">
        <v>0</v>
      </c>
      <c r="DE208" s="239">
        <v>0</v>
      </c>
      <c r="DF208" s="239">
        <v>0</v>
      </c>
      <c r="DG208" s="239">
        <v>0</v>
      </c>
      <c r="DH208" s="239">
        <v>0</v>
      </c>
      <c r="DI208" s="239">
        <v>0</v>
      </c>
      <c r="DJ208" s="239">
        <v>-29738</v>
      </c>
      <c r="DK208" s="239">
        <v>0</v>
      </c>
      <c r="DL208" s="239">
        <v>-29738</v>
      </c>
      <c r="DM208" s="239">
        <v>0</v>
      </c>
      <c r="DN208" s="239">
        <v>0</v>
      </c>
      <c r="DO208" s="239">
        <v>0</v>
      </c>
      <c r="DP208" s="239">
        <v>-740</v>
      </c>
      <c r="DQ208" s="239">
        <v>0</v>
      </c>
      <c r="DR208" s="239">
        <v>-740</v>
      </c>
      <c r="DS208" s="239">
        <v>-2940</v>
      </c>
      <c r="DT208" s="239">
        <v>0</v>
      </c>
      <c r="DU208" s="239">
        <v>-2940</v>
      </c>
      <c r="DV208" s="239">
        <v>-269</v>
      </c>
      <c r="DW208" s="239">
        <v>0</v>
      </c>
      <c r="DX208" s="239">
        <v>-269</v>
      </c>
      <c r="DY208" s="239">
        <v>-325966</v>
      </c>
      <c r="DZ208" s="239">
        <v>0</v>
      </c>
      <c r="EA208" s="239">
        <v>-325966</v>
      </c>
      <c r="EB208" s="239">
        <v>-1243</v>
      </c>
      <c r="EC208" s="239">
        <v>0</v>
      </c>
      <c r="ED208" s="239">
        <v>-1243</v>
      </c>
      <c r="EE208" s="239">
        <v>0</v>
      </c>
      <c r="EF208" s="239">
        <v>0</v>
      </c>
      <c r="EG208" s="239">
        <v>0</v>
      </c>
      <c r="EH208" s="239">
        <v>0</v>
      </c>
      <c r="EI208" s="239">
        <v>0</v>
      </c>
      <c r="EJ208" s="239">
        <v>0</v>
      </c>
      <c r="EK208" s="239">
        <v>-3124</v>
      </c>
      <c r="EL208" s="239">
        <v>0</v>
      </c>
      <c r="EM208" s="239">
        <v>-3124</v>
      </c>
      <c r="EN208" s="239">
        <v>-334282</v>
      </c>
      <c r="EO208" s="239">
        <v>0</v>
      </c>
      <c r="EP208" s="239">
        <v>-334282</v>
      </c>
      <c r="EQ208" s="239">
        <v>0</v>
      </c>
      <c r="ER208" s="239">
        <v>0</v>
      </c>
      <c r="ES208" s="239">
        <v>0</v>
      </c>
      <c r="ET208" s="239">
        <v>0</v>
      </c>
      <c r="EU208" s="239">
        <v>0</v>
      </c>
      <c r="EV208" s="239">
        <v>0</v>
      </c>
      <c r="EW208" s="239">
        <v>0</v>
      </c>
      <c r="EX208" s="239">
        <v>0</v>
      </c>
      <c r="EY208" s="239">
        <v>0</v>
      </c>
      <c r="EZ208" s="239">
        <v>18241129</v>
      </c>
      <c r="FA208" s="239">
        <v>0</v>
      </c>
      <c r="FB208" s="239">
        <v>18241129</v>
      </c>
      <c r="FC208" s="239">
        <v>7006</v>
      </c>
      <c r="FD208" s="239">
        <v>0</v>
      </c>
      <c r="FE208" s="239">
        <v>7006</v>
      </c>
      <c r="FF208" s="239">
        <v>-2648127</v>
      </c>
      <c r="FG208" s="239">
        <v>0</v>
      </c>
      <c r="FH208" s="239">
        <v>-2648127</v>
      </c>
      <c r="FI208" s="239">
        <v>-563129</v>
      </c>
      <c r="FJ208" s="239">
        <v>0</v>
      </c>
      <c r="FK208" s="239">
        <v>-563129</v>
      </c>
      <c r="FL208" s="239">
        <v>-29738</v>
      </c>
      <c r="FM208" s="239">
        <v>0</v>
      </c>
      <c r="FN208" s="239">
        <v>-29738</v>
      </c>
      <c r="FO208" s="239">
        <v>-334282</v>
      </c>
      <c r="FP208" s="239">
        <v>0</v>
      </c>
      <c r="FQ208" s="239">
        <v>-334282</v>
      </c>
      <c r="FR208" s="239">
        <v>0</v>
      </c>
      <c r="FS208" s="239">
        <v>0</v>
      </c>
      <c r="FT208" s="239">
        <v>0</v>
      </c>
      <c r="FU208" s="239">
        <v>-3568270</v>
      </c>
      <c r="FV208" s="239">
        <v>0</v>
      </c>
      <c r="FW208" s="239">
        <v>-3568270</v>
      </c>
      <c r="FX208" s="239">
        <v>14672859</v>
      </c>
      <c r="FY208" s="239">
        <v>0</v>
      </c>
      <c r="FZ208" s="239">
        <v>14672859</v>
      </c>
      <c r="GA208" s="214" t="s">
        <v>1294</v>
      </c>
    </row>
    <row r="209" spans="2:183" s="214" customFormat="1" x14ac:dyDescent="0.2">
      <c r="B209" s="610" t="s">
        <v>501</v>
      </c>
      <c r="C209" s="610" t="s">
        <v>500</v>
      </c>
      <c r="D209" s="239">
        <v>0</v>
      </c>
      <c r="E209" s="239">
        <v>0</v>
      </c>
      <c r="F209" s="239">
        <v>0</v>
      </c>
      <c r="G209" s="239">
        <v>-7387</v>
      </c>
      <c r="H209" s="239">
        <v>0</v>
      </c>
      <c r="I209" s="239">
        <v>-7387</v>
      </c>
      <c r="J209" s="239">
        <v>0</v>
      </c>
      <c r="K209" s="239">
        <v>0</v>
      </c>
      <c r="L209" s="239">
        <v>0</v>
      </c>
      <c r="M209" s="239">
        <v>131318</v>
      </c>
      <c r="N209" s="239">
        <v>0</v>
      </c>
      <c r="O209" s="239">
        <v>131318</v>
      </c>
      <c r="P209" s="239">
        <v>123931</v>
      </c>
      <c r="Q209" s="239">
        <v>0</v>
      </c>
      <c r="R209" s="239">
        <v>123931</v>
      </c>
      <c r="S209" s="239">
        <v>-1940529</v>
      </c>
      <c r="T209" s="239">
        <v>0</v>
      </c>
      <c r="U209" s="239">
        <v>-1940529</v>
      </c>
      <c r="V209" s="239">
        <v>-2044</v>
      </c>
      <c r="W209" s="239">
        <v>0</v>
      </c>
      <c r="X209" s="239">
        <v>-2044</v>
      </c>
      <c r="Y209" s="239">
        <v>-233900</v>
      </c>
      <c r="Z209" s="239">
        <v>0</v>
      </c>
      <c r="AA209" s="239">
        <v>-233900</v>
      </c>
      <c r="AB209" s="239">
        <v>-156681</v>
      </c>
      <c r="AC209" s="239">
        <v>0</v>
      </c>
      <c r="AD209" s="239">
        <v>-156681</v>
      </c>
      <c r="AE209" s="239">
        <v>-153</v>
      </c>
      <c r="AF209" s="239">
        <v>0</v>
      </c>
      <c r="AG209" s="239">
        <v>-153</v>
      </c>
      <c r="AH209" s="239">
        <v>3016357</v>
      </c>
      <c r="AI209" s="239">
        <v>0</v>
      </c>
      <c r="AJ209" s="239">
        <v>3016357</v>
      </c>
      <c r="AK209" s="239">
        <v>-17678</v>
      </c>
      <c r="AL209" s="239">
        <v>0</v>
      </c>
      <c r="AM209" s="239">
        <v>-17678</v>
      </c>
      <c r="AN209" s="239">
        <v>-4127230</v>
      </c>
      <c r="AO209" s="239">
        <v>0</v>
      </c>
      <c r="AP209" s="239">
        <v>-4127230</v>
      </c>
      <c r="AQ209" s="239">
        <v>-63179</v>
      </c>
      <c r="AR209" s="239">
        <v>0</v>
      </c>
      <c r="AS209" s="239">
        <v>-63179</v>
      </c>
      <c r="AT209" s="239">
        <v>-6784</v>
      </c>
      <c r="AU209" s="239">
        <v>0</v>
      </c>
      <c r="AV209" s="239">
        <v>-6784</v>
      </c>
      <c r="AW209" s="239">
        <v>0</v>
      </c>
      <c r="AX209" s="239">
        <v>0</v>
      </c>
      <c r="AY209" s="239">
        <v>0</v>
      </c>
      <c r="AZ209" s="239">
        <v>0</v>
      </c>
      <c r="BA209" s="239">
        <v>0</v>
      </c>
      <c r="BB209" s="239">
        <v>0</v>
      </c>
      <c r="BC209" s="239">
        <v>0</v>
      </c>
      <c r="BD209" s="239">
        <v>0</v>
      </c>
      <c r="BE209" s="239">
        <v>0</v>
      </c>
      <c r="BF209" s="239">
        <v>-3372943</v>
      </c>
      <c r="BG209" s="239">
        <v>0</v>
      </c>
      <c r="BH209" s="239">
        <v>-3372943</v>
      </c>
      <c r="BI209" s="239">
        <v>-152993</v>
      </c>
      <c r="BJ209" s="239">
        <v>0</v>
      </c>
      <c r="BK209" s="239">
        <v>-152993</v>
      </c>
      <c r="BL209" s="239">
        <v>-84</v>
      </c>
      <c r="BM209" s="239">
        <v>0</v>
      </c>
      <c r="BN209" s="239">
        <v>-84</v>
      </c>
      <c r="BO209" s="239">
        <v>-4719262</v>
      </c>
      <c r="BP209" s="239">
        <v>0</v>
      </c>
      <c r="BQ209" s="239">
        <v>-4719262</v>
      </c>
      <c r="BR209" s="239">
        <v>-304045</v>
      </c>
      <c r="BS209" s="239">
        <v>0</v>
      </c>
      <c r="BT209" s="239">
        <v>-304045</v>
      </c>
      <c r="BU209" s="239">
        <v>-5176384</v>
      </c>
      <c r="BV209" s="239">
        <v>0</v>
      </c>
      <c r="BW209" s="239">
        <v>-5176384</v>
      </c>
      <c r="BX209" s="239">
        <v>-51849</v>
      </c>
      <c r="BY209" s="239">
        <v>0</v>
      </c>
      <c r="BZ209" s="239">
        <v>-51849</v>
      </c>
      <c r="CA209" s="239">
        <v>-753</v>
      </c>
      <c r="CB209" s="239">
        <v>0</v>
      </c>
      <c r="CC209" s="239">
        <v>-753</v>
      </c>
      <c r="CD209" s="239">
        <v>0</v>
      </c>
      <c r="CE209" s="239">
        <v>0</v>
      </c>
      <c r="CF209" s="239">
        <v>0</v>
      </c>
      <c r="CG209" s="239">
        <v>0</v>
      </c>
      <c r="CH209" s="239">
        <v>0</v>
      </c>
      <c r="CI209" s="239">
        <v>0</v>
      </c>
      <c r="CJ209" s="239">
        <v>0</v>
      </c>
      <c r="CK209" s="239">
        <v>0</v>
      </c>
      <c r="CL209" s="239">
        <v>0</v>
      </c>
      <c r="CM209" s="239">
        <v>0</v>
      </c>
      <c r="CN209" s="239">
        <v>0</v>
      </c>
      <c r="CO209" s="239">
        <v>0</v>
      </c>
      <c r="CP209" s="239">
        <v>0</v>
      </c>
      <c r="CQ209" s="239">
        <v>0</v>
      </c>
      <c r="CR209" s="239">
        <v>0</v>
      </c>
      <c r="CS209" s="239">
        <v>0</v>
      </c>
      <c r="CT209" s="239">
        <v>0</v>
      </c>
      <c r="CU209" s="239">
        <v>0</v>
      </c>
      <c r="CV209" s="239">
        <v>0</v>
      </c>
      <c r="CW209" s="239">
        <v>0</v>
      </c>
      <c r="CX209" s="239">
        <v>0</v>
      </c>
      <c r="CY209" s="239">
        <v>0</v>
      </c>
      <c r="CZ209" s="239">
        <v>0</v>
      </c>
      <c r="DA209" s="239">
        <v>0</v>
      </c>
      <c r="DB209" s="239">
        <v>0</v>
      </c>
      <c r="DC209" s="239">
        <v>0</v>
      </c>
      <c r="DD209" s="239">
        <v>0</v>
      </c>
      <c r="DE209" s="239">
        <v>0</v>
      </c>
      <c r="DF209" s="239">
        <v>0</v>
      </c>
      <c r="DG209" s="239">
        <v>0</v>
      </c>
      <c r="DH209" s="239">
        <v>0</v>
      </c>
      <c r="DI209" s="239">
        <v>0</v>
      </c>
      <c r="DJ209" s="239">
        <v>-52602</v>
      </c>
      <c r="DK209" s="239">
        <v>0</v>
      </c>
      <c r="DL209" s="239">
        <v>-52602</v>
      </c>
      <c r="DM209" s="239">
        <v>0</v>
      </c>
      <c r="DN209" s="239">
        <v>0</v>
      </c>
      <c r="DO209" s="239">
        <v>0</v>
      </c>
      <c r="DP209" s="239">
        <v>0</v>
      </c>
      <c r="DQ209" s="239">
        <v>0</v>
      </c>
      <c r="DR209" s="239">
        <v>0</v>
      </c>
      <c r="DS209" s="239">
        <v>-93669</v>
      </c>
      <c r="DT209" s="239">
        <v>0</v>
      </c>
      <c r="DU209" s="239">
        <v>-93669</v>
      </c>
      <c r="DV209" s="239">
        <v>-13121</v>
      </c>
      <c r="DW209" s="239">
        <v>0</v>
      </c>
      <c r="DX209" s="239">
        <v>-13121</v>
      </c>
      <c r="DY209" s="239">
        <v>-578797</v>
      </c>
      <c r="DZ209" s="239">
        <v>0</v>
      </c>
      <c r="EA209" s="239">
        <v>-578797</v>
      </c>
      <c r="EB209" s="239">
        <v>-52362</v>
      </c>
      <c r="EC209" s="239">
        <v>0</v>
      </c>
      <c r="ED209" s="239">
        <v>-52362</v>
      </c>
      <c r="EE209" s="239">
        <v>0</v>
      </c>
      <c r="EF209" s="239">
        <v>0</v>
      </c>
      <c r="EG209" s="239">
        <v>0</v>
      </c>
      <c r="EH209" s="239">
        <v>1900</v>
      </c>
      <c r="EI209" s="239">
        <v>0</v>
      </c>
      <c r="EJ209" s="239">
        <v>1900</v>
      </c>
      <c r="EK209" s="239">
        <v>-33667</v>
      </c>
      <c r="EL209" s="239">
        <v>0</v>
      </c>
      <c r="EM209" s="239">
        <v>-33667</v>
      </c>
      <c r="EN209" s="239">
        <v>-769716</v>
      </c>
      <c r="EO209" s="239">
        <v>0</v>
      </c>
      <c r="EP209" s="239">
        <v>-769716</v>
      </c>
      <c r="EQ209" s="239">
        <v>0</v>
      </c>
      <c r="ER209" s="239">
        <v>0</v>
      </c>
      <c r="ES209" s="239">
        <v>0</v>
      </c>
      <c r="ET209" s="239">
        <v>0</v>
      </c>
      <c r="EU209" s="239">
        <v>0</v>
      </c>
      <c r="EV209" s="239">
        <v>0</v>
      </c>
      <c r="EW209" s="239">
        <v>0</v>
      </c>
      <c r="EX209" s="239">
        <v>0</v>
      </c>
      <c r="EY209" s="239">
        <v>0</v>
      </c>
      <c r="EZ209" s="239">
        <v>119206939</v>
      </c>
      <c r="FA209" s="239">
        <v>0</v>
      </c>
      <c r="FB209" s="239">
        <v>119206939</v>
      </c>
      <c r="FC209" s="239">
        <v>123931</v>
      </c>
      <c r="FD209" s="239">
        <v>0</v>
      </c>
      <c r="FE209" s="239">
        <v>123931</v>
      </c>
      <c r="FF209" s="239">
        <v>-3372943</v>
      </c>
      <c r="FG209" s="239">
        <v>0</v>
      </c>
      <c r="FH209" s="239">
        <v>-3372943</v>
      </c>
      <c r="FI209" s="239">
        <v>-5176384</v>
      </c>
      <c r="FJ209" s="239">
        <v>0</v>
      </c>
      <c r="FK209" s="239">
        <v>-5176384</v>
      </c>
      <c r="FL209" s="239">
        <v>-52602</v>
      </c>
      <c r="FM209" s="239">
        <v>0</v>
      </c>
      <c r="FN209" s="239">
        <v>-52602</v>
      </c>
      <c r="FO209" s="239">
        <v>-769716</v>
      </c>
      <c r="FP209" s="239">
        <v>0</v>
      </c>
      <c r="FQ209" s="239">
        <v>-769716</v>
      </c>
      <c r="FR209" s="239">
        <v>0</v>
      </c>
      <c r="FS209" s="239">
        <v>0</v>
      </c>
      <c r="FT209" s="239">
        <v>0</v>
      </c>
      <c r="FU209" s="239">
        <v>-9247714</v>
      </c>
      <c r="FV209" s="239">
        <v>0</v>
      </c>
      <c r="FW209" s="239">
        <v>-9247714</v>
      </c>
      <c r="FX209" s="239">
        <v>109959225</v>
      </c>
      <c r="FY209" s="239">
        <v>0</v>
      </c>
      <c r="FZ209" s="239">
        <v>109959225</v>
      </c>
      <c r="GA209" s="214" t="s">
        <v>748</v>
      </c>
    </row>
    <row r="210" spans="2:183" s="214" customFormat="1" x14ac:dyDescent="0.2">
      <c r="B210" s="610" t="s">
        <v>503</v>
      </c>
      <c r="C210" s="610" t="s">
        <v>502</v>
      </c>
      <c r="D210" s="239">
        <v>0</v>
      </c>
      <c r="E210" s="239">
        <v>0</v>
      </c>
      <c r="F210" s="239">
        <v>0</v>
      </c>
      <c r="G210" s="239">
        <v>27808</v>
      </c>
      <c r="H210" s="239">
        <v>0</v>
      </c>
      <c r="I210" s="239">
        <v>27808</v>
      </c>
      <c r="J210" s="239">
        <v>0</v>
      </c>
      <c r="K210" s="239">
        <v>0</v>
      </c>
      <c r="L210" s="239">
        <v>0</v>
      </c>
      <c r="M210" s="239">
        <v>30068</v>
      </c>
      <c r="N210" s="239">
        <v>0</v>
      </c>
      <c r="O210" s="239">
        <v>30068</v>
      </c>
      <c r="P210" s="239">
        <v>57876</v>
      </c>
      <c r="Q210" s="239">
        <v>0</v>
      </c>
      <c r="R210" s="239">
        <v>57876</v>
      </c>
      <c r="S210" s="239">
        <v>-3969127</v>
      </c>
      <c r="T210" s="239">
        <v>0</v>
      </c>
      <c r="U210" s="239">
        <v>-3969127</v>
      </c>
      <c r="V210" s="239">
        <v>-9749</v>
      </c>
      <c r="W210" s="239">
        <v>0</v>
      </c>
      <c r="X210" s="239">
        <v>-9749</v>
      </c>
      <c r="Y210" s="239">
        <v>-200573</v>
      </c>
      <c r="Z210" s="239">
        <v>0</v>
      </c>
      <c r="AA210" s="239">
        <v>-200573</v>
      </c>
      <c r="AB210" s="239">
        <v>-131055</v>
      </c>
      <c r="AC210" s="239">
        <v>0</v>
      </c>
      <c r="AD210" s="239">
        <v>-131055</v>
      </c>
      <c r="AE210" s="239">
        <v>22</v>
      </c>
      <c r="AF210" s="239">
        <v>0</v>
      </c>
      <c r="AG210" s="239">
        <v>22</v>
      </c>
      <c r="AH210" s="239">
        <v>1265119</v>
      </c>
      <c r="AI210" s="239">
        <v>0</v>
      </c>
      <c r="AJ210" s="239">
        <v>1265119</v>
      </c>
      <c r="AK210" s="239">
        <v>17343</v>
      </c>
      <c r="AL210" s="239">
        <v>0</v>
      </c>
      <c r="AM210" s="239">
        <v>17343</v>
      </c>
      <c r="AN210" s="239">
        <v>-4594384</v>
      </c>
      <c r="AO210" s="239">
        <v>0</v>
      </c>
      <c r="AP210" s="239">
        <v>-4594384</v>
      </c>
      <c r="AQ210" s="239">
        <v>-30317</v>
      </c>
      <c r="AR210" s="239">
        <v>0</v>
      </c>
      <c r="AS210" s="239">
        <v>-30317</v>
      </c>
      <c r="AT210" s="239">
        <v>-118968</v>
      </c>
      <c r="AU210" s="239">
        <v>0</v>
      </c>
      <c r="AV210" s="239">
        <v>-118968</v>
      </c>
      <c r="AW210" s="239">
        <v>-7616</v>
      </c>
      <c r="AX210" s="239">
        <v>0</v>
      </c>
      <c r="AY210" s="239">
        <v>-7616</v>
      </c>
      <c r="AZ210" s="239">
        <v>0</v>
      </c>
      <c r="BA210" s="239">
        <v>0</v>
      </c>
      <c r="BB210" s="239">
        <v>0</v>
      </c>
      <c r="BC210" s="239">
        <v>0</v>
      </c>
      <c r="BD210" s="239">
        <v>0</v>
      </c>
      <c r="BE210" s="239">
        <v>0</v>
      </c>
      <c r="BF210" s="239">
        <v>-7638523</v>
      </c>
      <c r="BG210" s="239">
        <v>0</v>
      </c>
      <c r="BH210" s="239">
        <v>-7638523</v>
      </c>
      <c r="BI210" s="239">
        <v>-8030</v>
      </c>
      <c r="BJ210" s="239">
        <v>0</v>
      </c>
      <c r="BK210" s="239">
        <v>-8030</v>
      </c>
      <c r="BL210" s="239">
        <v>-3938</v>
      </c>
      <c r="BM210" s="239">
        <v>0</v>
      </c>
      <c r="BN210" s="239">
        <v>-3938</v>
      </c>
      <c r="BO210" s="239">
        <v>-2010315</v>
      </c>
      <c r="BP210" s="239">
        <v>0</v>
      </c>
      <c r="BQ210" s="239">
        <v>-2010315</v>
      </c>
      <c r="BR210" s="239">
        <v>63265</v>
      </c>
      <c r="BS210" s="239">
        <v>0</v>
      </c>
      <c r="BT210" s="239">
        <v>63265</v>
      </c>
      <c r="BU210" s="239">
        <v>-1959018</v>
      </c>
      <c r="BV210" s="239">
        <v>0</v>
      </c>
      <c r="BW210" s="239">
        <v>-1959018</v>
      </c>
      <c r="BX210" s="239">
        <v>-121621</v>
      </c>
      <c r="BY210" s="239">
        <v>0</v>
      </c>
      <c r="BZ210" s="239">
        <v>-121621</v>
      </c>
      <c r="CA210" s="239">
        <v>0</v>
      </c>
      <c r="CB210" s="239">
        <v>0</v>
      </c>
      <c r="CC210" s="239">
        <v>0</v>
      </c>
      <c r="CD210" s="239">
        <v>-25056</v>
      </c>
      <c r="CE210" s="239">
        <v>0</v>
      </c>
      <c r="CF210" s="239">
        <v>-25056</v>
      </c>
      <c r="CG210" s="239">
        <v>0</v>
      </c>
      <c r="CH210" s="239">
        <v>0</v>
      </c>
      <c r="CI210" s="239">
        <v>0</v>
      </c>
      <c r="CJ210" s="239">
        <v>0</v>
      </c>
      <c r="CK210" s="239">
        <v>0</v>
      </c>
      <c r="CL210" s="239">
        <v>0</v>
      </c>
      <c r="CM210" s="239">
        <v>0</v>
      </c>
      <c r="CN210" s="239">
        <v>0</v>
      </c>
      <c r="CO210" s="239">
        <v>0</v>
      </c>
      <c r="CP210" s="239">
        <v>0</v>
      </c>
      <c r="CQ210" s="239">
        <v>0</v>
      </c>
      <c r="CR210" s="239">
        <v>0</v>
      </c>
      <c r="CS210" s="239">
        <v>0</v>
      </c>
      <c r="CT210" s="239">
        <v>0</v>
      </c>
      <c r="CU210" s="239">
        <v>0</v>
      </c>
      <c r="CV210" s="239">
        <v>0</v>
      </c>
      <c r="CW210" s="239">
        <v>0</v>
      </c>
      <c r="CX210" s="239">
        <v>0</v>
      </c>
      <c r="CY210" s="239">
        <v>0</v>
      </c>
      <c r="CZ210" s="239">
        <v>0</v>
      </c>
      <c r="DA210" s="239">
        <v>0</v>
      </c>
      <c r="DB210" s="239">
        <v>0</v>
      </c>
      <c r="DC210" s="239">
        <v>0</v>
      </c>
      <c r="DD210" s="239">
        <v>0</v>
      </c>
      <c r="DE210" s="239">
        <v>0</v>
      </c>
      <c r="DF210" s="239">
        <v>0</v>
      </c>
      <c r="DG210" s="239">
        <v>0</v>
      </c>
      <c r="DH210" s="239">
        <v>0</v>
      </c>
      <c r="DI210" s="239">
        <v>0</v>
      </c>
      <c r="DJ210" s="239">
        <v>-146677</v>
      </c>
      <c r="DK210" s="239">
        <v>0</v>
      </c>
      <c r="DL210" s="239">
        <v>-146677</v>
      </c>
      <c r="DM210" s="239">
        <v>-8962</v>
      </c>
      <c r="DN210" s="239">
        <v>0</v>
      </c>
      <c r="DO210" s="239">
        <v>-8962</v>
      </c>
      <c r="DP210" s="239">
        <v>-666</v>
      </c>
      <c r="DQ210" s="239">
        <v>0</v>
      </c>
      <c r="DR210" s="239">
        <v>-666</v>
      </c>
      <c r="DS210" s="239">
        <v>-47870</v>
      </c>
      <c r="DT210" s="239">
        <v>0</v>
      </c>
      <c r="DU210" s="239">
        <v>-47870</v>
      </c>
      <c r="DV210" s="239">
        <v>-7533</v>
      </c>
      <c r="DW210" s="239">
        <v>0</v>
      </c>
      <c r="DX210" s="239">
        <v>-7533</v>
      </c>
      <c r="DY210" s="239">
        <v>-1882491</v>
      </c>
      <c r="DZ210" s="239">
        <v>0</v>
      </c>
      <c r="EA210" s="239">
        <v>-1882491</v>
      </c>
      <c r="EB210" s="239">
        <v>-55272</v>
      </c>
      <c r="EC210" s="239">
        <v>0</v>
      </c>
      <c r="ED210" s="239">
        <v>-55272</v>
      </c>
      <c r="EE210" s="239">
        <v>0</v>
      </c>
      <c r="EF210" s="239">
        <v>0</v>
      </c>
      <c r="EG210" s="239">
        <v>0</v>
      </c>
      <c r="EH210" s="239">
        <v>0</v>
      </c>
      <c r="EI210" s="239">
        <v>0</v>
      </c>
      <c r="EJ210" s="239">
        <v>0</v>
      </c>
      <c r="EK210" s="239">
        <v>-23656</v>
      </c>
      <c r="EL210" s="239">
        <v>0</v>
      </c>
      <c r="EM210" s="239">
        <v>-23656</v>
      </c>
      <c r="EN210" s="239">
        <v>-2026450</v>
      </c>
      <c r="EO210" s="239">
        <v>0</v>
      </c>
      <c r="EP210" s="239">
        <v>-2026450</v>
      </c>
      <c r="EQ210" s="239">
        <v>0</v>
      </c>
      <c r="ER210" s="239">
        <v>0</v>
      </c>
      <c r="ES210" s="239">
        <v>0</v>
      </c>
      <c r="ET210" s="239">
        <v>0</v>
      </c>
      <c r="EU210" s="239">
        <v>0</v>
      </c>
      <c r="EV210" s="239">
        <v>0</v>
      </c>
      <c r="EW210" s="239">
        <v>0</v>
      </c>
      <c r="EX210" s="239">
        <v>0</v>
      </c>
      <c r="EY210" s="239">
        <v>0</v>
      </c>
      <c r="EZ210" s="239">
        <v>64856463</v>
      </c>
      <c r="FA210" s="239">
        <v>0</v>
      </c>
      <c r="FB210" s="239">
        <v>64856463</v>
      </c>
      <c r="FC210" s="239">
        <v>57876</v>
      </c>
      <c r="FD210" s="239">
        <v>0</v>
      </c>
      <c r="FE210" s="239">
        <v>57876</v>
      </c>
      <c r="FF210" s="239">
        <v>-7638523</v>
      </c>
      <c r="FG210" s="239">
        <v>0</v>
      </c>
      <c r="FH210" s="239">
        <v>-7638523</v>
      </c>
      <c r="FI210" s="239">
        <v>-1959018</v>
      </c>
      <c r="FJ210" s="239">
        <v>0</v>
      </c>
      <c r="FK210" s="239">
        <v>-1959018</v>
      </c>
      <c r="FL210" s="239">
        <v>-146677</v>
      </c>
      <c r="FM210" s="239">
        <v>0</v>
      </c>
      <c r="FN210" s="239">
        <v>-146677</v>
      </c>
      <c r="FO210" s="239">
        <v>-2026450</v>
      </c>
      <c r="FP210" s="239">
        <v>0</v>
      </c>
      <c r="FQ210" s="239">
        <v>-2026450</v>
      </c>
      <c r="FR210" s="239">
        <v>0</v>
      </c>
      <c r="FS210" s="239">
        <v>0</v>
      </c>
      <c r="FT210" s="239">
        <v>0</v>
      </c>
      <c r="FU210" s="239">
        <v>-11712792</v>
      </c>
      <c r="FV210" s="239">
        <v>0</v>
      </c>
      <c r="FW210" s="239">
        <v>-11712792</v>
      </c>
      <c r="FX210" s="239">
        <v>53143671</v>
      </c>
      <c r="FY210" s="239">
        <v>0</v>
      </c>
      <c r="FZ210" s="239">
        <v>53143671</v>
      </c>
      <c r="GA210" s="214" t="s">
        <v>1295</v>
      </c>
    </row>
    <row r="211" spans="2:183" s="214" customFormat="1" x14ac:dyDescent="0.2">
      <c r="B211" s="610" t="s">
        <v>505</v>
      </c>
      <c r="C211" s="610" t="s">
        <v>504</v>
      </c>
      <c r="D211" s="239">
        <v>0</v>
      </c>
      <c r="E211" s="239">
        <v>0</v>
      </c>
      <c r="F211" s="239">
        <v>0</v>
      </c>
      <c r="G211" s="239">
        <v>3722</v>
      </c>
      <c r="H211" s="239">
        <v>0</v>
      </c>
      <c r="I211" s="239">
        <v>3722</v>
      </c>
      <c r="J211" s="239">
        <v>0</v>
      </c>
      <c r="K211" s="239">
        <v>0</v>
      </c>
      <c r="L211" s="239">
        <v>0</v>
      </c>
      <c r="M211" s="239">
        <v>-32346</v>
      </c>
      <c r="N211" s="239">
        <v>0</v>
      </c>
      <c r="O211" s="239">
        <v>-32346</v>
      </c>
      <c r="P211" s="239">
        <v>-28624</v>
      </c>
      <c r="Q211" s="239">
        <v>0</v>
      </c>
      <c r="R211" s="239">
        <v>-28624</v>
      </c>
      <c r="S211" s="239">
        <v>-2608882</v>
      </c>
      <c r="T211" s="239">
        <v>0</v>
      </c>
      <c r="U211" s="239">
        <v>-2608882</v>
      </c>
      <c r="V211" s="239">
        <v>0</v>
      </c>
      <c r="W211" s="239">
        <v>0</v>
      </c>
      <c r="X211" s="239">
        <v>0</v>
      </c>
      <c r="Y211" s="239">
        <v>-69578</v>
      </c>
      <c r="Z211" s="239">
        <v>0</v>
      </c>
      <c r="AA211" s="239">
        <v>-69578</v>
      </c>
      <c r="AB211" s="239">
        <v>-69578</v>
      </c>
      <c r="AC211" s="239">
        <v>0</v>
      </c>
      <c r="AD211" s="239">
        <v>-69578</v>
      </c>
      <c r="AE211" s="239">
        <v>0</v>
      </c>
      <c r="AF211" s="239">
        <v>0</v>
      </c>
      <c r="AG211" s="239">
        <v>0</v>
      </c>
      <c r="AH211" s="239">
        <v>1330254</v>
      </c>
      <c r="AI211" s="239">
        <v>494</v>
      </c>
      <c r="AJ211" s="239">
        <v>1330748</v>
      </c>
      <c r="AK211" s="239">
        <v>-19515</v>
      </c>
      <c r="AL211" s="239">
        <v>0</v>
      </c>
      <c r="AM211" s="239">
        <v>-19515</v>
      </c>
      <c r="AN211" s="239">
        <v>-2573231</v>
      </c>
      <c r="AO211" s="239">
        <v>-26654</v>
      </c>
      <c r="AP211" s="239">
        <v>-2599885</v>
      </c>
      <c r="AQ211" s="239">
        <v>-72735</v>
      </c>
      <c r="AR211" s="239">
        <v>0</v>
      </c>
      <c r="AS211" s="239">
        <v>-72735</v>
      </c>
      <c r="AT211" s="239">
        <v>-65923</v>
      </c>
      <c r="AU211" s="239">
        <v>0</v>
      </c>
      <c r="AV211" s="239">
        <v>-65923</v>
      </c>
      <c r="AW211" s="239">
        <v>0</v>
      </c>
      <c r="AX211" s="239">
        <v>0</v>
      </c>
      <c r="AY211" s="239">
        <v>0</v>
      </c>
      <c r="AZ211" s="239">
        <v>-1676</v>
      </c>
      <c r="BA211" s="239">
        <v>0</v>
      </c>
      <c r="BB211" s="239">
        <v>-1676</v>
      </c>
      <c r="BC211" s="239">
        <v>0</v>
      </c>
      <c r="BD211" s="239">
        <v>0</v>
      </c>
      <c r="BE211" s="239">
        <v>0</v>
      </c>
      <c r="BF211" s="239">
        <v>-4081286</v>
      </c>
      <c r="BG211" s="239">
        <v>-26160</v>
      </c>
      <c r="BH211" s="239">
        <v>-4107446</v>
      </c>
      <c r="BI211" s="239">
        <v>0</v>
      </c>
      <c r="BJ211" s="239">
        <v>0</v>
      </c>
      <c r="BK211" s="239">
        <v>0</v>
      </c>
      <c r="BL211" s="239">
        <v>0</v>
      </c>
      <c r="BM211" s="239">
        <v>0</v>
      </c>
      <c r="BN211" s="239">
        <v>0</v>
      </c>
      <c r="BO211" s="239">
        <v>-741158</v>
      </c>
      <c r="BP211" s="239">
        <v>0</v>
      </c>
      <c r="BQ211" s="239">
        <v>-741158</v>
      </c>
      <c r="BR211" s="239">
        <v>35095</v>
      </c>
      <c r="BS211" s="239">
        <v>0</v>
      </c>
      <c r="BT211" s="239">
        <v>35095</v>
      </c>
      <c r="BU211" s="239">
        <v>-706063</v>
      </c>
      <c r="BV211" s="239">
        <v>0</v>
      </c>
      <c r="BW211" s="239">
        <v>-706063</v>
      </c>
      <c r="BX211" s="239">
        <v>-32551</v>
      </c>
      <c r="BY211" s="239">
        <v>0</v>
      </c>
      <c r="BZ211" s="239">
        <v>-32551</v>
      </c>
      <c r="CA211" s="239">
        <v>14678</v>
      </c>
      <c r="CB211" s="239">
        <v>0</v>
      </c>
      <c r="CC211" s="239">
        <v>14678</v>
      </c>
      <c r="CD211" s="239">
        <v>-307222</v>
      </c>
      <c r="CE211" s="239">
        <v>0</v>
      </c>
      <c r="CF211" s="239">
        <v>-307222</v>
      </c>
      <c r="CG211" s="239">
        <v>-46527</v>
      </c>
      <c r="CH211" s="239">
        <v>0</v>
      </c>
      <c r="CI211" s="239">
        <v>-46527</v>
      </c>
      <c r="CJ211" s="239">
        <v>0</v>
      </c>
      <c r="CK211" s="239">
        <v>0</v>
      </c>
      <c r="CL211" s="239">
        <v>0</v>
      </c>
      <c r="CM211" s="239">
        <v>0</v>
      </c>
      <c r="CN211" s="239">
        <v>0</v>
      </c>
      <c r="CO211" s="239">
        <v>0</v>
      </c>
      <c r="CP211" s="239">
        <v>-4988</v>
      </c>
      <c r="CQ211" s="239">
        <v>0</v>
      </c>
      <c r="CR211" s="239">
        <v>-4988</v>
      </c>
      <c r="CS211" s="239">
        <v>0</v>
      </c>
      <c r="CT211" s="239">
        <v>0</v>
      </c>
      <c r="CU211" s="239">
        <v>0</v>
      </c>
      <c r="CV211" s="239">
        <v>0</v>
      </c>
      <c r="CW211" s="239">
        <v>0</v>
      </c>
      <c r="CX211" s="239">
        <v>0</v>
      </c>
      <c r="CY211" s="239">
        <v>0</v>
      </c>
      <c r="CZ211" s="239">
        <v>0</v>
      </c>
      <c r="DA211" s="239">
        <v>0</v>
      </c>
      <c r="DB211" s="239">
        <v>0</v>
      </c>
      <c r="DC211" s="239">
        <v>0</v>
      </c>
      <c r="DD211" s="239">
        <v>0</v>
      </c>
      <c r="DE211" s="239">
        <v>0</v>
      </c>
      <c r="DF211" s="239">
        <v>0</v>
      </c>
      <c r="DG211" s="239">
        <v>0</v>
      </c>
      <c r="DH211" s="239">
        <v>0</v>
      </c>
      <c r="DI211" s="239">
        <v>0</v>
      </c>
      <c r="DJ211" s="239">
        <v>-376610</v>
      </c>
      <c r="DK211" s="239">
        <v>0</v>
      </c>
      <c r="DL211" s="239">
        <v>-376610</v>
      </c>
      <c r="DM211" s="239">
        <v>0</v>
      </c>
      <c r="DN211" s="239">
        <v>0</v>
      </c>
      <c r="DO211" s="239">
        <v>0</v>
      </c>
      <c r="DP211" s="239">
        <v>0</v>
      </c>
      <c r="DQ211" s="239">
        <v>0</v>
      </c>
      <c r="DR211" s="239">
        <v>0</v>
      </c>
      <c r="DS211" s="239">
        <v>-1330</v>
      </c>
      <c r="DT211" s="239">
        <v>0</v>
      </c>
      <c r="DU211" s="239">
        <v>-1330</v>
      </c>
      <c r="DV211" s="239">
        <v>-594</v>
      </c>
      <c r="DW211" s="239">
        <v>0</v>
      </c>
      <c r="DX211" s="239">
        <v>-594</v>
      </c>
      <c r="DY211" s="239">
        <v>-367224</v>
      </c>
      <c r="DZ211" s="239">
        <v>0</v>
      </c>
      <c r="EA211" s="239">
        <v>-367224</v>
      </c>
      <c r="EB211" s="239">
        <v>-29086</v>
      </c>
      <c r="EC211" s="239">
        <v>0</v>
      </c>
      <c r="ED211" s="239">
        <v>-29086</v>
      </c>
      <c r="EE211" s="239">
        <v>0</v>
      </c>
      <c r="EF211" s="239">
        <v>0</v>
      </c>
      <c r="EG211" s="239">
        <v>0</v>
      </c>
      <c r="EH211" s="239">
        <v>0</v>
      </c>
      <c r="EI211" s="239">
        <v>0</v>
      </c>
      <c r="EJ211" s="239">
        <v>0</v>
      </c>
      <c r="EK211" s="239">
        <v>-8530</v>
      </c>
      <c r="EL211" s="239">
        <v>0</v>
      </c>
      <c r="EM211" s="239">
        <v>-8530</v>
      </c>
      <c r="EN211" s="239">
        <v>-406764</v>
      </c>
      <c r="EO211" s="239">
        <v>0</v>
      </c>
      <c r="EP211" s="239">
        <v>-406764</v>
      </c>
      <c r="EQ211" s="239">
        <v>-2243</v>
      </c>
      <c r="ER211" s="239">
        <v>0</v>
      </c>
      <c r="ES211" s="239">
        <v>-2243</v>
      </c>
      <c r="ET211" s="239">
        <v>-102</v>
      </c>
      <c r="EU211" s="239">
        <v>0</v>
      </c>
      <c r="EV211" s="239">
        <v>-102</v>
      </c>
      <c r="EW211" s="239">
        <v>-2345</v>
      </c>
      <c r="EX211" s="239">
        <v>0</v>
      </c>
      <c r="EY211" s="239">
        <v>-2345</v>
      </c>
      <c r="EZ211" s="239">
        <v>53785983</v>
      </c>
      <c r="FA211" s="239">
        <v>26160</v>
      </c>
      <c r="FB211" s="239">
        <v>53812143</v>
      </c>
      <c r="FC211" s="239">
        <v>-28624</v>
      </c>
      <c r="FD211" s="239">
        <v>0</v>
      </c>
      <c r="FE211" s="239">
        <v>-28624</v>
      </c>
      <c r="FF211" s="239">
        <v>-4081286</v>
      </c>
      <c r="FG211" s="239">
        <v>-26160</v>
      </c>
      <c r="FH211" s="239">
        <v>-4107446</v>
      </c>
      <c r="FI211" s="239">
        <v>-706063</v>
      </c>
      <c r="FJ211" s="239">
        <v>0</v>
      </c>
      <c r="FK211" s="239">
        <v>-706063</v>
      </c>
      <c r="FL211" s="239">
        <v>-376610</v>
      </c>
      <c r="FM211" s="239">
        <v>0</v>
      </c>
      <c r="FN211" s="239">
        <v>-376610</v>
      </c>
      <c r="FO211" s="239">
        <v>-406764</v>
      </c>
      <c r="FP211" s="239">
        <v>0</v>
      </c>
      <c r="FQ211" s="239">
        <v>-406764</v>
      </c>
      <c r="FR211" s="239">
        <v>-2345</v>
      </c>
      <c r="FS211" s="239">
        <v>0</v>
      </c>
      <c r="FT211" s="239">
        <v>-2345</v>
      </c>
      <c r="FU211" s="239">
        <v>-5601692</v>
      </c>
      <c r="FV211" s="239">
        <v>-26160</v>
      </c>
      <c r="FW211" s="239">
        <v>-5627852</v>
      </c>
      <c r="FX211" s="239">
        <v>48184291</v>
      </c>
      <c r="FY211" s="239">
        <v>0</v>
      </c>
      <c r="FZ211" s="239">
        <v>48184291</v>
      </c>
      <c r="GA211" s="214" t="s">
        <v>748</v>
      </c>
    </row>
    <row r="212" spans="2:183" s="214" customFormat="1" x14ac:dyDescent="0.2">
      <c r="B212" s="610" t="s">
        <v>507</v>
      </c>
      <c r="C212" s="610" t="s">
        <v>506</v>
      </c>
      <c r="D212" s="239">
        <v>0</v>
      </c>
      <c r="E212" s="239">
        <v>0</v>
      </c>
      <c r="F212" s="239">
        <v>0</v>
      </c>
      <c r="G212" s="239">
        <v>-1894</v>
      </c>
      <c r="H212" s="239">
        <v>0</v>
      </c>
      <c r="I212" s="239">
        <v>-1894</v>
      </c>
      <c r="J212" s="239">
        <v>0</v>
      </c>
      <c r="K212" s="239">
        <v>0</v>
      </c>
      <c r="L212" s="239">
        <v>0</v>
      </c>
      <c r="M212" s="239">
        <v>48023</v>
      </c>
      <c r="N212" s="239">
        <v>0</v>
      </c>
      <c r="O212" s="239">
        <v>48023</v>
      </c>
      <c r="P212" s="239">
        <v>46129</v>
      </c>
      <c r="Q212" s="239">
        <v>0</v>
      </c>
      <c r="R212" s="239">
        <v>46129</v>
      </c>
      <c r="S212" s="239">
        <v>-1438307</v>
      </c>
      <c r="T212" s="239">
        <v>0</v>
      </c>
      <c r="U212" s="239">
        <v>-1438307</v>
      </c>
      <c r="V212" s="239">
        <v>-1600</v>
      </c>
      <c r="W212" s="239">
        <v>0</v>
      </c>
      <c r="X212" s="239">
        <v>-1600</v>
      </c>
      <c r="Y212" s="239">
        <v>-89951</v>
      </c>
      <c r="Z212" s="239">
        <v>0</v>
      </c>
      <c r="AA212" s="239">
        <v>-89951</v>
      </c>
      <c r="AB212" s="239">
        <v>-64203</v>
      </c>
      <c r="AC212" s="239">
        <v>0</v>
      </c>
      <c r="AD212" s="239">
        <v>-64203</v>
      </c>
      <c r="AE212" s="239">
        <v>0</v>
      </c>
      <c r="AF212" s="239">
        <v>0</v>
      </c>
      <c r="AG212" s="239">
        <v>0</v>
      </c>
      <c r="AH212" s="239">
        <v>975127</v>
      </c>
      <c r="AI212" s="239">
        <v>0</v>
      </c>
      <c r="AJ212" s="239">
        <v>975127</v>
      </c>
      <c r="AK212" s="239">
        <v>-9538</v>
      </c>
      <c r="AL212" s="239">
        <v>0</v>
      </c>
      <c r="AM212" s="239">
        <v>-9538</v>
      </c>
      <c r="AN212" s="239">
        <v>-1203592</v>
      </c>
      <c r="AO212" s="239">
        <v>0</v>
      </c>
      <c r="AP212" s="239">
        <v>-1203592</v>
      </c>
      <c r="AQ212" s="239">
        <v>10327</v>
      </c>
      <c r="AR212" s="239">
        <v>0</v>
      </c>
      <c r="AS212" s="239">
        <v>10327</v>
      </c>
      <c r="AT212" s="239">
        <v>-13666</v>
      </c>
      <c r="AU212" s="239">
        <v>0</v>
      </c>
      <c r="AV212" s="239">
        <v>-13666</v>
      </c>
      <c r="AW212" s="239">
        <v>0</v>
      </c>
      <c r="AX212" s="239">
        <v>0</v>
      </c>
      <c r="AY212" s="239">
        <v>0</v>
      </c>
      <c r="AZ212" s="239">
        <v>-1405</v>
      </c>
      <c r="BA212" s="239">
        <v>0</v>
      </c>
      <c r="BB212" s="239">
        <v>-1405</v>
      </c>
      <c r="BC212" s="239">
        <v>0</v>
      </c>
      <c r="BD212" s="239">
        <v>0</v>
      </c>
      <c r="BE212" s="239">
        <v>0</v>
      </c>
      <c r="BF212" s="239">
        <v>-1771005</v>
      </c>
      <c r="BG212" s="239">
        <v>0</v>
      </c>
      <c r="BH212" s="239">
        <v>-1771005</v>
      </c>
      <c r="BI212" s="239">
        <v>-16571</v>
      </c>
      <c r="BJ212" s="239">
        <v>0</v>
      </c>
      <c r="BK212" s="239">
        <v>-16571</v>
      </c>
      <c r="BL212" s="239">
        <v>0</v>
      </c>
      <c r="BM212" s="239">
        <v>0</v>
      </c>
      <c r="BN212" s="239">
        <v>0</v>
      </c>
      <c r="BO212" s="239">
        <v>-906720</v>
      </c>
      <c r="BP212" s="239">
        <v>0</v>
      </c>
      <c r="BQ212" s="239">
        <v>-906720</v>
      </c>
      <c r="BR212" s="239">
        <v>-183177</v>
      </c>
      <c r="BS212" s="239">
        <v>0</v>
      </c>
      <c r="BT212" s="239">
        <v>-183177</v>
      </c>
      <c r="BU212" s="239">
        <v>-1106468</v>
      </c>
      <c r="BV212" s="239">
        <v>0</v>
      </c>
      <c r="BW212" s="239">
        <v>-1106468</v>
      </c>
      <c r="BX212" s="239">
        <v>-27573</v>
      </c>
      <c r="BY212" s="239">
        <v>0</v>
      </c>
      <c r="BZ212" s="239">
        <v>-27573</v>
      </c>
      <c r="CA212" s="239">
        <v>-2958</v>
      </c>
      <c r="CB212" s="239">
        <v>0</v>
      </c>
      <c r="CC212" s="239">
        <v>-2958</v>
      </c>
      <c r="CD212" s="239">
        <v>-53164</v>
      </c>
      <c r="CE212" s="239">
        <v>0</v>
      </c>
      <c r="CF212" s="239">
        <v>-53164</v>
      </c>
      <c r="CG212" s="239">
        <v>3215</v>
      </c>
      <c r="CH212" s="239">
        <v>0</v>
      </c>
      <c r="CI212" s="239">
        <v>3215</v>
      </c>
      <c r="CJ212" s="239">
        <v>0</v>
      </c>
      <c r="CK212" s="239">
        <v>0</v>
      </c>
      <c r="CL212" s="239">
        <v>0</v>
      </c>
      <c r="CM212" s="239">
        <v>0</v>
      </c>
      <c r="CN212" s="239">
        <v>0</v>
      </c>
      <c r="CO212" s="239">
        <v>0</v>
      </c>
      <c r="CP212" s="239">
        <v>0</v>
      </c>
      <c r="CQ212" s="239">
        <v>0</v>
      </c>
      <c r="CR212" s="239">
        <v>0</v>
      </c>
      <c r="CS212" s="239">
        <v>0</v>
      </c>
      <c r="CT212" s="239">
        <v>0</v>
      </c>
      <c r="CU212" s="239">
        <v>0</v>
      </c>
      <c r="CV212" s="239">
        <v>0</v>
      </c>
      <c r="CW212" s="239">
        <v>0</v>
      </c>
      <c r="CX212" s="239">
        <v>0</v>
      </c>
      <c r="CY212" s="239">
        <v>0</v>
      </c>
      <c r="CZ212" s="239">
        <v>0</v>
      </c>
      <c r="DA212" s="239">
        <v>0</v>
      </c>
      <c r="DB212" s="239">
        <v>0</v>
      </c>
      <c r="DC212" s="239">
        <v>0</v>
      </c>
      <c r="DD212" s="239">
        <v>0</v>
      </c>
      <c r="DE212" s="239">
        <v>0</v>
      </c>
      <c r="DF212" s="239">
        <v>0</v>
      </c>
      <c r="DG212" s="239">
        <v>0</v>
      </c>
      <c r="DH212" s="239">
        <v>0</v>
      </c>
      <c r="DI212" s="239">
        <v>0</v>
      </c>
      <c r="DJ212" s="239">
        <v>-80480</v>
      </c>
      <c r="DK212" s="239">
        <v>0</v>
      </c>
      <c r="DL212" s="239">
        <v>-80480</v>
      </c>
      <c r="DM212" s="239">
        <v>0</v>
      </c>
      <c r="DN212" s="239">
        <v>0</v>
      </c>
      <c r="DO212" s="239">
        <v>0</v>
      </c>
      <c r="DP212" s="239">
        <v>0</v>
      </c>
      <c r="DQ212" s="239">
        <v>0</v>
      </c>
      <c r="DR212" s="239">
        <v>0</v>
      </c>
      <c r="DS212" s="239">
        <v>-24420</v>
      </c>
      <c r="DT212" s="239">
        <v>0</v>
      </c>
      <c r="DU212" s="239">
        <v>-24420</v>
      </c>
      <c r="DV212" s="239">
        <v>-6338</v>
      </c>
      <c r="DW212" s="239">
        <v>0</v>
      </c>
      <c r="DX212" s="239">
        <v>-6338</v>
      </c>
      <c r="DY212" s="239">
        <v>-225061</v>
      </c>
      <c r="DZ212" s="239">
        <v>0</v>
      </c>
      <c r="EA212" s="239">
        <v>-225061</v>
      </c>
      <c r="EB212" s="239">
        <v>-9313</v>
      </c>
      <c r="EC212" s="239">
        <v>0</v>
      </c>
      <c r="ED212" s="239">
        <v>-9313</v>
      </c>
      <c r="EE212" s="239">
        <v>0</v>
      </c>
      <c r="EF212" s="239">
        <v>0</v>
      </c>
      <c r="EG212" s="239">
        <v>0</v>
      </c>
      <c r="EH212" s="239">
        <v>0</v>
      </c>
      <c r="EI212" s="239">
        <v>0</v>
      </c>
      <c r="EJ212" s="239">
        <v>0</v>
      </c>
      <c r="EK212" s="239">
        <v>-11306</v>
      </c>
      <c r="EL212" s="239">
        <v>0</v>
      </c>
      <c r="EM212" s="239">
        <v>-11306</v>
      </c>
      <c r="EN212" s="239">
        <v>-276438</v>
      </c>
      <c r="EO212" s="239">
        <v>0</v>
      </c>
      <c r="EP212" s="239">
        <v>-276438</v>
      </c>
      <c r="EQ212" s="239">
        <v>0</v>
      </c>
      <c r="ER212" s="239">
        <v>0</v>
      </c>
      <c r="ES212" s="239">
        <v>0</v>
      </c>
      <c r="ET212" s="239">
        <v>0</v>
      </c>
      <c r="EU212" s="239">
        <v>0</v>
      </c>
      <c r="EV212" s="239">
        <v>0</v>
      </c>
      <c r="EW212" s="239">
        <v>0</v>
      </c>
      <c r="EX212" s="239">
        <v>0</v>
      </c>
      <c r="EY212" s="239">
        <v>0</v>
      </c>
      <c r="EZ212" s="239">
        <v>40024796</v>
      </c>
      <c r="FA212" s="239">
        <v>0</v>
      </c>
      <c r="FB212" s="239">
        <v>40024796</v>
      </c>
      <c r="FC212" s="239">
        <v>46129</v>
      </c>
      <c r="FD212" s="239">
        <v>0</v>
      </c>
      <c r="FE212" s="239">
        <v>46129</v>
      </c>
      <c r="FF212" s="239">
        <v>-1771005</v>
      </c>
      <c r="FG212" s="239">
        <v>0</v>
      </c>
      <c r="FH212" s="239">
        <v>-1771005</v>
      </c>
      <c r="FI212" s="239">
        <v>-1106468</v>
      </c>
      <c r="FJ212" s="239">
        <v>0</v>
      </c>
      <c r="FK212" s="239">
        <v>-1106468</v>
      </c>
      <c r="FL212" s="239">
        <v>-80480</v>
      </c>
      <c r="FM212" s="239">
        <v>0</v>
      </c>
      <c r="FN212" s="239">
        <v>-80480</v>
      </c>
      <c r="FO212" s="239">
        <v>-276438</v>
      </c>
      <c r="FP212" s="239">
        <v>0</v>
      </c>
      <c r="FQ212" s="239">
        <v>-276438</v>
      </c>
      <c r="FR212" s="239">
        <v>0</v>
      </c>
      <c r="FS212" s="239">
        <v>0</v>
      </c>
      <c r="FT212" s="239">
        <v>0</v>
      </c>
      <c r="FU212" s="239">
        <v>-3188262</v>
      </c>
      <c r="FV212" s="239">
        <v>0</v>
      </c>
      <c r="FW212" s="239">
        <v>-3188262</v>
      </c>
      <c r="FX212" s="239">
        <v>36836534</v>
      </c>
      <c r="FY212" s="239">
        <v>0</v>
      </c>
      <c r="FZ212" s="239">
        <v>36836534</v>
      </c>
      <c r="GA212" s="214" t="s">
        <v>1294</v>
      </c>
    </row>
    <row r="213" spans="2:183" s="214" customFormat="1" x14ac:dyDescent="0.2">
      <c r="B213" s="610" t="s">
        <v>509</v>
      </c>
      <c r="C213" s="610" t="s">
        <v>508</v>
      </c>
      <c r="D213" s="239">
        <v>0</v>
      </c>
      <c r="E213" s="239">
        <v>0</v>
      </c>
      <c r="F213" s="239">
        <v>0</v>
      </c>
      <c r="G213" s="239">
        <v>16227</v>
      </c>
      <c r="H213" s="239">
        <v>0</v>
      </c>
      <c r="I213" s="239">
        <v>16227</v>
      </c>
      <c r="J213" s="239">
        <v>0</v>
      </c>
      <c r="K213" s="239">
        <v>0</v>
      </c>
      <c r="L213" s="239">
        <v>0</v>
      </c>
      <c r="M213" s="239">
        <v>-155874</v>
      </c>
      <c r="N213" s="239">
        <v>0</v>
      </c>
      <c r="O213" s="239">
        <v>-155874</v>
      </c>
      <c r="P213" s="239">
        <v>-139647</v>
      </c>
      <c r="Q213" s="239">
        <v>0</v>
      </c>
      <c r="R213" s="239">
        <v>-139647</v>
      </c>
      <c r="S213" s="239">
        <v>-1997253</v>
      </c>
      <c r="T213" s="239">
        <v>0</v>
      </c>
      <c r="U213" s="239">
        <v>-1997253</v>
      </c>
      <c r="V213" s="239">
        <v>-10983</v>
      </c>
      <c r="W213" s="239">
        <v>0</v>
      </c>
      <c r="X213" s="239">
        <v>-10983</v>
      </c>
      <c r="Y213" s="239">
        <v>-64925</v>
      </c>
      <c r="Z213" s="239">
        <v>0</v>
      </c>
      <c r="AA213" s="239">
        <v>-64925</v>
      </c>
      <c r="AB213" s="239">
        <v>0</v>
      </c>
      <c r="AC213" s="239">
        <v>0</v>
      </c>
      <c r="AD213" s="239">
        <v>0</v>
      </c>
      <c r="AE213" s="239">
        <v>0</v>
      </c>
      <c r="AF213" s="239">
        <v>0</v>
      </c>
      <c r="AG213" s="239">
        <v>0</v>
      </c>
      <c r="AH213" s="239">
        <v>1359943</v>
      </c>
      <c r="AI213" s="239">
        <v>0</v>
      </c>
      <c r="AJ213" s="239">
        <v>1359943</v>
      </c>
      <c r="AK213" s="239">
        <v>6494</v>
      </c>
      <c r="AL213" s="239">
        <v>0</v>
      </c>
      <c r="AM213" s="239">
        <v>6494</v>
      </c>
      <c r="AN213" s="239">
        <v>-3297761</v>
      </c>
      <c r="AO213" s="239">
        <v>0</v>
      </c>
      <c r="AP213" s="239">
        <v>-3297761</v>
      </c>
      <c r="AQ213" s="239">
        <v>-74</v>
      </c>
      <c r="AR213" s="239">
        <v>0</v>
      </c>
      <c r="AS213" s="239">
        <v>-74</v>
      </c>
      <c r="AT213" s="239">
        <v>-65647</v>
      </c>
      <c r="AU213" s="239">
        <v>0</v>
      </c>
      <c r="AV213" s="239">
        <v>-65647</v>
      </c>
      <c r="AW213" s="239">
        <v>-1439</v>
      </c>
      <c r="AX213" s="239">
        <v>0</v>
      </c>
      <c r="AY213" s="239">
        <v>-1439</v>
      </c>
      <c r="AZ213" s="239">
        <v>0</v>
      </c>
      <c r="BA213" s="239">
        <v>0</v>
      </c>
      <c r="BB213" s="239">
        <v>0</v>
      </c>
      <c r="BC213" s="239">
        <v>0</v>
      </c>
      <c r="BD213" s="239">
        <v>0</v>
      </c>
      <c r="BE213" s="239">
        <v>0</v>
      </c>
      <c r="BF213" s="239">
        <v>-4060662</v>
      </c>
      <c r="BG213" s="239">
        <v>0</v>
      </c>
      <c r="BH213" s="239">
        <v>-4060662</v>
      </c>
      <c r="BI213" s="239">
        <v>-3505</v>
      </c>
      <c r="BJ213" s="239">
        <v>0</v>
      </c>
      <c r="BK213" s="239">
        <v>-3505</v>
      </c>
      <c r="BL213" s="239">
        <v>-27013</v>
      </c>
      <c r="BM213" s="239">
        <v>0</v>
      </c>
      <c r="BN213" s="239">
        <v>-27013</v>
      </c>
      <c r="BO213" s="239">
        <v>-1790407</v>
      </c>
      <c r="BP213" s="239">
        <v>0</v>
      </c>
      <c r="BQ213" s="239">
        <v>-1790407</v>
      </c>
      <c r="BR213" s="239">
        <v>-6400</v>
      </c>
      <c r="BS213" s="239">
        <v>0</v>
      </c>
      <c r="BT213" s="239">
        <v>-6400</v>
      </c>
      <c r="BU213" s="239">
        <v>-1827325</v>
      </c>
      <c r="BV213" s="239">
        <v>0</v>
      </c>
      <c r="BW213" s="239">
        <v>-1827325</v>
      </c>
      <c r="BX213" s="239">
        <v>-59890</v>
      </c>
      <c r="BY213" s="239">
        <v>0</v>
      </c>
      <c r="BZ213" s="239">
        <v>-59890</v>
      </c>
      <c r="CA213" s="239">
        <v>-2661</v>
      </c>
      <c r="CB213" s="239">
        <v>0</v>
      </c>
      <c r="CC213" s="239">
        <v>-2661</v>
      </c>
      <c r="CD213" s="239">
        <v>-26106</v>
      </c>
      <c r="CE213" s="239">
        <v>0</v>
      </c>
      <c r="CF213" s="239">
        <v>-26106</v>
      </c>
      <c r="CG213" s="239">
        <v>-3244</v>
      </c>
      <c r="CH213" s="239">
        <v>0</v>
      </c>
      <c r="CI213" s="239">
        <v>-3244</v>
      </c>
      <c r="CJ213" s="239">
        <v>-2440</v>
      </c>
      <c r="CK213" s="239">
        <v>0</v>
      </c>
      <c r="CL213" s="239">
        <v>-2440</v>
      </c>
      <c r="CM213" s="239">
        <v>0</v>
      </c>
      <c r="CN213" s="239">
        <v>0</v>
      </c>
      <c r="CO213" s="239">
        <v>0</v>
      </c>
      <c r="CP213" s="239">
        <v>-2613</v>
      </c>
      <c r="CQ213" s="239">
        <v>0</v>
      </c>
      <c r="CR213" s="239">
        <v>-2613</v>
      </c>
      <c r="CS213" s="239">
        <v>0</v>
      </c>
      <c r="CT213" s="239">
        <v>0</v>
      </c>
      <c r="CU213" s="239">
        <v>0</v>
      </c>
      <c r="CV213" s="239">
        <v>0</v>
      </c>
      <c r="CW213" s="239">
        <v>0</v>
      </c>
      <c r="CX213" s="239">
        <v>0</v>
      </c>
      <c r="CY213" s="239">
        <v>0</v>
      </c>
      <c r="CZ213" s="239">
        <v>0</v>
      </c>
      <c r="DA213" s="239">
        <v>0</v>
      </c>
      <c r="DB213" s="239">
        <v>0</v>
      </c>
      <c r="DC213" s="239">
        <v>0</v>
      </c>
      <c r="DD213" s="239">
        <v>0</v>
      </c>
      <c r="DE213" s="239">
        <v>0</v>
      </c>
      <c r="DF213" s="239">
        <v>0</v>
      </c>
      <c r="DG213" s="239">
        <v>0</v>
      </c>
      <c r="DH213" s="239">
        <v>0</v>
      </c>
      <c r="DI213" s="239">
        <v>0</v>
      </c>
      <c r="DJ213" s="239">
        <v>-96954</v>
      </c>
      <c r="DK213" s="239">
        <v>0</v>
      </c>
      <c r="DL213" s="239">
        <v>-96954</v>
      </c>
      <c r="DM213" s="239">
        <v>-148105</v>
      </c>
      <c r="DN213" s="239">
        <v>0</v>
      </c>
      <c r="DO213" s="239">
        <v>-148105</v>
      </c>
      <c r="DP213" s="239">
        <v>0</v>
      </c>
      <c r="DQ213" s="239">
        <v>0</v>
      </c>
      <c r="DR213" s="239">
        <v>0</v>
      </c>
      <c r="DS213" s="239">
        <v>-2709</v>
      </c>
      <c r="DT213" s="239">
        <v>0</v>
      </c>
      <c r="DU213" s="239">
        <v>-2709</v>
      </c>
      <c r="DV213" s="239">
        <v>0</v>
      </c>
      <c r="DW213" s="239">
        <v>0</v>
      </c>
      <c r="DX213" s="239">
        <v>0</v>
      </c>
      <c r="DY213" s="239">
        <v>-746138</v>
      </c>
      <c r="DZ213" s="239">
        <v>0</v>
      </c>
      <c r="EA213" s="239">
        <v>-746138</v>
      </c>
      <c r="EB213" s="239">
        <v>-17703</v>
      </c>
      <c r="EC213" s="239">
        <v>0</v>
      </c>
      <c r="ED213" s="239">
        <v>-17703</v>
      </c>
      <c r="EE213" s="239">
        <v>0</v>
      </c>
      <c r="EF213" s="239">
        <v>0</v>
      </c>
      <c r="EG213" s="239">
        <v>0</v>
      </c>
      <c r="EH213" s="239">
        <v>0</v>
      </c>
      <c r="EI213" s="239">
        <v>0</v>
      </c>
      <c r="EJ213" s="239">
        <v>0</v>
      </c>
      <c r="EK213" s="239">
        <v>-11157</v>
      </c>
      <c r="EL213" s="239">
        <v>0</v>
      </c>
      <c r="EM213" s="239">
        <v>-11157</v>
      </c>
      <c r="EN213" s="239">
        <v>-925812</v>
      </c>
      <c r="EO213" s="239">
        <v>0</v>
      </c>
      <c r="EP213" s="239">
        <v>-925812</v>
      </c>
      <c r="EQ213" s="239">
        <v>0</v>
      </c>
      <c r="ER213" s="239">
        <v>0</v>
      </c>
      <c r="ES213" s="239">
        <v>0</v>
      </c>
      <c r="ET213" s="239">
        <v>0</v>
      </c>
      <c r="EU213" s="239">
        <v>0</v>
      </c>
      <c r="EV213" s="239">
        <v>0</v>
      </c>
      <c r="EW213" s="239">
        <v>0</v>
      </c>
      <c r="EX213" s="239">
        <v>0</v>
      </c>
      <c r="EY213" s="239">
        <v>0</v>
      </c>
      <c r="EZ213" s="239">
        <v>56587362</v>
      </c>
      <c r="FA213" s="239">
        <v>0</v>
      </c>
      <c r="FB213" s="239">
        <v>56587362</v>
      </c>
      <c r="FC213" s="239">
        <v>-139647</v>
      </c>
      <c r="FD213" s="239">
        <v>0</v>
      </c>
      <c r="FE213" s="239">
        <v>-139647</v>
      </c>
      <c r="FF213" s="239">
        <v>-4060662</v>
      </c>
      <c r="FG213" s="239">
        <v>0</v>
      </c>
      <c r="FH213" s="239">
        <v>-4060662</v>
      </c>
      <c r="FI213" s="239">
        <v>-1827325</v>
      </c>
      <c r="FJ213" s="239">
        <v>0</v>
      </c>
      <c r="FK213" s="239">
        <v>-1827325</v>
      </c>
      <c r="FL213" s="239">
        <v>-96954</v>
      </c>
      <c r="FM213" s="239">
        <v>0</v>
      </c>
      <c r="FN213" s="239">
        <v>-96954</v>
      </c>
      <c r="FO213" s="239">
        <v>-925812</v>
      </c>
      <c r="FP213" s="239">
        <v>0</v>
      </c>
      <c r="FQ213" s="239">
        <v>-925812</v>
      </c>
      <c r="FR213" s="239">
        <v>0</v>
      </c>
      <c r="FS213" s="239">
        <v>0</v>
      </c>
      <c r="FT213" s="239">
        <v>0</v>
      </c>
      <c r="FU213" s="239">
        <v>-7050400</v>
      </c>
      <c r="FV213" s="239">
        <v>0</v>
      </c>
      <c r="FW213" s="239">
        <v>-7050400</v>
      </c>
      <c r="FX213" s="239">
        <v>49536962</v>
      </c>
      <c r="FY213" s="239">
        <v>0</v>
      </c>
      <c r="FZ213" s="239">
        <v>49536962</v>
      </c>
      <c r="GA213" s="214" t="s">
        <v>1294</v>
      </c>
    </row>
    <row r="214" spans="2:183" s="214" customFormat="1" x14ac:dyDescent="0.2">
      <c r="B214" s="610" t="s">
        <v>511</v>
      </c>
      <c r="C214" s="610" t="s">
        <v>510</v>
      </c>
      <c r="D214" s="239">
        <v>0</v>
      </c>
      <c r="E214" s="239">
        <v>0</v>
      </c>
      <c r="F214" s="239">
        <v>0</v>
      </c>
      <c r="G214" s="239">
        <v>16027</v>
      </c>
      <c r="H214" s="239">
        <v>0</v>
      </c>
      <c r="I214" s="239">
        <v>16027</v>
      </c>
      <c r="J214" s="239">
        <v>0</v>
      </c>
      <c r="K214" s="239">
        <v>0</v>
      </c>
      <c r="L214" s="239">
        <v>0</v>
      </c>
      <c r="M214" s="239">
        <v>-2946</v>
      </c>
      <c r="N214" s="239">
        <v>0</v>
      </c>
      <c r="O214" s="239">
        <v>-2946</v>
      </c>
      <c r="P214" s="239">
        <v>13081</v>
      </c>
      <c r="Q214" s="239">
        <v>0</v>
      </c>
      <c r="R214" s="239">
        <v>13081</v>
      </c>
      <c r="S214" s="239">
        <v>-1986480</v>
      </c>
      <c r="T214" s="239">
        <v>0</v>
      </c>
      <c r="U214" s="239">
        <v>-1986480</v>
      </c>
      <c r="V214" s="239">
        <v>-9298</v>
      </c>
      <c r="W214" s="239">
        <v>0</v>
      </c>
      <c r="X214" s="239">
        <v>-9298</v>
      </c>
      <c r="Y214" s="239">
        <v>-90069</v>
      </c>
      <c r="Z214" s="239">
        <v>0</v>
      </c>
      <c r="AA214" s="239">
        <v>-90069</v>
      </c>
      <c r="AB214" s="239">
        <v>-49720</v>
      </c>
      <c r="AC214" s="239">
        <v>0</v>
      </c>
      <c r="AD214" s="239">
        <v>-49720</v>
      </c>
      <c r="AE214" s="239">
        <v>-4428</v>
      </c>
      <c r="AF214" s="239">
        <v>0</v>
      </c>
      <c r="AG214" s="239">
        <v>-4428</v>
      </c>
      <c r="AH214" s="239">
        <v>314212</v>
      </c>
      <c r="AI214" s="239">
        <v>49790</v>
      </c>
      <c r="AJ214" s="239">
        <v>364002</v>
      </c>
      <c r="AK214" s="239">
        <v>7973</v>
      </c>
      <c r="AL214" s="239">
        <v>0</v>
      </c>
      <c r="AM214" s="239">
        <v>7973</v>
      </c>
      <c r="AN214" s="239">
        <v>-946068</v>
      </c>
      <c r="AO214" s="239">
        <v>0</v>
      </c>
      <c r="AP214" s="239">
        <v>-946068</v>
      </c>
      <c r="AQ214" s="239">
        <v>-152090</v>
      </c>
      <c r="AR214" s="239">
        <v>0</v>
      </c>
      <c r="AS214" s="239">
        <v>-152090</v>
      </c>
      <c r="AT214" s="239">
        <v>-41895</v>
      </c>
      <c r="AU214" s="239">
        <v>0</v>
      </c>
      <c r="AV214" s="239">
        <v>-41895</v>
      </c>
      <c r="AW214" s="239">
        <v>-36889</v>
      </c>
      <c r="AX214" s="239">
        <v>0</v>
      </c>
      <c r="AY214" s="239">
        <v>-36889</v>
      </c>
      <c r="AZ214" s="239">
        <v>-28662</v>
      </c>
      <c r="BA214" s="239">
        <v>0</v>
      </c>
      <c r="BB214" s="239">
        <v>-28662</v>
      </c>
      <c r="BC214" s="239">
        <v>7</v>
      </c>
      <c r="BD214" s="239">
        <v>0</v>
      </c>
      <c r="BE214" s="239">
        <v>7</v>
      </c>
      <c r="BF214" s="239">
        <v>-2959961</v>
      </c>
      <c r="BG214" s="239">
        <v>49790</v>
      </c>
      <c r="BH214" s="239">
        <v>-2910171</v>
      </c>
      <c r="BI214" s="239">
        <v>-4199</v>
      </c>
      <c r="BJ214" s="239">
        <v>0</v>
      </c>
      <c r="BK214" s="239">
        <v>-4199</v>
      </c>
      <c r="BL214" s="239">
        <v>0</v>
      </c>
      <c r="BM214" s="239">
        <v>0</v>
      </c>
      <c r="BN214" s="239">
        <v>0</v>
      </c>
      <c r="BO214" s="239">
        <v>-335296</v>
      </c>
      <c r="BP214" s="239">
        <v>0</v>
      </c>
      <c r="BQ214" s="239">
        <v>-335296</v>
      </c>
      <c r="BR214" s="239">
        <v>-19178</v>
      </c>
      <c r="BS214" s="239">
        <v>0</v>
      </c>
      <c r="BT214" s="239">
        <v>-19178</v>
      </c>
      <c r="BU214" s="239">
        <v>-358673</v>
      </c>
      <c r="BV214" s="239">
        <v>0</v>
      </c>
      <c r="BW214" s="239">
        <v>-358673</v>
      </c>
      <c r="BX214" s="239">
        <v>-31496</v>
      </c>
      <c r="BY214" s="239">
        <v>0</v>
      </c>
      <c r="BZ214" s="239">
        <v>-31496</v>
      </c>
      <c r="CA214" s="239">
        <v>-2398</v>
      </c>
      <c r="CB214" s="239">
        <v>0</v>
      </c>
      <c r="CC214" s="239">
        <v>-2398</v>
      </c>
      <c r="CD214" s="239">
        <v>-10336</v>
      </c>
      <c r="CE214" s="239">
        <v>0</v>
      </c>
      <c r="CF214" s="239">
        <v>-10336</v>
      </c>
      <c r="CG214" s="239">
        <v>0</v>
      </c>
      <c r="CH214" s="239">
        <v>0</v>
      </c>
      <c r="CI214" s="239">
        <v>0</v>
      </c>
      <c r="CJ214" s="239">
        <v>0</v>
      </c>
      <c r="CK214" s="239">
        <v>0</v>
      </c>
      <c r="CL214" s="239">
        <v>0</v>
      </c>
      <c r="CM214" s="239">
        <v>0</v>
      </c>
      <c r="CN214" s="239">
        <v>0</v>
      </c>
      <c r="CO214" s="239">
        <v>0</v>
      </c>
      <c r="CP214" s="239">
        <v>-5589</v>
      </c>
      <c r="CQ214" s="239">
        <v>0</v>
      </c>
      <c r="CR214" s="239">
        <v>-5589</v>
      </c>
      <c r="CS214" s="239">
        <v>7</v>
      </c>
      <c r="CT214" s="239">
        <v>0</v>
      </c>
      <c r="CU214" s="239">
        <v>7</v>
      </c>
      <c r="CV214" s="239">
        <v>-1620</v>
      </c>
      <c r="CW214" s="239">
        <v>0</v>
      </c>
      <c r="CX214" s="239">
        <v>-1620</v>
      </c>
      <c r="CY214" s="239">
        <v>0</v>
      </c>
      <c r="CZ214" s="239">
        <v>0</v>
      </c>
      <c r="DA214" s="239">
        <v>0</v>
      </c>
      <c r="DB214" s="239">
        <v>0</v>
      </c>
      <c r="DC214" s="239">
        <v>0</v>
      </c>
      <c r="DD214" s="239">
        <v>0</v>
      </c>
      <c r="DE214" s="239">
        <v>0</v>
      </c>
      <c r="DF214" s="239">
        <v>0</v>
      </c>
      <c r="DG214" s="239">
        <v>0</v>
      </c>
      <c r="DH214" s="239">
        <v>0</v>
      </c>
      <c r="DI214" s="239">
        <v>0</v>
      </c>
      <c r="DJ214" s="239">
        <v>-51432</v>
      </c>
      <c r="DK214" s="239">
        <v>0</v>
      </c>
      <c r="DL214" s="239">
        <v>-51432</v>
      </c>
      <c r="DM214" s="239">
        <v>-4884</v>
      </c>
      <c r="DN214" s="239">
        <v>0</v>
      </c>
      <c r="DO214" s="239">
        <v>-4884</v>
      </c>
      <c r="DP214" s="239">
        <v>0</v>
      </c>
      <c r="DQ214" s="239">
        <v>0</v>
      </c>
      <c r="DR214" s="239">
        <v>0</v>
      </c>
      <c r="DS214" s="239">
        <v>-27890</v>
      </c>
      <c r="DT214" s="239">
        <v>0</v>
      </c>
      <c r="DU214" s="239">
        <v>-27890</v>
      </c>
      <c r="DV214" s="239">
        <v>-1600</v>
      </c>
      <c r="DW214" s="239">
        <v>0</v>
      </c>
      <c r="DX214" s="239">
        <v>-1600</v>
      </c>
      <c r="DY214" s="239">
        <v>-500223</v>
      </c>
      <c r="DZ214" s="239">
        <v>0</v>
      </c>
      <c r="EA214" s="239">
        <v>-500223</v>
      </c>
      <c r="EB214" s="239">
        <v>-30476</v>
      </c>
      <c r="EC214" s="239">
        <v>0</v>
      </c>
      <c r="ED214" s="239">
        <v>-30476</v>
      </c>
      <c r="EE214" s="239">
        <v>-55061</v>
      </c>
      <c r="EF214" s="239">
        <v>0</v>
      </c>
      <c r="EG214" s="239">
        <v>-55061</v>
      </c>
      <c r="EH214" s="239">
        <v>0</v>
      </c>
      <c r="EI214" s="239">
        <v>0</v>
      </c>
      <c r="EJ214" s="239">
        <v>0</v>
      </c>
      <c r="EK214" s="239">
        <v>-19686</v>
      </c>
      <c r="EL214" s="239">
        <v>0</v>
      </c>
      <c r="EM214" s="239">
        <v>-19686</v>
      </c>
      <c r="EN214" s="239">
        <v>-639820</v>
      </c>
      <c r="EO214" s="239">
        <v>0</v>
      </c>
      <c r="EP214" s="239">
        <v>-639820</v>
      </c>
      <c r="EQ214" s="239">
        <v>0</v>
      </c>
      <c r="ER214" s="239">
        <v>0</v>
      </c>
      <c r="ES214" s="239">
        <v>0</v>
      </c>
      <c r="ET214" s="239">
        <v>0</v>
      </c>
      <c r="EU214" s="239">
        <v>0</v>
      </c>
      <c r="EV214" s="239">
        <v>0</v>
      </c>
      <c r="EW214" s="239">
        <v>0</v>
      </c>
      <c r="EX214" s="239">
        <v>0</v>
      </c>
      <c r="EY214" s="239">
        <v>0</v>
      </c>
      <c r="EZ214" s="239">
        <v>16786078</v>
      </c>
      <c r="FA214" s="239">
        <v>1838400</v>
      </c>
      <c r="FB214" s="239">
        <v>18624478</v>
      </c>
      <c r="FC214" s="239">
        <v>13081</v>
      </c>
      <c r="FD214" s="239">
        <v>0</v>
      </c>
      <c r="FE214" s="239">
        <v>13081</v>
      </c>
      <c r="FF214" s="239">
        <v>-2959961</v>
      </c>
      <c r="FG214" s="239">
        <v>49790</v>
      </c>
      <c r="FH214" s="239">
        <v>-2910171</v>
      </c>
      <c r="FI214" s="239">
        <v>-358673</v>
      </c>
      <c r="FJ214" s="239">
        <v>0</v>
      </c>
      <c r="FK214" s="239">
        <v>-358673</v>
      </c>
      <c r="FL214" s="239">
        <v>-51432</v>
      </c>
      <c r="FM214" s="239">
        <v>0</v>
      </c>
      <c r="FN214" s="239">
        <v>-51432</v>
      </c>
      <c r="FO214" s="239">
        <v>-639820</v>
      </c>
      <c r="FP214" s="239">
        <v>0</v>
      </c>
      <c r="FQ214" s="239">
        <v>-639820</v>
      </c>
      <c r="FR214" s="239">
        <v>0</v>
      </c>
      <c r="FS214" s="239">
        <v>0</v>
      </c>
      <c r="FT214" s="239">
        <v>0</v>
      </c>
      <c r="FU214" s="239">
        <v>-3996805</v>
      </c>
      <c r="FV214" s="239">
        <v>49790</v>
      </c>
      <c r="FW214" s="239">
        <v>-3947015</v>
      </c>
      <c r="FX214" s="239">
        <v>12789273</v>
      </c>
      <c r="FY214" s="239">
        <v>1888190</v>
      </c>
      <c r="FZ214" s="239">
        <v>14677463</v>
      </c>
      <c r="GA214" s="214" t="s">
        <v>1294</v>
      </c>
    </row>
    <row r="215" spans="2:183" s="214" customFormat="1" x14ac:dyDescent="0.2">
      <c r="B215" s="610" t="s">
        <v>513</v>
      </c>
      <c r="C215" s="610" t="s">
        <v>512</v>
      </c>
      <c r="D215" s="239">
        <v>0</v>
      </c>
      <c r="E215" s="239">
        <v>0</v>
      </c>
      <c r="F215" s="239">
        <v>0</v>
      </c>
      <c r="G215" s="239">
        <v>0</v>
      </c>
      <c r="H215" s="239">
        <v>0</v>
      </c>
      <c r="I215" s="239">
        <v>0</v>
      </c>
      <c r="J215" s="239">
        <v>0</v>
      </c>
      <c r="K215" s="239">
        <v>0</v>
      </c>
      <c r="L215" s="239">
        <v>0</v>
      </c>
      <c r="M215" s="239">
        <v>0</v>
      </c>
      <c r="N215" s="239">
        <v>0</v>
      </c>
      <c r="O215" s="239">
        <v>0</v>
      </c>
      <c r="P215" s="239">
        <v>0</v>
      </c>
      <c r="Q215" s="239">
        <v>0</v>
      </c>
      <c r="R215" s="239">
        <v>0</v>
      </c>
      <c r="S215" s="239">
        <v>-2317902</v>
      </c>
      <c r="T215" s="239">
        <v>0</v>
      </c>
      <c r="U215" s="239">
        <v>-2317902</v>
      </c>
      <c r="V215" s="239">
        <v>0</v>
      </c>
      <c r="W215" s="239">
        <v>0</v>
      </c>
      <c r="X215" s="239">
        <v>0</v>
      </c>
      <c r="Y215" s="239">
        <v>-103074</v>
      </c>
      <c r="Z215" s="239">
        <v>0</v>
      </c>
      <c r="AA215" s="239">
        <v>-103074</v>
      </c>
      <c r="AB215" s="239">
        <v>0</v>
      </c>
      <c r="AC215" s="239">
        <v>0</v>
      </c>
      <c r="AD215" s="239">
        <v>0</v>
      </c>
      <c r="AE215" s="239">
        <v>0</v>
      </c>
      <c r="AF215" s="239">
        <v>0</v>
      </c>
      <c r="AG215" s="239">
        <v>0</v>
      </c>
      <c r="AH215" s="239">
        <v>2146316</v>
      </c>
      <c r="AI215" s="239">
        <v>0</v>
      </c>
      <c r="AJ215" s="239">
        <v>2146316</v>
      </c>
      <c r="AK215" s="239">
        <v>-25320</v>
      </c>
      <c r="AL215" s="239">
        <v>0</v>
      </c>
      <c r="AM215" s="239">
        <v>-25320</v>
      </c>
      <c r="AN215" s="239">
        <v>-8784517</v>
      </c>
      <c r="AO215" s="239">
        <v>0</v>
      </c>
      <c r="AP215" s="239">
        <v>-8784517</v>
      </c>
      <c r="AQ215" s="239">
        <v>-152903</v>
      </c>
      <c r="AR215" s="239">
        <v>0</v>
      </c>
      <c r="AS215" s="239">
        <v>-152903</v>
      </c>
      <c r="AT215" s="239">
        <v>-52854</v>
      </c>
      <c r="AU215" s="239">
        <v>0</v>
      </c>
      <c r="AV215" s="239">
        <v>-52854</v>
      </c>
      <c r="AW215" s="239">
        <v>0</v>
      </c>
      <c r="AX215" s="239">
        <v>0</v>
      </c>
      <c r="AY215" s="239">
        <v>0</v>
      </c>
      <c r="AZ215" s="239">
        <v>0</v>
      </c>
      <c r="BA215" s="239">
        <v>0</v>
      </c>
      <c r="BB215" s="239">
        <v>0</v>
      </c>
      <c r="BC215" s="239">
        <v>0</v>
      </c>
      <c r="BD215" s="239">
        <v>0</v>
      </c>
      <c r="BE215" s="239">
        <v>0</v>
      </c>
      <c r="BF215" s="239">
        <v>-9290254</v>
      </c>
      <c r="BG215" s="239">
        <v>0</v>
      </c>
      <c r="BH215" s="239">
        <v>-9290254</v>
      </c>
      <c r="BI215" s="239">
        <v>0</v>
      </c>
      <c r="BJ215" s="239">
        <v>0</v>
      </c>
      <c r="BK215" s="239">
        <v>0</v>
      </c>
      <c r="BL215" s="239">
        <v>0</v>
      </c>
      <c r="BM215" s="239">
        <v>0</v>
      </c>
      <c r="BN215" s="239">
        <v>0</v>
      </c>
      <c r="BO215" s="239">
        <v>-2449783</v>
      </c>
      <c r="BP215" s="239">
        <v>0</v>
      </c>
      <c r="BQ215" s="239">
        <v>-2449783</v>
      </c>
      <c r="BR215" s="239">
        <v>117047</v>
      </c>
      <c r="BS215" s="239">
        <v>0</v>
      </c>
      <c r="BT215" s="239">
        <v>117047</v>
      </c>
      <c r="BU215" s="239">
        <v>-2332736</v>
      </c>
      <c r="BV215" s="239">
        <v>0</v>
      </c>
      <c r="BW215" s="239">
        <v>-2332736</v>
      </c>
      <c r="BX215" s="239">
        <v>-246960</v>
      </c>
      <c r="BY215" s="239">
        <v>0</v>
      </c>
      <c r="BZ215" s="239">
        <v>-246960</v>
      </c>
      <c r="CA215" s="239">
        <v>1126</v>
      </c>
      <c r="CB215" s="239">
        <v>0</v>
      </c>
      <c r="CC215" s="239">
        <v>1126</v>
      </c>
      <c r="CD215" s="239">
        <v>-157588</v>
      </c>
      <c r="CE215" s="239">
        <v>0</v>
      </c>
      <c r="CF215" s="239">
        <v>-157588</v>
      </c>
      <c r="CG215" s="239">
        <v>-2726</v>
      </c>
      <c r="CH215" s="239">
        <v>0</v>
      </c>
      <c r="CI215" s="239">
        <v>-2726</v>
      </c>
      <c r="CJ215" s="239">
        <v>-4018</v>
      </c>
      <c r="CK215" s="239">
        <v>0</v>
      </c>
      <c r="CL215" s="239">
        <v>-4018</v>
      </c>
      <c r="CM215" s="239">
        <v>0</v>
      </c>
      <c r="CN215" s="239">
        <v>0</v>
      </c>
      <c r="CO215" s="239">
        <v>0</v>
      </c>
      <c r="CP215" s="239">
        <v>0</v>
      </c>
      <c r="CQ215" s="239">
        <v>0</v>
      </c>
      <c r="CR215" s="239">
        <v>0</v>
      </c>
      <c r="CS215" s="239">
        <v>0</v>
      </c>
      <c r="CT215" s="239">
        <v>0</v>
      </c>
      <c r="CU215" s="239">
        <v>0</v>
      </c>
      <c r="CV215" s="239">
        <v>0</v>
      </c>
      <c r="CW215" s="239">
        <v>0</v>
      </c>
      <c r="CX215" s="239">
        <v>0</v>
      </c>
      <c r="CY215" s="239">
        <v>0</v>
      </c>
      <c r="CZ215" s="239">
        <v>0</v>
      </c>
      <c r="DA215" s="239">
        <v>0</v>
      </c>
      <c r="DB215" s="239">
        <v>0</v>
      </c>
      <c r="DC215" s="239">
        <v>0</v>
      </c>
      <c r="DD215" s="239">
        <v>0</v>
      </c>
      <c r="DE215" s="239">
        <v>0</v>
      </c>
      <c r="DF215" s="239">
        <v>0</v>
      </c>
      <c r="DG215" s="239">
        <v>0</v>
      </c>
      <c r="DH215" s="239">
        <v>0</v>
      </c>
      <c r="DI215" s="239">
        <v>0</v>
      </c>
      <c r="DJ215" s="239">
        <v>-410166</v>
      </c>
      <c r="DK215" s="239">
        <v>0</v>
      </c>
      <c r="DL215" s="239">
        <v>-410166</v>
      </c>
      <c r="DM215" s="239">
        <v>0</v>
      </c>
      <c r="DN215" s="239">
        <v>0</v>
      </c>
      <c r="DO215" s="239">
        <v>0</v>
      </c>
      <c r="DP215" s="239">
        <v>0</v>
      </c>
      <c r="DQ215" s="239">
        <v>0</v>
      </c>
      <c r="DR215" s="239">
        <v>0</v>
      </c>
      <c r="DS215" s="239">
        <v>-61563</v>
      </c>
      <c r="DT215" s="239">
        <v>0</v>
      </c>
      <c r="DU215" s="239">
        <v>-61563</v>
      </c>
      <c r="DV215" s="239">
        <v>-4540</v>
      </c>
      <c r="DW215" s="239">
        <v>0</v>
      </c>
      <c r="DX215" s="239">
        <v>-4540</v>
      </c>
      <c r="DY215" s="239">
        <v>-1710632</v>
      </c>
      <c r="DZ215" s="239">
        <v>0</v>
      </c>
      <c r="EA215" s="239">
        <v>-1710632</v>
      </c>
      <c r="EB215" s="239">
        <v>-97043</v>
      </c>
      <c r="EC215" s="239">
        <v>0</v>
      </c>
      <c r="ED215" s="239">
        <v>-97043</v>
      </c>
      <c r="EE215" s="239">
        <v>0</v>
      </c>
      <c r="EF215" s="239">
        <v>0</v>
      </c>
      <c r="EG215" s="239">
        <v>0</v>
      </c>
      <c r="EH215" s="239">
        <v>0</v>
      </c>
      <c r="EI215" s="239">
        <v>0</v>
      </c>
      <c r="EJ215" s="239">
        <v>0</v>
      </c>
      <c r="EK215" s="239">
        <v>-14187</v>
      </c>
      <c r="EL215" s="239">
        <v>0</v>
      </c>
      <c r="EM215" s="239">
        <v>-14187</v>
      </c>
      <c r="EN215" s="239">
        <v>-1887965</v>
      </c>
      <c r="EO215" s="239">
        <v>0</v>
      </c>
      <c r="EP215" s="239">
        <v>-1887965</v>
      </c>
      <c r="EQ215" s="239">
        <v>0</v>
      </c>
      <c r="ER215" s="239">
        <v>0</v>
      </c>
      <c r="ES215" s="239">
        <v>0</v>
      </c>
      <c r="ET215" s="239">
        <v>0</v>
      </c>
      <c r="EU215" s="239">
        <v>0</v>
      </c>
      <c r="EV215" s="239">
        <v>0</v>
      </c>
      <c r="EW215" s="239">
        <v>0</v>
      </c>
      <c r="EX215" s="239">
        <v>0</v>
      </c>
      <c r="EY215" s="239">
        <v>0</v>
      </c>
      <c r="EZ215" s="239">
        <v>96466417</v>
      </c>
      <c r="FA215" s="239">
        <v>0</v>
      </c>
      <c r="FB215" s="239">
        <v>96466417</v>
      </c>
      <c r="FC215" s="239">
        <v>0</v>
      </c>
      <c r="FD215" s="239">
        <v>0</v>
      </c>
      <c r="FE215" s="239">
        <v>0</v>
      </c>
      <c r="FF215" s="239">
        <v>-9290254</v>
      </c>
      <c r="FG215" s="239">
        <v>0</v>
      </c>
      <c r="FH215" s="239">
        <v>-9290254</v>
      </c>
      <c r="FI215" s="239">
        <v>-2332736</v>
      </c>
      <c r="FJ215" s="239">
        <v>0</v>
      </c>
      <c r="FK215" s="239">
        <v>-2332736</v>
      </c>
      <c r="FL215" s="239">
        <v>-410166</v>
      </c>
      <c r="FM215" s="239">
        <v>0</v>
      </c>
      <c r="FN215" s="239">
        <v>-410166</v>
      </c>
      <c r="FO215" s="239">
        <v>-1887965</v>
      </c>
      <c r="FP215" s="239">
        <v>0</v>
      </c>
      <c r="FQ215" s="239">
        <v>-1887965</v>
      </c>
      <c r="FR215" s="239">
        <v>0</v>
      </c>
      <c r="FS215" s="239">
        <v>0</v>
      </c>
      <c r="FT215" s="239">
        <v>0</v>
      </c>
      <c r="FU215" s="239">
        <v>-13921121</v>
      </c>
      <c r="FV215" s="239">
        <v>0</v>
      </c>
      <c r="FW215" s="239">
        <v>-13921121</v>
      </c>
      <c r="FX215" s="239">
        <v>82545296</v>
      </c>
      <c r="FY215" s="239">
        <v>0</v>
      </c>
      <c r="FZ215" s="239">
        <v>82545296</v>
      </c>
      <c r="GA215" s="214" t="s">
        <v>1295</v>
      </c>
    </row>
    <row r="216" spans="2:183" s="214" customFormat="1" x14ac:dyDescent="0.2">
      <c r="B216" s="610" t="s">
        <v>515</v>
      </c>
      <c r="C216" s="610" t="s">
        <v>514</v>
      </c>
      <c r="D216" s="239">
        <v>0</v>
      </c>
      <c r="E216" s="239">
        <v>0</v>
      </c>
      <c r="F216" s="239">
        <v>0</v>
      </c>
      <c r="G216" s="239">
        <v>26378</v>
      </c>
      <c r="H216" s="239">
        <v>0</v>
      </c>
      <c r="I216" s="239">
        <v>26378</v>
      </c>
      <c r="J216" s="239">
        <v>0</v>
      </c>
      <c r="K216" s="239">
        <v>0</v>
      </c>
      <c r="L216" s="239">
        <v>0</v>
      </c>
      <c r="M216" s="239">
        <v>11811</v>
      </c>
      <c r="N216" s="239">
        <v>0</v>
      </c>
      <c r="O216" s="239">
        <v>11811</v>
      </c>
      <c r="P216" s="239">
        <v>38189</v>
      </c>
      <c r="Q216" s="239">
        <v>0</v>
      </c>
      <c r="R216" s="239">
        <v>38189</v>
      </c>
      <c r="S216" s="239">
        <v>-1931080</v>
      </c>
      <c r="T216" s="239">
        <v>0</v>
      </c>
      <c r="U216" s="239">
        <v>-1931080</v>
      </c>
      <c r="V216" s="239">
        <v>0</v>
      </c>
      <c r="W216" s="239">
        <v>0</v>
      </c>
      <c r="X216" s="239">
        <v>0</v>
      </c>
      <c r="Y216" s="239">
        <v>-226623</v>
      </c>
      <c r="Z216" s="239">
        <v>0</v>
      </c>
      <c r="AA216" s="239">
        <v>-226623</v>
      </c>
      <c r="AB216" s="239">
        <v>-118871</v>
      </c>
      <c r="AC216" s="239">
        <v>0</v>
      </c>
      <c r="AD216" s="239">
        <v>-118871</v>
      </c>
      <c r="AE216" s="239">
        <v>0</v>
      </c>
      <c r="AF216" s="239">
        <v>0</v>
      </c>
      <c r="AG216" s="239">
        <v>0</v>
      </c>
      <c r="AH216" s="239">
        <v>315197</v>
      </c>
      <c r="AI216" s="239">
        <v>0</v>
      </c>
      <c r="AJ216" s="239">
        <v>315197</v>
      </c>
      <c r="AK216" s="239">
        <v>-3899</v>
      </c>
      <c r="AL216" s="239">
        <v>0</v>
      </c>
      <c r="AM216" s="239">
        <v>-3899</v>
      </c>
      <c r="AN216" s="239">
        <v>-587463</v>
      </c>
      <c r="AO216" s="239">
        <v>0</v>
      </c>
      <c r="AP216" s="239">
        <v>-587463</v>
      </c>
      <c r="AQ216" s="239">
        <v>19491</v>
      </c>
      <c r="AR216" s="239">
        <v>0</v>
      </c>
      <c r="AS216" s="239">
        <v>19491</v>
      </c>
      <c r="AT216" s="239">
        <v>-49859</v>
      </c>
      <c r="AU216" s="239">
        <v>0</v>
      </c>
      <c r="AV216" s="239">
        <v>-49859</v>
      </c>
      <c r="AW216" s="239">
        <v>0</v>
      </c>
      <c r="AX216" s="239">
        <v>0</v>
      </c>
      <c r="AY216" s="239">
        <v>0</v>
      </c>
      <c r="AZ216" s="239">
        <v>-46799</v>
      </c>
      <c r="BA216" s="239">
        <v>0</v>
      </c>
      <c r="BB216" s="239">
        <v>-46799</v>
      </c>
      <c r="BC216" s="239">
        <v>1141</v>
      </c>
      <c r="BD216" s="239">
        <v>0</v>
      </c>
      <c r="BE216" s="239">
        <v>1141</v>
      </c>
      <c r="BF216" s="239">
        <v>-2509894</v>
      </c>
      <c r="BG216" s="239">
        <v>0</v>
      </c>
      <c r="BH216" s="239">
        <v>-2509894</v>
      </c>
      <c r="BI216" s="239">
        <v>-3056</v>
      </c>
      <c r="BJ216" s="239">
        <v>0</v>
      </c>
      <c r="BK216" s="239">
        <v>-3056</v>
      </c>
      <c r="BL216" s="239">
        <v>0</v>
      </c>
      <c r="BM216" s="239">
        <v>0</v>
      </c>
      <c r="BN216" s="239">
        <v>0</v>
      </c>
      <c r="BO216" s="239">
        <v>-265148</v>
      </c>
      <c r="BP216" s="239">
        <v>0</v>
      </c>
      <c r="BQ216" s="239">
        <v>-265148</v>
      </c>
      <c r="BR216" s="239">
        <v>-41738</v>
      </c>
      <c r="BS216" s="239">
        <v>0</v>
      </c>
      <c r="BT216" s="239">
        <v>-41738</v>
      </c>
      <c r="BU216" s="239">
        <v>-309942</v>
      </c>
      <c r="BV216" s="239">
        <v>0</v>
      </c>
      <c r="BW216" s="239">
        <v>-309942</v>
      </c>
      <c r="BX216" s="239">
        <v>-60832</v>
      </c>
      <c r="BY216" s="239">
        <v>0</v>
      </c>
      <c r="BZ216" s="239">
        <v>-60832</v>
      </c>
      <c r="CA216" s="239">
        <v>-20544</v>
      </c>
      <c r="CB216" s="239">
        <v>0</v>
      </c>
      <c r="CC216" s="239">
        <v>-20544</v>
      </c>
      <c r="CD216" s="239">
        <v>-14671</v>
      </c>
      <c r="CE216" s="239">
        <v>0</v>
      </c>
      <c r="CF216" s="239">
        <v>-14671</v>
      </c>
      <c r="CG216" s="239">
        <v>0</v>
      </c>
      <c r="CH216" s="239">
        <v>0</v>
      </c>
      <c r="CI216" s="239">
        <v>0</v>
      </c>
      <c r="CJ216" s="239">
        <v>-2999</v>
      </c>
      <c r="CK216" s="239">
        <v>0</v>
      </c>
      <c r="CL216" s="239">
        <v>-2999</v>
      </c>
      <c r="CM216" s="239">
        <v>0</v>
      </c>
      <c r="CN216" s="239">
        <v>0</v>
      </c>
      <c r="CO216" s="239">
        <v>0</v>
      </c>
      <c r="CP216" s="239">
        <v>-22720</v>
      </c>
      <c r="CQ216" s="239">
        <v>0</v>
      </c>
      <c r="CR216" s="239">
        <v>-22720</v>
      </c>
      <c r="CS216" s="239">
        <v>1141</v>
      </c>
      <c r="CT216" s="239">
        <v>0</v>
      </c>
      <c r="CU216" s="239">
        <v>1141</v>
      </c>
      <c r="CV216" s="239">
        <v>0</v>
      </c>
      <c r="CW216" s="239">
        <v>0</v>
      </c>
      <c r="CX216" s="239">
        <v>0</v>
      </c>
      <c r="CY216" s="239">
        <v>0</v>
      </c>
      <c r="CZ216" s="239">
        <v>0</v>
      </c>
      <c r="DA216" s="239">
        <v>0</v>
      </c>
      <c r="DB216" s="239">
        <v>0</v>
      </c>
      <c r="DC216" s="239">
        <v>0</v>
      </c>
      <c r="DD216" s="239">
        <v>0</v>
      </c>
      <c r="DE216" s="239">
        <v>0</v>
      </c>
      <c r="DF216" s="239">
        <v>0</v>
      </c>
      <c r="DG216" s="239">
        <v>0</v>
      </c>
      <c r="DH216" s="239">
        <v>0</v>
      </c>
      <c r="DI216" s="239">
        <v>0</v>
      </c>
      <c r="DJ216" s="239">
        <v>-120625</v>
      </c>
      <c r="DK216" s="239">
        <v>0</v>
      </c>
      <c r="DL216" s="239">
        <v>-120625</v>
      </c>
      <c r="DM216" s="239">
        <v>-4371</v>
      </c>
      <c r="DN216" s="239">
        <v>0</v>
      </c>
      <c r="DO216" s="239">
        <v>-4371</v>
      </c>
      <c r="DP216" s="239">
        <v>-41</v>
      </c>
      <c r="DQ216" s="239">
        <v>0</v>
      </c>
      <c r="DR216" s="239">
        <v>-41</v>
      </c>
      <c r="DS216" s="239">
        <v>0</v>
      </c>
      <c r="DT216" s="239">
        <v>0</v>
      </c>
      <c r="DU216" s="239">
        <v>0</v>
      </c>
      <c r="DV216" s="239">
        <v>0</v>
      </c>
      <c r="DW216" s="239">
        <v>0</v>
      </c>
      <c r="DX216" s="239">
        <v>0</v>
      </c>
      <c r="DY216" s="239">
        <v>-294161</v>
      </c>
      <c r="DZ216" s="239">
        <v>0</v>
      </c>
      <c r="EA216" s="239">
        <v>-294161</v>
      </c>
      <c r="EB216" s="239">
        <v>-23305</v>
      </c>
      <c r="EC216" s="239">
        <v>0</v>
      </c>
      <c r="ED216" s="239">
        <v>-23305</v>
      </c>
      <c r="EE216" s="239">
        <v>-9071</v>
      </c>
      <c r="EF216" s="239">
        <v>0</v>
      </c>
      <c r="EG216" s="239">
        <v>-9071</v>
      </c>
      <c r="EH216" s="239">
        <v>0</v>
      </c>
      <c r="EI216" s="239">
        <v>0</v>
      </c>
      <c r="EJ216" s="239">
        <v>0</v>
      </c>
      <c r="EK216" s="239">
        <v>0</v>
      </c>
      <c r="EL216" s="239">
        <v>0</v>
      </c>
      <c r="EM216" s="239">
        <v>0</v>
      </c>
      <c r="EN216" s="239">
        <v>-330949</v>
      </c>
      <c r="EO216" s="239">
        <v>0</v>
      </c>
      <c r="EP216" s="239">
        <v>-330949</v>
      </c>
      <c r="EQ216" s="239">
        <v>0</v>
      </c>
      <c r="ER216" s="239">
        <v>0</v>
      </c>
      <c r="ES216" s="239">
        <v>0</v>
      </c>
      <c r="ET216" s="239">
        <v>0</v>
      </c>
      <c r="EU216" s="239">
        <v>0</v>
      </c>
      <c r="EV216" s="239">
        <v>0</v>
      </c>
      <c r="EW216" s="239">
        <v>0</v>
      </c>
      <c r="EX216" s="239">
        <v>0</v>
      </c>
      <c r="EY216" s="239">
        <v>0</v>
      </c>
      <c r="EZ216" s="239">
        <v>15671289</v>
      </c>
      <c r="FA216" s="239">
        <v>0</v>
      </c>
      <c r="FB216" s="239">
        <v>15671289</v>
      </c>
      <c r="FC216" s="239">
        <v>38189</v>
      </c>
      <c r="FD216" s="239">
        <v>0</v>
      </c>
      <c r="FE216" s="239">
        <v>38189</v>
      </c>
      <c r="FF216" s="239">
        <v>-2509894</v>
      </c>
      <c r="FG216" s="239">
        <v>0</v>
      </c>
      <c r="FH216" s="239">
        <v>-2509894</v>
      </c>
      <c r="FI216" s="239">
        <v>-309942</v>
      </c>
      <c r="FJ216" s="239">
        <v>0</v>
      </c>
      <c r="FK216" s="239">
        <v>-309942</v>
      </c>
      <c r="FL216" s="239">
        <v>-120625</v>
      </c>
      <c r="FM216" s="239">
        <v>0</v>
      </c>
      <c r="FN216" s="239">
        <v>-120625</v>
      </c>
      <c r="FO216" s="239">
        <v>-330949</v>
      </c>
      <c r="FP216" s="239">
        <v>0</v>
      </c>
      <c r="FQ216" s="239">
        <v>-330949</v>
      </c>
      <c r="FR216" s="239">
        <v>0</v>
      </c>
      <c r="FS216" s="239">
        <v>0</v>
      </c>
      <c r="FT216" s="239">
        <v>0</v>
      </c>
      <c r="FU216" s="239">
        <v>-3233221</v>
      </c>
      <c r="FV216" s="239">
        <v>0</v>
      </c>
      <c r="FW216" s="239">
        <v>-3233221</v>
      </c>
      <c r="FX216" s="239">
        <v>12438068</v>
      </c>
      <c r="FY216" s="239">
        <v>0</v>
      </c>
      <c r="FZ216" s="239">
        <v>12438068</v>
      </c>
      <c r="GA216" s="214" t="s">
        <v>1294</v>
      </c>
    </row>
    <row r="217" spans="2:183" s="214" customFormat="1" x14ac:dyDescent="0.2">
      <c r="B217" s="610" t="s">
        <v>517</v>
      </c>
      <c r="C217" s="610" t="s">
        <v>516</v>
      </c>
      <c r="D217" s="239">
        <v>0</v>
      </c>
      <c r="E217" s="239">
        <v>0</v>
      </c>
      <c r="F217" s="239">
        <v>0</v>
      </c>
      <c r="G217" s="239">
        <v>21768</v>
      </c>
      <c r="H217" s="239">
        <v>0</v>
      </c>
      <c r="I217" s="239">
        <v>21768</v>
      </c>
      <c r="J217" s="239">
        <v>0</v>
      </c>
      <c r="K217" s="239">
        <v>0</v>
      </c>
      <c r="L217" s="239">
        <v>0</v>
      </c>
      <c r="M217" s="239">
        <v>33382</v>
      </c>
      <c r="N217" s="239">
        <v>0</v>
      </c>
      <c r="O217" s="239">
        <v>33382</v>
      </c>
      <c r="P217" s="239">
        <v>55150</v>
      </c>
      <c r="Q217" s="239">
        <v>0</v>
      </c>
      <c r="R217" s="239">
        <v>55150</v>
      </c>
      <c r="S217" s="239">
        <v>-5388655</v>
      </c>
      <c r="T217" s="239">
        <v>0</v>
      </c>
      <c r="U217" s="239">
        <v>-5388655</v>
      </c>
      <c r="V217" s="239">
        <v>-15930</v>
      </c>
      <c r="W217" s="239">
        <v>0</v>
      </c>
      <c r="X217" s="239">
        <v>-15930</v>
      </c>
      <c r="Y217" s="239">
        <v>-94239</v>
      </c>
      <c r="Z217" s="239">
        <v>0</v>
      </c>
      <c r="AA217" s="239">
        <v>-94239</v>
      </c>
      <c r="AB217" s="239">
        <v>-44065</v>
      </c>
      <c r="AC217" s="239">
        <v>0</v>
      </c>
      <c r="AD217" s="239">
        <v>-44065</v>
      </c>
      <c r="AE217" s="239">
        <v>-1984</v>
      </c>
      <c r="AF217" s="239">
        <v>0</v>
      </c>
      <c r="AG217" s="239">
        <v>-1984</v>
      </c>
      <c r="AH217" s="239">
        <v>1821895</v>
      </c>
      <c r="AI217" s="239">
        <v>0</v>
      </c>
      <c r="AJ217" s="239">
        <v>1821895</v>
      </c>
      <c r="AK217" s="239">
        <v>-16866</v>
      </c>
      <c r="AL217" s="239">
        <v>0</v>
      </c>
      <c r="AM217" s="239">
        <v>-16866</v>
      </c>
      <c r="AN217" s="239">
        <v>-3455530</v>
      </c>
      <c r="AO217" s="239">
        <v>0</v>
      </c>
      <c r="AP217" s="239">
        <v>-3455530</v>
      </c>
      <c r="AQ217" s="239">
        <v>17442</v>
      </c>
      <c r="AR217" s="239">
        <v>0</v>
      </c>
      <c r="AS217" s="239">
        <v>17442</v>
      </c>
      <c r="AT217" s="239">
        <v>-96184</v>
      </c>
      <c r="AU217" s="239">
        <v>0</v>
      </c>
      <c r="AV217" s="239">
        <v>-96184</v>
      </c>
      <c r="AW217" s="239">
        <v>0</v>
      </c>
      <c r="AX217" s="239">
        <v>0</v>
      </c>
      <c r="AY217" s="239">
        <v>0</v>
      </c>
      <c r="AZ217" s="239">
        <v>0</v>
      </c>
      <c r="BA217" s="239">
        <v>0</v>
      </c>
      <c r="BB217" s="239">
        <v>0</v>
      </c>
      <c r="BC217" s="239">
        <v>0</v>
      </c>
      <c r="BD217" s="239">
        <v>0</v>
      </c>
      <c r="BE217" s="239">
        <v>0</v>
      </c>
      <c r="BF217" s="239">
        <v>-7212137</v>
      </c>
      <c r="BG217" s="239">
        <v>0</v>
      </c>
      <c r="BH217" s="239">
        <v>-7212137</v>
      </c>
      <c r="BI217" s="239">
        <v>-38944</v>
      </c>
      <c r="BJ217" s="239">
        <v>0</v>
      </c>
      <c r="BK217" s="239">
        <v>-38944</v>
      </c>
      <c r="BL217" s="239">
        <v>-1744</v>
      </c>
      <c r="BM217" s="239">
        <v>0</v>
      </c>
      <c r="BN217" s="239">
        <v>-1744</v>
      </c>
      <c r="BO217" s="239">
        <v>-3775721</v>
      </c>
      <c r="BP217" s="239">
        <v>0</v>
      </c>
      <c r="BQ217" s="239">
        <v>-3775721</v>
      </c>
      <c r="BR217" s="239">
        <v>292321</v>
      </c>
      <c r="BS217" s="239">
        <v>0</v>
      </c>
      <c r="BT217" s="239">
        <v>292321</v>
      </c>
      <c r="BU217" s="239">
        <v>-3524088</v>
      </c>
      <c r="BV217" s="239">
        <v>0</v>
      </c>
      <c r="BW217" s="239">
        <v>-3524088</v>
      </c>
      <c r="BX217" s="239">
        <v>-243252</v>
      </c>
      <c r="BY217" s="239">
        <v>0</v>
      </c>
      <c r="BZ217" s="239">
        <v>-243252</v>
      </c>
      <c r="CA217" s="239">
        <v>469</v>
      </c>
      <c r="CB217" s="239">
        <v>0</v>
      </c>
      <c r="CC217" s="239">
        <v>469</v>
      </c>
      <c r="CD217" s="239">
        <v>-99060</v>
      </c>
      <c r="CE217" s="239">
        <v>0</v>
      </c>
      <c r="CF217" s="239">
        <v>-99060</v>
      </c>
      <c r="CG217" s="239">
        <v>2991</v>
      </c>
      <c r="CH217" s="239">
        <v>0</v>
      </c>
      <c r="CI217" s="239">
        <v>2991</v>
      </c>
      <c r="CJ217" s="239">
        <v>-9185</v>
      </c>
      <c r="CK217" s="239">
        <v>0</v>
      </c>
      <c r="CL217" s="239">
        <v>-9185</v>
      </c>
      <c r="CM217" s="239">
        <v>0</v>
      </c>
      <c r="CN217" s="239">
        <v>0</v>
      </c>
      <c r="CO217" s="239">
        <v>0</v>
      </c>
      <c r="CP217" s="239">
        <v>0</v>
      </c>
      <c r="CQ217" s="239">
        <v>0</v>
      </c>
      <c r="CR217" s="239">
        <v>0</v>
      </c>
      <c r="CS217" s="239">
        <v>0</v>
      </c>
      <c r="CT217" s="239">
        <v>0</v>
      </c>
      <c r="CU217" s="239">
        <v>0</v>
      </c>
      <c r="CV217" s="239">
        <v>0</v>
      </c>
      <c r="CW217" s="239">
        <v>0</v>
      </c>
      <c r="CX217" s="239">
        <v>0</v>
      </c>
      <c r="CY217" s="239">
        <v>0</v>
      </c>
      <c r="CZ217" s="239">
        <v>0</v>
      </c>
      <c r="DA217" s="239">
        <v>0</v>
      </c>
      <c r="DB217" s="239">
        <v>-71951</v>
      </c>
      <c r="DC217" s="239">
        <v>0</v>
      </c>
      <c r="DD217" s="239">
        <v>-71951</v>
      </c>
      <c r="DE217" s="239">
        <v>0</v>
      </c>
      <c r="DF217" s="239">
        <v>0</v>
      </c>
      <c r="DG217" s="239">
        <v>0</v>
      </c>
      <c r="DH217" s="239">
        <v>0</v>
      </c>
      <c r="DI217" s="239">
        <v>0</v>
      </c>
      <c r="DJ217" s="239">
        <v>-419988</v>
      </c>
      <c r="DK217" s="239">
        <v>0</v>
      </c>
      <c r="DL217" s="239">
        <v>-419988</v>
      </c>
      <c r="DM217" s="239">
        <v>-5292</v>
      </c>
      <c r="DN217" s="239">
        <v>0</v>
      </c>
      <c r="DO217" s="239">
        <v>-5292</v>
      </c>
      <c r="DP217" s="239">
        <v>0</v>
      </c>
      <c r="DQ217" s="239">
        <v>0</v>
      </c>
      <c r="DR217" s="239">
        <v>0</v>
      </c>
      <c r="DS217" s="239">
        <v>-118552</v>
      </c>
      <c r="DT217" s="239">
        <v>0</v>
      </c>
      <c r="DU217" s="239">
        <v>-118552</v>
      </c>
      <c r="DV217" s="239">
        <v>-3946</v>
      </c>
      <c r="DW217" s="239">
        <v>0</v>
      </c>
      <c r="DX217" s="239">
        <v>-3946</v>
      </c>
      <c r="DY217" s="239">
        <v>-1145062</v>
      </c>
      <c r="DZ217" s="239">
        <v>0</v>
      </c>
      <c r="EA217" s="239">
        <v>-1145062</v>
      </c>
      <c r="EB217" s="239">
        <v>-2965</v>
      </c>
      <c r="EC217" s="239">
        <v>0</v>
      </c>
      <c r="ED217" s="239">
        <v>-2965</v>
      </c>
      <c r="EE217" s="239">
        <v>-174558</v>
      </c>
      <c r="EF217" s="239">
        <v>0</v>
      </c>
      <c r="EG217" s="239">
        <v>-174558</v>
      </c>
      <c r="EH217" s="239">
        <v>0</v>
      </c>
      <c r="EI217" s="239">
        <v>0</v>
      </c>
      <c r="EJ217" s="239">
        <v>0</v>
      </c>
      <c r="EK217" s="239">
        <v>-17020</v>
      </c>
      <c r="EL217" s="239">
        <v>0</v>
      </c>
      <c r="EM217" s="239">
        <v>-17020</v>
      </c>
      <c r="EN217" s="239">
        <v>-1467395</v>
      </c>
      <c r="EO217" s="239">
        <v>0</v>
      </c>
      <c r="EP217" s="239">
        <v>-1467395</v>
      </c>
      <c r="EQ217" s="239">
        <v>0</v>
      </c>
      <c r="ER217" s="239">
        <v>0</v>
      </c>
      <c r="ES217" s="239">
        <v>0</v>
      </c>
      <c r="ET217" s="239">
        <v>0</v>
      </c>
      <c r="EU217" s="239">
        <v>0</v>
      </c>
      <c r="EV217" s="239">
        <v>0</v>
      </c>
      <c r="EW217" s="239">
        <v>0</v>
      </c>
      <c r="EX217" s="239">
        <v>0</v>
      </c>
      <c r="EY217" s="239">
        <v>0</v>
      </c>
      <c r="EZ217" s="239">
        <v>78533978</v>
      </c>
      <c r="FA217" s="239">
        <v>0</v>
      </c>
      <c r="FB217" s="239">
        <v>78533978</v>
      </c>
      <c r="FC217" s="239">
        <v>55150</v>
      </c>
      <c r="FD217" s="239">
        <v>0</v>
      </c>
      <c r="FE217" s="239">
        <v>55150</v>
      </c>
      <c r="FF217" s="239">
        <v>-7212137</v>
      </c>
      <c r="FG217" s="239">
        <v>0</v>
      </c>
      <c r="FH217" s="239">
        <v>-7212137</v>
      </c>
      <c r="FI217" s="239">
        <v>-3524088</v>
      </c>
      <c r="FJ217" s="239">
        <v>0</v>
      </c>
      <c r="FK217" s="239">
        <v>-3524088</v>
      </c>
      <c r="FL217" s="239">
        <v>-419988</v>
      </c>
      <c r="FM217" s="239">
        <v>0</v>
      </c>
      <c r="FN217" s="239">
        <v>-419988</v>
      </c>
      <c r="FO217" s="239">
        <v>-1467395</v>
      </c>
      <c r="FP217" s="239">
        <v>0</v>
      </c>
      <c r="FQ217" s="239">
        <v>-1467395</v>
      </c>
      <c r="FR217" s="239">
        <v>0</v>
      </c>
      <c r="FS217" s="239">
        <v>0</v>
      </c>
      <c r="FT217" s="239">
        <v>0</v>
      </c>
      <c r="FU217" s="239">
        <v>-12568458</v>
      </c>
      <c r="FV217" s="239">
        <v>0</v>
      </c>
      <c r="FW217" s="239">
        <v>-12568458</v>
      </c>
      <c r="FX217" s="239">
        <v>65965520</v>
      </c>
      <c r="FY217" s="239">
        <v>0</v>
      </c>
      <c r="FZ217" s="239">
        <v>65965520</v>
      </c>
      <c r="GA217" s="214" t="s">
        <v>1296</v>
      </c>
    </row>
    <row r="218" spans="2:183" s="214" customFormat="1" x14ac:dyDescent="0.2">
      <c r="B218" s="610" t="s">
        <v>519</v>
      </c>
      <c r="C218" s="610" t="s">
        <v>518</v>
      </c>
      <c r="D218" s="239">
        <v>0</v>
      </c>
      <c r="E218" s="239">
        <v>0</v>
      </c>
      <c r="F218" s="239">
        <v>0</v>
      </c>
      <c r="G218" s="239">
        <v>7</v>
      </c>
      <c r="H218" s="239">
        <v>0</v>
      </c>
      <c r="I218" s="239">
        <v>7</v>
      </c>
      <c r="J218" s="239">
        <v>0</v>
      </c>
      <c r="K218" s="239">
        <v>0</v>
      </c>
      <c r="L218" s="239">
        <v>0</v>
      </c>
      <c r="M218" s="239">
        <v>9936</v>
      </c>
      <c r="N218" s="239">
        <v>0</v>
      </c>
      <c r="O218" s="239">
        <v>9936</v>
      </c>
      <c r="P218" s="239">
        <v>9943</v>
      </c>
      <c r="Q218" s="239">
        <v>0</v>
      </c>
      <c r="R218" s="239">
        <v>9943</v>
      </c>
      <c r="S218" s="239">
        <v>-1734213</v>
      </c>
      <c r="T218" s="239">
        <v>0</v>
      </c>
      <c r="U218" s="239">
        <v>-1734213</v>
      </c>
      <c r="V218" s="239">
        <v>0</v>
      </c>
      <c r="W218" s="239">
        <v>0</v>
      </c>
      <c r="X218" s="239">
        <v>0</v>
      </c>
      <c r="Y218" s="239">
        <v>-102132</v>
      </c>
      <c r="Z218" s="239">
        <v>0</v>
      </c>
      <c r="AA218" s="239">
        <v>-102132</v>
      </c>
      <c r="AB218" s="239">
        <v>-66463</v>
      </c>
      <c r="AC218" s="239">
        <v>0</v>
      </c>
      <c r="AD218" s="239">
        <v>-66463</v>
      </c>
      <c r="AE218" s="239">
        <v>0</v>
      </c>
      <c r="AF218" s="239">
        <v>0</v>
      </c>
      <c r="AG218" s="239">
        <v>0</v>
      </c>
      <c r="AH218" s="239">
        <v>391834</v>
      </c>
      <c r="AI218" s="239">
        <v>0</v>
      </c>
      <c r="AJ218" s="239">
        <v>391834</v>
      </c>
      <c r="AK218" s="239">
        <v>-9011</v>
      </c>
      <c r="AL218" s="239">
        <v>0</v>
      </c>
      <c r="AM218" s="239">
        <v>-9011</v>
      </c>
      <c r="AN218" s="239">
        <v>-1279649</v>
      </c>
      <c r="AO218" s="239">
        <v>0</v>
      </c>
      <c r="AP218" s="239">
        <v>-1279649</v>
      </c>
      <c r="AQ218" s="239">
        <v>-3097</v>
      </c>
      <c r="AR218" s="239">
        <v>0</v>
      </c>
      <c r="AS218" s="239">
        <v>-3097</v>
      </c>
      <c r="AT218" s="239">
        <v>-13518</v>
      </c>
      <c r="AU218" s="239">
        <v>0</v>
      </c>
      <c r="AV218" s="239">
        <v>-13518</v>
      </c>
      <c r="AW218" s="239">
        <v>0</v>
      </c>
      <c r="AX218" s="239">
        <v>0</v>
      </c>
      <c r="AY218" s="239">
        <v>0</v>
      </c>
      <c r="AZ218" s="239">
        <v>-265</v>
      </c>
      <c r="BA218" s="239">
        <v>0</v>
      </c>
      <c r="BB218" s="239">
        <v>-265</v>
      </c>
      <c r="BC218" s="239">
        <v>0</v>
      </c>
      <c r="BD218" s="239">
        <v>0</v>
      </c>
      <c r="BE218" s="239">
        <v>0</v>
      </c>
      <c r="BF218" s="239">
        <v>-2750051</v>
      </c>
      <c r="BG218" s="239">
        <v>0</v>
      </c>
      <c r="BH218" s="239">
        <v>-2750051</v>
      </c>
      <c r="BI218" s="239">
        <v>-23839</v>
      </c>
      <c r="BJ218" s="239">
        <v>0</v>
      </c>
      <c r="BK218" s="239">
        <v>-23839</v>
      </c>
      <c r="BL218" s="239">
        <v>-20183</v>
      </c>
      <c r="BM218" s="239">
        <v>0</v>
      </c>
      <c r="BN218" s="239">
        <v>-20183</v>
      </c>
      <c r="BO218" s="239">
        <v>-448318</v>
      </c>
      <c r="BP218" s="239">
        <v>0</v>
      </c>
      <c r="BQ218" s="239">
        <v>-448318</v>
      </c>
      <c r="BR218" s="239">
        <v>28923</v>
      </c>
      <c r="BS218" s="239">
        <v>0</v>
      </c>
      <c r="BT218" s="239">
        <v>28923</v>
      </c>
      <c r="BU218" s="239">
        <v>-463417</v>
      </c>
      <c r="BV218" s="239">
        <v>0</v>
      </c>
      <c r="BW218" s="239">
        <v>-463417</v>
      </c>
      <c r="BX218" s="239">
        <v>-12243</v>
      </c>
      <c r="BY218" s="239">
        <v>0</v>
      </c>
      <c r="BZ218" s="239">
        <v>-12243</v>
      </c>
      <c r="CA218" s="239">
        <v>-171</v>
      </c>
      <c r="CB218" s="239">
        <v>0</v>
      </c>
      <c r="CC218" s="239">
        <v>-171</v>
      </c>
      <c r="CD218" s="239">
        <v>0</v>
      </c>
      <c r="CE218" s="239">
        <v>0</v>
      </c>
      <c r="CF218" s="239">
        <v>0</v>
      </c>
      <c r="CG218" s="239">
        <v>0</v>
      </c>
      <c r="CH218" s="239">
        <v>0</v>
      </c>
      <c r="CI218" s="239">
        <v>0</v>
      </c>
      <c r="CJ218" s="239">
        <v>-173</v>
      </c>
      <c r="CK218" s="239">
        <v>0</v>
      </c>
      <c r="CL218" s="239">
        <v>-173</v>
      </c>
      <c r="CM218" s="239">
        <v>0</v>
      </c>
      <c r="CN218" s="239">
        <v>0</v>
      </c>
      <c r="CO218" s="239">
        <v>0</v>
      </c>
      <c r="CP218" s="239">
        <v>0</v>
      </c>
      <c r="CQ218" s="239">
        <v>0</v>
      </c>
      <c r="CR218" s="239">
        <v>0</v>
      </c>
      <c r="CS218" s="239">
        <v>0</v>
      </c>
      <c r="CT218" s="239">
        <v>0</v>
      </c>
      <c r="CU218" s="239">
        <v>0</v>
      </c>
      <c r="CV218" s="239">
        <v>0</v>
      </c>
      <c r="CW218" s="239">
        <v>0</v>
      </c>
      <c r="CX218" s="239">
        <v>0</v>
      </c>
      <c r="CY218" s="239">
        <v>0</v>
      </c>
      <c r="CZ218" s="239">
        <v>0</v>
      </c>
      <c r="DA218" s="239">
        <v>0</v>
      </c>
      <c r="DB218" s="239">
        <v>0</v>
      </c>
      <c r="DC218" s="239">
        <v>0</v>
      </c>
      <c r="DD218" s="239">
        <v>0</v>
      </c>
      <c r="DE218" s="239">
        <v>0</v>
      </c>
      <c r="DF218" s="239">
        <v>0</v>
      </c>
      <c r="DG218" s="239">
        <v>0</v>
      </c>
      <c r="DH218" s="239">
        <v>0</v>
      </c>
      <c r="DI218" s="239">
        <v>0</v>
      </c>
      <c r="DJ218" s="239">
        <v>-12587</v>
      </c>
      <c r="DK218" s="239">
        <v>0</v>
      </c>
      <c r="DL218" s="239">
        <v>-12587</v>
      </c>
      <c r="DM218" s="239">
        <v>0</v>
      </c>
      <c r="DN218" s="239">
        <v>0</v>
      </c>
      <c r="DO218" s="239">
        <v>0</v>
      </c>
      <c r="DP218" s="239">
        <v>0</v>
      </c>
      <c r="DQ218" s="239">
        <v>0</v>
      </c>
      <c r="DR218" s="239">
        <v>0</v>
      </c>
      <c r="DS218" s="239">
        <v>0</v>
      </c>
      <c r="DT218" s="239">
        <v>0</v>
      </c>
      <c r="DU218" s="239">
        <v>0</v>
      </c>
      <c r="DV218" s="239">
        <v>0</v>
      </c>
      <c r="DW218" s="239">
        <v>0</v>
      </c>
      <c r="DX218" s="239">
        <v>0</v>
      </c>
      <c r="DY218" s="239">
        <v>-399375</v>
      </c>
      <c r="DZ218" s="239">
        <v>0</v>
      </c>
      <c r="EA218" s="239">
        <v>-399375</v>
      </c>
      <c r="EB218" s="239">
        <v>-63014</v>
      </c>
      <c r="EC218" s="239">
        <v>0</v>
      </c>
      <c r="ED218" s="239">
        <v>-63014</v>
      </c>
      <c r="EE218" s="239">
        <v>0</v>
      </c>
      <c r="EF218" s="239">
        <v>0</v>
      </c>
      <c r="EG218" s="239">
        <v>0</v>
      </c>
      <c r="EH218" s="239">
        <v>-212528</v>
      </c>
      <c r="EI218" s="239">
        <v>0</v>
      </c>
      <c r="EJ218" s="239">
        <v>-212528</v>
      </c>
      <c r="EK218" s="239">
        <v>-6981</v>
      </c>
      <c r="EL218" s="239">
        <v>0</v>
      </c>
      <c r="EM218" s="239">
        <v>-6981</v>
      </c>
      <c r="EN218" s="239">
        <v>-681898</v>
      </c>
      <c r="EO218" s="239">
        <v>0</v>
      </c>
      <c r="EP218" s="239">
        <v>-681898</v>
      </c>
      <c r="EQ218" s="239">
        <v>0</v>
      </c>
      <c r="ER218" s="239">
        <v>0</v>
      </c>
      <c r="ES218" s="239">
        <v>0</v>
      </c>
      <c r="ET218" s="239">
        <v>0</v>
      </c>
      <c r="EU218" s="239">
        <v>0</v>
      </c>
      <c r="EV218" s="239">
        <v>0</v>
      </c>
      <c r="EW218" s="239">
        <v>0</v>
      </c>
      <c r="EX218" s="239">
        <v>0</v>
      </c>
      <c r="EY218" s="239">
        <v>0</v>
      </c>
      <c r="EZ218" s="239">
        <v>19075023</v>
      </c>
      <c r="FA218" s="239">
        <v>0</v>
      </c>
      <c r="FB218" s="239">
        <v>19075023</v>
      </c>
      <c r="FC218" s="239">
        <v>9943</v>
      </c>
      <c r="FD218" s="239">
        <v>0</v>
      </c>
      <c r="FE218" s="239">
        <v>9943</v>
      </c>
      <c r="FF218" s="239">
        <v>-2750051</v>
      </c>
      <c r="FG218" s="239">
        <v>0</v>
      </c>
      <c r="FH218" s="239">
        <v>-2750051</v>
      </c>
      <c r="FI218" s="239">
        <v>-463417</v>
      </c>
      <c r="FJ218" s="239">
        <v>0</v>
      </c>
      <c r="FK218" s="239">
        <v>-463417</v>
      </c>
      <c r="FL218" s="239">
        <v>-12587</v>
      </c>
      <c r="FM218" s="239">
        <v>0</v>
      </c>
      <c r="FN218" s="239">
        <v>-12587</v>
      </c>
      <c r="FO218" s="239">
        <v>-681898</v>
      </c>
      <c r="FP218" s="239">
        <v>0</v>
      </c>
      <c r="FQ218" s="239">
        <v>-681898</v>
      </c>
      <c r="FR218" s="239">
        <v>0</v>
      </c>
      <c r="FS218" s="239">
        <v>0</v>
      </c>
      <c r="FT218" s="239">
        <v>0</v>
      </c>
      <c r="FU218" s="239">
        <v>-3898010</v>
      </c>
      <c r="FV218" s="239">
        <v>0</v>
      </c>
      <c r="FW218" s="239">
        <v>-3898010</v>
      </c>
      <c r="FX218" s="239">
        <v>15177013</v>
      </c>
      <c r="FY218" s="239">
        <v>0</v>
      </c>
      <c r="FZ218" s="239">
        <v>15177013</v>
      </c>
      <c r="GA218" s="214" t="s">
        <v>1294</v>
      </c>
    </row>
    <row r="219" spans="2:183" s="214" customFormat="1" x14ac:dyDescent="0.2">
      <c r="B219" s="610" t="s">
        <v>521</v>
      </c>
      <c r="C219" s="610" t="s">
        <v>520</v>
      </c>
      <c r="D219" s="239">
        <v>0</v>
      </c>
      <c r="E219" s="239">
        <v>0</v>
      </c>
      <c r="F219" s="239">
        <v>0</v>
      </c>
      <c r="G219" s="239">
        <v>49710</v>
      </c>
      <c r="H219" s="239">
        <v>0</v>
      </c>
      <c r="I219" s="239">
        <v>49710</v>
      </c>
      <c r="J219" s="239">
        <v>0</v>
      </c>
      <c r="K219" s="239">
        <v>0</v>
      </c>
      <c r="L219" s="239">
        <v>0</v>
      </c>
      <c r="M219" s="239">
        <v>0</v>
      </c>
      <c r="N219" s="239">
        <v>0</v>
      </c>
      <c r="O219" s="239">
        <v>0</v>
      </c>
      <c r="P219" s="239">
        <v>49710</v>
      </c>
      <c r="Q219" s="239">
        <v>0</v>
      </c>
      <c r="R219" s="239">
        <v>49710</v>
      </c>
      <c r="S219" s="239">
        <v>-2080975</v>
      </c>
      <c r="T219" s="239">
        <v>0</v>
      </c>
      <c r="U219" s="239">
        <v>-2080975</v>
      </c>
      <c r="V219" s="239">
        <v>-10072</v>
      </c>
      <c r="W219" s="239">
        <v>0</v>
      </c>
      <c r="X219" s="239">
        <v>-10072</v>
      </c>
      <c r="Y219" s="239">
        <v>-26373</v>
      </c>
      <c r="Z219" s="239">
        <v>0</v>
      </c>
      <c r="AA219" s="239">
        <v>-26373</v>
      </c>
      <c r="AB219" s="239">
        <v>-8088</v>
      </c>
      <c r="AC219" s="239">
        <v>0</v>
      </c>
      <c r="AD219" s="239">
        <v>-8088</v>
      </c>
      <c r="AE219" s="239">
        <v>-3286</v>
      </c>
      <c r="AF219" s="239">
        <v>0</v>
      </c>
      <c r="AG219" s="239">
        <v>-3286</v>
      </c>
      <c r="AH219" s="239">
        <v>352115</v>
      </c>
      <c r="AI219" s="239">
        <v>0</v>
      </c>
      <c r="AJ219" s="239">
        <v>352115</v>
      </c>
      <c r="AK219" s="239">
        <v>-2202</v>
      </c>
      <c r="AL219" s="239">
        <v>0</v>
      </c>
      <c r="AM219" s="239">
        <v>-2202</v>
      </c>
      <c r="AN219" s="239">
        <v>-518494</v>
      </c>
      <c r="AO219" s="239">
        <v>0</v>
      </c>
      <c r="AP219" s="239">
        <v>-518494</v>
      </c>
      <c r="AQ219" s="239">
        <v>-18192</v>
      </c>
      <c r="AR219" s="239">
        <v>0</v>
      </c>
      <c r="AS219" s="239">
        <v>-18192</v>
      </c>
      <c r="AT219" s="239">
        <v>-47143</v>
      </c>
      <c r="AU219" s="239">
        <v>0</v>
      </c>
      <c r="AV219" s="239">
        <v>-47143</v>
      </c>
      <c r="AW219" s="239">
        <v>0</v>
      </c>
      <c r="AX219" s="239">
        <v>0</v>
      </c>
      <c r="AY219" s="239">
        <v>0</v>
      </c>
      <c r="AZ219" s="239">
        <v>0</v>
      </c>
      <c r="BA219" s="239">
        <v>0</v>
      </c>
      <c r="BB219" s="239">
        <v>0</v>
      </c>
      <c r="BC219" s="239">
        <v>0</v>
      </c>
      <c r="BD219" s="239">
        <v>0</v>
      </c>
      <c r="BE219" s="239">
        <v>0</v>
      </c>
      <c r="BF219" s="239">
        <v>-2341264</v>
      </c>
      <c r="BG219" s="239">
        <v>0</v>
      </c>
      <c r="BH219" s="239">
        <v>-2341264</v>
      </c>
      <c r="BI219" s="239">
        <v>-18920</v>
      </c>
      <c r="BJ219" s="239">
        <v>0</v>
      </c>
      <c r="BK219" s="239">
        <v>-18920</v>
      </c>
      <c r="BL219" s="239">
        <v>-16837</v>
      </c>
      <c r="BM219" s="239">
        <v>0</v>
      </c>
      <c r="BN219" s="239">
        <v>-16837</v>
      </c>
      <c r="BO219" s="239">
        <v>-586262</v>
      </c>
      <c r="BP219" s="239">
        <v>0</v>
      </c>
      <c r="BQ219" s="239">
        <v>-586262</v>
      </c>
      <c r="BR219" s="239">
        <v>130784</v>
      </c>
      <c r="BS219" s="239">
        <v>0</v>
      </c>
      <c r="BT219" s="239">
        <v>130784</v>
      </c>
      <c r="BU219" s="239">
        <v>-491235</v>
      </c>
      <c r="BV219" s="239">
        <v>0</v>
      </c>
      <c r="BW219" s="239">
        <v>-491235</v>
      </c>
      <c r="BX219" s="239">
        <v>-53624</v>
      </c>
      <c r="BY219" s="239">
        <v>0</v>
      </c>
      <c r="BZ219" s="239">
        <v>-53624</v>
      </c>
      <c r="CA219" s="239">
        <v>-4181</v>
      </c>
      <c r="CB219" s="239">
        <v>0</v>
      </c>
      <c r="CC219" s="239">
        <v>-4181</v>
      </c>
      <c r="CD219" s="239">
        <v>-39165</v>
      </c>
      <c r="CE219" s="239">
        <v>0</v>
      </c>
      <c r="CF219" s="239">
        <v>-39165</v>
      </c>
      <c r="CG219" s="239">
        <v>-13446</v>
      </c>
      <c r="CH219" s="239">
        <v>0</v>
      </c>
      <c r="CI219" s="239">
        <v>-13446</v>
      </c>
      <c r="CJ219" s="239">
        <v>-2833</v>
      </c>
      <c r="CK219" s="239">
        <v>0</v>
      </c>
      <c r="CL219" s="239">
        <v>-2833</v>
      </c>
      <c r="CM219" s="239">
        <v>0</v>
      </c>
      <c r="CN219" s="239">
        <v>0</v>
      </c>
      <c r="CO219" s="239">
        <v>0</v>
      </c>
      <c r="CP219" s="239">
        <v>0</v>
      </c>
      <c r="CQ219" s="239">
        <v>0</v>
      </c>
      <c r="CR219" s="239">
        <v>0</v>
      </c>
      <c r="CS219" s="239">
        <v>0</v>
      </c>
      <c r="CT219" s="239">
        <v>0</v>
      </c>
      <c r="CU219" s="239">
        <v>0</v>
      </c>
      <c r="CV219" s="239">
        <v>0</v>
      </c>
      <c r="CW219" s="239">
        <v>0</v>
      </c>
      <c r="CX219" s="239">
        <v>0</v>
      </c>
      <c r="CY219" s="239">
        <v>0</v>
      </c>
      <c r="CZ219" s="239">
        <v>0</v>
      </c>
      <c r="DA219" s="239">
        <v>0</v>
      </c>
      <c r="DB219" s="239">
        <v>0</v>
      </c>
      <c r="DC219" s="239">
        <v>0</v>
      </c>
      <c r="DD219" s="239">
        <v>0</v>
      </c>
      <c r="DE219" s="239">
        <v>0</v>
      </c>
      <c r="DF219" s="239">
        <v>0</v>
      </c>
      <c r="DG219" s="239">
        <v>0</v>
      </c>
      <c r="DH219" s="239">
        <v>0</v>
      </c>
      <c r="DI219" s="239">
        <v>0</v>
      </c>
      <c r="DJ219" s="239">
        <v>-113249</v>
      </c>
      <c r="DK219" s="239">
        <v>0</v>
      </c>
      <c r="DL219" s="239">
        <v>-113249</v>
      </c>
      <c r="DM219" s="239">
        <v>-155878</v>
      </c>
      <c r="DN219" s="239">
        <v>0</v>
      </c>
      <c r="DO219" s="239">
        <v>-155878</v>
      </c>
      <c r="DP219" s="239">
        <v>-83676</v>
      </c>
      <c r="DQ219" s="239">
        <v>0</v>
      </c>
      <c r="DR219" s="239">
        <v>-83676</v>
      </c>
      <c r="DS219" s="239">
        <v>-25242</v>
      </c>
      <c r="DT219" s="239">
        <v>0</v>
      </c>
      <c r="DU219" s="239">
        <v>-25242</v>
      </c>
      <c r="DV219" s="239">
        <v>-3989</v>
      </c>
      <c r="DW219" s="239">
        <v>0</v>
      </c>
      <c r="DX219" s="239">
        <v>-3989</v>
      </c>
      <c r="DY219" s="239">
        <v>-306082</v>
      </c>
      <c r="DZ219" s="239">
        <v>0</v>
      </c>
      <c r="EA219" s="239">
        <v>-306082</v>
      </c>
      <c r="EB219" s="239">
        <v>3163</v>
      </c>
      <c r="EC219" s="239">
        <v>0</v>
      </c>
      <c r="ED219" s="239">
        <v>3163</v>
      </c>
      <c r="EE219" s="239">
        <v>-26857</v>
      </c>
      <c r="EF219" s="239">
        <v>0</v>
      </c>
      <c r="EG219" s="239">
        <v>-26857</v>
      </c>
      <c r="EH219" s="239">
        <v>0</v>
      </c>
      <c r="EI219" s="239">
        <v>0</v>
      </c>
      <c r="EJ219" s="239">
        <v>0</v>
      </c>
      <c r="EK219" s="239">
        <v>-5528</v>
      </c>
      <c r="EL219" s="239">
        <v>0</v>
      </c>
      <c r="EM219" s="239">
        <v>-5528</v>
      </c>
      <c r="EN219" s="239">
        <v>-604089</v>
      </c>
      <c r="EO219" s="239">
        <v>0</v>
      </c>
      <c r="EP219" s="239">
        <v>-604089</v>
      </c>
      <c r="EQ219" s="239">
        <v>0</v>
      </c>
      <c r="ER219" s="239">
        <v>0</v>
      </c>
      <c r="ES219" s="239">
        <v>0</v>
      </c>
      <c r="ET219" s="239">
        <v>0</v>
      </c>
      <c r="EU219" s="239">
        <v>0</v>
      </c>
      <c r="EV219" s="239">
        <v>0</v>
      </c>
      <c r="EW219" s="239">
        <v>0</v>
      </c>
      <c r="EX219" s="239">
        <v>0</v>
      </c>
      <c r="EY219" s="239">
        <v>0</v>
      </c>
      <c r="EZ219" s="239">
        <v>16803725</v>
      </c>
      <c r="FA219" s="239">
        <v>0</v>
      </c>
      <c r="FB219" s="239">
        <v>16803725</v>
      </c>
      <c r="FC219" s="239">
        <v>49710</v>
      </c>
      <c r="FD219" s="239">
        <v>0</v>
      </c>
      <c r="FE219" s="239">
        <v>49710</v>
      </c>
      <c r="FF219" s="239">
        <v>-2341264</v>
      </c>
      <c r="FG219" s="239">
        <v>0</v>
      </c>
      <c r="FH219" s="239">
        <v>-2341264</v>
      </c>
      <c r="FI219" s="239">
        <v>-491235</v>
      </c>
      <c r="FJ219" s="239">
        <v>0</v>
      </c>
      <c r="FK219" s="239">
        <v>-491235</v>
      </c>
      <c r="FL219" s="239">
        <v>-113249</v>
      </c>
      <c r="FM219" s="239">
        <v>0</v>
      </c>
      <c r="FN219" s="239">
        <v>-113249</v>
      </c>
      <c r="FO219" s="239">
        <v>-604089</v>
      </c>
      <c r="FP219" s="239">
        <v>0</v>
      </c>
      <c r="FQ219" s="239">
        <v>-604089</v>
      </c>
      <c r="FR219" s="239">
        <v>0</v>
      </c>
      <c r="FS219" s="239">
        <v>0</v>
      </c>
      <c r="FT219" s="239">
        <v>0</v>
      </c>
      <c r="FU219" s="239">
        <v>-3500127</v>
      </c>
      <c r="FV219" s="239">
        <v>0</v>
      </c>
      <c r="FW219" s="239">
        <v>-3500127</v>
      </c>
      <c r="FX219" s="239">
        <v>13303598</v>
      </c>
      <c r="FY219" s="239">
        <v>0</v>
      </c>
      <c r="FZ219" s="239">
        <v>13303598</v>
      </c>
      <c r="GA219" s="214" t="s">
        <v>1294</v>
      </c>
    </row>
    <row r="220" spans="2:183" s="214" customFormat="1" x14ac:dyDescent="0.2">
      <c r="B220" s="610" t="s">
        <v>523</v>
      </c>
      <c r="C220" s="610" t="s">
        <v>522</v>
      </c>
      <c r="D220" s="239">
        <v>0</v>
      </c>
      <c r="E220" s="239">
        <v>0</v>
      </c>
      <c r="F220" s="239">
        <v>0</v>
      </c>
      <c r="G220" s="239">
        <v>19605</v>
      </c>
      <c r="H220" s="239">
        <v>0</v>
      </c>
      <c r="I220" s="239">
        <v>19605</v>
      </c>
      <c r="J220" s="239">
        <v>0</v>
      </c>
      <c r="K220" s="239">
        <v>0</v>
      </c>
      <c r="L220" s="239">
        <v>0</v>
      </c>
      <c r="M220" s="239">
        <v>7837</v>
      </c>
      <c r="N220" s="239">
        <v>0</v>
      </c>
      <c r="O220" s="239">
        <v>7837</v>
      </c>
      <c r="P220" s="239">
        <v>27442</v>
      </c>
      <c r="Q220" s="239">
        <v>0</v>
      </c>
      <c r="R220" s="239">
        <v>27442</v>
      </c>
      <c r="S220" s="239">
        <v>-2983663</v>
      </c>
      <c r="T220" s="239">
        <v>0</v>
      </c>
      <c r="U220" s="239">
        <v>-2983663</v>
      </c>
      <c r="V220" s="239">
        <v>-2266</v>
      </c>
      <c r="W220" s="239">
        <v>0</v>
      </c>
      <c r="X220" s="239">
        <v>-2266</v>
      </c>
      <c r="Y220" s="239">
        <v>-88363</v>
      </c>
      <c r="Z220" s="239">
        <v>0</v>
      </c>
      <c r="AA220" s="239">
        <v>-88363</v>
      </c>
      <c r="AB220" s="239">
        <v>-60228</v>
      </c>
      <c r="AC220" s="239">
        <v>0</v>
      </c>
      <c r="AD220" s="239">
        <v>-60228</v>
      </c>
      <c r="AE220" s="239">
        <v>-577</v>
      </c>
      <c r="AF220" s="239">
        <v>0</v>
      </c>
      <c r="AG220" s="239">
        <v>-577</v>
      </c>
      <c r="AH220" s="239">
        <v>434321</v>
      </c>
      <c r="AI220" s="239">
        <v>0</v>
      </c>
      <c r="AJ220" s="239">
        <v>434321</v>
      </c>
      <c r="AK220" s="239">
        <v>-1933</v>
      </c>
      <c r="AL220" s="239">
        <v>0</v>
      </c>
      <c r="AM220" s="239">
        <v>-1933</v>
      </c>
      <c r="AN220" s="239">
        <v>-2215104</v>
      </c>
      <c r="AO220" s="239">
        <v>0</v>
      </c>
      <c r="AP220" s="239">
        <v>-2215104</v>
      </c>
      <c r="AQ220" s="239">
        <v>36518</v>
      </c>
      <c r="AR220" s="239">
        <v>0</v>
      </c>
      <c r="AS220" s="239">
        <v>36518</v>
      </c>
      <c r="AT220" s="239">
        <v>-70982</v>
      </c>
      <c r="AU220" s="239">
        <v>0</v>
      </c>
      <c r="AV220" s="239">
        <v>-70982</v>
      </c>
      <c r="AW220" s="239">
        <v>-211</v>
      </c>
      <c r="AX220" s="239">
        <v>0</v>
      </c>
      <c r="AY220" s="239">
        <v>-211</v>
      </c>
      <c r="AZ220" s="239">
        <v>-36512</v>
      </c>
      <c r="BA220" s="239">
        <v>0</v>
      </c>
      <c r="BB220" s="239">
        <v>-36512</v>
      </c>
      <c r="BC220" s="239">
        <v>3201</v>
      </c>
      <c r="BD220" s="239">
        <v>0</v>
      </c>
      <c r="BE220" s="239">
        <v>3201</v>
      </c>
      <c r="BF220" s="239">
        <v>-4922728</v>
      </c>
      <c r="BG220" s="239">
        <v>0</v>
      </c>
      <c r="BH220" s="239">
        <v>-4922728</v>
      </c>
      <c r="BI220" s="239">
        <v>0</v>
      </c>
      <c r="BJ220" s="239">
        <v>0</v>
      </c>
      <c r="BK220" s="239">
        <v>0</v>
      </c>
      <c r="BL220" s="239">
        <v>0</v>
      </c>
      <c r="BM220" s="239">
        <v>0</v>
      </c>
      <c r="BN220" s="239">
        <v>0</v>
      </c>
      <c r="BO220" s="239">
        <v>-368821</v>
      </c>
      <c r="BP220" s="239">
        <v>0</v>
      </c>
      <c r="BQ220" s="239">
        <v>-368821</v>
      </c>
      <c r="BR220" s="239">
        <v>-22638</v>
      </c>
      <c r="BS220" s="239">
        <v>0</v>
      </c>
      <c r="BT220" s="239">
        <v>-22638</v>
      </c>
      <c r="BU220" s="239">
        <v>-391459</v>
      </c>
      <c r="BV220" s="239">
        <v>0</v>
      </c>
      <c r="BW220" s="239">
        <v>-391459</v>
      </c>
      <c r="BX220" s="239">
        <v>-50765</v>
      </c>
      <c r="BY220" s="239">
        <v>0</v>
      </c>
      <c r="BZ220" s="239">
        <v>-50765</v>
      </c>
      <c r="CA220" s="239">
        <v>-10288</v>
      </c>
      <c r="CB220" s="239">
        <v>0</v>
      </c>
      <c r="CC220" s="239">
        <v>-10288</v>
      </c>
      <c r="CD220" s="239">
        <v>0</v>
      </c>
      <c r="CE220" s="239">
        <v>0</v>
      </c>
      <c r="CF220" s="239">
        <v>0</v>
      </c>
      <c r="CG220" s="239">
        <v>0</v>
      </c>
      <c r="CH220" s="239">
        <v>0</v>
      </c>
      <c r="CI220" s="239">
        <v>0</v>
      </c>
      <c r="CJ220" s="239">
        <v>-5647</v>
      </c>
      <c r="CK220" s="239">
        <v>0</v>
      </c>
      <c r="CL220" s="239">
        <v>-5647</v>
      </c>
      <c r="CM220" s="239">
        <v>-13</v>
      </c>
      <c r="CN220" s="239">
        <v>0</v>
      </c>
      <c r="CO220" s="239">
        <v>-13</v>
      </c>
      <c r="CP220" s="239">
        <v>-13631</v>
      </c>
      <c r="CQ220" s="239">
        <v>0</v>
      </c>
      <c r="CR220" s="239">
        <v>-13631</v>
      </c>
      <c r="CS220" s="239">
        <v>0</v>
      </c>
      <c r="CT220" s="239">
        <v>0</v>
      </c>
      <c r="CU220" s="239">
        <v>0</v>
      </c>
      <c r="CV220" s="239">
        <v>0</v>
      </c>
      <c r="CW220" s="239">
        <v>0</v>
      </c>
      <c r="CX220" s="239">
        <v>0</v>
      </c>
      <c r="CY220" s="239">
        <v>0</v>
      </c>
      <c r="CZ220" s="239">
        <v>0</v>
      </c>
      <c r="DA220" s="239">
        <v>0</v>
      </c>
      <c r="DB220" s="239">
        <v>0</v>
      </c>
      <c r="DC220" s="239">
        <v>0</v>
      </c>
      <c r="DD220" s="239">
        <v>0</v>
      </c>
      <c r="DE220" s="239">
        <v>0</v>
      </c>
      <c r="DF220" s="239">
        <v>0</v>
      </c>
      <c r="DG220" s="239">
        <v>0</v>
      </c>
      <c r="DH220" s="239">
        <v>0</v>
      </c>
      <c r="DI220" s="239">
        <v>0</v>
      </c>
      <c r="DJ220" s="239">
        <v>-80344</v>
      </c>
      <c r="DK220" s="239">
        <v>0</v>
      </c>
      <c r="DL220" s="239">
        <v>-80344</v>
      </c>
      <c r="DM220" s="239">
        <v>0</v>
      </c>
      <c r="DN220" s="239">
        <v>0</v>
      </c>
      <c r="DO220" s="239">
        <v>0</v>
      </c>
      <c r="DP220" s="239">
        <v>0</v>
      </c>
      <c r="DQ220" s="239">
        <v>0</v>
      </c>
      <c r="DR220" s="239">
        <v>0</v>
      </c>
      <c r="DS220" s="239">
        <v>-15954</v>
      </c>
      <c r="DT220" s="239">
        <v>0</v>
      </c>
      <c r="DU220" s="239">
        <v>-15954</v>
      </c>
      <c r="DV220" s="239">
        <v>-3580</v>
      </c>
      <c r="DW220" s="239">
        <v>0</v>
      </c>
      <c r="DX220" s="239">
        <v>-3580</v>
      </c>
      <c r="DY220" s="239">
        <v>-616594</v>
      </c>
      <c r="DZ220" s="239">
        <v>0</v>
      </c>
      <c r="EA220" s="239">
        <v>-616594</v>
      </c>
      <c r="EB220" s="239">
        <v>-18331</v>
      </c>
      <c r="EC220" s="239">
        <v>0</v>
      </c>
      <c r="ED220" s="239">
        <v>-18331</v>
      </c>
      <c r="EE220" s="239">
        <v>0</v>
      </c>
      <c r="EF220" s="239">
        <v>0</v>
      </c>
      <c r="EG220" s="239">
        <v>0</v>
      </c>
      <c r="EH220" s="239">
        <v>0</v>
      </c>
      <c r="EI220" s="239">
        <v>0</v>
      </c>
      <c r="EJ220" s="239">
        <v>0</v>
      </c>
      <c r="EK220" s="239">
        <v>-14664</v>
      </c>
      <c r="EL220" s="239">
        <v>0</v>
      </c>
      <c r="EM220" s="239">
        <v>-14664</v>
      </c>
      <c r="EN220" s="239">
        <v>-669123</v>
      </c>
      <c r="EO220" s="239">
        <v>0</v>
      </c>
      <c r="EP220" s="239">
        <v>-669123</v>
      </c>
      <c r="EQ220" s="239">
        <v>-11249</v>
      </c>
      <c r="ER220" s="239">
        <v>0</v>
      </c>
      <c r="ES220" s="239">
        <v>-11249</v>
      </c>
      <c r="ET220" s="239">
        <v>0</v>
      </c>
      <c r="EU220" s="239">
        <v>0</v>
      </c>
      <c r="EV220" s="239">
        <v>0</v>
      </c>
      <c r="EW220" s="239">
        <v>-11249</v>
      </c>
      <c r="EX220" s="239">
        <v>0</v>
      </c>
      <c r="EY220" s="239">
        <v>-11249</v>
      </c>
      <c r="EZ220" s="239">
        <v>23107880</v>
      </c>
      <c r="FA220" s="239">
        <v>0</v>
      </c>
      <c r="FB220" s="239">
        <v>23107880</v>
      </c>
      <c r="FC220" s="239">
        <v>27442</v>
      </c>
      <c r="FD220" s="239">
        <v>0</v>
      </c>
      <c r="FE220" s="239">
        <v>27442</v>
      </c>
      <c r="FF220" s="239">
        <v>-4922728</v>
      </c>
      <c r="FG220" s="239">
        <v>0</v>
      </c>
      <c r="FH220" s="239">
        <v>-4922728</v>
      </c>
      <c r="FI220" s="239">
        <v>-391459</v>
      </c>
      <c r="FJ220" s="239">
        <v>0</v>
      </c>
      <c r="FK220" s="239">
        <v>-391459</v>
      </c>
      <c r="FL220" s="239">
        <v>-80344</v>
      </c>
      <c r="FM220" s="239">
        <v>0</v>
      </c>
      <c r="FN220" s="239">
        <v>-80344</v>
      </c>
      <c r="FO220" s="239">
        <v>-669123</v>
      </c>
      <c r="FP220" s="239">
        <v>0</v>
      </c>
      <c r="FQ220" s="239">
        <v>-669123</v>
      </c>
      <c r="FR220" s="239">
        <v>-11249</v>
      </c>
      <c r="FS220" s="239">
        <v>0</v>
      </c>
      <c r="FT220" s="239">
        <v>-11249</v>
      </c>
      <c r="FU220" s="239">
        <v>-6047461</v>
      </c>
      <c r="FV220" s="239">
        <v>0</v>
      </c>
      <c r="FW220" s="239">
        <v>-6047461</v>
      </c>
      <c r="FX220" s="239">
        <v>17060419</v>
      </c>
      <c r="FY220" s="239">
        <v>0</v>
      </c>
      <c r="FZ220" s="239">
        <v>17060419</v>
      </c>
      <c r="GA220" s="214" t="s">
        <v>1294</v>
      </c>
    </row>
    <row r="221" spans="2:183" s="214" customFormat="1" x14ac:dyDescent="0.2">
      <c r="B221" s="610" t="s">
        <v>525</v>
      </c>
      <c r="C221" s="610" t="s">
        <v>524</v>
      </c>
      <c r="D221" s="239">
        <v>0</v>
      </c>
      <c r="E221" s="239">
        <v>0</v>
      </c>
      <c r="F221" s="239">
        <v>0</v>
      </c>
      <c r="G221" s="239">
        <v>62711</v>
      </c>
      <c r="H221" s="239">
        <v>0</v>
      </c>
      <c r="I221" s="239">
        <v>62711</v>
      </c>
      <c r="J221" s="239">
        <v>0</v>
      </c>
      <c r="K221" s="239">
        <v>0</v>
      </c>
      <c r="L221" s="239">
        <v>0</v>
      </c>
      <c r="M221" s="239">
        <v>34128</v>
      </c>
      <c r="N221" s="239">
        <v>0</v>
      </c>
      <c r="O221" s="239">
        <v>34128</v>
      </c>
      <c r="P221" s="239">
        <v>96839</v>
      </c>
      <c r="Q221" s="239">
        <v>0</v>
      </c>
      <c r="R221" s="239">
        <v>96839</v>
      </c>
      <c r="S221" s="239">
        <v>-5274861</v>
      </c>
      <c r="T221" s="239">
        <v>-8856</v>
      </c>
      <c r="U221" s="239">
        <v>-5283717</v>
      </c>
      <c r="V221" s="239">
        <v>-16011</v>
      </c>
      <c r="W221" s="239">
        <v>0</v>
      </c>
      <c r="X221" s="239">
        <v>-16011</v>
      </c>
      <c r="Y221" s="239">
        <v>-95621</v>
      </c>
      <c r="Z221" s="239">
        <v>0</v>
      </c>
      <c r="AA221" s="239">
        <v>-95621</v>
      </c>
      <c r="AB221" s="239">
        <v>-42974</v>
      </c>
      <c r="AC221" s="239">
        <v>0</v>
      </c>
      <c r="AD221" s="239">
        <v>-42974</v>
      </c>
      <c r="AE221" s="239">
        <v>-569</v>
      </c>
      <c r="AF221" s="239">
        <v>0</v>
      </c>
      <c r="AG221" s="239">
        <v>-569</v>
      </c>
      <c r="AH221" s="239">
        <v>2097756</v>
      </c>
      <c r="AI221" s="239">
        <v>0</v>
      </c>
      <c r="AJ221" s="239">
        <v>2097756</v>
      </c>
      <c r="AK221" s="239">
        <v>-18669</v>
      </c>
      <c r="AL221" s="239">
        <v>0</v>
      </c>
      <c r="AM221" s="239">
        <v>-18669</v>
      </c>
      <c r="AN221" s="239">
        <v>-4416162</v>
      </c>
      <c r="AO221" s="239">
        <v>-109446</v>
      </c>
      <c r="AP221" s="239">
        <v>-4525608</v>
      </c>
      <c r="AQ221" s="239">
        <v>-49594</v>
      </c>
      <c r="AR221" s="239">
        <v>0</v>
      </c>
      <c r="AS221" s="239">
        <v>-49594</v>
      </c>
      <c r="AT221" s="239">
        <v>-14435</v>
      </c>
      <c r="AU221" s="239">
        <v>0</v>
      </c>
      <c r="AV221" s="239">
        <v>-14435</v>
      </c>
      <c r="AW221" s="239">
        <v>0</v>
      </c>
      <c r="AX221" s="239">
        <v>0</v>
      </c>
      <c r="AY221" s="239">
        <v>0</v>
      </c>
      <c r="AZ221" s="239">
        <v>-13358</v>
      </c>
      <c r="BA221" s="239">
        <v>0</v>
      </c>
      <c r="BB221" s="239">
        <v>-13358</v>
      </c>
      <c r="BC221" s="239">
        <v>623</v>
      </c>
      <c r="BD221" s="239">
        <v>0</v>
      </c>
      <c r="BE221" s="239">
        <v>623</v>
      </c>
      <c r="BF221" s="239">
        <v>-7784321</v>
      </c>
      <c r="BG221" s="239">
        <v>-118302</v>
      </c>
      <c r="BH221" s="239">
        <v>-7902623</v>
      </c>
      <c r="BI221" s="239">
        <v>-83591</v>
      </c>
      <c r="BJ221" s="239">
        <v>0</v>
      </c>
      <c r="BK221" s="239">
        <v>-83591</v>
      </c>
      <c r="BL221" s="239">
        <v>-15464</v>
      </c>
      <c r="BM221" s="239">
        <v>0</v>
      </c>
      <c r="BN221" s="239">
        <v>-15464</v>
      </c>
      <c r="BO221" s="239">
        <v>-2167632</v>
      </c>
      <c r="BP221" s="239">
        <v>0</v>
      </c>
      <c r="BQ221" s="239">
        <v>-2167632</v>
      </c>
      <c r="BR221" s="239">
        <v>6252</v>
      </c>
      <c r="BS221" s="239">
        <v>0</v>
      </c>
      <c r="BT221" s="239">
        <v>6252</v>
      </c>
      <c r="BU221" s="239">
        <v>-2260435</v>
      </c>
      <c r="BV221" s="239">
        <v>0</v>
      </c>
      <c r="BW221" s="239">
        <v>-2260435</v>
      </c>
      <c r="BX221" s="239">
        <v>-122234</v>
      </c>
      <c r="BY221" s="239">
        <v>0</v>
      </c>
      <c r="BZ221" s="239">
        <v>-122234</v>
      </c>
      <c r="CA221" s="239">
        <v>341</v>
      </c>
      <c r="CB221" s="239">
        <v>0</v>
      </c>
      <c r="CC221" s="239">
        <v>341</v>
      </c>
      <c r="CD221" s="239">
        <v>-635731</v>
      </c>
      <c r="CE221" s="239">
        <v>0</v>
      </c>
      <c r="CF221" s="239">
        <v>-635731</v>
      </c>
      <c r="CG221" s="239">
        <v>-1808</v>
      </c>
      <c r="CH221" s="239">
        <v>0</v>
      </c>
      <c r="CI221" s="239">
        <v>-1808</v>
      </c>
      <c r="CJ221" s="239">
        <v>-3609</v>
      </c>
      <c r="CK221" s="239">
        <v>0</v>
      </c>
      <c r="CL221" s="239">
        <v>-3609</v>
      </c>
      <c r="CM221" s="239">
        <v>0</v>
      </c>
      <c r="CN221" s="239">
        <v>0</v>
      </c>
      <c r="CO221" s="239">
        <v>0</v>
      </c>
      <c r="CP221" s="239">
        <v>0</v>
      </c>
      <c r="CQ221" s="239">
        <v>0</v>
      </c>
      <c r="CR221" s="239">
        <v>0</v>
      </c>
      <c r="CS221" s="239">
        <v>0</v>
      </c>
      <c r="CT221" s="239">
        <v>0</v>
      </c>
      <c r="CU221" s="239">
        <v>0</v>
      </c>
      <c r="CV221" s="239">
        <v>0</v>
      </c>
      <c r="CW221" s="239">
        <v>0</v>
      </c>
      <c r="CX221" s="239">
        <v>0</v>
      </c>
      <c r="CY221" s="239">
        <v>0</v>
      </c>
      <c r="CZ221" s="239">
        <v>0</v>
      </c>
      <c r="DA221" s="239">
        <v>0</v>
      </c>
      <c r="DB221" s="239">
        <v>-12039</v>
      </c>
      <c r="DC221" s="239">
        <v>-352217</v>
      </c>
      <c r="DD221" s="239">
        <v>-364256</v>
      </c>
      <c r="DE221" s="239">
        <v>0</v>
      </c>
      <c r="DF221" s="239">
        <v>-96</v>
      </c>
      <c r="DG221" s="239">
        <v>-96</v>
      </c>
      <c r="DH221" s="239">
        <v>-352313</v>
      </c>
      <c r="DI221" s="239">
        <v>0</v>
      </c>
      <c r="DJ221" s="239">
        <v>-775080</v>
      </c>
      <c r="DK221" s="239">
        <v>-352313</v>
      </c>
      <c r="DL221" s="239">
        <v>-1127393</v>
      </c>
      <c r="DM221" s="239">
        <v>-18793</v>
      </c>
      <c r="DN221" s="239">
        <v>0</v>
      </c>
      <c r="DO221" s="239">
        <v>-18793</v>
      </c>
      <c r="DP221" s="239">
        <v>0</v>
      </c>
      <c r="DQ221" s="239">
        <v>0</v>
      </c>
      <c r="DR221" s="239">
        <v>0</v>
      </c>
      <c r="DS221" s="239">
        <v>-154436</v>
      </c>
      <c r="DT221" s="239">
        <v>0</v>
      </c>
      <c r="DU221" s="239">
        <v>-154436</v>
      </c>
      <c r="DV221" s="239">
        <v>-5577</v>
      </c>
      <c r="DW221" s="239">
        <v>0</v>
      </c>
      <c r="DX221" s="239">
        <v>-5577</v>
      </c>
      <c r="DY221" s="239">
        <v>-920866</v>
      </c>
      <c r="DZ221" s="239">
        <v>0</v>
      </c>
      <c r="EA221" s="239">
        <v>-920866</v>
      </c>
      <c r="EB221" s="239">
        <v>-73318</v>
      </c>
      <c r="EC221" s="239">
        <v>0</v>
      </c>
      <c r="ED221" s="239">
        <v>-73318</v>
      </c>
      <c r="EE221" s="239">
        <v>0</v>
      </c>
      <c r="EF221" s="239">
        <v>0</v>
      </c>
      <c r="EG221" s="239">
        <v>0</v>
      </c>
      <c r="EH221" s="239">
        <v>0</v>
      </c>
      <c r="EI221" s="239">
        <v>0</v>
      </c>
      <c r="EJ221" s="239">
        <v>0</v>
      </c>
      <c r="EK221" s="239">
        <v>-5826</v>
      </c>
      <c r="EL221" s="239">
        <v>0</v>
      </c>
      <c r="EM221" s="239">
        <v>-5826</v>
      </c>
      <c r="EN221" s="239">
        <v>-1178816</v>
      </c>
      <c r="EO221" s="239">
        <v>0</v>
      </c>
      <c r="EP221" s="239">
        <v>-1178816</v>
      </c>
      <c r="EQ221" s="239">
        <v>0</v>
      </c>
      <c r="ER221" s="239">
        <v>0</v>
      </c>
      <c r="ES221" s="239">
        <v>0</v>
      </c>
      <c r="ET221" s="239">
        <v>0</v>
      </c>
      <c r="EU221" s="239">
        <v>0</v>
      </c>
      <c r="EV221" s="239">
        <v>0</v>
      </c>
      <c r="EW221" s="239">
        <v>0</v>
      </c>
      <c r="EX221" s="239">
        <v>0</v>
      </c>
      <c r="EY221" s="239">
        <v>0</v>
      </c>
      <c r="EZ221" s="239">
        <v>88137343</v>
      </c>
      <c r="FA221" s="239">
        <v>644023</v>
      </c>
      <c r="FB221" s="239">
        <v>88781366</v>
      </c>
      <c r="FC221" s="239">
        <v>96839</v>
      </c>
      <c r="FD221" s="239">
        <v>0</v>
      </c>
      <c r="FE221" s="239">
        <v>96839</v>
      </c>
      <c r="FF221" s="239">
        <v>-7784321</v>
      </c>
      <c r="FG221" s="239">
        <v>-118302</v>
      </c>
      <c r="FH221" s="239">
        <v>-7902623</v>
      </c>
      <c r="FI221" s="239">
        <v>-2260435</v>
      </c>
      <c r="FJ221" s="239">
        <v>0</v>
      </c>
      <c r="FK221" s="239">
        <v>-2260435</v>
      </c>
      <c r="FL221" s="239">
        <v>-775080</v>
      </c>
      <c r="FM221" s="239">
        <v>-352313</v>
      </c>
      <c r="FN221" s="239">
        <v>-1127393</v>
      </c>
      <c r="FO221" s="239">
        <v>-1178816</v>
      </c>
      <c r="FP221" s="239">
        <v>0</v>
      </c>
      <c r="FQ221" s="239">
        <v>-1178816</v>
      </c>
      <c r="FR221" s="239">
        <v>0</v>
      </c>
      <c r="FS221" s="239">
        <v>0</v>
      </c>
      <c r="FT221" s="239">
        <v>0</v>
      </c>
      <c r="FU221" s="239">
        <v>-11901813</v>
      </c>
      <c r="FV221" s="239">
        <v>-470615</v>
      </c>
      <c r="FW221" s="239">
        <v>-12372428</v>
      </c>
      <c r="FX221" s="239">
        <v>76235530</v>
      </c>
      <c r="FY221" s="239">
        <v>173408</v>
      </c>
      <c r="FZ221" s="239">
        <v>76408938</v>
      </c>
      <c r="GA221" s="214" t="s">
        <v>1296</v>
      </c>
    </row>
    <row r="222" spans="2:183" s="214" customFormat="1" x14ac:dyDescent="0.2">
      <c r="B222" s="610" t="s">
        <v>527</v>
      </c>
      <c r="C222" s="610" t="s">
        <v>526</v>
      </c>
      <c r="D222" s="239">
        <v>0</v>
      </c>
      <c r="E222" s="239">
        <v>0</v>
      </c>
      <c r="F222" s="239">
        <v>0</v>
      </c>
      <c r="G222" s="239">
        <v>24564.17</v>
      </c>
      <c r="H222" s="239">
        <v>0</v>
      </c>
      <c r="I222" s="239">
        <v>24564.17</v>
      </c>
      <c r="J222" s="239">
        <v>0</v>
      </c>
      <c r="K222" s="239">
        <v>0</v>
      </c>
      <c r="L222" s="239">
        <v>0</v>
      </c>
      <c r="M222" s="239">
        <v>199667.25</v>
      </c>
      <c r="N222" s="239">
        <v>0</v>
      </c>
      <c r="O222" s="239">
        <v>199667.25</v>
      </c>
      <c r="P222" s="239">
        <v>224231</v>
      </c>
      <c r="Q222" s="239">
        <v>0</v>
      </c>
      <c r="R222" s="239">
        <v>224231</v>
      </c>
      <c r="S222" s="239">
        <v>-1878858</v>
      </c>
      <c r="T222" s="239">
        <v>0</v>
      </c>
      <c r="U222" s="239">
        <v>-1878858</v>
      </c>
      <c r="V222" s="239">
        <v>0</v>
      </c>
      <c r="W222" s="239">
        <v>0</v>
      </c>
      <c r="X222" s="239">
        <v>0</v>
      </c>
      <c r="Y222" s="239">
        <v>-85126</v>
      </c>
      <c r="Z222" s="239">
        <v>0</v>
      </c>
      <c r="AA222" s="239">
        <v>-85126</v>
      </c>
      <c r="AB222" s="239">
        <v>0</v>
      </c>
      <c r="AC222" s="239">
        <v>0</v>
      </c>
      <c r="AD222" s="239">
        <v>0</v>
      </c>
      <c r="AE222" s="239">
        <v>0</v>
      </c>
      <c r="AF222" s="239">
        <v>0</v>
      </c>
      <c r="AG222" s="239">
        <v>0</v>
      </c>
      <c r="AH222" s="239">
        <v>1278182</v>
      </c>
      <c r="AI222" s="239">
        <v>0</v>
      </c>
      <c r="AJ222" s="239">
        <v>1278182</v>
      </c>
      <c r="AK222" s="239">
        <v>-34783.300000000003</v>
      </c>
      <c r="AL222" s="239">
        <v>0</v>
      </c>
      <c r="AM222" s="239">
        <v>-34783.300000000003</v>
      </c>
      <c r="AN222" s="239">
        <v>-2755959</v>
      </c>
      <c r="AO222" s="239">
        <v>0</v>
      </c>
      <c r="AP222" s="239">
        <v>-2755959</v>
      </c>
      <c r="AQ222" s="239">
        <v>57470.37</v>
      </c>
      <c r="AR222" s="239">
        <v>0</v>
      </c>
      <c r="AS222" s="239">
        <v>57470.37</v>
      </c>
      <c r="AT222" s="239">
        <v>-75271</v>
      </c>
      <c r="AU222" s="239">
        <v>0</v>
      </c>
      <c r="AV222" s="239">
        <v>-75271</v>
      </c>
      <c r="AW222" s="239">
        <v>319</v>
      </c>
      <c r="AX222" s="239">
        <v>0</v>
      </c>
      <c r="AY222" s="239">
        <v>319</v>
      </c>
      <c r="AZ222" s="239">
        <v>-12439</v>
      </c>
      <c r="BA222" s="239">
        <v>0</v>
      </c>
      <c r="BB222" s="239">
        <v>-12439</v>
      </c>
      <c r="BC222" s="239">
        <v>0</v>
      </c>
      <c r="BD222" s="239">
        <v>0</v>
      </c>
      <c r="BE222" s="239">
        <v>0</v>
      </c>
      <c r="BF222" s="239">
        <v>-3506465</v>
      </c>
      <c r="BG222" s="239">
        <v>0</v>
      </c>
      <c r="BH222" s="239">
        <v>-3506465</v>
      </c>
      <c r="BI222" s="239">
        <v>-154227</v>
      </c>
      <c r="BJ222" s="239">
        <v>0</v>
      </c>
      <c r="BK222" s="239">
        <v>-154227</v>
      </c>
      <c r="BL222" s="239">
        <v>-140737</v>
      </c>
      <c r="BM222" s="239">
        <v>0</v>
      </c>
      <c r="BN222" s="239">
        <v>-140737</v>
      </c>
      <c r="BO222" s="239">
        <v>-1392724</v>
      </c>
      <c r="BP222" s="239">
        <v>0</v>
      </c>
      <c r="BQ222" s="239">
        <v>-1392724</v>
      </c>
      <c r="BR222" s="239">
        <v>61818</v>
      </c>
      <c r="BS222" s="239">
        <v>0</v>
      </c>
      <c r="BT222" s="239">
        <v>61818</v>
      </c>
      <c r="BU222" s="239">
        <v>-1625870</v>
      </c>
      <c r="BV222" s="239">
        <v>0</v>
      </c>
      <c r="BW222" s="239">
        <v>-1625870</v>
      </c>
      <c r="BX222" s="239">
        <v>-94325</v>
      </c>
      <c r="BY222" s="239">
        <v>0</v>
      </c>
      <c r="BZ222" s="239">
        <v>-94325</v>
      </c>
      <c r="CA222" s="239">
        <v>-198</v>
      </c>
      <c r="CB222" s="239">
        <v>0</v>
      </c>
      <c r="CC222" s="239">
        <v>-198</v>
      </c>
      <c r="CD222" s="239">
        <v>-21746</v>
      </c>
      <c r="CE222" s="239">
        <v>0</v>
      </c>
      <c r="CF222" s="239">
        <v>-21746</v>
      </c>
      <c r="CG222" s="239">
        <v>1000</v>
      </c>
      <c r="CH222" s="239">
        <v>0</v>
      </c>
      <c r="CI222" s="239">
        <v>1000</v>
      </c>
      <c r="CJ222" s="239">
        <v>0</v>
      </c>
      <c r="CK222" s="239">
        <v>0</v>
      </c>
      <c r="CL222" s="239">
        <v>0</v>
      </c>
      <c r="CM222" s="239">
        <v>0</v>
      </c>
      <c r="CN222" s="239">
        <v>0</v>
      </c>
      <c r="CO222" s="239">
        <v>0</v>
      </c>
      <c r="CP222" s="239">
        <v>0</v>
      </c>
      <c r="CQ222" s="239">
        <v>0</v>
      </c>
      <c r="CR222" s="239">
        <v>0</v>
      </c>
      <c r="CS222" s="239">
        <v>0</v>
      </c>
      <c r="CT222" s="239">
        <v>0</v>
      </c>
      <c r="CU222" s="239">
        <v>0</v>
      </c>
      <c r="CV222" s="239">
        <v>0</v>
      </c>
      <c r="CW222" s="239">
        <v>0</v>
      </c>
      <c r="CX222" s="239">
        <v>0</v>
      </c>
      <c r="CY222" s="239">
        <v>0</v>
      </c>
      <c r="CZ222" s="239">
        <v>0</v>
      </c>
      <c r="DA222" s="239">
        <v>0</v>
      </c>
      <c r="DB222" s="239">
        <v>0</v>
      </c>
      <c r="DC222" s="239">
        <v>0</v>
      </c>
      <c r="DD222" s="239">
        <v>0</v>
      </c>
      <c r="DE222" s="239">
        <v>0</v>
      </c>
      <c r="DF222" s="239">
        <v>0</v>
      </c>
      <c r="DG222" s="239">
        <v>0</v>
      </c>
      <c r="DH222" s="239">
        <v>0</v>
      </c>
      <c r="DI222" s="239">
        <v>0</v>
      </c>
      <c r="DJ222" s="239">
        <v>-115269</v>
      </c>
      <c r="DK222" s="239">
        <v>0</v>
      </c>
      <c r="DL222" s="239">
        <v>-115269</v>
      </c>
      <c r="DM222" s="239">
        <v>-173004</v>
      </c>
      <c r="DN222" s="239">
        <v>0</v>
      </c>
      <c r="DO222" s="239">
        <v>-173004</v>
      </c>
      <c r="DP222" s="239">
        <v>990</v>
      </c>
      <c r="DQ222" s="239">
        <v>0</v>
      </c>
      <c r="DR222" s="239">
        <v>990</v>
      </c>
      <c r="DS222" s="239">
        <v>-20177</v>
      </c>
      <c r="DT222" s="239">
        <v>0</v>
      </c>
      <c r="DU222" s="239">
        <v>-20177</v>
      </c>
      <c r="DV222" s="239">
        <v>-4528</v>
      </c>
      <c r="DW222" s="239">
        <v>0</v>
      </c>
      <c r="DX222" s="239">
        <v>-4528</v>
      </c>
      <c r="DY222" s="239">
        <v>-433136</v>
      </c>
      <c r="DZ222" s="239">
        <v>0</v>
      </c>
      <c r="EA222" s="239">
        <v>-433136</v>
      </c>
      <c r="EB222" s="239">
        <v>-36795</v>
      </c>
      <c r="EC222" s="239">
        <v>0</v>
      </c>
      <c r="ED222" s="239">
        <v>-36795</v>
      </c>
      <c r="EE222" s="239">
        <v>0</v>
      </c>
      <c r="EF222" s="239">
        <v>0</v>
      </c>
      <c r="EG222" s="239">
        <v>0</v>
      </c>
      <c r="EH222" s="239">
        <v>0</v>
      </c>
      <c r="EI222" s="239">
        <v>0</v>
      </c>
      <c r="EJ222" s="239">
        <v>0</v>
      </c>
      <c r="EK222" s="239">
        <v>-1300</v>
      </c>
      <c r="EL222" s="239">
        <v>0</v>
      </c>
      <c r="EM222" s="239">
        <v>-1300</v>
      </c>
      <c r="EN222" s="239">
        <v>-667950</v>
      </c>
      <c r="EO222" s="239">
        <v>0</v>
      </c>
      <c r="EP222" s="239">
        <v>-667950</v>
      </c>
      <c r="EQ222" s="239">
        <v>0</v>
      </c>
      <c r="ER222" s="239">
        <v>0</v>
      </c>
      <c r="ES222" s="239">
        <v>0</v>
      </c>
      <c r="ET222" s="239">
        <v>0</v>
      </c>
      <c r="EU222" s="239">
        <v>0</v>
      </c>
      <c r="EV222" s="239">
        <v>0</v>
      </c>
      <c r="EW222" s="239">
        <v>0</v>
      </c>
      <c r="EX222" s="239">
        <v>0</v>
      </c>
      <c r="EY222" s="239">
        <v>0</v>
      </c>
      <c r="EZ222" s="239">
        <v>51013019</v>
      </c>
      <c r="FA222" s="239">
        <v>0</v>
      </c>
      <c r="FB222" s="239">
        <v>51013019</v>
      </c>
      <c r="FC222" s="239">
        <v>224231</v>
      </c>
      <c r="FD222" s="239">
        <v>0</v>
      </c>
      <c r="FE222" s="239">
        <v>224231</v>
      </c>
      <c r="FF222" s="239">
        <v>-3506465</v>
      </c>
      <c r="FG222" s="239">
        <v>0</v>
      </c>
      <c r="FH222" s="239">
        <v>-3506465</v>
      </c>
      <c r="FI222" s="239">
        <v>-1625870</v>
      </c>
      <c r="FJ222" s="239">
        <v>0</v>
      </c>
      <c r="FK222" s="239">
        <v>-1625870</v>
      </c>
      <c r="FL222" s="239">
        <v>-115269</v>
      </c>
      <c r="FM222" s="239">
        <v>0</v>
      </c>
      <c r="FN222" s="239">
        <v>-115269</v>
      </c>
      <c r="FO222" s="239">
        <v>-667950</v>
      </c>
      <c r="FP222" s="239">
        <v>0</v>
      </c>
      <c r="FQ222" s="239">
        <v>-667950</v>
      </c>
      <c r="FR222" s="239">
        <v>0</v>
      </c>
      <c r="FS222" s="239">
        <v>0</v>
      </c>
      <c r="FT222" s="239">
        <v>0</v>
      </c>
      <c r="FU222" s="239">
        <v>-5691323</v>
      </c>
      <c r="FV222" s="239">
        <v>0</v>
      </c>
      <c r="FW222" s="239">
        <v>-5691323</v>
      </c>
      <c r="FX222" s="239">
        <v>45321696</v>
      </c>
      <c r="FY222" s="239">
        <v>0</v>
      </c>
      <c r="FZ222" s="239">
        <v>45321696</v>
      </c>
      <c r="GA222" s="214" t="s">
        <v>1294</v>
      </c>
    </row>
    <row r="223" spans="2:183" s="214" customFormat="1" x14ac:dyDescent="0.2">
      <c r="B223" s="610" t="s">
        <v>529</v>
      </c>
      <c r="C223" s="610" t="s">
        <v>528</v>
      </c>
      <c r="D223" s="239">
        <v>0</v>
      </c>
      <c r="E223" s="239">
        <v>0</v>
      </c>
      <c r="F223" s="239">
        <v>0</v>
      </c>
      <c r="G223" s="239">
        <v>-30301</v>
      </c>
      <c r="H223" s="239">
        <v>0</v>
      </c>
      <c r="I223" s="239">
        <v>-30301</v>
      </c>
      <c r="J223" s="239">
        <v>0</v>
      </c>
      <c r="K223" s="239">
        <v>0</v>
      </c>
      <c r="L223" s="239">
        <v>0</v>
      </c>
      <c r="M223" s="239">
        <v>27268</v>
      </c>
      <c r="N223" s="239">
        <v>0</v>
      </c>
      <c r="O223" s="239">
        <v>27268</v>
      </c>
      <c r="P223" s="239">
        <v>-3033</v>
      </c>
      <c r="Q223" s="239">
        <v>0</v>
      </c>
      <c r="R223" s="239">
        <v>-3033</v>
      </c>
      <c r="S223" s="239">
        <v>-1317403</v>
      </c>
      <c r="T223" s="239">
        <v>0</v>
      </c>
      <c r="U223" s="239">
        <v>-1317403</v>
      </c>
      <c r="V223" s="239">
        <v>0</v>
      </c>
      <c r="W223" s="239">
        <v>0</v>
      </c>
      <c r="X223" s="239">
        <v>0</v>
      </c>
      <c r="Y223" s="239">
        <v>-59755</v>
      </c>
      <c r="Z223" s="239">
        <v>0</v>
      </c>
      <c r="AA223" s="239">
        <v>-59755</v>
      </c>
      <c r="AB223" s="239">
        <v>0</v>
      </c>
      <c r="AC223" s="239">
        <v>0</v>
      </c>
      <c r="AD223" s="239">
        <v>0</v>
      </c>
      <c r="AE223" s="239">
        <v>0</v>
      </c>
      <c r="AF223" s="239">
        <v>0</v>
      </c>
      <c r="AG223" s="239">
        <v>0</v>
      </c>
      <c r="AH223" s="239">
        <v>1262049</v>
      </c>
      <c r="AI223" s="239">
        <v>0</v>
      </c>
      <c r="AJ223" s="239">
        <v>1262049</v>
      </c>
      <c r="AK223" s="239">
        <v>-27517.61</v>
      </c>
      <c r="AL223" s="239">
        <v>0</v>
      </c>
      <c r="AM223" s="239">
        <v>-27517.61</v>
      </c>
      <c r="AN223" s="239">
        <v>-3160946</v>
      </c>
      <c r="AO223" s="239">
        <v>0</v>
      </c>
      <c r="AP223" s="239">
        <v>-3160946</v>
      </c>
      <c r="AQ223" s="239">
        <v>-243373.68</v>
      </c>
      <c r="AR223" s="239">
        <v>0</v>
      </c>
      <c r="AS223" s="239">
        <v>-243373.68</v>
      </c>
      <c r="AT223" s="239">
        <v>-37632</v>
      </c>
      <c r="AU223" s="239">
        <v>0</v>
      </c>
      <c r="AV223" s="239">
        <v>-37632</v>
      </c>
      <c r="AW223" s="239">
        <v>410</v>
      </c>
      <c r="AX223" s="239">
        <v>0</v>
      </c>
      <c r="AY223" s="239">
        <v>410</v>
      </c>
      <c r="AZ223" s="239">
        <v>-1680</v>
      </c>
      <c r="BA223" s="239">
        <v>0</v>
      </c>
      <c r="BB223" s="239">
        <v>-1680</v>
      </c>
      <c r="BC223" s="239">
        <v>0</v>
      </c>
      <c r="BD223" s="239">
        <v>0</v>
      </c>
      <c r="BE223" s="239">
        <v>0</v>
      </c>
      <c r="BF223" s="239">
        <v>-3585848</v>
      </c>
      <c r="BG223" s="239">
        <v>0</v>
      </c>
      <c r="BH223" s="239">
        <v>-3585848</v>
      </c>
      <c r="BI223" s="239">
        <v>0</v>
      </c>
      <c r="BJ223" s="239">
        <v>0</v>
      </c>
      <c r="BK223" s="239">
        <v>0</v>
      </c>
      <c r="BL223" s="239">
        <v>-3782</v>
      </c>
      <c r="BM223" s="239">
        <v>0</v>
      </c>
      <c r="BN223" s="239">
        <v>-3782</v>
      </c>
      <c r="BO223" s="239">
        <v>-1441581</v>
      </c>
      <c r="BP223" s="239">
        <v>0</v>
      </c>
      <c r="BQ223" s="239">
        <v>-1441581</v>
      </c>
      <c r="BR223" s="239">
        <v>-95496.27</v>
      </c>
      <c r="BS223" s="239">
        <v>0</v>
      </c>
      <c r="BT223" s="239">
        <v>-95496.27</v>
      </c>
      <c r="BU223" s="239">
        <v>-1540859</v>
      </c>
      <c r="BV223" s="239">
        <v>0</v>
      </c>
      <c r="BW223" s="239">
        <v>-1540859</v>
      </c>
      <c r="BX223" s="239">
        <v>-20761</v>
      </c>
      <c r="BY223" s="239">
        <v>0</v>
      </c>
      <c r="BZ223" s="239">
        <v>-20761</v>
      </c>
      <c r="CA223" s="239">
        <v>-108</v>
      </c>
      <c r="CB223" s="239">
        <v>0</v>
      </c>
      <c r="CC223" s="239">
        <v>-108</v>
      </c>
      <c r="CD223" s="239">
        <v>-280</v>
      </c>
      <c r="CE223" s="239">
        <v>0</v>
      </c>
      <c r="CF223" s="239">
        <v>-280</v>
      </c>
      <c r="CG223" s="239">
        <v>0</v>
      </c>
      <c r="CH223" s="239">
        <v>0</v>
      </c>
      <c r="CI223" s="239">
        <v>0</v>
      </c>
      <c r="CJ223" s="239">
        <v>0</v>
      </c>
      <c r="CK223" s="239">
        <v>0</v>
      </c>
      <c r="CL223" s="239">
        <v>0</v>
      </c>
      <c r="CM223" s="239">
        <v>0</v>
      </c>
      <c r="CN223" s="239">
        <v>0</v>
      </c>
      <c r="CO223" s="239">
        <v>0</v>
      </c>
      <c r="CP223" s="239">
        <v>0</v>
      </c>
      <c r="CQ223" s="239">
        <v>0</v>
      </c>
      <c r="CR223" s="239">
        <v>0</v>
      </c>
      <c r="CS223" s="239">
        <v>0</v>
      </c>
      <c r="CT223" s="239">
        <v>0</v>
      </c>
      <c r="CU223" s="239">
        <v>0</v>
      </c>
      <c r="CV223" s="239">
        <v>-2530</v>
      </c>
      <c r="CW223" s="239">
        <v>0</v>
      </c>
      <c r="CX223" s="239">
        <v>-2530</v>
      </c>
      <c r="CY223" s="239">
        <v>0</v>
      </c>
      <c r="CZ223" s="239">
        <v>0</v>
      </c>
      <c r="DA223" s="239">
        <v>0</v>
      </c>
      <c r="DB223" s="239">
        <v>0</v>
      </c>
      <c r="DC223" s="239">
        <v>0</v>
      </c>
      <c r="DD223" s="239">
        <v>0</v>
      </c>
      <c r="DE223" s="239">
        <v>0</v>
      </c>
      <c r="DF223" s="239">
        <v>0</v>
      </c>
      <c r="DG223" s="239">
        <v>0</v>
      </c>
      <c r="DH223" s="239">
        <v>0</v>
      </c>
      <c r="DI223" s="239">
        <v>0</v>
      </c>
      <c r="DJ223" s="239">
        <v>-23679</v>
      </c>
      <c r="DK223" s="239">
        <v>0</v>
      </c>
      <c r="DL223" s="239">
        <v>-23679</v>
      </c>
      <c r="DM223" s="239">
        <v>0</v>
      </c>
      <c r="DN223" s="239">
        <v>0</v>
      </c>
      <c r="DO223" s="239">
        <v>0</v>
      </c>
      <c r="DP223" s="239">
        <v>0</v>
      </c>
      <c r="DQ223" s="239">
        <v>0</v>
      </c>
      <c r="DR223" s="239">
        <v>0</v>
      </c>
      <c r="DS223" s="239">
        <v>-1528</v>
      </c>
      <c r="DT223" s="239">
        <v>0</v>
      </c>
      <c r="DU223" s="239">
        <v>-1528</v>
      </c>
      <c r="DV223" s="239">
        <v>0</v>
      </c>
      <c r="DW223" s="239">
        <v>0</v>
      </c>
      <c r="DX223" s="239">
        <v>0</v>
      </c>
      <c r="DY223" s="239">
        <v>-4799721</v>
      </c>
      <c r="DZ223" s="239">
        <v>0</v>
      </c>
      <c r="EA223" s="239">
        <v>-4799721</v>
      </c>
      <c r="EB223" s="239">
        <v>4307810.21</v>
      </c>
      <c r="EC223" s="239">
        <v>0</v>
      </c>
      <c r="ED223" s="239">
        <v>4307810.21</v>
      </c>
      <c r="EE223" s="239">
        <v>0</v>
      </c>
      <c r="EF223" s="239">
        <v>0</v>
      </c>
      <c r="EG223" s="239">
        <v>0</v>
      </c>
      <c r="EH223" s="239">
        <v>7717.9500000000116</v>
      </c>
      <c r="EI223" s="239">
        <v>0</v>
      </c>
      <c r="EJ223" s="239">
        <v>7717.9500000000116</v>
      </c>
      <c r="EK223" s="239">
        <v>0</v>
      </c>
      <c r="EL223" s="239">
        <v>0</v>
      </c>
      <c r="EM223" s="239">
        <v>0</v>
      </c>
      <c r="EN223" s="239">
        <v>-485721</v>
      </c>
      <c r="EO223" s="239">
        <v>0</v>
      </c>
      <c r="EP223" s="239">
        <v>-485721</v>
      </c>
      <c r="EQ223" s="239">
        <v>0</v>
      </c>
      <c r="ER223" s="239">
        <v>0</v>
      </c>
      <c r="ES223" s="239">
        <v>0</v>
      </c>
      <c r="ET223" s="239">
        <v>0</v>
      </c>
      <c r="EU223" s="239">
        <v>0</v>
      </c>
      <c r="EV223" s="239">
        <v>0</v>
      </c>
      <c r="EW223" s="239">
        <v>0</v>
      </c>
      <c r="EX223" s="239">
        <v>0</v>
      </c>
      <c r="EY223" s="239">
        <v>0</v>
      </c>
      <c r="EZ223" s="239">
        <v>51799185</v>
      </c>
      <c r="FA223" s="239">
        <v>0</v>
      </c>
      <c r="FB223" s="239">
        <v>51799185</v>
      </c>
      <c r="FC223" s="239">
        <v>-3033</v>
      </c>
      <c r="FD223" s="239">
        <v>0</v>
      </c>
      <c r="FE223" s="239">
        <v>-3033</v>
      </c>
      <c r="FF223" s="239">
        <v>-3585848</v>
      </c>
      <c r="FG223" s="239">
        <v>0</v>
      </c>
      <c r="FH223" s="239">
        <v>-3585848</v>
      </c>
      <c r="FI223" s="239">
        <v>-1540859</v>
      </c>
      <c r="FJ223" s="239">
        <v>0</v>
      </c>
      <c r="FK223" s="239">
        <v>-1540859</v>
      </c>
      <c r="FL223" s="239">
        <v>-23679</v>
      </c>
      <c r="FM223" s="239">
        <v>0</v>
      </c>
      <c r="FN223" s="239">
        <v>-23679</v>
      </c>
      <c r="FO223" s="239">
        <v>-485721</v>
      </c>
      <c r="FP223" s="239">
        <v>0</v>
      </c>
      <c r="FQ223" s="239">
        <v>-485721</v>
      </c>
      <c r="FR223" s="239">
        <v>0</v>
      </c>
      <c r="FS223" s="239">
        <v>0</v>
      </c>
      <c r="FT223" s="239">
        <v>0</v>
      </c>
      <c r="FU223" s="239">
        <v>-5639140</v>
      </c>
      <c r="FV223" s="239">
        <v>0</v>
      </c>
      <c r="FW223" s="239">
        <v>-5639140</v>
      </c>
      <c r="FX223" s="239">
        <v>46160045</v>
      </c>
      <c r="FY223" s="239">
        <v>0</v>
      </c>
      <c r="FZ223" s="239">
        <v>46160045</v>
      </c>
      <c r="GA223" s="214" t="s">
        <v>1294</v>
      </c>
    </row>
    <row r="224" spans="2:183" s="214" customFormat="1" x14ac:dyDescent="0.2">
      <c r="B224" s="610" t="s">
        <v>531</v>
      </c>
      <c r="C224" s="610" t="s">
        <v>530</v>
      </c>
      <c r="D224" s="239">
        <v>0</v>
      </c>
      <c r="E224" s="239">
        <v>0</v>
      </c>
      <c r="F224" s="239">
        <v>0</v>
      </c>
      <c r="G224" s="239">
        <v>71134</v>
      </c>
      <c r="H224" s="239">
        <v>0</v>
      </c>
      <c r="I224" s="239">
        <v>71134</v>
      </c>
      <c r="J224" s="239">
        <v>0</v>
      </c>
      <c r="K224" s="239">
        <v>0</v>
      </c>
      <c r="L224" s="239">
        <v>0</v>
      </c>
      <c r="M224" s="239">
        <v>42960</v>
      </c>
      <c r="N224" s="239">
        <v>0</v>
      </c>
      <c r="O224" s="239">
        <v>42960</v>
      </c>
      <c r="P224" s="239">
        <v>114094</v>
      </c>
      <c r="Q224" s="239">
        <v>0</v>
      </c>
      <c r="R224" s="239">
        <v>114094</v>
      </c>
      <c r="S224" s="239">
        <v>-1982752</v>
      </c>
      <c r="T224" s="239">
        <v>0</v>
      </c>
      <c r="U224" s="239">
        <v>-1982752</v>
      </c>
      <c r="V224" s="239">
        <v>-5534</v>
      </c>
      <c r="W224" s="239">
        <v>0</v>
      </c>
      <c r="X224" s="239">
        <v>-5534</v>
      </c>
      <c r="Y224" s="239">
        <v>-62321</v>
      </c>
      <c r="Z224" s="239">
        <v>0</v>
      </c>
      <c r="AA224" s="239">
        <v>-62321</v>
      </c>
      <c r="AB224" s="239">
        <v>-61666</v>
      </c>
      <c r="AC224" s="239">
        <v>0</v>
      </c>
      <c r="AD224" s="239">
        <v>-61666</v>
      </c>
      <c r="AE224" s="239">
        <v>-655</v>
      </c>
      <c r="AF224" s="239">
        <v>0</v>
      </c>
      <c r="AG224" s="239">
        <v>-655</v>
      </c>
      <c r="AH224" s="239">
        <v>764621</v>
      </c>
      <c r="AI224" s="239">
        <v>0</v>
      </c>
      <c r="AJ224" s="239">
        <v>764621</v>
      </c>
      <c r="AK224" s="239">
        <v>-16076</v>
      </c>
      <c r="AL224" s="239">
        <v>0</v>
      </c>
      <c r="AM224" s="239">
        <v>-16076</v>
      </c>
      <c r="AN224" s="239">
        <v>-2698236</v>
      </c>
      <c r="AO224" s="239">
        <v>0</v>
      </c>
      <c r="AP224" s="239">
        <v>-2698236</v>
      </c>
      <c r="AQ224" s="239">
        <v>49411</v>
      </c>
      <c r="AR224" s="239">
        <v>0</v>
      </c>
      <c r="AS224" s="239">
        <v>49411</v>
      </c>
      <c r="AT224" s="239">
        <v>-87486</v>
      </c>
      <c r="AU224" s="239">
        <v>0</v>
      </c>
      <c r="AV224" s="239">
        <v>-87486</v>
      </c>
      <c r="AW224" s="239">
        <v>-19589.2</v>
      </c>
      <c r="AX224" s="239">
        <v>0</v>
      </c>
      <c r="AY224" s="239">
        <v>-19589.2</v>
      </c>
      <c r="AZ224" s="239">
        <v>-5870</v>
      </c>
      <c r="BA224" s="239">
        <v>0</v>
      </c>
      <c r="BB224" s="239">
        <v>-5870</v>
      </c>
      <c r="BC224" s="239">
        <v>1997</v>
      </c>
      <c r="BD224" s="239">
        <v>0</v>
      </c>
      <c r="BE224" s="239">
        <v>1997</v>
      </c>
      <c r="BF224" s="239">
        <v>-4056301</v>
      </c>
      <c r="BG224" s="239">
        <v>0</v>
      </c>
      <c r="BH224" s="239">
        <v>-4056301</v>
      </c>
      <c r="BI224" s="239">
        <v>0</v>
      </c>
      <c r="BJ224" s="239">
        <v>0</v>
      </c>
      <c r="BK224" s="239">
        <v>0</v>
      </c>
      <c r="BL224" s="239">
        <v>-31182</v>
      </c>
      <c r="BM224" s="239">
        <v>0</v>
      </c>
      <c r="BN224" s="239">
        <v>-31182</v>
      </c>
      <c r="BO224" s="239">
        <v>-349275</v>
      </c>
      <c r="BP224" s="239">
        <v>0</v>
      </c>
      <c r="BQ224" s="239">
        <v>-349275</v>
      </c>
      <c r="BR224" s="239">
        <v>4679</v>
      </c>
      <c r="BS224" s="239">
        <v>0</v>
      </c>
      <c r="BT224" s="239">
        <v>4679</v>
      </c>
      <c r="BU224" s="239">
        <v>-375778</v>
      </c>
      <c r="BV224" s="239">
        <v>0</v>
      </c>
      <c r="BW224" s="239">
        <v>-375778</v>
      </c>
      <c r="BX224" s="239">
        <v>-19950</v>
      </c>
      <c r="BY224" s="239">
        <v>0</v>
      </c>
      <c r="BZ224" s="239">
        <v>-19950</v>
      </c>
      <c r="CA224" s="239">
        <v>-1322</v>
      </c>
      <c r="CB224" s="239">
        <v>0</v>
      </c>
      <c r="CC224" s="239">
        <v>-1322</v>
      </c>
      <c r="CD224" s="239">
        <v>-333222</v>
      </c>
      <c r="CE224" s="239">
        <v>0</v>
      </c>
      <c r="CF224" s="239">
        <v>-333222</v>
      </c>
      <c r="CG224" s="239">
        <v>16681</v>
      </c>
      <c r="CH224" s="239">
        <v>0</v>
      </c>
      <c r="CI224" s="239">
        <v>16681</v>
      </c>
      <c r="CJ224" s="239">
        <v>0</v>
      </c>
      <c r="CK224" s="239">
        <v>0</v>
      </c>
      <c r="CL224" s="239">
        <v>0</v>
      </c>
      <c r="CM224" s="239">
        <v>0</v>
      </c>
      <c r="CN224" s="239">
        <v>0</v>
      </c>
      <c r="CO224" s="239">
        <v>0</v>
      </c>
      <c r="CP224" s="239">
        <v>-444</v>
      </c>
      <c r="CQ224" s="239">
        <v>0</v>
      </c>
      <c r="CR224" s="239">
        <v>-444</v>
      </c>
      <c r="CS224" s="239">
        <v>-2</v>
      </c>
      <c r="CT224" s="239">
        <v>0</v>
      </c>
      <c r="CU224" s="239">
        <v>-2</v>
      </c>
      <c r="CV224" s="239">
        <v>-1242</v>
      </c>
      <c r="CW224" s="239">
        <v>0</v>
      </c>
      <c r="CX224" s="239">
        <v>-1242</v>
      </c>
      <c r="CY224" s="239">
        <v>0</v>
      </c>
      <c r="CZ224" s="239">
        <v>0</v>
      </c>
      <c r="DA224" s="239">
        <v>0</v>
      </c>
      <c r="DB224" s="239">
        <v>0</v>
      </c>
      <c r="DC224" s="239">
        <v>0</v>
      </c>
      <c r="DD224" s="239">
        <v>0</v>
      </c>
      <c r="DE224" s="239">
        <v>0</v>
      </c>
      <c r="DF224" s="239">
        <v>0</v>
      </c>
      <c r="DG224" s="239">
        <v>0</v>
      </c>
      <c r="DH224" s="239">
        <v>0</v>
      </c>
      <c r="DI224" s="239">
        <v>0</v>
      </c>
      <c r="DJ224" s="239">
        <v>-339501</v>
      </c>
      <c r="DK224" s="239">
        <v>0</v>
      </c>
      <c r="DL224" s="239">
        <v>-339501</v>
      </c>
      <c r="DM224" s="239">
        <v>0</v>
      </c>
      <c r="DN224" s="239">
        <v>0</v>
      </c>
      <c r="DO224" s="239">
        <v>0</v>
      </c>
      <c r="DP224" s="239">
        <v>0</v>
      </c>
      <c r="DQ224" s="239">
        <v>0</v>
      </c>
      <c r="DR224" s="239">
        <v>0</v>
      </c>
      <c r="DS224" s="239">
        <v>-13927</v>
      </c>
      <c r="DT224" s="239">
        <v>0</v>
      </c>
      <c r="DU224" s="239">
        <v>-13927</v>
      </c>
      <c r="DV224" s="239">
        <v>-2574</v>
      </c>
      <c r="DW224" s="239">
        <v>0</v>
      </c>
      <c r="DX224" s="239">
        <v>-2574</v>
      </c>
      <c r="DY224" s="239">
        <v>-388219</v>
      </c>
      <c r="DZ224" s="239">
        <v>0</v>
      </c>
      <c r="EA224" s="239">
        <v>-388219</v>
      </c>
      <c r="EB224" s="239">
        <v>8991</v>
      </c>
      <c r="EC224" s="239">
        <v>0</v>
      </c>
      <c r="ED224" s="239">
        <v>8991</v>
      </c>
      <c r="EE224" s="239">
        <v>0</v>
      </c>
      <c r="EF224" s="239">
        <v>0</v>
      </c>
      <c r="EG224" s="239">
        <v>0</v>
      </c>
      <c r="EH224" s="239">
        <v>0</v>
      </c>
      <c r="EI224" s="239">
        <v>0</v>
      </c>
      <c r="EJ224" s="239">
        <v>0</v>
      </c>
      <c r="EK224" s="239">
        <v>-7029</v>
      </c>
      <c r="EL224" s="239">
        <v>0</v>
      </c>
      <c r="EM224" s="239">
        <v>-7029</v>
      </c>
      <c r="EN224" s="239">
        <v>-402758</v>
      </c>
      <c r="EO224" s="239">
        <v>0</v>
      </c>
      <c r="EP224" s="239">
        <v>-402758</v>
      </c>
      <c r="EQ224" s="239">
        <v>0</v>
      </c>
      <c r="ER224" s="239">
        <v>0</v>
      </c>
      <c r="ES224" s="239">
        <v>0</v>
      </c>
      <c r="ET224" s="239">
        <v>0</v>
      </c>
      <c r="EU224" s="239">
        <v>0</v>
      </c>
      <c r="EV224" s="239">
        <v>0</v>
      </c>
      <c r="EW224" s="239">
        <v>0</v>
      </c>
      <c r="EX224" s="239">
        <v>0</v>
      </c>
      <c r="EY224" s="239">
        <v>0</v>
      </c>
      <c r="EZ224" s="239">
        <v>32698196</v>
      </c>
      <c r="FA224" s="239">
        <v>0</v>
      </c>
      <c r="FB224" s="239">
        <v>32698196</v>
      </c>
      <c r="FC224" s="239">
        <v>114094</v>
      </c>
      <c r="FD224" s="239">
        <v>0</v>
      </c>
      <c r="FE224" s="239">
        <v>114094</v>
      </c>
      <c r="FF224" s="239">
        <v>-4056301</v>
      </c>
      <c r="FG224" s="239">
        <v>0</v>
      </c>
      <c r="FH224" s="239">
        <v>-4056301</v>
      </c>
      <c r="FI224" s="239">
        <v>-375778</v>
      </c>
      <c r="FJ224" s="239">
        <v>0</v>
      </c>
      <c r="FK224" s="239">
        <v>-375778</v>
      </c>
      <c r="FL224" s="239">
        <v>-339501</v>
      </c>
      <c r="FM224" s="239">
        <v>0</v>
      </c>
      <c r="FN224" s="239">
        <v>-339501</v>
      </c>
      <c r="FO224" s="239">
        <v>-402758</v>
      </c>
      <c r="FP224" s="239">
        <v>0</v>
      </c>
      <c r="FQ224" s="239">
        <v>-402758</v>
      </c>
      <c r="FR224" s="239">
        <v>0</v>
      </c>
      <c r="FS224" s="239">
        <v>0</v>
      </c>
      <c r="FT224" s="239">
        <v>0</v>
      </c>
      <c r="FU224" s="239">
        <v>-5060244</v>
      </c>
      <c r="FV224" s="239">
        <v>0</v>
      </c>
      <c r="FW224" s="239">
        <v>-5060244</v>
      </c>
      <c r="FX224" s="239">
        <v>27637952</v>
      </c>
      <c r="FY224" s="239">
        <v>0</v>
      </c>
      <c r="FZ224" s="239">
        <v>27637952</v>
      </c>
      <c r="GA224" s="214" t="s">
        <v>1294</v>
      </c>
    </row>
    <row r="225" spans="2:183" s="214" customFormat="1" x14ac:dyDescent="0.2">
      <c r="B225" s="610" t="s">
        <v>533</v>
      </c>
      <c r="C225" s="610" t="s">
        <v>532</v>
      </c>
      <c r="D225" s="239">
        <v>0</v>
      </c>
      <c r="E225" s="239">
        <v>0</v>
      </c>
      <c r="F225" s="239">
        <v>0</v>
      </c>
      <c r="G225" s="239">
        <v>-29785</v>
      </c>
      <c r="H225" s="239">
        <v>0</v>
      </c>
      <c r="I225" s="239">
        <v>-29785</v>
      </c>
      <c r="J225" s="239">
        <v>0</v>
      </c>
      <c r="K225" s="239">
        <v>0</v>
      </c>
      <c r="L225" s="239">
        <v>0</v>
      </c>
      <c r="M225" s="239">
        <v>26857</v>
      </c>
      <c r="N225" s="239">
        <v>0</v>
      </c>
      <c r="O225" s="239">
        <v>26857</v>
      </c>
      <c r="P225" s="239">
        <v>-2928</v>
      </c>
      <c r="Q225" s="239">
        <v>0</v>
      </c>
      <c r="R225" s="239">
        <v>-2928</v>
      </c>
      <c r="S225" s="239">
        <v>-1252797</v>
      </c>
      <c r="T225" s="239">
        <v>0</v>
      </c>
      <c r="U225" s="239">
        <v>-1252797</v>
      </c>
      <c r="V225" s="239">
        <v>-5540</v>
      </c>
      <c r="W225" s="239">
        <v>0</v>
      </c>
      <c r="X225" s="239">
        <v>-5540</v>
      </c>
      <c r="Y225" s="239">
        <v>-31322</v>
      </c>
      <c r="Z225" s="239">
        <v>0</v>
      </c>
      <c r="AA225" s="239">
        <v>-31322</v>
      </c>
      <c r="AB225" s="239">
        <v>-24423</v>
      </c>
      <c r="AC225" s="239">
        <v>0</v>
      </c>
      <c r="AD225" s="239">
        <v>-24423</v>
      </c>
      <c r="AE225" s="239">
        <v>3121</v>
      </c>
      <c r="AF225" s="239">
        <v>0</v>
      </c>
      <c r="AG225" s="239">
        <v>3121</v>
      </c>
      <c r="AH225" s="239">
        <v>1289403</v>
      </c>
      <c r="AI225" s="239">
        <v>0</v>
      </c>
      <c r="AJ225" s="239">
        <v>1289403</v>
      </c>
      <c r="AK225" s="239">
        <v>1248</v>
      </c>
      <c r="AL225" s="239">
        <v>0</v>
      </c>
      <c r="AM225" s="239">
        <v>1248</v>
      </c>
      <c r="AN225" s="239">
        <v>-1600576</v>
      </c>
      <c r="AO225" s="239">
        <v>0</v>
      </c>
      <c r="AP225" s="239">
        <v>-1600576</v>
      </c>
      <c r="AQ225" s="239">
        <v>-919</v>
      </c>
      <c r="AR225" s="239">
        <v>0</v>
      </c>
      <c r="AS225" s="239">
        <v>-919</v>
      </c>
      <c r="AT225" s="239">
        <v>-15658</v>
      </c>
      <c r="AU225" s="239">
        <v>0</v>
      </c>
      <c r="AV225" s="239">
        <v>-15658</v>
      </c>
      <c r="AW225" s="239">
        <v>0</v>
      </c>
      <c r="AX225" s="239">
        <v>0</v>
      </c>
      <c r="AY225" s="239">
        <v>0</v>
      </c>
      <c r="AZ225" s="239">
        <v>0</v>
      </c>
      <c r="BA225" s="239">
        <v>0</v>
      </c>
      <c r="BB225" s="239">
        <v>0</v>
      </c>
      <c r="BC225" s="239">
        <v>0</v>
      </c>
      <c r="BD225" s="239">
        <v>0</v>
      </c>
      <c r="BE225" s="239">
        <v>0</v>
      </c>
      <c r="BF225" s="239">
        <v>-1610621</v>
      </c>
      <c r="BG225" s="239">
        <v>0</v>
      </c>
      <c r="BH225" s="239">
        <v>-1610621</v>
      </c>
      <c r="BI225" s="239">
        <v>-676209</v>
      </c>
      <c r="BJ225" s="239">
        <v>0</v>
      </c>
      <c r="BK225" s="239">
        <v>-676209</v>
      </c>
      <c r="BL225" s="239">
        <v>-88833</v>
      </c>
      <c r="BM225" s="239">
        <v>0</v>
      </c>
      <c r="BN225" s="239">
        <v>-88833</v>
      </c>
      <c r="BO225" s="239">
        <v>-1672567</v>
      </c>
      <c r="BP225" s="239">
        <v>0</v>
      </c>
      <c r="BQ225" s="239">
        <v>-1672567</v>
      </c>
      <c r="BR225" s="239">
        <v>-112372</v>
      </c>
      <c r="BS225" s="239">
        <v>0</v>
      </c>
      <c r="BT225" s="239">
        <v>-112372</v>
      </c>
      <c r="BU225" s="239">
        <v>-2549981</v>
      </c>
      <c r="BV225" s="239">
        <v>0</v>
      </c>
      <c r="BW225" s="239">
        <v>-2549981</v>
      </c>
      <c r="BX225" s="239">
        <v>-67686</v>
      </c>
      <c r="BY225" s="239">
        <v>0</v>
      </c>
      <c r="BZ225" s="239">
        <v>-67686</v>
      </c>
      <c r="CA225" s="239">
        <v>-543</v>
      </c>
      <c r="CB225" s="239">
        <v>0</v>
      </c>
      <c r="CC225" s="239">
        <v>-543</v>
      </c>
      <c r="CD225" s="239">
        <v>-304342</v>
      </c>
      <c r="CE225" s="239">
        <v>0</v>
      </c>
      <c r="CF225" s="239">
        <v>-304342</v>
      </c>
      <c r="CG225" s="239">
        <v>-525031</v>
      </c>
      <c r="CH225" s="239">
        <v>0</v>
      </c>
      <c r="CI225" s="239">
        <v>-525031</v>
      </c>
      <c r="CJ225" s="239">
        <v>-3914</v>
      </c>
      <c r="CK225" s="239">
        <v>0</v>
      </c>
      <c r="CL225" s="239">
        <v>-3914</v>
      </c>
      <c r="CM225" s="239">
        <v>0</v>
      </c>
      <c r="CN225" s="239">
        <v>0</v>
      </c>
      <c r="CO225" s="239">
        <v>0</v>
      </c>
      <c r="CP225" s="239">
        <v>0</v>
      </c>
      <c r="CQ225" s="239">
        <v>0</v>
      </c>
      <c r="CR225" s="239">
        <v>0</v>
      </c>
      <c r="CS225" s="239">
        <v>0</v>
      </c>
      <c r="CT225" s="239">
        <v>0</v>
      </c>
      <c r="CU225" s="239">
        <v>0</v>
      </c>
      <c r="CV225" s="239">
        <v>0</v>
      </c>
      <c r="CW225" s="239">
        <v>0</v>
      </c>
      <c r="CX225" s="239">
        <v>0</v>
      </c>
      <c r="CY225" s="239">
        <v>0</v>
      </c>
      <c r="CZ225" s="239">
        <v>0</v>
      </c>
      <c r="DA225" s="239">
        <v>0</v>
      </c>
      <c r="DB225" s="239">
        <v>0</v>
      </c>
      <c r="DC225" s="239">
        <v>0</v>
      </c>
      <c r="DD225" s="239">
        <v>0</v>
      </c>
      <c r="DE225" s="239">
        <v>0</v>
      </c>
      <c r="DF225" s="239">
        <v>0</v>
      </c>
      <c r="DG225" s="239">
        <v>0</v>
      </c>
      <c r="DH225" s="239">
        <v>0</v>
      </c>
      <c r="DI225" s="239">
        <v>0</v>
      </c>
      <c r="DJ225" s="239">
        <v>-901516</v>
      </c>
      <c r="DK225" s="239">
        <v>0</v>
      </c>
      <c r="DL225" s="239">
        <v>-901516</v>
      </c>
      <c r="DM225" s="239">
        <v>0</v>
      </c>
      <c r="DN225" s="239">
        <v>0</v>
      </c>
      <c r="DO225" s="239">
        <v>0</v>
      </c>
      <c r="DP225" s="239">
        <v>0</v>
      </c>
      <c r="DQ225" s="239">
        <v>0</v>
      </c>
      <c r="DR225" s="239">
        <v>0</v>
      </c>
      <c r="DS225" s="239">
        <v>-57472</v>
      </c>
      <c r="DT225" s="239">
        <v>0</v>
      </c>
      <c r="DU225" s="239">
        <v>-57472</v>
      </c>
      <c r="DV225" s="239">
        <v>-6959</v>
      </c>
      <c r="DW225" s="239">
        <v>0</v>
      </c>
      <c r="DX225" s="239">
        <v>-6959</v>
      </c>
      <c r="DY225" s="239">
        <v>-473120</v>
      </c>
      <c r="DZ225" s="239">
        <v>0</v>
      </c>
      <c r="EA225" s="239">
        <v>-473120</v>
      </c>
      <c r="EB225" s="239">
        <v>-10315</v>
      </c>
      <c r="EC225" s="239">
        <v>0</v>
      </c>
      <c r="ED225" s="239">
        <v>-10315</v>
      </c>
      <c r="EE225" s="239">
        <v>0</v>
      </c>
      <c r="EF225" s="239">
        <v>0</v>
      </c>
      <c r="EG225" s="239">
        <v>0</v>
      </c>
      <c r="EH225" s="239">
        <v>494</v>
      </c>
      <c r="EI225" s="239">
        <v>0</v>
      </c>
      <c r="EJ225" s="239">
        <v>494</v>
      </c>
      <c r="EK225" s="239">
        <v>-2418</v>
      </c>
      <c r="EL225" s="239">
        <v>0</v>
      </c>
      <c r="EM225" s="239">
        <v>-2418</v>
      </c>
      <c r="EN225" s="239">
        <v>-549790</v>
      </c>
      <c r="EO225" s="239">
        <v>0</v>
      </c>
      <c r="EP225" s="239">
        <v>-549790</v>
      </c>
      <c r="EQ225" s="239">
        <v>-8720</v>
      </c>
      <c r="ER225" s="239">
        <v>0</v>
      </c>
      <c r="ES225" s="239">
        <v>-8720</v>
      </c>
      <c r="ET225" s="239">
        <v>0</v>
      </c>
      <c r="EU225" s="239">
        <v>0</v>
      </c>
      <c r="EV225" s="239">
        <v>0</v>
      </c>
      <c r="EW225" s="239">
        <v>-8720</v>
      </c>
      <c r="EX225" s="239">
        <v>0</v>
      </c>
      <c r="EY225" s="239">
        <v>-8720</v>
      </c>
      <c r="EZ225" s="239">
        <v>51657692</v>
      </c>
      <c r="FA225" s="239">
        <v>0</v>
      </c>
      <c r="FB225" s="239">
        <v>51657692</v>
      </c>
      <c r="FC225" s="239">
        <v>-2928</v>
      </c>
      <c r="FD225" s="239">
        <v>0</v>
      </c>
      <c r="FE225" s="239">
        <v>-2928</v>
      </c>
      <c r="FF225" s="239">
        <v>-1610621</v>
      </c>
      <c r="FG225" s="239">
        <v>0</v>
      </c>
      <c r="FH225" s="239">
        <v>-1610621</v>
      </c>
      <c r="FI225" s="239">
        <v>-2549981</v>
      </c>
      <c r="FJ225" s="239">
        <v>0</v>
      </c>
      <c r="FK225" s="239">
        <v>-2549981</v>
      </c>
      <c r="FL225" s="239">
        <v>-901516</v>
      </c>
      <c r="FM225" s="239">
        <v>0</v>
      </c>
      <c r="FN225" s="239">
        <v>-901516</v>
      </c>
      <c r="FO225" s="239">
        <v>-549790</v>
      </c>
      <c r="FP225" s="239">
        <v>0</v>
      </c>
      <c r="FQ225" s="239">
        <v>-549790</v>
      </c>
      <c r="FR225" s="239">
        <v>-8720</v>
      </c>
      <c r="FS225" s="239">
        <v>0</v>
      </c>
      <c r="FT225" s="239">
        <v>-8720</v>
      </c>
      <c r="FU225" s="239">
        <v>-5623556</v>
      </c>
      <c r="FV225" s="239">
        <v>0</v>
      </c>
      <c r="FW225" s="239">
        <v>-5623556</v>
      </c>
      <c r="FX225" s="239">
        <v>46034136</v>
      </c>
      <c r="FY225" s="239">
        <v>0</v>
      </c>
      <c r="FZ225" s="239">
        <v>46034136</v>
      </c>
      <c r="GA225" s="214" t="s">
        <v>1294</v>
      </c>
    </row>
    <row r="226" spans="2:183" s="214" customFormat="1" x14ac:dyDescent="0.2">
      <c r="B226" s="610" t="s">
        <v>535</v>
      </c>
      <c r="C226" s="610" t="s">
        <v>534</v>
      </c>
      <c r="D226" s="239">
        <v>0</v>
      </c>
      <c r="E226" s="239">
        <v>0</v>
      </c>
      <c r="F226" s="239">
        <v>0</v>
      </c>
      <c r="G226" s="239">
        <v>11018</v>
      </c>
      <c r="H226" s="239">
        <v>0</v>
      </c>
      <c r="I226" s="239">
        <v>11018</v>
      </c>
      <c r="J226" s="239">
        <v>0</v>
      </c>
      <c r="K226" s="239">
        <v>0</v>
      </c>
      <c r="L226" s="239">
        <v>0</v>
      </c>
      <c r="M226" s="239">
        <v>0</v>
      </c>
      <c r="N226" s="239">
        <v>0</v>
      </c>
      <c r="O226" s="239">
        <v>0</v>
      </c>
      <c r="P226" s="239">
        <v>11018</v>
      </c>
      <c r="Q226" s="239">
        <v>0</v>
      </c>
      <c r="R226" s="239">
        <v>11018</v>
      </c>
      <c r="S226" s="239">
        <v>-1024228</v>
      </c>
      <c r="T226" s="239">
        <v>0</v>
      </c>
      <c r="U226" s="239">
        <v>-1024228</v>
      </c>
      <c r="V226" s="239">
        <v>0</v>
      </c>
      <c r="W226" s="239">
        <v>0</v>
      </c>
      <c r="X226" s="239">
        <v>0</v>
      </c>
      <c r="Y226" s="239">
        <v>-28226</v>
      </c>
      <c r="Z226" s="239">
        <v>0</v>
      </c>
      <c r="AA226" s="239">
        <v>-28226</v>
      </c>
      <c r="AB226" s="239">
        <v>0</v>
      </c>
      <c r="AC226" s="239">
        <v>0</v>
      </c>
      <c r="AD226" s="239">
        <v>0</v>
      </c>
      <c r="AE226" s="239">
        <v>0</v>
      </c>
      <c r="AF226" s="239">
        <v>0</v>
      </c>
      <c r="AG226" s="239">
        <v>0</v>
      </c>
      <c r="AH226" s="239">
        <v>275712</v>
      </c>
      <c r="AI226" s="239">
        <v>0</v>
      </c>
      <c r="AJ226" s="239">
        <v>275712</v>
      </c>
      <c r="AK226" s="239">
        <v>-2321</v>
      </c>
      <c r="AL226" s="239">
        <v>0</v>
      </c>
      <c r="AM226" s="239">
        <v>-2321</v>
      </c>
      <c r="AN226" s="239">
        <v>-1228587</v>
      </c>
      <c r="AO226" s="239">
        <v>0</v>
      </c>
      <c r="AP226" s="239">
        <v>-1228587</v>
      </c>
      <c r="AQ226" s="239">
        <v>11370</v>
      </c>
      <c r="AR226" s="239">
        <v>0</v>
      </c>
      <c r="AS226" s="239">
        <v>11370</v>
      </c>
      <c r="AT226" s="239">
        <v>-22263</v>
      </c>
      <c r="AU226" s="239">
        <v>0</v>
      </c>
      <c r="AV226" s="239">
        <v>-22263</v>
      </c>
      <c r="AW226" s="239">
        <v>-3845</v>
      </c>
      <c r="AX226" s="239">
        <v>0</v>
      </c>
      <c r="AY226" s="239">
        <v>-3845</v>
      </c>
      <c r="AZ226" s="239">
        <v>-11259</v>
      </c>
      <c r="BA226" s="239">
        <v>0</v>
      </c>
      <c r="BB226" s="239">
        <v>-11259</v>
      </c>
      <c r="BC226" s="239">
        <v>0</v>
      </c>
      <c r="BD226" s="239">
        <v>0</v>
      </c>
      <c r="BE226" s="239">
        <v>0</v>
      </c>
      <c r="BF226" s="239">
        <v>-2033647</v>
      </c>
      <c r="BG226" s="239">
        <v>0</v>
      </c>
      <c r="BH226" s="239">
        <v>-2033647</v>
      </c>
      <c r="BI226" s="239">
        <v>0</v>
      </c>
      <c r="BJ226" s="239">
        <v>0</v>
      </c>
      <c r="BK226" s="239">
        <v>0</v>
      </c>
      <c r="BL226" s="239">
        <v>0</v>
      </c>
      <c r="BM226" s="239">
        <v>0</v>
      </c>
      <c r="BN226" s="239">
        <v>0</v>
      </c>
      <c r="BO226" s="239">
        <v>-215659</v>
      </c>
      <c r="BP226" s="239">
        <v>0</v>
      </c>
      <c r="BQ226" s="239">
        <v>-215659</v>
      </c>
      <c r="BR226" s="239">
        <v>-8955</v>
      </c>
      <c r="BS226" s="239">
        <v>0</v>
      </c>
      <c r="BT226" s="239">
        <v>-8955</v>
      </c>
      <c r="BU226" s="239">
        <v>-224614</v>
      </c>
      <c r="BV226" s="239">
        <v>0</v>
      </c>
      <c r="BW226" s="239">
        <v>-224614</v>
      </c>
      <c r="BX226" s="239">
        <v>-37082</v>
      </c>
      <c r="BY226" s="239">
        <v>0</v>
      </c>
      <c r="BZ226" s="239">
        <v>-37082</v>
      </c>
      <c r="CA226" s="239">
        <v>0</v>
      </c>
      <c r="CB226" s="239">
        <v>0</v>
      </c>
      <c r="CC226" s="239">
        <v>0</v>
      </c>
      <c r="CD226" s="239">
        <v>-41398</v>
      </c>
      <c r="CE226" s="239">
        <v>0</v>
      </c>
      <c r="CF226" s="239">
        <v>-41398</v>
      </c>
      <c r="CG226" s="239">
        <v>0</v>
      </c>
      <c r="CH226" s="239">
        <v>0</v>
      </c>
      <c r="CI226" s="239">
        <v>0</v>
      </c>
      <c r="CJ226" s="239">
        <v>-3534</v>
      </c>
      <c r="CK226" s="239">
        <v>0</v>
      </c>
      <c r="CL226" s="239">
        <v>-3534</v>
      </c>
      <c r="CM226" s="239">
        <v>-100</v>
      </c>
      <c r="CN226" s="239">
        <v>0</v>
      </c>
      <c r="CO226" s="239">
        <v>-100</v>
      </c>
      <c r="CP226" s="239">
        <v>-1560</v>
      </c>
      <c r="CQ226" s="239">
        <v>0</v>
      </c>
      <c r="CR226" s="239">
        <v>-1560</v>
      </c>
      <c r="CS226" s="239">
        <v>0</v>
      </c>
      <c r="CT226" s="239">
        <v>0</v>
      </c>
      <c r="CU226" s="239">
        <v>0</v>
      </c>
      <c r="CV226" s="239">
        <v>-11259</v>
      </c>
      <c r="CW226" s="239">
        <v>0</v>
      </c>
      <c r="CX226" s="239">
        <v>-11259</v>
      </c>
      <c r="CY226" s="239">
        <v>0</v>
      </c>
      <c r="CZ226" s="239">
        <v>0</v>
      </c>
      <c r="DA226" s="239">
        <v>0</v>
      </c>
      <c r="DB226" s="239">
        <v>0</v>
      </c>
      <c r="DC226" s="239">
        <v>0</v>
      </c>
      <c r="DD226" s="239">
        <v>0</v>
      </c>
      <c r="DE226" s="239">
        <v>0</v>
      </c>
      <c r="DF226" s="239">
        <v>0</v>
      </c>
      <c r="DG226" s="239">
        <v>0</v>
      </c>
      <c r="DH226" s="239">
        <v>0</v>
      </c>
      <c r="DI226" s="239">
        <v>0</v>
      </c>
      <c r="DJ226" s="239">
        <v>-94933</v>
      </c>
      <c r="DK226" s="239">
        <v>0</v>
      </c>
      <c r="DL226" s="239">
        <v>-94933</v>
      </c>
      <c r="DM226" s="239">
        <v>0</v>
      </c>
      <c r="DN226" s="239">
        <v>0</v>
      </c>
      <c r="DO226" s="239">
        <v>0</v>
      </c>
      <c r="DP226" s="239">
        <v>0</v>
      </c>
      <c r="DQ226" s="239">
        <v>0</v>
      </c>
      <c r="DR226" s="239">
        <v>0</v>
      </c>
      <c r="DS226" s="239">
        <v>-7402</v>
      </c>
      <c r="DT226" s="239">
        <v>0</v>
      </c>
      <c r="DU226" s="239">
        <v>-7402</v>
      </c>
      <c r="DV226" s="239">
        <v>0</v>
      </c>
      <c r="DW226" s="239">
        <v>0</v>
      </c>
      <c r="DX226" s="239">
        <v>0</v>
      </c>
      <c r="DY226" s="239">
        <v>-225394</v>
      </c>
      <c r="DZ226" s="239">
        <v>0</v>
      </c>
      <c r="EA226" s="239">
        <v>-225394</v>
      </c>
      <c r="EB226" s="239">
        <v>-2122</v>
      </c>
      <c r="EC226" s="239">
        <v>0</v>
      </c>
      <c r="ED226" s="239">
        <v>-2122</v>
      </c>
      <c r="EE226" s="239">
        <v>0</v>
      </c>
      <c r="EF226" s="239">
        <v>0</v>
      </c>
      <c r="EG226" s="239">
        <v>0</v>
      </c>
      <c r="EH226" s="239">
        <v>0</v>
      </c>
      <c r="EI226" s="239">
        <v>0</v>
      </c>
      <c r="EJ226" s="239">
        <v>0</v>
      </c>
      <c r="EK226" s="239">
        <v>-4200</v>
      </c>
      <c r="EL226" s="239">
        <v>0</v>
      </c>
      <c r="EM226" s="239">
        <v>-4200</v>
      </c>
      <c r="EN226" s="239">
        <v>-239118</v>
      </c>
      <c r="EO226" s="239">
        <v>0</v>
      </c>
      <c r="EP226" s="239">
        <v>-239118</v>
      </c>
      <c r="EQ226" s="239">
        <v>0</v>
      </c>
      <c r="ER226" s="239">
        <v>0</v>
      </c>
      <c r="ES226" s="239">
        <v>0</v>
      </c>
      <c r="ET226" s="239">
        <v>0</v>
      </c>
      <c r="EU226" s="239">
        <v>0</v>
      </c>
      <c r="EV226" s="239">
        <v>0</v>
      </c>
      <c r="EW226" s="239">
        <v>0</v>
      </c>
      <c r="EX226" s="239">
        <v>0</v>
      </c>
      <c r="EY226" s="239">
        <v>0</v>
      </c>
      <c r="EZ226" s="239">
        <v>12895618</v>
      </c>
      <c r="FA226" s="239">
        <v>0</v>
      </c>
      <c r="FB226" s="239">
        <v>12895618</v>
      </c>
      <c r="FC226" s="239">
        <v>11018</v>
      </c>
      <c r="FD226" s="239">
        <v>0</v>
      </c>
      <c r="FE226" s="239">
        <v>11018</v>
      </c>
      <c r="FF226" s="239">
        <v>-2033647</v>
      </c>
      <c r="FG226" s="239">
        <v>0</v>
      </c>
      <c r="FH226" s="239">
        <v>-2033647</v>
      </c>
      <c r="FI226" s="239">
        <v>-224614</v>
      </c>
      <c r="FJ226" s="239">
        <v>0</v>
      </c>
      <c r="FK226" s="239">
        <v>-224614</v>
      </c>
      <c r="FL226" s="239">
        <v>-94933</v>
      </c>
      <c r="FM226" s="239">
        <v>0</v>
      </c>
      <c r="FN226" s="239">
        <v>-94933</v>
      </c>
      <c r="FO226" s="239">
        <v>-239118</v>
      </c>
      <c r="FP226" s="239">
        <v>0</v>
      </c>
      <c r="FQ226" s="239">
        <v>-239118</v>
      </c>
      <c r="FR226" s="239">
        <v>0</v>
      </c>
      <c r="FS226" s="239">
        <v>0</v>
      </c>
      <c r="FT226" s="239">
        <v>0</v>
      </c>
      <c r="FU226" s="239">
        <v>-2581294</v>
      </c>
      <c r="FV226" s="239">
        <v>0</v>
      </c>
      <c r="FW226" s="239">
        <v>-2581294</v>
      </c>
      <c r="FX226" s="239">
        <v>10314324</v>
      </c>
      <c r="FY226" s="239">
        <v>0</v>
      </c>
      <c r="FZ226" s="239">
        <v>10314324</v>
      </c>
      <c r="GA226" s="214" t="s">
        <v>748</v>
      </c>
    </row>
    <row r="227" spans="2:183" s="214" customFormat="1" x14ac:dyDescent="0.2">
      <c r="B227" s="610" t="s">
        <v>537</v>
      </c>
      <c r="C227" s="610" t="s">
        <v>536</v>
      </c>
      <c r="D227" s="239">
        <v>0</v>
      </c>
      <c r="E227" s="239">
        <v>0</v>
      </c>
      <c r="F227" s="239">
        <v>0</v>
      </c>
      <c r="G227" s="239">
        <v>0</v>
      </c>
      <c r="H227" s="239">
        <v>0</v>
      </c>
      <c r="I227" s="239">
        <v>0</v>
      </c>
      <c r="J227" s="239">
        <v>0</v>
      </c>
      <c r="K227" s="239">
        <v>0</v>
      </c>
      <c r="L227" s="239">
        <v>0</v>
      </c>
      <c r="M227" s="239">
        <v>246617</v>
      </c>
      <c r="N227" s="239">
        <v>0</v>
      </c>
      <c r="O227" s="239">
        <v>246617</v>
      </c>
      <c r="P227" s="239">
        <v>246617</v>
      </c>
      <c r="Q227" s="239">
        <v>0</v>
      </c>
      <c r="R227" s="239">
        <v>246617</v>
      </c>
      <c r="S227" s="239">
        <v>-2066886</v>
      </c>
      <c r="T227" s="239">
        <v>0</v>
      </c>
      <c r="U227" s="239">
        <v>-2066886</v>
      </c>
      <c r="V227" s="239">
        <v>-12005</v>
      </c>
      <c r="W227" s="239">
        <v>0</v>
      </c>
      <c r="X227" s="239">
        <v>-12005</v>
      </c>
      <c r="Y227" s="239">
        <v>-10761</v>
      </c>
      <c r="Z227" s="239">
        <v>0</v>
      </c>
      <c r="AA227" s="239">
        <v>-10761</v>
      </c>
      <c r="AB227" s="239">
        <v>8822</v>
      </c>
      <c r="AC227" s="239">
        <v>0</v>
      </c>
      <c r="AD227" s="239">
        <v>8822</v>
      </c>
      <c r="AE227" s="239">
        <v>863</v>
      </c>
      <c r="AF227" s="239">
        <v>0</v>
      </c>
      <c r="AG227" s="239">
        <v>863</v>
      </c>
      <c r="AH227" s="239">
        <v>377789</v>
      </c>
      <c r="AI227" s="239">
        <v>0</v>
      </c>
      <c r="AJ227" s="239">
        <v>377789</v>
      </c>
      <c r="AK227" s="239">
        <v>30379</v>
      </c>
      <c r="AL227" s="239">
        <v>0</v>
      </c>
      <c r="AM227" s="239">
        <v>30379</v>
      </c>
      <c r="AN227" s="239">
        <v>-867672</v>
      </c>
      <c r="AO227" s="239">
        <v>0</v>
      </c>
      <c r="AP227" s="239">
        <v>-867672</v>
      </c>
      <c r="AQ227" s="239">
        <v>16232</v>
      </c>
      <c r="AR227" s="239">
        <v>0</v>
      </c>
      <c r="AS227" s="239">
        <v>16232</v>
      </c>
      <c r="AT227" s="239">
        <v>-29846</v>
      </c>
      <c r="AU227" s="239">
        <v>0</v>
      </c>
      <c r="AV227" s="239">
        <v>-29846</v>
      </c>
      <c r="AW227" s="239">
        <v>0</v>
      </c>
      <c r="AX227" s="239">
        <v>0</v>
      </c>
      <c r="AY227" s="239">
        <v>0</v>
      </c>
      <c r="AZ227" s="239">
        <v>-49384</v>
      </c>
      <c r="BA227" s="239">
        <v>0</v>
      </c>
      <c r="BB227" s="239">
        <v>-49384</v>
      </c>
      <c r="BC227" s="239">
        <v>0</v>
      </c>
      <c r="BD227" s="239">
        <v>0</v>
      </c>
      <c r="BE227" s="239">
        <v>0</v>
      </c>
      <c r="BF227" s="239">
        <v>-2600149</v>
      </c>
      <c r="BG227" s="239">
        <v>0</v>
      </c>
      <c r="BH227" s="239">
        <v>-2600149</v>
      </c>
      <c r="BI227" s="239">
        <v>0</v>
      </c>
      <c r="BJ227" s="239">
        <v>0</v>
      </c>
      <c r="BK227" s="239">
        <v>0</v>
      </c>
      <c r="BL227" s="239">
        <v>4543</v>
      </c>
      <c r="BM227" s="239">
        <v>0</v>
      </c>
      <c r="BN227" s="239">
        <v>4543</v>
      </c>
      <c r="BO227" s="239">
        <v>-398891</v>
      </c>
      <c r="BP227" s="239">
        <v>0</v>
      </c>
      <c r="BQ227" s="239">
        <v>-398891</v>
      </c>
      <c r="BR227" s="239">
        <v>-42074</v>
      </c>
      <c r="BS227" s="239">
        <v>0</v>
      </c>
      <c r="BT227" s="239">
        <v>-42074</v>
      </c>
      <c r="BU227" s="239">
        <v>-436422</v>
      </c>
      <c r="BV227" s="239">
        <v>0</v>
      </c>
      <c r="BW227" s="239">
        <v>-436422</v>
      </c>
      <c r="BX227" s="239">
        <v>-74469</v>
      </c>
      <c r="BY227" s="239">
        <v>0</v>
      </c>
      <c r="BZ227" s="239">
        <v>-74469</v>
      </c>
      <c r="CA227" s="239">
        <v>4217</v>
      </c>
      <c r="CB227" s="239">
        <v>0</v>
      </c>
      <c r="CC227" s="239">
        <v>4217</v>
      </c>
      <c r="CD227" s="239">
        <v>-39513</v>
      </c>
      <c r="CE227" s="239">
        <v>0</v>
      </c>
      <c r="CF227" s="239">
        <v>-39513</v>
      </c>
      <c r="CG227" s="239">
        <v>594</v>
      </c>
      <c r="CH227" s="239">
        <v>0</v>
      </c>
      <c r="CI227" s="239">
        <v>594</v>
      </c>
      <c r="CJ227" s="239">
        <v>-2531</v>
      </c>
      <c r="CK227" s="239">
        <v>0</v>
      </c>
      <c r="CL227" s="239">
        <v>-2531</v>
      </c>
      <c r="CM227" s="239">
        <v>0</v>
      </c>
      <c r="CN227" s="239">
        <v>0</v>
      </c>
      <c r="CO227" s="239">
        <v>0</v>
      </c>
      <c r="CP227" s="239">
        <v>-5722</v>
      </c>
      <c r="CQ227" s="239">
        <v>0</v>
      </c>
      <c r="CR227" s="239">
        <v>-5722</v>
      </c>
      <c r="CS227" s="239">
        <v>0</v>
      </c>
      <c r="CT227" s="239">
        <v>0</v>
      </c>
      <c r="CU227" s="239">
        <v>0</v>
      </c>
      <c r="CV227" s="239">
        <v>-3646</v>
      </c>
      <c r="CW227" s="239">
        <v>0</v>
      </c>
      <c r="CX227" s="239">
        <v>-3646</v>
      </c>
      <c r="CY227" s="239">
        <v>0</v>
      </c>
      <c r="CZ227" s="239">
        <v>0</v>
      </c>
      <c r="DA227" s="239">
        <v>0</v>
      </c>
      <c r="DB227" s="239">
        <v>0</v>
      </c>
      <c r="DC227" s="239">
        <v>0</v>
      </c>
      <c r="DD227" s="239">
        <v>0</v>
      </c>
      <c r="DE227" s="239">
        <v>0</v>
      </c>
      <c r="DF227" s="239">
        <v>0</v>
      </c>
      <c r="DG227" s="239">
        <v>0</v>
      </c>
      <c r="DH227" s="239">
        <v>0</v>
      </c>
      <c r="DI227" s="239">
        <v>0</v>
      </c>
      <c r="DJ227" s="239">
        <v>-121070</v>
      </c>
      <c r="DK227" s="239">
        <v>0</v>
      </c>
      <c r="DL227" s="239">
        <v>-121070</v>
      </c>
      <c r="DM227" s="239">
        <v>0</v>
      </c>
      <c r="DN227" s="239">
        <v>0</v>
      </c>
      <c r="DO227" s="239">
        <v>0</v>
      </c>
      <c r="DP227" s="239">
        <v>0</v>
      </c>
      <c r="DQ227" s="239">
        <v>0</v>
      </c>
      <c r="DR227" s="239">
        <v>0</v>
      </c>
      <c r="DS227" s="239">
        <v>-10201</v>
      </c>
      <c r="DT227" s="239">
        <v>0</v>
      </c>
      <c r="DU227" s="239">
        <v>-10201</v>
      </c>
      <c r="DV227" s="239">
        <v>0</v>
      </c>
      <c r="DW227" s="239">
        <v>0</v>
      </c>
      <c r="DX227" s="239">
        <v>0</v>
      </c>
      <c r="DY227" s="239">
        <v>-471908</v>
      </c>
      <c r="DZ227" s="239">
        <v>0</v>
      </c>
      <c r="EA227" s="239">
        <v>-471908</v>
      </c>
      <c r="EB227" s="239">
        <v>-6023</v>
      </c>
      <c r="EC227" s="239">
        <v>0</v>
      </c>
      <c r="ED227" s="239">
        <v>-6023</v>
      </c>
      <c r="EE227" s="239">
        <v>-25976</v>
      </c>
      <c r="EF227" s="239">
        <v>0</v>
      </c>
      <c r="EG227" s="239">
        <v>-25976</v>
      </c>
      <c r="EH227" s="239">
        <v>0</v>
      </c>
      <c r="EI227" s="239">
        <v>0</v>
      </c>
      <c r="EJ227" s="239">
        <v>0</v>
      </c>
      <c r="EK227" s="239">
        <v>0</v>
      </c>
      <c r="EL227" s="239">
        <v>0</v>
      </c>
      <c r="EM227" s="239">
        <v>0</v>
      </c>
      <c r="EN227" s="239">
        <v>-514108</v>
      </c>
      <c r="EO227" s="239">
        <v>0</v>
      </c>
      <c r="EP227" s="239">
        <v>-514108</v>
      </c>
      <c r="EQ227" s="239">
        <v>0</v>
      </c>
      <c r="ER227" s="239">
        <v>0</v>
      </c>
      <c r="ES227" s="239">
        <v>0</v>
      </c>
      <c r="ET227" s="239">
        <v>2050</v>
      </c>
      <c r="EU227" s="239">
        <v>0</v>
      </c>
      <c r="EV227" s="239">
        <v>2050</v>
      </c>
      <c r="EW227" s="239">
        <v>2050</v>
      </c>
      <c r="EX227" s="239">
        <v>0</v>
      </c>
      <c r="EY227" s="239">
        <v>2050</v>
      </c>
      <c r="EZ227" s="239">
        <v>20066726</v>
      </c>
      <c r="FA227" s="239">
        <v>0</v>
      </c>
      <c r="FB227" s="239">
        <v>20066726</v>
      </c>
      <c r="FC227" s="239">
        <v>246617</v>
      </c>
      <c r="FD227" s="239">
        <v>0</v>
      </c>
      <c r="FE227" s="239">
        <v>246617</v>
      </c>
      <c r="FF227" s="239">
        <v>-2600149</v>
      </c>
      <c r="FG227" s="239">
        <v>0</v>
      </c>
      <c r="FH227" s="239">
        <v>-2600149</v>
      </c>
      <c r="FI227" s="239">
        <v>-436422</v>
      </c>
      <c r="FJ227" s="239">
        <v>0</v>
      </c>
      <c r="FK227" s="239">
        <v>-436422</v>
      </c>
      <c r="FL227" s="239">
        <v>-121070</v>
      </c>
      <c r="FM227" s="239">
        <v>0</v>
      </c>
      <c r="FN227" s="239">
        <v>-121070</v>
      </c>
      <c r="FO227" s="239">
        <v>-514108</v>
      </c>
      <c r="FP227" s="239">
        <v>0</v>
      </c>
      <c r="FQ227" s="239">
        <v>-514108</v>
      </c>
      <c r="FR227" s="239">
        <v>2050</v>
      </c>
      <c r="FS227" s="239">
        <v>0</v>
      </c>
      <c r="FT227" s="239">
        <v>2050</v>
      </c>
      <c r="FU227" s="239">
        <v>-3423082</v>
      </c>
      <c r="FV227" s="239">
        <v>0</v>
      </c>
      <c r="FW227" s="239">
        <v>-3423082</v>
      </c>
      <c r="FX227" s="239">
        <v>16643644</v>
      </c>
      <c r="FY227" s="239">
        <v>0</v>
      </c>
      <c r="FZ227" s="239">
        <v>16643644</v>
      </c>
      <c r="GA227" s="214" t="s">
        <v>1294</v>
      </c>
    </row>
    <row r="228" spans="2:183" s="214" customFormat="1" x14ac:dyDescent="0.2">
      <c r="B228" s="610" t="s">
        <v>539</v>
      </c>
      <c r="C228" s="610" t="s">
        <v>538</v>
      </c>
      <c r="D228" s="239">
        <v>0</v>
      </c>
      <c r="E228" s="239">
        <v>0</v>
      </c>
      <c r="F228" s="239">
        <v>0</v>
      </c>
      <c r="G228" s="239">
        <v>-190864</v>
      </c>
      <c r="H228" s="239">
        <v>0</v>
      </c>
      <c r="I228" s="239">
        <v>-190864</v>
      </c>
      <c r="J228" s="239">
        <v>0</v>
      </c>
      <c r="K228" s="239">
        <v>0</v>
      </c>
      <c r="L228" s="239">
        <v>0</v>
      </c>
      <c r="M228" s="239">
        <v>172688</v>
      </c>
      <c r="N228" s="239">
        <v>0</v>
      </c>
      <c r="O228" s="239">
        <v>172688</v>
      </c>
      <c r="P228" s="239">
        <v>-18176</v>
      </c>
      <c r="Q228" s="239">
        <v>0</v>
      </c>
      <c r="R228" s="239">
        <v>-18176</v>
      </c>
      <c r="S228" s="239">
        <v>-4684467</v>
      </c>
      <c r="T228" s="239">
        <v>0</v>
      </c>
      <c r="U228" s="239">
        <v>-4684467</v>
      </c>
      <c r="V228" s="239">
        <v>-5188</v>
      </c>
      <c r="W228" s="239">
        <v>0</v>
      </c>
      <c r="X228" s="239">
        <v>-5188</v>
      </c>
      <c r="Y228" s="239">
        <v>-291598</v>
      </c>
      <c r="Z228" s="239">
        <v>0</v>
      </c>
      <c r="AA228" s="239">
        <v>-291598</v>
      </c>
      <c r="AB228" s="239">
        <v>-68255</v>
      </c>
      <c r="AC228" s="239">
        <v>0</v>
      </c>
      <c r="AD228" s="239">
        <v>-68255</v>
      </c>
      <c r="AE228" s="239">
        <v>-2324</v>
      </c>
      <c r="AF228" s="239">
        <v>0</v>
      </c>
      <c r="AG228" s="239">
        <v>-2324</v>
      </c>
      <c r="AH228" s="239">
        <v>2783100</v>
      </c>
      <c r="AI228" s="239">
        <v>0</v>
      </c>
      <c r="AJ228" s="239">
        <v>2783100</v>
      </c>
      <c r="AK228" s="239">
        <v>294361</v>
      </c>
      <c r="AL228" s="239">
        <v>0</v>
      </c>
      <c r="AM228" s="239">
        <v>294361</v>
      </c>
      <c r="AN228" s="239">
        <v>-6770492</v>
      </c>
      <c r="AO228" s="239">
        <v>0</v>
      </c>
      <c r="AP228" s="239">
        <v>-6770492</v>
      </c>
      <c r="AQ228" s="239">
        <v>-120414</v>
      </c>
      <c r="AR228" s="239">
        <v>0</v>
      </c>
      <c r="AS228" s="239">
        <v>-120414</v>
      </c>
      <c r="AT228" s="239">
        <v>-117346</v>
      </c>
      <c r="AU228" s="239">
        <v>0</v>
      </c>
      <c r="AV228" s="239">
        <v>-117346</v>
      </c>
      <c r="AW228" s="239">
        <v>-36690</v>
      </c>
      <c r="AX228" s="239">
        <v>0</v>
      </c>
      <c r="AY228" s="239">
        <v>-36690</v>
      </c>
      <c r="AZ228" s="239">
        <v>0</v>
      </c>
      <c r="BA228" s="239">
        <v>0</v>
      </c>
      <c r="BB228" s="239">
        <v>0</v>
      </c>
      <c r="BC228" s="239">
        <v>0</v>
      </c>
      <c r="BD228" s="239">
        <v>0</v>
      </c>
      <c r="BE228" s="239">
        <v>0</v>
      </c>
      <c r="BF228" s="239">
        <v>-8943546</v>
      </c>
      <c r="BG228" s="239">
        <v>0</v>
      </c>
      <c r="BH228" s="239">
        <v>-8943546</v>
      </c>
      <c r="BI228" s="239">
        <v>0</v>
      </c>
      <c r="BJ228" s="239">
        <v>0</v>
      </c>
      <c r="BK228" s="239">
        <v>0</v>
      </c>
      <c r="BL228" s="239">
        <v>133</v>
      </c>
      <c r="BM228" s="239">
        <v>0</v>
      </c>
      <c r="BN228" s="239">
        <v>133</v>
      </c>
      <c r="BO228" s="239">
        <v>-5785635</v>
      </c>
      <c r="BP228" s="239">
        <v>0</v>
      </c>
      <c r="BQ228" s="239">
        <v>-5785635</v>
      </c>
      <c r="BR228" s="239">
        <v>-507947</v>
      </c>
      <c r="BS228" s="239">
        <v>0</v>
      </c>
      <c r="BT228" s="239">
        <v>-507947</v>
      </c>
      <c r="BU228" s="239">
        <v>-6293449</v>
      </c>
      <c r="BV228" s="239">
        <v>0</v>
      </c>
      <c r="BW228" s="239">
        <v>-6293449</v>
      </c>
      <c r="BX228" s="239">
        <v>-66187</v>
      </c>
      <c r="BY228" s="239">
        <v>0</v>
      </c>
      <c r="BZ228" s="239">
        <v>-66187</v>
      </c>
      <c r="CA228" s="239">
        <v>-49068</v>
      </c>
      <c r="CB228" s="239">
        <v>0</v>
      </c>
      <c r="CC228" s="239">
        <v>-49068</v>
      </c>
      <c r="CD228" s="239">
        <v>-94375</v>
      </c>
      <c r="CE228" s="239">
        <v>0</v>
      </c>
      <c r="CF228" s="239">
        <v>-94375</v>
      </c>
      <c r="CG228" s="239">
        <v>-91142</v>
      </c>
      <c r="CH228" s="239">
        <v>0</v>
      </c>
      <c r="CI228" s="239">
        <v>-91142</v>
      </c>
      <c r="CJ228" s="239">
        <v>-525</v>
      </c>
      <c r="CK228" s="239">
        <v>0</v>
      </c>
      <c r="CL228" s="239">
        <v>-525</v>
      </c>
      <c r="CM228" s="239">
        <v>-1182</v>
      </c>
      <c r="CN228" s="239">
        <v>0</v>
      </c>
      <c r="CO228" s="239">
        <v>-1182</v>
      </c>
      <c r="CP228" s="239">
        <v>0</v>
      </c>
      <c r="CQ228" s="239">
        <v>0</v>
      </c>
      <c r="CR228" s="239">
        <v>0</v>
      </c>
      <c r="CS228" s="239">
        <v>0</v>
      </c>
      <c r="CT228" s="239">
        <v>0</v>
      </c>
      <c r="CU228" s="239">
        <v>0</v>
      </c>
      <c r="CV228" s="239">
        <v>0</v>
      </c>
      <c r="CW228" s="239">
        <v>0</v>
      </c>
      <c r="CX228" s="239">
        <v>0</v>
      </c>
      <c r="CY228" s="239">
        <v>0</v>
      </c>
      <c r="CZ228" s="239">
        <v>0</v>
      </c>
      <c r="DA228" s="239">
        <v>0</v>
      </c>
      <c r="DB228" s="239">
        <v>0</v>
      </c>
      <c r="DC228" s="239">
        <v>0</v>
      </c>
      <c r="DD228" s="239">
        <v>0</v>
      </c>
      <c r="DE228" s="239">
        <v>0</v>
      </c>
      <c r="DF228" s="239">
        <v>0</v>
      </c>
      <c r="DG228" s="239">
        <v>0</v>
      </c>
      <c r="DH228" s="239">
        <v>0</v>
      </c>
      <c r="DI228" s="239">
        <v>0</v>
      </c>
      <c r="DJ228" s="239">
        <v>-302479</v>
      </c>
      <c r="DK228" s="239">
        <v>0</v>
      </c>
      <c r="DL228" s="239">
        <v>-302479</v>
      </c>
      <c r="DM228" s="239">
        <v>-13452</v>
      </c>
      <c r="DN228" s="239">
        <v>0</v>
      </c>
      <c r="DO228" s="239">
        <v>-13452</v>
      </c>
      <c r="DP228" s="239">
        <v>689</v>
      </c>
      <c r="DQ228" s="239">
        <v>0</v>
      </c>
      <c r="DR228" s="239">
        <v>689</v>
      </c>
      <c r="DS228" s="239">
        <v>-18916</v>
      </c>
      <c r="DT228" s="239">
        <v>0</v>
      </c>
      <c r="DU228" s="239">
        <v>-18916</v>
      </c>
      <c r="DV228" s="239">
        <v>-4700</v>
      </c>
      <c r="DW228" s="239">
        <v>0</v>
      </c>
      <c r="DX228" s="239">
        <v>-4700</v>
      </c>
      <c r="DY228" s="239">
        <v>-967752</v>
      </c>
      <c r="DZ228" s="239">
        <v>0</v>
      </c>
      <c r="EA228" s="239">
        <v>-967752</v>
      </c>
      <c r="EB228" s="239">
        <v>-29239</v>
      </c>
      <c r="EC228" s="239">
        <v>0</v>
      </c>
      <c r="ED228" s="239">
        <v>-29239</v>
      </c>
      <c r="EE228" s="239">
        <v>0</v>
      </c>
      <c r="EF228" s="239">
        <v>0</v>
      </c>
      <c r="EG228" s="239">
        <v>0</v>
      </c>
      <c r="EH228" s="239">
        <v>0</v>
      </c>
      <c r="EI228" s="239">
        <v>0</v>
      </c>
      <c r="EJ228" s="239">
        <v>0</v>
      </c>
      <c r="EK228" s="239">
        <v>-17619</v>
      </c>
      <c r="EL228" s="239">
        <v>0</v>
      </c>
      <c r="EM228" s="239">
        <v>-17619</v>
      </c>
      <c r="EN228" s="239">
        <v>-1050989</v>
      </c>
      <c r="EO228" s="239">
        <v>0</v>
      </c>
      <c r="EP228" s="239">
        <v>-1050989</v>
      </c>
      <c r="EQ228" s="239">
        <v>0</v>
      </c>
      <c r="ER228" s="239">
        <v>0</v>
      </c>
      <c r="ES228" s="239">
        <v>0</v>
      </c>
      <c r="ET228" s="239">
        <v>-60656</v>
      </c>
      <c r="EU228" s="239">
        <v>0</v>
      </c>
      <c r="EV228" s="239">
        <v>-60656</v>
      </c>
      <c r="EW228" s="239">
        <v>-60656</v>
      </c>
      <c r="EX228" s="239">
        <v>0</v>
      </c>
      <c r="EY228" s="239">
        <v>-60656</v>
      </c>
      <c r="EZ228" s="239">
        <v>114235938</v>
      </c>
      <c r="FA228" s="239">
        <v>0</v>
      </c>
      <c r="FB228" s="239">
        <v>114235938</v>
      </c>
      <c r="FC228" s="239">
        <v>-18176</v>
      </c>
      <c r="FD228" s="239">
        <v>0</v>
      </c>
      <c r="FE228" s="239">
        <v>-18176</v>
      </c>
      <c r="FF228" s="239">
        <v>-8943546</v>
      </c>
      <c r="FG228" s="239">
        <v>0</v>
      </c>
      <c r="FH228" s="239">
        <v>-8943546</v>
      </c>
      <c r="FI228" s="239">
        <v>-6293449</v>
      </c>
      <c r="FJ228" s="239">
        <v>0</v>
      </c>
      <c r="FK228" s="239">
        <v>-6293449</v>
      </c>
      <c r="FL228" s="239">
        <v>-302479</v>
      </c>
      <c r="FM228" s="239">
        <v>0</v>
      </c>
      <c r="FN228" s="239">
        <v>-302479</v>
      </c>
      <c r="FO228" s="239">
        <v>-1050989</v>
      </c>
      <c r="FP228" s="239">
        <v>0</v>
      </c>
      <c r="FQ228" s="239">
        <v>-1050989</v>
      </c>
      <c r="FR228" s="239">
        <v>-60656</v>
      </c>
      <c r="FS228" s="239">
        <v>0</v>
      </c>
      <c r="FT228" s="239">
        <v>-60656</v>
      </c>
      <c r="FU228" s="239">
        <v>-16669295</v>
      </c>
      <c r="FV228" s="239">
        <v>0</v>
      </c>
      <c r="FW228" s="239">
        <v>-16669295</v>
      </c>
      <c r="FX228" s="239">
        <v>97566643</v>
      </c>
      <c r="FY228" s="239">
        <v>0</v>
      </c>
      <c r="FZ228" s="239">
        <v>97566643</v>
      </c>
      <c r="GA228" s="214" t="s">
        <v>1296</v>
      </c>
    </row>
    <row r="229" spans="2:183" s="214" customFormat="1" x14ac:dyDescent="0.2">
      <c r="B229" s="610" t="s">
        <v>541</v>
      </c>
      <c r="C229" s="610" t="s">
        <v>540</v>
      </c>
      <c r="D229" s="239">
        <v>0</v>
      </c>
      <c r="E229" s="239">
        <v>0</v>
      </c>
      <c r="F229" s="239">
        <v>0</v>
      </c>
      <c r="G229" s="239">
        <v>341191</v>
      </c>
      <c r="H229" s="239">
        <v>0</v>
      </c>
      <c r="I229" s="239">
        <v>341191</v>
      </c>
      <c r="J229" s="239">
        <v>0</v>
      </c>
      <c r="K229" s="239">
        <v>0</v>
      </c>
      <c r="L229" s="239">
        <v>0</v>
      </c>
      <c r="M229" s="239">
        <v>69300</v>
      </c>
      <c r="N229" s="239">
        <v>0</v>
      </c>
      <c r="O229" s="239">
        <v>69300</v>
      </c>
      <c r="P229" s="239">
        <v>410491</v>
      </c>
      <c r="Q229" s="239">
        <v>0</v>
      </c>
      <c r="R229" s="239">
        <v>410491</v>
      </c>
      <c r="S229" s="239">
        <v>-8123705</v>
      </c>
      <c r="T229" s="239">
        <v>0</v>
      </c>
      <c r="U229" s="239">
        <v>-8123705</v>
      </c>
      <c r="V229" s="239">
        <v>-27922</v>
      </c>
      <c r="W229" s="239">
        <v>0</v>
      </c>
      <c r="X229" s="239">
        <v>-27922</v>
      </c>
      <c r="Y229" s="239">
        <v>-331798</v>
      </c>
      <c r="Z229" s="239">
        <v>0</v>
      </c>
      <c r="AA229" s="239">
        <v>-331798</v>
      </c>
      <c r="AB229" s="239">
        <v>-230996</v>
      </c>
      <c r="AC229" s="239">
        <v>0</v>
      </c>
      <c r="AD229" s="239">
        <v>-230996</v>
      </c>
      <c r="AE229" s="239">
        <v>-2136</v>
      </c>
      <c r="AF229" s="239">
        <v>0</v>
      </c>
      <c r="AG229" s="239">
        <v>-2136</v>
      </c>
      <c r="AH229" s="239">
        <v>2775476</v>
      </c>
      <c r="AI229" s="239">
        <v>0</v>
      </c>
      <c r="AJ229" s="239">
        <v>2775476</v>
      </c>
      <c r="AK229" s="239">
        <v>36188</v>
      </c>
      <c r="AL229" s="239">
        <v>0</v>
      </c>
      <c r="AM229" s="239">
        <v>36188</v>
      </c>
      <c r="AN229" s="239">
        <v>-5675781</v>
      </c>
      <c r="AO229" s="239">
        <v>0</v>
      </c>
      <c r="AP229" s="239">
        <v>-5675781</v>
      </c>
      <c r="AQ229" s="239">
        <v>134462</v>
      </c>
      <c r="AR229" s="239">
        <v>0</v>
      </c>
      <c r="AS229" s="239">
        <v>134462</v>
      </c>
      <c r="AT229" s="239">
        <v>-97634</v>
      </c>
      <c r="AU229" s="239">
        <v>0</v>
      </c>
      <c r="AV229" s="239">
        <v>-97634</v>
      </c>
      <c r="AW229" s="239">
        <v>0</v>
      </c>
      <c r="AX229" s="239">
        <v>0</v>
      </c>
      <c r="AY229" s="239">
        <v>0</v>
      </c>
      <c r="AZ229" s="239">
        <v>0</v>
      </c>
      <c r="BA229" s="239">
        <v>0</v>
      </c>
      <c r="BB229" s="239">
        <v>0</v>
      </c>
      <c r="BC229" s="239">
        <v>0</v>
      </c>
      <c r="BD229" s="239">
        <v>0</v>
      </c>
      <c r="BE229" s="239">
        <v>0</v>
      </c>
      <c r="BF229" s="239">
        <v>-11282792</v>
      </c>
      <c r="BG229" s="239">
        <v>0</v>
      </c>
      <c r="BH229" s="239">
        <v>-11282792</v>
      </c>
      <c r="BI229" s="239">
        <v>-114673</v>
      </c>
      <c r="BJ229" s="239">
        <v>0</v>
      </c>
      <c r="BK229" s="239">
        <v>-114673</v>
      </c>
      <c r="BL229" s="239">
        <v>-41504</v>
      </c>
      <c r="BM229" s="239">
        <v>0</v>
      </c>
      <c r="BN229" s="239">
        <v>-41504</v>
      </c>
      <c r="BO229" s="239">
        <v>-4042634</v>
      </c>
      <c r="BP229" s="239">
        <v>0</v>
      </c>
      <c r="BQ229" s="239">
        <v>-4042634</v>
      </c>
      <c r="BR229" s="239">
        <v>-211813</v>
      </c>
      <c r="BS229" s="239">
        <v>0</v>
      </c>
      <c r="BT229" s="239">
        <v>-211813</v>
      </c>
      <c r="BU229" s="239">
        <v>-4410624</v>
      </c>
      <c r="BV229" s="239">
        <v>0</v>
      </c>
      <c r="BW229" s="239">
        <v>-4410624</v>
      </c>
      <c r="BX229" s="239">
        <v>-440153</v>
      </c>
      <c r="BY229" s="239">
        <v>0</v>
      </c>
      <c r="BZ229" s="239">
        <v>-440153</v>
      </c>
      <c r="CA229" s="239">
        <v>3920</v>
      </c>
      <c r="CB229" s="239">
        <v>0</v>
      </c>
      <c r="CC229" s="239">
        <v>3920</v>
      </c>
      <c r="CD229" s="239">
        <v>-356486</v>
      </c>
      <c r="CE229" s="239">
        <v>0</v>
      </c>
      <c r="CF229" s="239">
        <v>-356486</v>
      </c>
      <c r="CG229" s="239">
        <v>-14851</v>
      </c>
      <c r="CH229" s="239">
        <v>0</v>
      </c>
      <c r="CI229" s="239">
        <v>-14851</v>
      </c>
      <c r="CJ229" s="239">
        <v>-2805</v>
      </c>
      <c r="CK229" s="239">
        <v>0</v>
      </c>
      <c r="CL229" s="239">
        <v>-2805</v>
      </c>
      <c r="CM229" s="239">
        <v>0</v>
      </c>
      <c r="CN229" s="239">
        <v>0</v>
      </c>
      <c r="CO229" s="239">
        <v>0</v>
      </c>
      <c r="CP229" s="239">
        <v>0</v>
      </c>
      <c r="CQ229" s="239">
        <v>0</v>
      </c>
      <c r="CR229" s="239">
        <v>0</v>
      </c>
      <c r="CS229" s="239">
        <v>0</v>
      </c>
      <c r="CT229" s="239">
        <v>0</v>
      </c>
      <c r="CU229" s="239">
        <v>0</v>
      </c>
      <c r="CV229" s="239">
        <v>0</v>
      </c>
      <c r="CW229" s="239">
        <v>0</v>
      </c>
      <c r="CX229" s="239">
        <v>0</v>
      </c>
      <c r="CY229" s="239">
        <v>0</v>
      </c>
      <c r="CZ229" s="239">
        <v>0</v>
      </c>
      <c r="DA229" s="239">
        <v>0</v>
      </c>
      <c r="DB229" s="239">
        <v>-15659</v>
      </c>
      <c r="DC229" s="239">
        <v>0</v>
      </c>
      <c r="DD229" s="239">
        <v>-15659</v>
      </c>
      <c r="DE229" s="239">
        <v>0</v>
      </c>
      <c r="DF229" s="239">
        <v>0</v>
      </c>
      <c r="DG229" s="239">
        <v>0</v>
      </c>
      <c r="DH229" s="239">
        <v>0</v>
      </c>
      <c r="DI229" s="239">
        <v>0</v>
      </c>
      <c r="DJ229" s="239">
        <v>-826034</v>
      </c>
      <c r="DK229" s="239">
        <v>0</v>
      </c>
      <c r="DL229" s="239">
        <v>-826034</v>
      </c>
      <c r="DM229" s="239">
        <v>-12611</v>
      </c>
      <c r="DN229" s="239">
        <v>0</v>
      </c>
      <c r="DO229" s="239">
        <v>-12611</v>
      </c>
      <c r="DP229" s="239">
        <v>1693</v>
      </c>
      <c r="DQ229" s="239">
        <v>0</v>
      </c>
      <c r="DR229" s="239">
        <v>1693</v>
      </c>
      <c r="DS229" s="239">
        <v>-118324</v>
      </c>
      <c r="DT229" s="239">
        <v>0</v>
      </c>
      <c r="DU229" s="239">
        <v>-118324</v>
      </c>
      <c r="DV229" s="239">
        <v>-1559</v>
      </c>
      <c r="DW229" s="239">
        <v>0</v>
      </c>
      <c r="DX229" s="239">
        <v>-1559</v>
      </c>
      <c r="DY229" s="239">
        <v>-1452634</v>
      </c>
      <c r="DZ229" s="239">
        <v>0</v>
      </c>
      <c r="EA229" s="239">
        <v>-1452634</v>
      </c>
      <c r="EB229" s="239">
        <v>-31885</v>
      </c>
      <c r="EC229" s="239">
        <v>0</v>
      </c>
      <c r="ED229" s="239">
        <v>-31885</v>
      </c>
      <c r="EE229" s="239">
        <v>0</v>
      </c>
      <c r="EF229" s="239">
        <v>0</v>
      </c>
      <c r="EG229" s="239">
        <v>0</v>
      </c>
      <c r="EH229" s="239">
        <v>0</v>
      </c>
      <c r="EI229" s="239">
        <v>0</v>
      </c>
      <c r="EJ229" s="239">
        <v>0</v>
      </c>
      <c r="EK229" s="239">
        <v>-23824</v>
      </c>
      <c r="EL229" s="239">
        <v>0</v>
      </c>
      <c r="EM229" s="239">
        <v>-23824</v>
      </c>
      <c r="EN229" s="239">
        <v>-1639144</v>
      </c>
      <c r="EO229" s="239">
        <v>0</v>
      </c>
      <c r="EP229" s="239">
        <v>-1639144</v>
      </c>
      <c r="EQ229" s="239">
        <v>-55246</v>
      </c>
      <c r="ER229" s="239">
        <v>0</v>
      </c>
      <c r="ES229" s="239">
        <v>-55246</v>
      </c>
      <c r="ET229" s="239">
        <v>11237</v>
      </c>
      <c r="EU229" s="239">
        <v>0</v>
      </c>
      <c r="EV229" s="239">
        <v>11237</v>
      </c>
      <c r="EW229" s="239">
        <v>-44009</v>
      </c>
      <c r="EX229" s="239">
        <v>0</v>
      </c>
      <c r="EY229" s="239">
        <v>-44009</v>
      </c>
      <c r="EZ229" s="239">
        <v>120806727</v>
      </c>
      <c r="FA229" s="239">
        <v>0</v>
      </c>
      <c r="FB229" s="239">
        <v>120806727</v>
      </c>
      <c r="FC229" s="239">
        <v>410491</v>
      </c>
      <c r="FD229" s="239">
        <v>0</v>
      </c>
      <c r="FE229" s="239">
        <v>410491</v>
      </c>
      <c r="FF229" s="239">
        <v>-11282792</v>
      </c>
      <c r="FG229" s="239">
        <v>0</v>
      </c>
      <c r="FH229" s="239">
        <v>-11282792</v>
      </c>
      <c r="FI229" s="239">
        <v>-4410624</v>
      </c>
      <c r="FJ229" s="239">
        <v>0</v>
      </c>
      <c r="FK229" s="239">
        <v>-4410624</v>
      </c>
      <c r="FL229" s="239">
        <v>-826034</v>
      </c>
      <c r="FM229" s="239">
        <v>0</v>
      </c>
      <c r="FN229" s="239">
        <v>-826034</v>
      </c>
      <c r="FO229" s="239">
        <v>-1639144</v>
      </c>
      <c r="FP229" s="239">
        <v>0</v>
      </c>
      <c r="FQ229" s="239">
        <v>-1639144</v>
      </c>
      <c r="FR229" s="239">
        <v>-44009</v>
      </c>
      <c r="FS229" s="239">
        <v>0</v>
      </c>
      <c r="FT229" s="239">
        <v>-44009</v>
      </c>
      <c r="FU229" s="239">
        <v>-17792112</v>
      </c>
      <c r="FV229" s="239">
        <v>0</v>
      </c>
      <c r="FW229" s="239">
        <v>-17792112</v>
      </c>
      <c r="FX229" s="239">
        <v>103014615</v>
      </c>
      <c r="FY229" s="239">
        <v>0</v>
      </c>
      <c r="FZ229" s="239">
        <v>103014615</v>
      </c>
      <c r="GA229" s="214" t="s">
        <v>1296</v>
      </c>
    </row>
    <row r="230" spans="2:183" s="214" customFormat="1" x14ac:dyDescent="0.2">
      <c r="B230" s="610" t="s">
        <v>543</v>
      </c>
      <c r="C230" s="610" t="s">
        <v>542</v>
      </c>
      <c r="D230" s="239">
        <v>0</v>
      </c>
      <c r="E230" s="239">
        <v>0</v>
      </c>
      <c r="F230" s="239">
        <v>0</v>
      </c>
      <c r="G230" s="239">
        <v>9601.68</v>
      </c>
      <c r="H230" s="239">
        <v>0</v>
      </c>
      <c r="I230" s="239">
        <v>9601.68</v>
      </c>
      <c r="J230" s="239">
        <v>0</v>
      </c>
      <c r="K230" s="239">
        <v>0</v>
      </c>
      <c r="L230" s="239">
        <v>0</v>
      </c>
      <c r="M230" s="239">
        <v>53949.96</v>
      </c>
      <c r="N230" s="239">
        <v>0</v>
      </c>
      <c r="O230" s="239">
        <v>53949.96</v>
      </c>
      <c r="P230" s="239">
        <v>63552</v>
      </c>
      <c r="Q230" s="239">
        <v>0</v>
      </c>
      <c r="R230" s="239">
        <v>63552</v>
      </c>
      <c r="S230" s="239">
        <v>-5413152</v>
      </c>
      <c r="T230" s="239">
        <v>0</v>
      </c>
      <c r="U230" s="239">
        <v>-5413152</v>
      </c>
      <c r="V230" s="239">
        <v>-21324</v>
      </c>
      <c r="W230" s="239">
        <v>0</v>
      </c>
      <c r="X230" s="239">
        <v>-21324</v>
      </c>
      <c r="Y230" s="239">
        <v>-256079</v>
      </c>
      <c r="Z230" s="239">
        <v>0</v>
      </c>
      <c r="AA230" s="239">
        <v>-256079</v>
      </c>
      <c r="AB230" s="239">
        <v>-145843</v>
      </c>
      <c r="AC230" s="239">
        <v>0</v>
      </c>
      <c r="AD230" s="239">
        <v>-145843</v>
      </c>
      <c r="AE230" s="239">
        <v>-77</v>
      </c>
      <c r="AF230" s="239">
        <v>0</v>
      </c>
      <c r="AG230" s="239">
        <v>-77</v>
      </c>
      <c r="AH230" s="239">
        <v>834946</v>
      </c>
      <c r="AI230" s="239">
        <v>0</v>
      </c>
      <c r="AJ230" s="239">
        <v>834946</v>
      </c>
      <c r="AK230" s="239">
        <v>1055</v>
      </c>
      <c r="AL230" s="239">
        <v>0</v>
      </c>
      <c r="AM230" s="239">
        <v>1055</v>
      </c>
      <c r="AN230" s="239">
        <v>-1646848</v>
      </c>
      <c r="AO230" s="239">
        <v>0</v>
      </c>
      <c r="AP230" s="239">
        <v>-1646848</v>
      </c>
      <c r="AQ230" s="239">
        <v>-5147</v>
      </c>
      <c r="AR230" s="239">
        <v>0</v>
      </c>
      <c r="AS230" s="239">
        <v>-5147</v>
      </c>
      <c r="AT230" s="239">
        <v>-150682</v>
      </c>
      <c r="AU230" s="239">
        <v>0</v>
      </c>
      <c r="AV230" s="239">
        <v>-150682</v>
      </c>
      <c r="AW230" s="239">
        <v>0</v>
      </c>
      <c r="AX230" s="239">
        <v>0</v>
      </c>
      <c r="AY230" s="239">
        <v>0</v>
      </c>
      <c r="AZ230" s="239">
        <v>-27633</v>
      </c>
      <c r="BA230" s="239">
        <v>0</v>
      </c>
      <c r="BB230" s="239">
        <v>-27633</v>
      </c>
      <c r="BC230" s="239">
        <v>0</v>
      </c>
      <c r="BD230" s="239">
        <v>0</v>
      </c>
      <c r="BE230" s="239">
        <v>0</v>
      </c>
      <c r="BF230" s="239">
        <v>-6663540</v>
      </c>
      <c r="BG230" s="239">
        <v>0</v>
      </c>
      <c r="BH230" s="239">
        <v>-6663540</v>
      </c>
      <c r="BI230" s="239">
        <v>0</v>
      </c>
      <c r="BJ230" s="239">
        <v>0</v>
      </c>
      <c r="BK230" s="239">
        <v>0</v>
      </c>
      <c r="BL230" s="239">
        <v>0</v>
      </c>
      <c r="BM230" s="239">
        <v>0</v>
      </c>
      <c r="BN230" s="239">
        <v>0</v>
      </c>
      <c r="BO230" s="239">
        <v>-669446</v>
      </c>
      <c r="BP230" s="239">
        <v>0</v>
      </c>
      <c r="BQ230" s="239">
        <v>-669446</v>
      </c>
      <c r="BR230" s="239">
        <v>75901</v>
      </c>
      <c r="BS230" s="239">
        <v>0</v>
      </c>
      <c r="BT230" s="239">
        <v>75901</v>
      </c>
      <c r="BU230" s="239">
        <v>-593545</v>
      </c>
      <c r="BV230" s="239">
        <v>0</v>
      </c>
      <c r="BW230" s="239">
        <v>-593545</v>
      </c>
      <c r="BX230" s="239">
        <v>-141966</v>
      </c>
      <c r="BY230" s="239">
        <v>0</v>
      </c>
      <c r="BZ230" s="239">
        <v>-141966</v>
      </c>
      <c r="CA230" s="239">
        <v>-348</v>
      </c>
      <c r="CB230" s="239">
        <v>0</v>
      </c>
      <c r="CC230" s="239">
        <v>-348</v>
      </c>
      <c r="CD230" s="239">
        <v>-57026</v>
      </c>
      <c r="CE230" s="239">
        <v>0</v>
      </c>
      <c r="CF230" s="239">
        <v>-57026</v>
      </c>
      <c r="CG230" s="239">
        <v>-604</v>
      </c>
      <c r="CH230" s="239">
        <v>0</v>
      </c>
      <c r="CI230" s="239">
        <v>-604</v>
      </c>
      <c r="CJ230" s="239">
        <v>0</v>
      </c>
      <c r="CK230" s="239">
        <v>0</v>
      </c>
      <c r="CL230" s="239">
        <v>0</v>
      </c>
      <c r="CM230" s="239">
        <v>0</v>
      </c>
      <c r="CN230" s="239">
        <v>0</v>
      </c>
      <c r="CO230" s="239">
        <v>0</v>
      </c>
      <c r="CP230" s="239">
        <v>0</v>
      </c>
      <c r="CQ230" s="239">
        <v>0</v>
      </c>
      <c r="CR230" s="239">
        <v>0</v>
      </c>
      <c r="CS230" s="239">
        <v>0</v>
      </c>
      <c r="CT230" s="239">
        <v>0</v>
      </c>
      <c r="CU230" s="239">
        <v>0</v>
      </c>
      <c r="CV230" s="239">
        <v>0</v>
      </c>
      <c r="CW230" s="239">
        <v>0</v>
      </c>
      <c r="CX230" s="239">
        <v>0</v>
      </c>
      <c r="CY230" s="239">
        <v>0</v>
      </c>
      <c r="CZ230" s="239">
        <v>0</v>
      </c>
      <c r="DA230" s="239">
        <v>0</v>
      </c>
      <c r="DB230" s="239">
        <v>0</v>
      </c>
      <c r="DC230" s="239">
        <v>0</v>
      </c>
      <c r="DD230" s="239">
        <v>0</v>
      </c>
      <c r="DE230" s="239">
        <v>0</v>
      </c>
      <c r="DF230" s="239">
        <v>0</v>
      </c>
      <c r="DG230" s="239">
        <v>0</v>
      </c>
      <c r="DH230" s="239">
        <v>0</v>
      </c>
      <c r="DI230" s="239">
        <v>0</v>
      </c>
      <c r="DJ230" s="239">
        <v>-199944</v>
      </c>
      <c r="DK230" s="239">
        <v>0</v>
      </c>
      <c r="DL230" s="239">
        <v>-199944</v>
      </c>
      <c r="DM230" s="239">
        <v>-21310</v>
      </c>
      <c r="DN230" s="239">
        <v>0</v>
      </c>
      <c r="DO230" s="239">
        <v>-21310</v>
      </c>
      <c r="DP230" s="239">
        <v>0</v>
      </c>
      <c r="DQ230" s="239">
        <v>0</v>
      </c>
      <c r="DR230" s="239">
        <v>0</v>
      </c>
      <c r="DS230" s="239">
        <v>-25984</v>
      </c>
      <c r="DT230" s="239">
        <v>0</v>
      </c>
      <c r="DU230" s="239">
        <v>-25984</v>
      </c>
      <c r="DV230" s="239">
        <v>1474</v>
      </c>
      <c r="DW230" s="239">
        <v>0</v>
      </c>
      <c r="DX230" s="239">
        <v>1474</v>
      </c>
      <c r="DY230" s="239">
        <v>-1093693</v>
      </c>
      <c r="DZ230" s="239">
        <v>0</v>
      </c>
      <c r="EA230" s="239">
        <v>-1093693</v>
      </c>
      <c r="EB230" s="239">
        <v>-5259</v>
      </c>
      <c r="EC230" s="239">
        <v>0</v>
      </c>
      <c r="ED230" s="239">
        <v>-5259</v>
      </c>
      <c r="EE230" s="239">
        <v>-85030</v>
      </c>
      <c r="EF230" s="239">
        <v>0</v>
      </c>
      <c r="EG230" s="239">
        <v>-85030</v>
      </c>
      <c r="EH230" s="239">
        <v>0</v>
      </c>
      <c r="EI230" s="239">
        <v>0</v>
      </c>
      <c r="EJ230" s="239">
        <v>0</v>
      </c>
      <c r="EK230" s="239">
        <v>-28517</v>
      </c>
      <c r="EL230" s="239">
        <v>0</v>
      </c>
      <c r="EM230" s="239">
        <v>-28517</v>
      </c>
      <c r="EN230" s="239">
        <v>-1258319</v>
      </c>
      <c r="EO230" s="239">
        <v>0</v>
      </c>
      <c r="EP230" s="239">
        <v>-1258319</v>
      </c>
      <c r="EQ230" s="239">
        <v>0</v>
      </c>
      <c r="ER230" s="239">
        <v>0</v>
      </c>
      <c r="ES230" s="239">
        <v>0</v>
      </c>
      <c r="ET230" s="239">
        <v>0</v>
      </c>
      <c r="EU230" s="239">
        <v>0</v>
      </c>
      <c r="EV230" s="239">
        <v>0</v>
      </c>
      <c r="EW230" s="239">
        <v>0</v>
      </c>
      <c r="EX230" s="239">
        <v>0</v>
      </c>
      <c r="EY230" s="239">
        <v>0</v>
      </c>
      <c r="EZ230" s="239">
        <v>42069151</v>
      </c>
      <c r="FA230" s="239">
        <v>0</v>
      </c>
      <c r="FB230" s="239">
        <v>42069151</v>
      </c>
      <c r="FC230" s="239">
        <v>63552</v>
      </c>
      <c r="FD230" s="239">
        <v>0</v>
      </c>
      <c r="FE230" s="239">
        <v>63552</v>
      </c>
      <c r="FF230" s="239">
        <v>-6663540</v>
      </c>
      <c r="FG230" s="239">
        <v>0</v>
      </c>
      <c r="FH230" s="239">
        <v>-6663540</v>
      </c>
      <c r="FI230" s="239">
        <v>-593545</v>
      </c>
      <c r="FJ230" s="239">
        <v>0</v>
      </c>
      <c r="FK230" s="239">
        <v>-593545</v>
      </c>
      <c r="FL230" s="239">
        <v>-199944</v>
      </c>
      <c r="FM230" s="239">
        <v>0</v>
      </c>
      <c r="FN230" s="239">
        <v>-199944</v>
      </c>
      <c r="FO230" s="239">
        <v>-1258319</v>
      </c>
      <c r="FP230" s="239">
        <v>0</v>
      </c>
      <c r="FQ230" s="239">
        <v>-1258319</v>
      </c>
      <c r="FR230" s="239">
        <v>0</v>
      </c>
      <c r="FS230" s="239">
        <v>0</v>
      </c>
      <c r="FT230" s="239">
        <v>0</v>
      </c>
      <c r="FU230" s="239">
        <v>-8651796</v>
      </c>
      <c r="FV230" s="239">
        <v>0</v>
      </c>
      <c r="FW230" s="239">
        <v>-8651796</v>
      </c>
      <c r="FX230" s="239">
        <v>33417355</v>
      </c>
      <c r="FY230" s="239">
        <v>0</v>
      </c>
      <c r="FZ230" s="239">
        <v>33417355</v>
      </c>
      <c r="GA230" s="214" t="s">
        <v>1294</v>
      </c>
    </row>
    <row r="231" spans="2:183" s="214" customFormat="1" x14ac:dyDescent="0.2">
      <c r="B231" s="610" t="s">
        <v>545</v>
      </c>
      <c r="C231" s="610" t="s">
        <v>544</v>
      </c>
      <c r="D231" s="239">
        <v>0</v>
      </c>
      <c r="E231" s="239">
        <v>0</v>
      </c>
      <c r="F231" s="239">
        <v>0</v>
      </c>
      <c r="G231" s="239">
        <v>-630208</v>
      </c>
      <c r="H231" s="239">
        <v>0</v>
      </c>
      <c r="I231" s="239">
        <v>-630208</v>
      </c>
      <c r="J231" s="239">
        <v>0</v>
      </c>
      <c r="K231" s="239">
        <v>0</v>
      </c>
      <c r="L231" s="239">
        <v>0</v>
      </c>
      <c r="M231" s="239">
        <v>294019</v>
      </c>
      <c r="N231" s="239">
        <v>0</v>
      </c>
      <c r="O231" s="239">
        <v>294019</v>
      </c>
      <c r="P231" s="239">
        <v>-336189</v>
      </c>
      <c r="Q231" s="239">
        <v>0</v>
      </c>
      <c r="R231" s="239">
        <v>-336189</v>
      </c>
      <c r="S231" s="239">
        <v>-2890707</v>
      </c>
      <c r="T231" s="239">
        <v>0</v>
      </c>
      <c r="U231" s="239">
        <v>-2890707</v>
      </c>
      <c r="V231" s="239">
        <v>-3373</v>
      </c>
      <c r="W231" s="239">
        <v>0</v>
      </c>
      <c r="X231" s="239">
        <v>-3373</v>
      </c>
      <c r="Y231" s="239">
        <v>-117720</v>
      </c>
      <c r="Z231" s="239">
        <v>0</v>
      </c>
      <c r="AA231" s="239">
        <v>-117720</v>
      </c>
      <c r="AB231" s="239">
        <v>-51688</v>
      </c>
      <c r="AC231" s="239">
        <v>0</v>
      </c>
      <c r="AD231" s="239">
        <v>-51688</v>
      </c>
      <c r="AE231" s="239">
        <v>0</v>
      </c>
      <c r="AF231" s="239">
        <v>0</v>
      </c>
      <c r="AG231" s="239">
        <v>0</v>
      </c>
      <c r="AH231" s="239">
        <v>1025973</v>
      </c>
      <c r="AI231" s="239">
        <v>0</v>
      </c>
      <c r="AJ231" s="239">
        <v>1025973</v>
      </c>
      <c r="AK231" s="239">
        <v>-17774</v>
      </c>
      <c r="AL231" s="239">
        <v>0</v>
      </c>
      <c r="AM231" s="239">
        <v>-17774</v>
      </c>
      <c r="AN231" s="239">
        <v>-2419207</v>
      </c>
      <c r="AO231" s="239">
        <v>0</v>
      </c>
      <c r="AP231" s="239">
        <v>-2419207</v>
      </c>
      <c r="AQ231" s="239">
        <v>4754</v>
      </c>
      <c r="AR231" s="239">
        <v>0</v>
      </c>
      <c r="AS231" s="239">
        <v>4754</v>
      </c>
      <c r="AT231" s="239">
        <v>-31808</v>
      </c>
      <c r="AU231" s="239">
        <v>0</v>
      </c>
      <c r="AV231" s="239">
        <v>-31808</v>
      </c>
      <c r="AW231" s="239">
        <v>0</v>
      </c>
      <c r="AX231" s="239">
        <v>0</v>
      </c>
      <c r="AY231" s="239">
        <v>0</v>
      </c>
      <c r="AZ231" s="239">
        <v>-69446</v>
      </c>
      <c r="BA231" s="239">
        <v>0</v>
      </c>
      <c r="BB231" s="239">
        <v>-69446</v>
      </c>
      <c r="BC231" s="239">
        <v>201</v>
      </c>
      <c r="BD231" s="239">
        <v>0</v>
      </c>
      <c r="BE231" s="239">
        <v>201</v>
      </c>
      <c r="BF231" s="239">
        <v>-4515734</v>
      </c>
      <c r="BG231" s="239">
        <v>0</v>
      </c>
      <c r="BH231" s="239">
        <v>-4515734</v>
      </c>
      <c r="BI231" s="239">
        <v>-193466</v>
      </c>
      <c r="BJ231" s="239">
        <v>0</v>
      </c>
      <c r="BK231" s="239">
        <v>-193466</v>
      </c>
      <c r="BL231" s="239">
        <v>0</v>
      </c>
      <c r="BM231" s="239">
        <v>0</v>
      </c>
      <c r="BN231" s="239">
        <v>0</v>
      </c>
      <c r="BO231" s="239">
        <v>-1128530</v>
      </c>
      <c r="BP231" s="239">
        <v>0</v>
      </c>
      <c r="BQ231" s="239">
        <v>-1128530</v>
      </c>
      <c r="BR231" s="239">
        <v>-228287</v>
      </c>
      <c r="BS231" s="239">
        <v>0</v>
      </c>
      <c r="BT231" s="239">
        <v>-228287</v>
      </c>
      <c r="BU231" s="239">
        <v>-1550283</v>
      </c>
      <c r="BV231" s="239">
        <v>0</v>
      </c>
      <c r="BW231" s="239">
        <v>-1550283</v>
      </c>
      <c r="BX231" s="239">
        <v>-75363</v>
      </c>
      <c r="BY231" s="239">
        <v>0</v>
      </c>
      <c r="BZ231" s="239">
        <v>-75363</v>
      </c>
      <c r="CA231" s="239">
        <v>-1486</v>
      </c>
      <c r="CB231" s="239">
        <v>0</v>
      </c>
      <c r="CC231" s="239">
        <v>-1486</v>
      </c>
      <c r="CD231" s="239">
        <v>-25459</v>
      </c>
      <c r="CE231" s="239">
        <v>0</v>
      </c>
      <c r="CF231" s="239">
        <v>-25459</v>
      </c>
      <c r="CG231" s="239">
        <v>-2308</v>
      </c>
      <c r="CH231" s="239">
        <v>0</v>
      </c>
      <c r="CI231" s="239">
        <v>-2308</v>
      </c>
      <c r="CJ231" s="239">
        <v>0</v>
      </c>
      <c r="CK231" s="239">
        <v>0</v>
      </c>
      <c r="CL231" s="239">
        <v>0</v>
      </c>
      <c r="CM231" s="239">
        <v>0</v>
      </c>
      <c r="CN231" s="239">
        <v>0</v>
      </c>
      <c r="CO231" s="239">
        <v>0</v>
      </c>
      <c r="CP231" s="239">
        <v>-31027</v>
      </c>
      <c r="CQ231" s="239">
        <v>0</v>
      </c>
      <c r="CR231" s="239">
        <v>-31027</v>
      </c>
      <c r="CS231" s="239">
        <v>201</v>
      </c>
      <c r="CT231" s="239">
        <v>0</v>
      </c>
      <c r="CU231" s="239">
        <v>201</v>
      </c>
      <c r="CV231" s="239">
        <v>-365</v>
      </c>
      <c r="CW231" s="239">
        <v>0</v>
      </c>
      <c r="CX231" s="239">
        <v>-365</v>
      </c>
      <c r="CY231" s="239">
        <v>0</v>
      </c>
      <c r="CZ231" s="239">
        <v>0</v>
      </c>
      <c r="DA231" s="239">
        <v>0</v>
      </c>
      <c r="DB231" s="239">
        <v>0</v>
      </c>
      <c r="DC231" s="239">
        <v>0</v>
      </c>
      <c r="DD231" s="239">
        <v>0</v>
      </c>
      <c r="DE231" s="239">
        <v>0</v>
      </c>
      <c r="DF231" s="239">
        <v>0</v>
      </c>
      <c r="DG231" s="239">
        <v>0</v>
      </c>
      <c r="DH231" s="239">
        <v>0</v>
      </c>
      <c r="DI231" s="239">
        <v>0</v>
      </c>
      <c r="DJ231" s="239">
        <v>-135807</v>
      </c>
      <c r="DK231" s="239">
        <v>0</v>
      </c>
      <c r="DL231" s="239">
        <v>-135807</v>
      </c>
      <c r="DM231" s="239">
        <v>-1083</v>
      </c>
      <c r="DN231" s="239">
        <v>0</v>
      </c>
      <c r="DO231" s="239">
        <v>-1083</v>
      </c>
      <c r="DP231" s="239">
        <v>21611</v>
      </c>
      <c r="DQ231" s="239">
        <v>0</v>
      </c>
      <c r="DR231" s="239">
        <v>21611</v>
      </c>
      <c r="DS231" s="239">
        <v>-19225</v>
      </c>
      <c r="DT231" s="239">
        <v>0</v>
      </c>
      <c r="DU231" s="239">
        <v>-19225</v>
      </c>
      <c r="DV231" s="239">
        <v>354</v>
      </c>
      <c r="DW231" s="239">
        <v>0</v>
      </c>
      <c r="DX231" s="239">
        <v>354</v>
      </c>
      <c r="DY231" s="239">
        <v>-614956</v>
      </c>
      <c r="DZ231" s="239">
        <v>0</v>
      </c>
      <c r="EA231" s="239">
        <v>-614956</v>
      </c>
      <c r="EB231" s="239">
        <v>-9848</v>
      </c>
      <c r="EC231" s="239">
        <v>0</v>
      </c>
      <c r="ED231" s="239">
        <v>-9848</v>
      </c>
      <c r="EE231" s="239">
        <v>0</v>
      </c>
      <c r="EF231" s="239">
        <v>0</v>
      </c>
      <c r="EG231" s="239">
        <v>0</v>
      </c>
      <c r="EH231" s="239">
        <v>-2045</v>
      </c>
      <c r="EI231" s="239">
        <v>0</v>
      </c>
      <c r="EJ231" s="239">
        <v>-2045</v>
      </c>
      <c r="EK231" s="239">
        <v>-34341</v>
      </c>
      <c r="EL231" s="239">
        <v>0</v>
      </c>
      <c r="EM231" s="239">
        <v>-34341</v>
      </c>
      <c r="EN231" s="239">
        <v>-659533</v>
      </c>
      <c r="EO231" s="239">
        <v>0</v>
      </c>
      <c r="EP231" s="239">
        <v>-659533</v>
      </c>
      <c r="EQ231" s="239">
        <v>-4930</v>
      </c>
      <c r="ER231" s="239">
        <v>0</v>
      </c>
      <c r="ES231" s="239">
        <v>-4930</v>
      </c>
      <c r="ET231" s="239">
        <v>-2847</v>
      </c>
      <c r="EU231" s="239">
        <v>0</v>
      </c>
      <c r="EV231" s="239">
        <v>-2847</v>
      </c>
      <c r="EW231" s="239">
        <v>-7777</v>
      </c>
      <c r="EX231" s="239">
        <v>0</v>
      </c>
      <c r="EY231" s="239">
        <v>-7777</v>
      </c>
      <c r="EZ231" s="239">
        <v>43681445</v>
      </c>
      <c r="FA231" s="239">
        <v>0</v>
      </c>
      <c r="FB231" s="239">
        <v>43681445</v>
      </c>
      <c r="FC231" s="239">
        <v>-336189</v>
      </c>
      <c r="FD231" s="239">
        <v>0</v>
      </c>
      <c r="FE231" s="239">
        <v>-336189</v>
      </c>
      <c r="FF231" s="239">
        <v>-4515734</v>
      </c>
      <c r="FG231" s="239">
        <v>0</v>
      </c>
      <c r="FH231" s="239">
        <v>-4515734</v>
      </c>
      <c r="FI231" s="239">
        <v>-1550283</v>
      </c>
      <c r="FJ231" s="239">
        <v>0</v>
      </c>
      <c r="FK231" s="239">
        <v>-1550283</v>
      </c>
      <c r="FL231" s="239">
        <v>-135807</v>
      </c>
      <c r="FM231" s="239">
        <v>0</v>
      </c>
      <c r="FN231" s="239">
        <v>-135807</v>
      </c>
      <c r="FO231" s="239">
        <v>-659533</v>
      </c>
      <c r="FP231" s="239">
        <v>0</v>
      </c>
      <c r="FQ231" s="239">
        <v>-659533</v>
      </c>
      <c r="FR231" s="239">
        <v>-7777</v>
      </c>
      <c r="FS231" s="239">
        <v>0</v>
      </c>
      <c r="FT231" s="239">
        <v>-7777</v>
      </c>
      <c r="FU231" s="239">
        <v>-7205323</v>
      </c>
      <c r="FV231" s="239">
        <v>0</v>
      </c>
      <c r="FW231" s="239">
        <v>-7205323</v>
      </c>
      <c r="FX231" s="239">
        <v>36476122</v>
      </c>
      <c r="FY231" s="239">
        <v>0</v>
      </c>
      <c r="FZ231" s="239">
        <v>36476122</v>
      </c>
      <c r="GA231" s="214" t="s">
        <v>1294</v>
      </c>
    </row>
    <row r="232" spans="2:183" s="214" customFormat="1" x14ac:dyDescent="0.2">
      <c r="B232" s="610" t="s">
        <v>547</v>
      </c>
      <c r="C232" s="610" t="s">
        <v>546</v>
      </c>
      <c r="D232" s="239">
        <v>0</v>
      </c>
      <c r="E232" s="239">
        <v>0</v>
      </c>
      <c r="F232" s="239">
        <v>0</v>
      </c>
      <c r="G232" s="239">
        <v>78389</v>
      </c>
      <c r="H232" s="239">
        <v>0</v>
      </c>
      <c r="I232" s="239">
        <v>78389</v>
      </c>
      <c r="J232" s="239">
        <v>0</v>
      </c>
      <c r="K232" s="239">
        <v>0</v>
      </c>
      <c r="L232" s="239">
        <v>0</v>
      </c>
      <c r="M232" s="239">
        <v>530165</v>
      </c>
      <c r="N232" s="239">
        <v>0</v>
      </c>
      <c r="O232" s="239">
        <v>530165</v>
      </c>
      <c r="P232" s="239">
        <v>608554</v>
      </c>
      <c r="Q232" s="239">
        <v>0</v>
      </c>
      <c r="R232" s="239">
        <v>608554</v>
      </c>
      <c r="S232" s="239">
        <v>-5982524</v>
      </c>
      <c r="T232" s="239">
        <v>0</v>
      </c>
      <c r="U232" s="239">
        <v>-5982524</v>
      </c>
      <c r="V232" s="239">
        <v>-8473</v>
      </c>
      <c r="W232" s="239">
        <v>0</v>
      </c>
      <c r="X232" s="239">
        <v>-8473</v>
      </c>
      <c r="Y232" s="239">
        <v>-251774</v>
      </c>
      <c r="Z232" s="239">
        <v>0</v>
      </c>
      <c r="AA232" s="239">
        <v>-251774</v>
      </c>
      <c r="AB232" s="239">
        <v>-154728</v>
      </c>
      <c r="AC232" s="239">
        <v>0</v>
      </c>
      <c r="AD232" s="239">
        <v>-154728</v>
      </c>
      <c r="AE232" s="239">
        <v>673</v>
      </c>
      <c r="AF232" s="239">
        <v>0</v>
      </c>
      <c r="AG232" s="239">
        <v>673</v>
      </c>
      <c r="AH232" s="239">
        <v>1948828</v>
      </c>
      <c r="AI232" s="239">
        <v>0</v>
      </c>
      <c r="AJ232" s="239">
        <v>1948828</v>
      </c>
      <c r="AK232" s="239">
        <v>101412</v>
      </c>
      <c r="AL232" s="239">
        <v>0</v>
      </c>
      <c r="AM232" s="239">
        <v>101412</v>
      </c>
      <c r="AN232" s="239">
        <v>-4439484</v>
      </c>
      <c r="AO232" s="239">
        <v>0</v>
      </c>
      <c r="AP232" s="239">
        <v>-4439484</v>
      </c>
      <c r="AQ232" s="239">
        <v>-10492</v>
      </c>
      <c r="AR232" s="239">
        <v>0</v>
      </c>
      <c r="AS232" s="239">
        <v>-10492</v>
      </c>
      <c r="AT232" s="239">
        <v>-30729</v>
      </c>
      <c r="AU232" s="239">
        <v>0</v>
      </c>
      <c r="AV232" s="239">
        <v>-30729</v>
      </c>
      <c r="AW232" s="239">
        <v>3566</v>
      </c>
      <c r="AX232" s="239">
        <v>0</v>
      </c>
      <c r="AY232" s="239">
        <v>3566</v>
      </c>
      <c r="AZ232" s="239">
        <v>-360</v>
      </c>
      <c r="BA232" s="239">
        <v>0</v>
      </c>
      <c r="BB232" s="239">
        <v>-360</v>
      </c>
      <c r="BC232" s="239">
        <v>2799</v>
      </c>
      <c r="BD232" s="239">
        <v>0</v>
      </c>
      <c r="BE232" s="239">
        <v>2799</v>
      </c>
      <c r="BF232" s="239">
        <v>-8658758</v>
      </c>
      <c r="BG232" s="239">
        <v>0</v>
      </c>
      <c r="BH232" s="239">
        <v>-8658758</v>
      </c>
      <c r="BI232" s="239">
        <v>-58851</v>
      </c>
      <c r="BJ232" s="239">
        <v>0</v>
      </c>
      <c r="BK232" s="239">
        <v>-58851</v>
      </c>
      <c r="BL232" s="239">
        <v>0</v>
      </c>
      <c r="BM232" s="239">
        <v>0</v>
      </c>
      <c r="BN232" s="239">
        <v>0</v>
      </c>
      <c r="BO232" s="239">
        <v>-3620787</v>
      </c>
      <c r="BP232" s="239">
        <v>0</v>
      </c>
      <c r="BQ232" s="239">
        <v>-3620787</v>
      </c>
      <c r="BR232" s="239">
        <v>321196</v>
      </c>
      <c r="BS232" s="239">
        <v>0</v>
      </c>
      <c r="BT232" s="239">
        <v>321196</v>
      </c>
      <c r="BU232" s="239">
        <v>-3358442</v>
      </c>
      <c r="BV232" s="239">
        <v>0</v>
      </c>
      <c r="BW232" s="239">
        <v>-3358442</v>
      </c>
      <c r="BX232" s="239">
        <v>-236748</v>
      </c>
      <c r="BY232" s="239">
        <v>0</v>
      </c>
      <c r="BZ232" s="239">
        <v>-236748</v>
      </c>
      <c r="CA232" s="239">
        <v>-1955</v>
      </c>
      <c r="CB232" s="239">
        <v>0</v>
      </c>
      <c r="CC232" s="239">
        <v>-1955</v>
      </c>
      <c r="CD232" s="239">
        <v>-98953</v>
      </c>
      <c r="CE232" s="239">
        <v>0</v>
      </c>
      <c r="CF232" s="239">
        <v>-98953</v>
      </c>
      <c r="CG232" s="239">
        <v>-12059</v>
      </c>
      <c r="CH232" s="239">
        <v>0</v>
      </c>
      <c r="CI232" s="239">
        <v>-12059</v>
      </c>
      <c r="CJ232" s="239">
        <v>0</v>
      </c>
      <c r="CK232" s="239">
        <v>0</v>
      </c>
      <c r="CL232" s="239">
        <v>0</v>
      </c>
      <c r="CM232" s="239">
        <v>0</v>
      </c>
      <c r="CN232" s="239">
        <v>0</v>
      </c>
      <c r="CO232" s="239">
        <v>0</v>
      </c>
      <c r="CP232" s="239">
        <v>0</v>
      </c>
      <c r="CQ232" s="239">
        <v>0</v>
      </c>
      <c r="CR232" s="239">
        <v>0</v>
      </c>
      <c r="CS232" s="239">
        <v>0</v>
      </c>
      <c r="CT232" s="239">
        <v>0</v>
      </c>
      <c r="CU232" s="239">
        <v>0</v>
      </c>
      <c r="CV232" s="239">
        <v>0</v>
      </c>
      <c r="CW232" s="239">
        <v>0</v>
      </c>
      <c r="CX232" s="239">
        <v>0</v>
      </c>
      <c r="CY232" s="239">
        <v>0</v>
      </c>
      <c r="CZ232" s="239">
        <v>0</v>
      </c>
      <c r="DA232" s="239">
        <v>0</v>
      </c>
      <c r="DB232" s="239">
        <v>0</v>
      </c>
      <c r="DC232" s="239">
        <v>0</v>
      </c>
      <c r="DD232" s="239">
        <v>0</v>
      </c>
      <c r="DE232" s="239">
        <v>0</v>
      </c>
      <c r="DF232" s="239">
        <v>0</v>
      </c>
      <c r="DG232" s="239">
        <v>0</v>
      </c>
      <c r="DH232" s="239">
        <v>0</v>
      </c>
      <c r="DI232" s="239">
        <v>0</v>
      </c>
      <c r="DJ232" s="239">
        <v>-349715</v>
      </c>
      <c r="DK232" s="239">
        <v>0</v>
      </c>
      <c r="DL232" s="239">
        <v>-349715</v>
      </c>
      <c r="DM232" s="239">
        <v>-97686</v>
      </c>
      <c r="DN232" s="239">
        <v>0</v>
      </c>
      <c r="DO232" s="239">
        <v>-97686</v>
      </c>
      <c r="DP232" s="239">
        <v>0</v>
      </c>
      <c r="DQ232" s="239">
        <v>0</v>
      </c>
      <c r="DR232" s="239">
        <v>0</v>
      </c>
      <c r="DS232" s="239">
        <v>-64420</v>
      </c>
      <c r="DT232" s="239">
        <v>0</v>
      </c>
      <c r="DU232" s="239">
        <v>-64420</v>
      </c>
      <c r="DV232" s="239">
        <v>-17575</v>
      </c>
      <c r="DW232" s="239">
        <v>0</v>
      </c>
      <c r="DX232" s="239">
        <v>-17575</v>
      </c>
      <c r="DY232" s="239">
        <v>-996510</v>
      </c>
      <c r="DZ232" s="239">
        <v>0</v>
      </c>
      <c r="EA232" s="239">
        <v>-996510</v>
      </c>
      <c r="EB232" s="239">
        <v>-46583</v>
      </c>
      <c r="EC232" s="239">
        <v>0</v>
      </c>
      <c r="ED232" s="239">
        <v>-46583</v>
      </c>
      <c r="EE232" s="239">
        <v>0</v>
      </c>
      <c r="EF232" s="239">
        <v>0</v>
      </c>
      <c r="EG232" s="239">
        <v>0</v>
      </c>
      <c r="EH232" s="239">
        <v>0</v>
      </c>
      <c r="EI232" s="239">
        <v>0</v>
      </c>
      <c r="EJ232" s="239">
        <v>0</v>
      </c>
      <c r="EK232" s="239">
        <v>-11453</v>
      </c>
      <c r="EL232" s="239">
        <v>0</v>
      </c>
      <c r="EM232" s="239">
        <v>-11453</v>
      </c>
      <c r="EN232" s="239">
        <v>-1234227</v>
      </c>
      <c r="EO232" s="239">
        <v>0</v>
      </c>
      <c r="EP232" s="239">
        <v>-1234227</v>
      </c>
      <c r="EQ232" s="239">
        <v>-1479</v>
      </c>
      <c r="ER232" s="239">
        <v>0</v>
      </c>
      <c r="ES232" s="239">
        <v>-1479</v>
      </c>
      <c r="ET232" s="239">
        <v>0</v>
      </c>
      <c r="EU232" s="239">
        <v>0</v>
      </c>
      <c r="EV232" s="239">
        <v>0</v>
      </c>
      <c r="EW232" s="239">
        <v>-1479</v>
      </c>
      <c r="EX232" s="239">
        <v>0</v>
      </c>
      <c r="EY232" s="239">
        <v>-1479</v>
      </c>
      <c r="EZ232" s="239">
        <v>85406095</v>
      </c>
      <c r="FA232" s="239">
        <v>0</v>
      </c>
      <c r="FB232" s="239">
        <v>85406095</v>
      </c>
      <c r="FC232" s="239">
        <v>608554</v>
      </c>
      <c r="FD232" s="239">
        <v>0</v>
      </c>
      <c r="FE232" s="239">
        <v>608554</v>
      </c>
      <c r="FF232" s="239">
        <v>-8658758</v>
      </c>
      <c r="FG232" s="239">
        <v>0</v>
      </c>
      <c r="FH232" s="239">
        <v>-8658758</v>
      </c>
      <c r="FI232" s="239">
        <v>-3358442</v>
      </c>
      <c r="FJ232" s="239">
        <v>0</v>
      </c>
      <c r="FK232" s="239">
        <v>-3358442</v>
      </c>
      <c r="FL232" s="239">
        <v>-349715</v>
      </c>
      <c r="FM232" s="239">
        <v>0</v>
      </c>
      <c r="FN232" s="239">
        <v>-349715</v>
      </c>
      <c r="FO232" s="239">
        <v>-1234227</v>
      </c>
      <c r="FP232" s="239">
        <v>0</v>
      </c>
      <c r="FQ232" s="239">
        <v>-1234227</v>
      </c>
      <c r="FR232" s="239">
        <v>-1479</v>
      </c>
      <c r="FS232" s="239">
        <v>0</v>
      </c>
      <c r="FT232" s="239">
        <v>-1479</v>
      </c>
      <c r="FU232" s="239">
        <v>-12994067</v>
      </c>
      <c r="FV232" s="239">
        <v>0</v>
      </c>
      <c r="FW232" s="239">
        <v>-12994067</v>
      </c>
      <c r="FX232" s="239">
        <v>72412028</v>
      </c>
      <c r="FY232" s="239">
        <v>0</v>
      </c>
      <c r="FZ232" s="239">
        <v>72412028</v>
      </c>
      <c r="GA232" s="214" t="s">
        <v>1296</v>
      </c>
    </row>
    <row r="233" spans="2:183" s="214" customFormat="1" x14ac:dyDescent="0.2">
      <c r="B233" s="610" t="s">
        <v>549</v>
      </c>
      <c r="C233" s="610" t="s">
        <v>548</v>
      </c>
      <c r="D233" s="239">
        <v>0</v>
      </c>
      <c r="E233" s="239">
        <v>0</v>
      </c>
      <c r="F233" s="239">
        <v>0</v>
      </c>
      <c r="G233" s="239">
        <v>213838</v>
      </c>
      <c r="H233" s="239">
        <v>0</v>
      </c>
      <c r="I233" s="239">
        <v>213838</v>
      </c>
      <c r="J233" s="239">
        <v>0</v>
      </c>
      <c r="K233" s="239">
        <v>0</v>
      </c>
      <c r="L233" s="239">
        <v>0</v>
      </c>
      <c r="M233" s="239">
        <v>8356</v>
      </c>
      <c r="N233" s="239">
        <v>0</v>
      </c>
      <c r="O233" s="239">
        <v>8356</v>
      </c>
      <c r="P233" s="239">
        <v>222194</v>
      </c>
      <c r="Q233" s="239">
        <v>0</v>
      </c>
      <c r="R233" s="239">
        <v>222194</v>
      </c>
      <c r="S233" s="239">
        <v>-1699858</v>
      </c>
      <c r="T233" s="239">
        <v>0</v>
      </c>
      <c r="U233" s="239">
        <v>-1699858</v>
      </c>
      <c r="V233" s="239">
        <v>-9295</v>
      </c>
      <c r="W233" s="239">
        <v>0</v>
      </c>
      <c r="X233" s="239">
        <v>-9295</v>
      </c>
      <c r="Y233" s="239">
        <v>-35001</v>
      </c>
      <c r="Z233" s="239">
        <v>0</v>
      </c>
      <c r="AA233" s="239">
        <v>-35001</v>
      </c>
      <c r="AB233" s="239">
        <v>-25734</v>
      </c>
      <c r="AC233" s="239">
        <v>0</v>
      </c>
      <c r="AD233" s="239">
        <v>-25734</v>
      </c>
      <c r="AE233" s="239">
        <v>0</v>
      </c>
      <c r="AF233" s="239">
        <v>0</v>
      </c>
      <c r="AG233" s="239">
        <v>0</v>
      </c>
      <c r="AH233" s="239">
        <v>1177701</v>
      </c>
      <c r="AI233" s="239">
        <v>0</v>
      </c>
      <c r="AJ233" s="239">
        <v>1177701</v>
      </c>
      <c r="AK233" s="239">
        <v>15422</v>
      </c>
      <c r="AL233" s="239">
        <v>0</v>
      </c>
      <c r="AM233" s="239">
        <v>15422</v>
      </c>
      <c r="AN233" s="239">
        <v>-1037624</v>
      </c>
      <c r="AO233" s="239">
        <v>0</v>
      </c>
      <c r="AP233" s="239">
        <v>-1037624</v>
      </c>
      <c r="AQ233" s="239">
        <v>-5979</v>
      </c>
      <c r="AR233" s="239">
        <v>0</v>
      </c>
      <c r="AS233" s="239">
        <v>-5979</v>
      </c>
      <c r="AT233" s="239">
        <v>-54563</v>
      </c>
      <c r="AU233" s="239">
        <v>0</v>
      </c>
      <c r="AV233" s="239">
        <v>-54563</v>
      </c>
      <c r="AW233" s="239">
        <v>0</v>
      </c>
      <c r="AX233" s="239">
        <v>0</v>
      </c>
      <c r="AY233" s="239">
        <v>0</v>
      </c>
      <c r="AZ233" s="239">
        <v>-18923</v>
      </c>
      <c r="BA233" s="239">
        <v>0</v>
      </c>
      <c r="BB233" s="239">
        <v>-18923</v>
      </c>
      <c r="BC233" s="239">
        <v>1274</v>
      </c>
      <c r="BD233" s="239">
        <v>0</v>
      </c>
      <c r="BE233" s="239">
        <v>1274</v>
      </c>
      <c r="BF233" s="239">
        <v>-1657551</v>
      </c>
      <c r="BG233" s="239">
        <v>0</v>
      </c>
      <c r="BH233" s="239">
        <v>-1657551</v>
      </c>
      <c r="BI233" s="239">
        <v>-19873</v>
      </c>
      <c r="BJ233" s="239">
        <v>0</v>
      </c>
      <c r="BK233" s="239">
        <v>-19873</v>
      </c>
      <c r="BL233" s="239">
        <v>-455</v>
      </c>
      <c r="BM233" s="239">
        <v>0</v>
      </c>
      <c r="BN233" s="239">
        <v>-455</v>
      </c>
      <c r="BO233" s="239">
        <v>-673046</v>
      </c>
      <c r="BP233" s="239">
        <v>0</v>
      </c>
      <c r="BQ233" s="239">
        <v>-673046</v>
      </c>
      <c r="BR233" s="239">
        <v>-31065</v>
      </c>
      <c r="BS233" s="239">
        <v>0</v>
      </c>
      <c r="BT233" s="239">
        <v>-31065</v>
      </c>
      <c r="BU233" s="239">
        <v>-724439</v>
      </c>
      <c r="BV233" s="239">
        <v>0</v>
      </c>
      <c r="BW233" s="239">
        <v>-724439</v>
      </c>
      <c r="BX233" s="239">
        <v>-65368</v>
      </c>
      <c r="BY233" s="239">
        <v>0</v>
      </c>
      <c r="BZ233" s="239">
        <v>-65368</v>
      </c>
      <c r="CA233" s="239">
        <v>-999</v>
      </c>
      <c r="CB233" s="239">
        <v>0</v>
      </c>
      <c r="CC233" s="239">
        <v>-999</v>
      </c>
      <c r="CD233" s="239">
        <v>-14630</v>
      </c>
      <c r="CE233" s="239">
        <v>0</v>
      </c>
      <c r="CF233" s="239">
        <v>-14630</v>
      </c>
      <c r="CG233" s="239">
        <v>-170</v>
      </c>
      <c r="CH233" s="239">
        <v>0</v>
      </c>
      <c r="CI233" s="239">
        <v>-170</v>
      </c>
      <c r="CJ233" s="239">
        <v>-1378</v>
      </c>
      <c r="CK233" s="239">
        <v>0</v>
      </c>
      <c r="CL233" s="239">
        <v>-1378</v>
      </c>
      <c r="CM233" s="239">
        <v>0</v>
      </c>
      <c r="CN233" s="239">
        <v>0</v>
      </c>
      <c r="CO233" s="239">
        <v>0</v>
      </c>
      <c r="CP233" s="239">
        <v>-12005</v>
      </c>
      <c r="CQ233" s="239">
        <v>0</v>
      </c>
      <c r="CR233" s="239">
        <v>-12005</v>
      </c>
      <c r="CS233" s="239">
        <v>86</v>
      </c>
      <c r="CT233" s="239">
        <v>0</v>
      </c>
      <c r="CU233" s="239">
        <v>86</v>
      </c>
      <c r="CV233" s="239">
        <v>-2844</v>
      </c>
      <c r="CW233" s="239">
        <v>0</v>
      </c>
      <c r="CX233" s="239">
        <v>-2844</v>
      </c>
      <c r="CY233" s="239">
        <v>0</v>
      </c>
      <c r="CZ233" s="239">
        <v>0</v>
      </c>
      <c r="DA233" s="239">
        <v>0</v>
      </c>
      <c r="DB233" s="239">
        <v>-31508</v>
      </c>
      <c r="DC233" s="239">
        <v>0</v>
      </c>
      <c r="DD233" s="239">
        <v>-31508</v>
      </c>
      <c r="DE233" s="239">
        <v>0</v>
      </c>
      <c r="DF233" s="239">
        <v>0</v>
      </c>
      <c r="DG233" s="239">
        <v>0</v>
      </c>
      <c r="DH233" s="239">
        <v>0</v>
      </c>
      <c r="DI233" s="239">
        <v>0</v>
      </c>
      <c r="DJ233" s="239">
        <v>-128816</v>
      </c>
      <c r="DK233" s="239">
        <v>0</v>
      </c>
      <c r="DL233" s="239">
        <v>-128816</v>
      </c>
      <c r="DM233" s="239">
        <v>-5304</v>
      </c>
      <c r="DN233" s="239">
        <v>0</v>
      </c>
      <c r="DO233" s="239">
        <v>-5304</v>
      </c>
      <c r="DP233" s="239">
        <v>-81</v>
      </c>
      <c r="DQ233" s="239">
        <v>0</v>
      </c>
      <c r="DR233" s="239">
        <v>-81</v>
      </c>
      <c r="DS233" s="239">
        <v>-13960</v>
      </c>
      <c r="DT233" s="239">
        <v>0</v>
      </c>
      <c r="DU233" s="239">
        <v>-13960</v>
      </c>
      <c r="DV233" s="239">
        <v>-2370</v>
      </c>
      <c r="DW233" s="239">
        <v>0</v>
      </c>
      <c r="DX233" s="239">
        <v>-2370</v>
      </c>
      <c r="DY233" s="239">
        <v>-271591</v>
      </c>
      <c r="DZ233" s="239">
        <v>0</v>
      </c>
      <c r="EA233" s="239">
        <v>-271591</v>
      </c>
      <c r="EB233" s="239">
        <v>-29010</v>
      </c>
      <c r="EC233" s="239">
        <v>0</v>
      </c>
      <c r="ED233" s="239">
        <v>-29010</v>
      </c>
      <c r="EE233" s="239">
        <v>-39829</v>
      </c>
      <c r="EF233" s="239">
        <v>0</v>
      </c>
      <c r="EG233" s="239">
        <v>-39829</v>
      </c>
      <c r="EH233" s="239">
        <v>0</v>
      </c>
      <c r="EI233" s="239">
        <v>0</v>
      </c>
      <c r="EJ233" s="239">
        <v>0</v>
      </c>
      <c r="EK233" s="239">
        <v>-193</v>
      </c>
      <c r="EL233" s="239">
        <v>0</v>
      </c>
      <c r="EM233" s="239">
        <v>-193</v>
      </c>
      <c r="EN233" s="239">
        <v>-362338</v>
      </c>
      <c r="EO233" s="239">
        <v>0</v>
      </c>
      <c r="EP233" s="239">
        <v>-362338</v>
      </c>
      <c r="EQ233" s="239">
        <v>0</v>
      </c>
      <c r="ER233" s="239">
        <v>0</v>
      </c>
      <c r="ES233" s="239">
        <v>0</v>
      </c>
      <c r="ET233" s="239">
        <v>0</v>
      </c>
      <c r="EU233" s="239">
        <v>0</v>
      </c>
      <c r="EV233" s="239">
        <v>0</v>
      </c>
      <c r="EW233" s="239">
        <v>0</v>
      </c>
      <c r="EX233" s="239">
        <v>0</v>
      </c>
      <c r="EY233" s="239">
        <v>0</v>
      </c>
      <c r="EZ233" s="239">
        <v>47533321</v>
      </c>
      <c r="FA233" s="239">
        <v>0</v>
      </c>
      <c r="FB233" s="239">
        <v>47533321</v>
      </c>
      <c r="FC233" s="239">
        <v>222194</v>
      </c>
      <c r="FD233" s="239">
        <v>0</v>
      </c>
      <c r="FE233" s="239">
        <v>222194</v>
      </c>
      <c r="FF233" s="239">
        <v>-1657551</v>
      </c>
      <c r="FG233" s="239">
        <v>0</v>
      </c>
      <c r="FH233" s="239">
        <v>-1657551</v>
      </c>
      <c r="FI233" s="239">
        <v>-724439</v>
      </c>
      <c r="FJ233" s="239">
        <v>0</v>
      </c>
      <c r="FK233" s="239">
        <v>-724439</v>
      </c>
      <c r="FL233" s="239">
        <v>-128816</v>
      </c>
      <c r="FM233" s="239">
        <v>0</v>
      </c>
      <c r="FN233" s="239">
        <v>-128816</v>
      </c>
      <c r="FO233" s="239">
        <v>-362338</v>
      </c>
      <c r="FP233" s="239">
        <v>0</v>
      </c>
      <c r="FQ233" s="239">
        <v>-362338</v>
      </c>
      <c r="FR233" s="239">
        <v>0</v>
      </c>
      <c r="FS233" s="239">
        <v>0</v>
      </c>
      <c r="FT233" s="239">
        <v>0</v>
      </c>
      <c r="FU233" s="239">
        <v>-2650950</v>
      </c>
      <c r="FV233" s="239">
        <v>0</v>
      </c>
      <c r="FW233" s="239">
        <v>-2650950</v>
      </c>
      <c r="FX233" s="239">
        <v>44882371</v>
      </c>
      <c r="FY233" s="239">
        <v>0</v>
      </c>
      <c r="FZ233" s="239">
        <v>44882371</v>
      </c>
      <c r="GA233" s="214" t="s">
        <v>1294</v>
      </c>
    </row>
    <row r="234" spans="2:183" s="214" customFormat="1" x14ac:dyDescent="0.2">
      <c r="B234" s="610" t="s">
        <v>551</v>
      </c>
      <c r="C234" s="610" t="s">
        <v>550</v>
      </c>
      <c r="D234" s="239">
        <v>0</v>
      </c>
      <c r="E234" s="239">
        <v>0</v>
      </c>
      <c r="F234" s="239">
        <v>0</v>
      </c>
      <c r="G234" s="239">
        <v>16670</v>
      </c>
      <c r="H234" s="239">
        <v>0</v>
      </c>
      <c r="I234" s="239">
        <v>16670</v>
      </c>
      <c r="J234" s="239">
        <v>0</v>
      </c>
      <c r="K234" s="239">
        <v>0</v>
      </c>
      <c r="L234" s="239">
        <v>0</v>
      </c>
      <c r="M234" s="239">
        <v>121088</v>
      </c>
      <c r="N234" s="239">
        <v>0</v>
      </c>
      <c r="O234" s="239">
        <v>121088</v>
      </c>
      <c r="P234" s="239">
        <v>137758</v>
      </c>
      <c r="Q234" s="239">
        <v>0</v>
      </c>
      <c r="R234" s="239">
        <v>137758</v>
      </c>
      <c r="S234" s="239">
        <v>-2310336</v>
      </c>
      <c r="T234" s="239">
        <v>0</v>
      </c>
      <c r="U234" s="239">
        <v>-2310336</v>
      </c>
      <c r="V234" s="239">
        <v>-9649</v>
      </c>
      <c r="W234" s="239">
        <v>0</v>
      </c>
      <c r="X234" s="239">
        <v>-9649</v>
      </c>
      <c r="Y234" s="239">
        <v>-153082</v>
      </c>
      <c r="Z234" s="239">
        <v>0</v>
      </c>
      <c r="AA234" s="239">
        <v>-153082</v>
      </c>
      <c r="AB234" s="239">
        <v>-111035</v>
      </c>
      <c r="AC234" s="239">
        <v>0</v>
      </c>
      <c r="AD234" s="239">
        <v>-111035</v>
      </c>
      <c r="AE234" s="239">
        <v>-1552</v>
      </c>
      <c r="AF234" s="239">
        <v>0</v>
      </c>
      <c r="AG234" s="239">
        <v>-1552</v>
      </c>
      <c r="AH234" s="239">
        <v>947838</v>
      </c>
      <c r="AI234" s="239">
        <v>0</v>
      </c>
      <c r="AJ234" s="239">
        <v>947838</v>
      </c>
      <c r="AK234" s="239">
        <v>-4941</v>
      </c>
      <c r="AL234" s="239">
        <v>0</v>
      </c>
      <c r="AM234" s="239">
        <v>-4941</v>
      </c>
      <c r="AN234" s="239">
        <v>-2621956</v>
      </c>
      <c r="AO234" s="239">
        <v>0</v>
      </c>
      <c r="AP234" s="239">
        <v>-2621956</v>
      </c>
      <c r="AQ234" s="239">
        <v>-37932</v>
      </c>
      <c r="AR234" s="239">
        <v>0</v>
      </c>
      <c r="AS234" s="239">
        <v>-37932</v>
      </c>
      <c r="AT234" s="239">
        <v>-88596</v>
      </c>
      <c r="AU234" s="239">
        <v>0</v>
      </c>
      <c r="AV234" s="239">
        <v>-88596</v>
      </c>
      <c r="AW234" s="239">
        <v>-537</v>
      </c>
      <c r="AX234" s="239">
        <v>0</v>
      </c>
      <c r="AY234" s="239">
        <v>-537</v>
      </c>
      <c r="AZ234" s="239">
        <v>-13970</v>
      </c>
      <c r="BA234" s="239">
        <v>0</v>
      </c>
      <c r="BB234" s="239">
        <v>-13970</v>
      </c>
      <c r="BC234" s="239">
        <v>0</v>
      </c>
      <c r="BD234" s="239">
        <v>0</v>
      </c>
      <c r="BE234" s="239">
        <v>0</v>
      </c>
      <c r="BF234" s="239">
        <v>-4283512</v>
      </c>
      <c r="BG234" s="239">
        <v>0</v>
      </c>
      <c r="BH234" s="239">
        <v>-4283512</v>
      </c>
      <c r="BI234" s="239">
        <v>0</v>
      </c>
      <c r="BJ234" s="239">
        <v>0</v>
      </c>
      <c r="BK234" s="239">
        <v>0</v>
      </c>
      <c r="BL234" s="239">
        <v>0</v>
      </c>
      <c r="BM234" s="239">
        <v>0</v>
      </c>
      <c r="BN234" s="239">
        <v>0</v>
      </c>
      <c r="BO234" s="239">
        <v>-1268425</v>
      </c>
      <c r="BP234" s="239">
        <v>0</v>
      </c>
      <c r="BQ234" s="239">
        <v>-1268425</v>
      </c>
      <c r="BR234" s="239">
        <v>-128623</v>
      </c>
      <c r="BS234" s="239">
        <v>0</v>
      </c>
      <c r="BT234" s="239">
        <v>-128623</v>
      </c>
      <c r="BU234" s="239">
        <v>-1397048</v>
      </c>
      <c r="BV234" s="239">
        <v>0</v>
      </c>
      <c r="BW234" s="239">
        <v>-1397048</v>
      </c>
      <c r="BX234" s="239">
        <v>-127349</v>
      </c>
      <c r="BY234" s="239">
        <v>0</v>
      </c>
      <c r="BZ234" s="239">
        <v>-127349</v>
      </c>
      <c r="CA234" s="239">
        <v>-2005</v>
      </c>
      <c r="CB234" s="239">
        <v>0</v>
      </c>
      <c r="CC234" s="239">
        <v>-2005</v>
      </c>
      <c r="CD234" s="239">
        <v>-41074</v>
      </c>
      <c r="CE234" s="239">
        <v>0</v>
      </c>
      <c r="CF234" s="239">
        <v>-41074</v>
      </c>
      <c r="CG234" s="239">
        <v>-718</v>
      </c>
      <c r="CH234" s="239">
        <v>0</v>
      </c>
      <c r="CI234" s="239">
        <v>-718</v>
      </c>
      <c r="CJ234" s="239">
        <v>0</v>
      </c>
      <c r="CK234" s="239">
        <v>0</v>
      </c>
      <c r="CL234" s="239">
        <v>0</v>
      </c>
      <c r="CM234" s="239">
        <v>0</v>
      </c>
      <c r="CN234" s="239">
        <v>0</v>
      </c>
      <c r="CO234" s="239">
        <v>0</v>
      </c>
      <c r="CP234" s="239">
        <v>-703</v>
      </c>
      <c r="CQ234" s="239">
        <v>0</v>
      </c>
      <c r="CR234" s="239">
        <v>-703</v>
      </c>
      <c r="CS234" s="239">
        <v>0</v>
      </c>
      <c r="CT234" s="239">
        <v>0</v>
      </c>
      <c r="CU234" s="239">
        <v>0</v>
      </c>
      <c r="CV234" s="239">
        <v>-6677</v>
      </c>
      <c r="CW234" s="239">
        <v>0</v>
      </c>
      <c r="CX234" s="239">
        <v>-6677</v>
      </c>
      <c r="CY234" s="239">
        <v>0</v>
      </c>
      <c r="CZ234" s="239">
        <v>0</v>
      </c>
      <c r="DA234" s="239">
        <v>0</v>
      </c>
      <c r="DB234" s="239">
        <v>0</v>
      </c>
      <c r="DC234" s="239">
        <v>0</v>
      </c>
      <c r="DD234" s="239">
        <v>0</v>
      </c>
      <c r="DE234" s="239">
        <v>0</v>
      </c>
      <c r="DF234" s="239">
        <v>0</v>
      </c>
      <c r="DG234" s="239">
        <v>0</v>
      </c>
      <c r="DH234" s="239">
        <v>0</v>
      </c>
      <c r="DI234" s="239">
        <v>0</v>
      </c>
      <c r="DJ234" s="239">
        <v>-178526</v>
      </c>
      <c r="DK234" s="239">
        <v>0</v>
      </c>
      <c r="DL234" s="239">
        <v>-178526</v>
      </c>
      <c r="DM234" s="239">
        <v>0</v>
      </c>
      <c r="DN234" s="239">
        <v>0</v>
      </c>
      <c r="DO234" s="239">
        <v>0</v>
      </c>
      <c r="DP234" s="239">
        <v>0</v>
      </c>
      <c r="DQ234" s="239">
        <v>0</v>
      </c>
      <c r="DR234" s="239">
        <v>0</v>
      </c>
      <c r="DS234" s="239">
        <v>0</v>
      </c>
      <c r="DT234" s="239">
        <v>0</v>
      </c>
      <c r="DU234" s="239">
        <v>0</v>
      </c>
      <c r="DV234" s="239">
        <v>0</v>
      </c>
      <c r="DW234" s="239">
        <v>0</v>
      </c>
      <c r="DX234" s="239">
        <v>0</v>
      </c>
      <c r="DY234" s="239">
        <v>-508595</v>
      </c>
      <c r="DZ234" s="239">
        <v>0</v>
      </c>
      <c r="EA234" s="239">
        <v>-508595</v>
      </c>
      <c r="EB234" s="239">
        <v>-16721</v>
      </c>
      <c r="EC234" s="239">
        <v>0</v>
      </c>
      <c r="ED234" s="239">
        <v>-16721</v>
      </c>
      <c r="EE234" s="239">
        <v>0</v>
      </c>
      <c r="EF234" s="239">
        <v>0</v>
      </c>
      <c r="EG234" s="239">
        <v>0</v>
      </c>
      <c r="EH234" s="239">
        <v>0</v>
      </c>
      <c r="EI234" s="239">
        <v>0</v>
      </c>
      <c r="EJ234" s="239">
        <v>0</v>
      </c>
      <c r="EK234" s="239">
        <v>-8929</v>
      </c>
      <c r="EL234" s="239">
        <v>0</v>
      </c>
      <c r="EM234" s="239">
        <v>-8929</v>
      </c>
      <c r="EN234" s="239">
        <v>-534245</v>
      </c>
      <c r="EO234" s="239">
        <v>0</v>
      </c>
      <c r="EP234" s="239">
        <v>-534245</v>
      </c>
      <c r="EQ234" s="239">
        <v>0</v>
      </c>
      <c r="ER234" s="239">
        <v>0</v>
      </c>
      <c r="ES234" s="239">
        <v>0</v>
      </c>
      <c r="ET234" s="239">
        <v>0</v>
      </c>
      <c r="EU234" s="239">
        <v>0</v>
      </c>
      <c r="EV234" s="239">
        <v>0</v>
      </c>
      <c r="EW234" s="239">
        <v>0</v>
      </c>
      <c r="EX234" s="239">
        <v>0</v>
      </c>
      <c r="EY234" s="239">
        <v>0</v>
      </c>
      <c r="EZ234" s="239">
        <v>42553683</v>
      </c>
      <c r="FA234" s="239">
        <v>0</v>
      </c>
      <c r="FB234" s="239">
        <v>42553683</v>
      </c>
      <c r="FC234" s="239">
        <v>137758</v>
      </c>
      <c r="FD234" s="239">
        <v>0</v>
      </c>
      <c r="FE234" s="239">
        <v>137758</v>
      </c>
      <c r="FF234" s="239">
        <v>-4283512</v>
      </c>
      <c r="FG234" s="239">
        <v>0</v>
      </c>
      <c r="FH234" s="239">
        <v>-4283512</v>
      </c>
      <c r="FI234" s="239">
        <v>-1397048</v>
      </c>
      <c r="FJ234" s="239">
        <v>0</v>
      </c>
      <c r="FK234" s="239">
        <v>-1397048</v>
      </c>
      <c r="FL234" s="239">
        <v>-178526</v>
      </c>
      <c r="FM234" s="239">
        <v>0</v>
      </c>
      <c r="FN234" s="239">
        <v>-178526</v>
      </c>
      <c r="FO234" s="239">
        <v>-534245</v>
      </c>
      <c r="FP234" s="239">
        <v>0</v>
      </c>
      <c r="FQ234" s="239">
        <v>-534245</v>
      </c>
      <c r="FR234" s="239">
        <v>0</v>
      </c>
      <c r="FS234" s="239">
        <v>0</v>
      </c>
      <c r="FT234" s="239">
        <v>0</v>
      </c>
      <c r="FU234" s="239">
        <v>-6255573</v>
      </c>
      <c r="FV234" s="239">
        <v>0</v>
      </c>
      <c r="FW234" s="239">
        <v>-6255573</v>
      </c>
      <c r="FX234" s="239">
        <v>36298110</v>
      </c>
      <c r="FY234" s="239">
        <v>0</v>
      </c>
      <c r="FZ234" s="239">
        <v>36298110</v>
      </c>
      <c r="GA234" s="214" t="s">
        <v>1294</v>
      </c>
    </row>
    <row r="235" spans="2:183" s="214" customFormat="1" x14ac:dyDescent="0.2">
      <c r="B235" s="610" t="s">
        <v>553</v>
      </c>
      <c r="C235" s="610" t="s">
        <v>552</v>
      </c>
      <c r="D235" s="239">
        <v>0</v>
      </c>
      <c r="E235" s="239">
        <v>0</v>
      </c>
      <c r="F235" s="239">
        <v>0</v>
      </c>
      <c r="G235" s="239">
        <v>577050</v>
      </c>
      <c r="H235" s="239">
        <v>0</v>
      </c>
      <c r="I235" s="239">
        <v>577050</v>
      </c>
      <c r="J235" s="239">
        <v>0</v>
      </c>
      <c r="K235" s="239">
        <v>0</v>
      </c>
      <c r="L235" s="239">
        <v>0</v>
      </c>
      <c r="M235" s="239">
        <v>89556</v>
      </c>
      <c r="N235" s="239">
        <v>-1107</v>
      </c>
      <c r="O235" s="239">
        <v>88449</v>
      </c>
      <c r="P235" s="239">
        <v>666606</v>
      </c>
      <c r="Q235" s="239">
        <v>-1107</v>
      </c>
      <c r="R235" s="239">
        <v>665499</v>
      </c>
      <c r="S235" s="239">
        <v>-11390805</v>
      </c>
      <c r="T235" s="239">
        <v>-22980</v>
      </c>
      <c r="U235" s="239">
        <v>-11413785</v>
      </c>
      <c r="V235" s="239">
        <v>-54058</v>
      </c>
      <c r="W235" s="239">
        <v>0</v>
      </c>
      <c r="X235" s="239">
        <v>-54058</v>
      </c>
      <c r="Y235" s="239">
        <v>-340515</v>
      </c>
      <c r="Z235" s="239">
        <v>-6086</v>
      </c>
      <c r="AA235" s="239">
        <v>-346601</v>
      </c>
      <c r="AB235" s="239">
        <v>-11697</v>
      </c>
      <c r="AC235" s="239">
        <v>0</v>
      </c>
      <c r="AD235" s="239">
        <v>-11697</v>
      </c>
      <c r="AE235" s="239">
        <v>0</v>
      </c>
      <c r="AF235" s="239">
        <v>0</v>
      </c>
      <c r="AG235" s="239">
        <v>0</v>
      </c>
      <c r="AH235" s="239">
        <v>5685737</v>
      </c>
      <c r="AI235" s="239">
        <v>270182</v>
      </c>
      <c r="AJ235" s="239">
        <v>5955919</v>
      </c>
      <c r="AK235" s="239">
        <v>171995</v>
      </c>
      <c r="AL235" s="239">
        <v>-812</v>
      </c>
      <c r="AM235" s="239">
        <v>171183</v>
      </c>
      <c r="AN235" s="239">
        <v>-19529180</v>
      </c>
      <c r="AO235" s="239">
        <v>-32558</v>
      </c>
      <c r="AP235" s="239">
        <v>-19561738</v>
      </c>
      <c r="AQ235" s="239">
        <v>-160535</v>
      </c>
      <c r="AR235" s="239">
        <v>12872</v>
      </c>
      <c r="AS235" s="239">
        <v>-147663</v>
      </c>
      <c r="AT235" s="239">
        <v>-23491</v>
      </c>
      <c r="AU235" s="239">
        <v>0</v>
      </c>
      <c r="AV235" s="239">
        <v>-23491</v>
      </c>
      <c r="AW235" s="239">
        <v>0</v>
      </c>
      <c r="AX235" s="239">
        <v>0</v>
      </c>
      <c r="AY235" s="239">
        <v>0</v>
      </c>
      <c r="AZ235" s="239">
        <v>0</v>
      </c>
      <c r="BA235" s="239">
        <v>0</v>
      </c>
      <c r="BB235" s="239">
        <v>0</v>
      </c>
      <c r="BC235" s="239">
        <v>0</v>
      </c>
      <c r="BD235" s="239">
        <v>0</v>
      </c>
      <c r="BE235" s="239">
        <v>0</v>
      </c>
      <c r="BF235" s="239">
        <v>-25586794</v>
      </c>
      <c r="BG235" s="239">
        <v>220618</v>
      </c>
      <c r="BH235" s="239">
        <v>-25366176</v>
      </c>
      <c r="BI235" s="239">
        <v>-281652</v>
      </c>
      <c r="BJ235" s="239">
        <v>-5391</v>
      </c>
      <c r="BK235" s="239">
        <v>-287043</v>
      </c>
      <c r="BL235" s="239">
        <v>-105392</v>
      </c>
      <c r="BM235" s="239">
        <v>0</v>
      </c>
      <c r="BN235" s="239">
        <v>-105392</v>
      </c>
      <c r="BO235" s="239">
        <v>-7264947</v>
      </c>
      <c r="BP235" s="239">
        <v>-383068</v>
      </c>
      <c r="BQ235" s="239">
        <v>-7648015</v>
      </c>
      <c r="BR235" s="239">
        <v>-314321</v>
      </c>
      <c r="BS235" s="239">
        <v>113958</v>
      </c>
      <c r="BT235" s="239">
        <v>-200363</v>
      </c>
      <c r="BU235" s="239">
        <v>-7966312</v>
      </c>
      <c r="BV235" s="239">
        <v>-274501</v>
      </c>
      <c r="BW235" s="239">
        <v>-8240813</v>
      </c>
      <c r="BX235" s="239">
        <v>-6631</v>
      </c>
      <c r="BY235" s="239">
        <v>0</v>
      </c>
      <c r="BZ235" s="239">
        <v>-6631</v>
      </c>
      <c r="CA235" s="239">
        <v>0</v>
      </c>
      <c r="CB235" s="239">
        <v>0</v>
      </c>
      <c r="CC235" s="239">
        <v>0</v>
      </c>
      <c r="CD235" s="239">
        <v>-264494</v>
      </c>
      <c r="CE235" s="239">
        <v>0</v>
      </c>
      <c r="CF235" s="239">
        <v>-264494</v>
      </c>
      <c r="CG235" s="239">
        <v>-30092</v>
      </c>
      <c r="CH235" s="239">
        <v>0</v>
      </c>
      <c r="CI235" s="239">
        <v>-30092</v>
      </c>
      <c r="CJ235" s="239">
        <v>0</v>
      </c>
      <c r="CK235" s="239">
        <v>0</v>
      </c>
      <c r="CL235" s="239">
        <v>0</v>
      </c>
      <c r="CM235" s="239">
        <v>0</v>
      </c>
      <c r="CN235" s="239">
        <v>0</v>
      </c>
      <c r="CO235" s="239">
        <v>0</v>
      </c>
      <c r="CP235" s="239">
        <v>0</v>
      </c>
      <c r="CQ235" s="239">
        <v>0</v>
      </c>
      <c r="CR235" s="239">
        <v>0</v>
      </c>
      <c r="CS235" s="239">
        <v>0</v>
      </c>
      <c r="CT235" s="239">
        <v>0</v>
      </c>
      <c r="CU235" s="239">
        <v>0</v>
      </c>
      <c r="CV235" s="239">
        <v>0</v>
      </c>
      <c r="CW235" s="239">
        <v>0</v>
      </c>
      <c r="CX235" s="239">
        <v>0</v>
      </c>
      <c r="CY235" s="239">
        <v>0</v>
      </c>
      <c r="CZ235" s="239">
        <v>0</v>
      </c>
      <c r="DA235" s="239">
        <v>0</v>
      </c>
      <c r="DB235" s="239">
        <v>0</v>
      </c>
      <c r="DC235" s="239">
        <v>-54998</v>
      </c>
      <c r="DD235" s="239">
        <v>-54998</v>
      </c>
      <c r="DE235" s="239">
        <v>0</v>
      </c>
      <c r="DF235" s="239">
        <v>-4</v>
      </c>
      <c r="DG235" s="239">
        <v>-4</v>
      </c>
      <c r="DH235" s="239">
        <v>-55002</v>
      </c>
      <c r="DI235" s="239">
        <v>0</v>
      </c>
      <c r="DJ235" s="239">
        <v>-301217</v>
      </c>
      <c r="DK235" s="239">
        <v>-55002</v>
      </c>
      <c r="DL235" s="239">
        <v>-356219</v>
      </c>
      <c r="DM235" s="239">
        <v>0</v>
      </c>
      <c r="DN235" s="239">
        <v>0</v>
      </c>
      <c r="DO235" s="239">
        <v>0</v>
      </c>
      <c r="DP235" s="239">
        <v>0</v>
      </c>
      <c r="DQ235" s="239">
        <v>0</v>
      </c>
      <c r="DR235" s="239">
        <v>0</v>
      </c>
      <c r="DS235" s="239">
        <v>-134803</v>
      </c>
      <c r="DT235" s="239">
        <v>-4486</v>
      </c>
      <c r="DU235" s="239">
        <v>-139289</v>
      </c>
      <c r="DV235" s="239">
        <v>-2495</v>
      </c>
      <c r="DW235" s="239">
        <v>0</v>
      </c>
      <c r="DX235" s="239">
        <v>-2495</v>
      </c>
      <c r="DY235" s="239">
        <v>-2096241</v>
      </c>
      <c r="DZ235" s="239">
        <v>-18408</v>
      </c>
      <c r="EA235" s="239">
        <v>-2114649</v>
      </c>
      <c r="EB235" s="239">
        <v>-133562</v>
      </c>
      <c r="EC235" s="239">
        <v>0</v>
      </c>
      <c r="ED235" s="239">
        <v>-133562</v>
      </c>
      <c r="EE235" s="239">
        <v>0</v>
      </c>
      <c r="EF235" s="239">
        <v>0</v>
      </c>
      <c r="EG235" s="239">
        <v>0</v>
      </c>
      <c r="EH235" s="239">
        <v>0</v>
      </c>
      <c r="EI235" s="239">
        <v>0</v>
      </c>
      <c r="EJ235" s="239">
        <v>0</v>
      </c>
      <c r="EK235" s="239">
        <v>0</v>
      </c>
      <c r="EL235" s="239">
        <v>0</v>
      </c>
      <c r="EM235" s="239">
        <v>0</v>
      </c>
      <c r="EN235" s="239">
        <v>-2367101</v>
      </c>
      <c r="EO235" s="239">
        <v>-22894</v>
      </c>
      <c r="EP235" s="239">
        <v>-2389995</v>
      </c>
      <c r="EQ235" s="239">
        <v>0</v>
      </c>
      <c r="ER235" s="239">
        <v>0</v>
      </c>
      <c r="ES235" s="239">
        <v>0</v>
      </c>
      <c r="ET235" s="239">
        <v>0</v>
      </c>
      <c r="EU235" s="239">
        <v>0</v>
      </c>
      <c r="EV235" s="239">
        <v>0</v>
      </c>
      <c r="EW235" s="239">
        <v>0</v>
      </c>
      <c r="EX235" s="239">
        <v>0</v>
      </c>
      <c r="EY235" s="239">
        <v>0</v>
      </c>
      <c r="EZ235" s="239">
        <v>245657885</v>
      </c>
      <c r="FA235" s="239">
        <v>3897207</v>
      </c>
      <c r="FB235" s="239">
        <v>249555092</v>
      </c>
      <c r="FC235" s="239">
        <v>666606</v>
      </c>
      <c r="FD235" s="239">
        <v>-1107</v>
      </c>
      <c r="FE235" s="239">
        <v>665499</v>
      </c>
      <c r="FF235" s="239">
        <v>-25586794</v>
      </c>
      <c r="FG235" s="239">
        <v>220618</v>
      </c>
      <c r="FH235" s="239">
        <v>-25366176</v>
      </c>
      <c r="FI235" s="239">
        <v>-7966312</v>
      </c>
      <c r="FJ235" s="239">
        <v>-274501</v>
      </c>
      <c r="FK235" s="239">
        <v>-8240813</v>
      </c>
      <c r="FL235" s="239">
        <v>-301217</v>
      </c>
      <c r="FM235" s="239">
        <v>-55002</v>
      </c>
      <c r="FN235" s="239">
        <v>-356219</v>
      </c>
      <c r="FO235" s="239">
        <v>-2367101</v>
      </c>
      <c r="FP235" s="239">
        <v>-22894</v>
      </c>
      <c r="FQ235" s="239">
        <v>-2389995</v>
      </c>
      <c r="FR235" s="239">
        <v>0</v>
      </c>
      <c r="FS235" s="239">
        <v>0</v>
      </c>
      <c r="FT235" s="239">
        <v>0</v>
      </c>
      <c r="FU235" s="239">
        <v>-35554818</v>
      </c>
      <c r="FV235" s="239">
        <v>-132886</v>
      </c>
      <c r="FW235" s="239">
        <v>-35687704</v>
      </c>
      <c r="FX235" s="239">
        <v>210103067</v>
      </c>
      <c r="FY235" s="239">
        <v>3764321</v>
      </c>
      <c r="FZ235" s="239">
        <v>213867388</v>
      </c>
      <c r="GA235" s="214" t="s">
        <v>1296</v>
      </c>
    </row>
    <row r="236" spans="2:183" s="214" customFormat="1" x14ac:dyDescent="0.2">
      <c r="B236" s="610" t="s">
        <v>555</v>
      </c>
      <c r="C236" s="610" t="s">
        <v>554</v>
      </c>
      <c r="D236" s="239">
        <v>0</v>
      </c>
      <c r="E236" s="239">
        <v>0</v>
      </c>
      <c r="F236" s="239">
        <v>0</v>
      </c>
      <c r="G236" s="239">
        <v>-266701</v>
      </c>
      <c r="H236" s="239">
        <v>0</v>
      </c>
      <c r="I236" s="239">
        <v>-266701</v>
      </c>
      <c r="J236" s="239">
        <v>0</v>
      </c>
      <c r="K236" s="239">
        <v>0</v>
      </c>
      <c r="L236" s="239">
        <v>0</v>
      </c>
      <c r="M236" s="239">
        <v>14332</v>
      </c>
      <c r="N236" s="239">
        <v>0</v>
      </c>
      <c r="O236" s="239">
        <v>14332</v>
      </c>
      <c r="P236" s="239">
        <v>-252369</v>
      </c>
      <c r="Q236" s="239">
        <v>0</v>
      </c>
      <c r="R236" s="239">
        <v>-252369</v>
      </c>
      <c r="S236" s="239">
        <v>-2783756</v>
      </c>
      <c r="T236" s="239">
        <v>0</v>
      </c>
      <c r="U236" s="239">
        <v>-2783756</v>
      </c>
      <c r="V236" s="239">
        <v>-15032</v>
      </c>
      <c r="W236" s="239">
        <v>0</v>
      </c>
      <c r="X236" s="239">
        <v>-15032</v>
      </c>
      <c r="Y236" s="239">
        <v>-54349</v>
      </c>
      <c r="Z236" s="239">
        <v>0</v>
      </c>
      <c r="AA236" s="239">
        <v>-54349</v>
      </c>
      <c r="AB236" s="239">
        <v>-37819</v>
      </c>
      <c r="AC236" s="239">
        <v>0</v>
      </c>
      <c r="AD236" s="239">
        <v>-37819</v>
      </c>
      <c r="AE236" s="239">
        <v>919</v>
      </c>
      <c r="AF236" s="239">
        <v>0</v>
      </c>
      <c r="AG236" s="239">
        <v>919</v>
      </c>
      <c r="AH236" s="239">
        <v>781738</v>
      </c>
      <c r="AI236" s="239">
        <v>0</v>
      </c>
      <c r="AJ236" s="239">
        <v>781738</v>
      </c>
      <c r="AK236" s="239">
        <v>-18144</v>
      </c>
      <c r="AL236" s="239">
        <v>0</v>
      </c>
      <c r="AM236" s="239">
        <v>-18144</v>
      </c>
      <c r="AN236" s="239">
        <v>-2505228</v>
      </c>
      <c r="AO236" s="239">
        <v>0</v>
      </c>
      <c r="AP236" s="239">
        <v>-2505228</v>
      </c>
      <c r="AQ236" s="239">
        <v>-35361</v>
      </c>
      <c r="AR236" s="239">
        <v>0</v>
      </c>
      <c r="AS236" s="239">
        <v>-35361</v>
      </c>
      <c r="AT236" s="239">
        <v>-95603</v>
      </c>
      <c r="AU236" s="239">
        <v>0</v>
      </c>
      <c r="AV236" s="239">
        <v>-95603</v>
      </c>
      <c r="AW236" s="239">
        <v>0</v>
      </c>
      <c r="AX236" s="239">
        <v>0</v>
      </c>
      <c r="AY236" s="239">
        <v>0</v>
      </c>
      <c r="AZ236" s="239">
        <v>-23264</v>
      </c>
      <c r="BA236" s="239">
        <v>0</v>
      </c>
      <c r="BB236" s="239">
        <v>-23264</v>
      </c>
      <c r="BC236" s="239">
        <v>0</v>
      </c>
      <c r="BD236" s="239">
        <v>0</v>
      </c>
      <c r="BE236" s="239">
        <v>0</v>
      </c>
      <c r="BF236" s="239">
        <v>-4733967</v>
      </c>
      <c r="BG236" s="239">
        <v>0</v>
      </c>
      <c r="BH236" s="239">
        <v>-4733967</v>
      </c>
      <c r="BI236" s="239">
        <v>-12058</v>
      </c>
      <c r="BJ236" s="239">
        <v>0</v>
      </c>
      <c r="BK236" s="239">
        <v>-12058</v>
      </c>
      <c r="BL236" s="239">
        <v>-1660</v>
      </c>
      <c r="BM236" s="239">
        <v>0</v>
      </c>
      <c r="BN236" s="239">
        <v>-1660</v>
      </c>
      <c r="BO236" s="239">
        <v>-969377</v>
      </c>
      <c r="BP236" s="239">
        <v>0</v>
      </c>
      <c r="BQ236" s="239">
        <v>-969377</v>
      </c>
      <c r="BR236" s="239">
        <v>-29717</v>
      </c>
      <c r="BS236" s="239">
        <v>0</v>
      </c>
      <c r="BT236" s="239">
        <v>-29717</v>
      </c>
      <c r="BU236" s="239">
        <v>-1012812</v>
      </c>
      <c r="BV236" s="239">
        <v>0</v>
      </c>
      <c r="BW236" s="239">
        <v>-1012812</v>
      </c>
      <c r="BX236" s="239">
        <v>-63213</v>
      </c>
      <c r="BY236" s="239">
        <v>0</v>
      </c>
      <c r="BZ236" s="239">
        <v>-63213</v>
      </c>
      <c r="CA236" s="239">
        <v>-1504</v>
      </c>
      <c r="CB236" s="239">
        <v>0</v>
      </c>
      <c r="CC236" s="239">
        <v>-1504</v>
      </c>
      <c r="CD236" s="239">
        <v>-3540</v>
      </c>
      <c r="CE236" s="239">
        <v>0</v>
      </c>
      <c r="CF236" s="239">
        <v>-3540</v>
      </c>
      <c r="CG236" s="239">
        <v>0</v>
      </c>
      <c r="CH236" s="239">
        <v>0</v>
      </c>
      <c r="CI236" s="239">
        <v>0</v>
      </c>
      <c r="CJ236" s="239">
        <v>-2175</v>
      </c>
      <c r="CK236" s="239">
        <v>0</v>
      </c>
      <c r="CL236" s="239">
        <v>-2175</v>
      </c>
      <c r="CM236" s="239">
        <v>0</v>
      </c>
      <c r="CN236" s="239">
        <v>0</v>
      </c>
      <c r="CO236" s="239">
        <v>0</v>
      </c>
      <c r="CP236" s="239">
        <v>0</v>
      </c>
      <c r="CQ236" s="239">
        <v>0</v>
      </c>
      <c r="CR236" s="239">
        <v>0</v>
      </c>
      <c r="CS236" s="239">
        <v>0</v>
      </c>
      <c r="CT236" s="239">
        <v>0</v>
      </c>
      <c r="CU236" s="239">
        <v>0</v>
      </c>
      <c r="CV236" s="239">
        <v>0</v>
      </c>
      <c r="CW236" s="239">
        <v>0</v>
      </c>
      <c r="CX236" s="239">
        <v>0</v>
      </c>
      <c r="CY236" s="239">
        <v>0</v>
      </c>
      <c r="CZ236" s="239">
        <v>0</v>
      </c>
      <c r="DA236" s="239">
        <v>0</v>
      </c>
      <c r="DB236" s="239">
        <v>-90114</v>
      </c>
      <c r="DC236" s="239">
        <v>0</v>
      </c>
      <c r="DD236" s="239">
        <v>-90114</v>
      </c>
      <c r="DE236" s="239">
        <v>-3749</v>
      </c>
      <c r="DF236" s="239">
        <v>0</v>
      </c>
      <c r="DG236" s="239">
        <v>-3749</v>
      </c>
      <c r="DH236" s="239">
        <v>0</v>
      </c>
      <c r="DI236" s="239">
        <v>0</v>
      </c>
      <c r="DJ236" s="239">
        <v>-164295</v>
      </c>
      <c r="DK236" s="239">
        <v>0</v>
      </c>
      <c r="DL236" s="239">
        <v>-164295</v>
      </c>
      <c r="DM236" s="239">
        <v>0</v>
      </c>
      <c r="DN236" s="239">
        <v>0</v>
      </c>
      <c r="DO236" s="239">
        <v>0</v>
      </c>
      <c r="DP236" s="239">
        <v>-406</v>
      </c>
      <c r="DQ236" s="239">
        <v>0</v>
      </c>
      <c r="DR236" s="239">
        <v>-406</v>
      </c>
      <c r="DS236" s="239">
        <v>-37381</v>
      </c>
      <c r="DT236" s="239">
        <v>0</v>
      </c>
      <c r="DU236" s="239">
        <v>-37381</v>
      </c>
      <c r="DV236" s="239">
        <v>-4229</v>
      </c>
      <c r="DW236" s="239">
        <v>0</v>
      </c>
      <c r="DX236" s="239">
        <v>-4229</v>
      </c>
      <c r="DY236" s="239">
        <v>-671997</v>
      </c>
      <c r="DZ236" s="239">
        <v>0</v>
      </c>
      <c r="EA236" s="239">
        <v>-671997</v>
      </c>
      <c r="EB236" s="239">
        <v>-813</v>
      </c>
      <c r="EC236" s="239">
        <v>0</v>
      </c>
      <c r="ED236" s="239">
        <v>-813</v>
      </c>
      <c r="EE236" s="239">
        <v>0</v>
      </c>
      <c r="EF236" s="239">
        <v>0</v>
      </c>
      <c r="EG236" s="239">
        <v>0</v>
      </c>
      <c r="EH236" s="239">
        <v>0</v>
      </c>
      <c r="EI236" s="239">
        <v>0</v>
      </c>
      <c r="EJ236" s="239">
        <v>0</v>
      </c>
      <c r="EK236" s="239">
        <v>-12651</v>
      </c>
      <c r="EL236" s="239">
        <v>0</v>
      </c>
      <c r="EM236" s="239">
        <v>-12651</v>
      </c>
      <c r="EN236" s="239">
        <v>-727477</v>
      </c>
      <c r="EO236" s="239">
        <v>0</v>
      </c>
      <c r="EP236" s="239">
        <v>-727477</v>
      </c>
      <c r="EQ236" s="239">
        <v>-12993</v>
      </c>
      <c r="ER236" s="239">
        <v>0</v>
      </c>
      <c r="ES236" s="239">
        <v>-12993</v>
      </c>
      <c r="ET236" s="239">
        <v>0</v>
      </c>
      <c r="EU236" s="239">
        <v>0</v>
      </c>
      <c r="EV236" s="239">
        <v>0</v>
      </c>
      <c r="EW236" s="239">
        <v>-12993</v>
      </c>
      <c r="EX236" s="239">
        <v>0</v>
      </c>
      <c r="EY236" s="239">
        <v>-12993</v>
      </c>
      <c r="EZ236" s="239">
        <v>33945586</v>
      </c>
      <c r="FA236" s="239">
        <v>0</v>
      </c>
      <c r="FB236" s="239">
        <v>33945586</v>
      </c>
      <c r="FC236" s="239">
        <v>-252369</v>
      </c>
      <c r="FD236" s="239">
        <v>0</v>
      </c>
      <c r="FE236" s="239">
        <v>-252369</v>
      </c>
      <c r="FF236" s="239">
        <v>-4733967</v>
      </c>
      <c r="FG236" s="239">
        <v>0</v>
      </c>
      <c r="FH236" s="239">
        <v>-4733967</v>
      </c>
      <c r="FI236" s="239">
        <v>-1012812</v>
      </c>
      <c r="FJ236" s="239">
        <v>0</v>
      </c>
      <c r="FK236" s="239">
        <v>-1012812</v>
      </c>
      <c r="FL236" s="239">
        <v>-164295</v>
      </c>
      <c r="FM236" s="239">
        <v>0</v>
      </c>
      <c r="FN236" s="239">
        <v>-164295</v>
      </c>
      <c r="FO236" s="239">
        <v>-727477</v>
      </c>
      <c r="FP236" s="239">
        <v>0</v>
      </c>
      <c r="FQ236" s="239">
        <v>-727477</v>
      </c>
      <c r="FR236" s="239">
        <v>-12993</v>
      </c>
      <c r="FS236" s="239">
        <v>0</v>
      </c>
      <c r="FT236" s="239">
        <v>-12993</v>
      </c>
      <c r="FU236" s="239">
        <v>-6903913</v>
      </c>
      <c r="FV236" s="239">
        <v>0</v>
      </c>
      <c r="FW236" s="239">
        <v>-6903913</v>
      </c>
      <c r="FX236" s="239">
        <v>27041673</v>
      </c>
      <c r="FY236" s="239">
        <v>0</v>
      </c>
      <c r="FZ236" s="239">
        <v>27041673</v>
      </c>
      <c r="GA236" s="214" t="s">
        <v>1294</v>
      </c>
    </row>
    <row r="237" spans="2:183" s="214" customFormat="1" x14ac:dyDescent="0.2">
      <c r="B237" s="610" t="s">
        <v>557</v>
      </c>
      <c r="C237" s="610" t="s">
        <v>556</v>
      </c>
      <c r="D237" s="239">
        <v>0</v>
      </c>
      <c r="E237" s="239">
        <v>0</v>
      </c>
      <c r="F237" s="239">
        <v>0</v>
      </c>
      <c r="G237" s="239">
        <v>-509243</v>
      </c>
      <c r="H237" s="239">
        <v>0</v>
      </c>
      <c r="I237" s="239">
        <v>-509243</v>
      </c>
      <c r="J237" s="239">
        <v>0</v>
      </c>
      <c r="K237" s="239">
        <v>0</v>
      </c>
      <c r="L237" s="239">
        <v>0</v>
      </c>
      <c r="M237" s="239">
        <v>173761</v>
      </c>
      <c r="N237" s="239">
        <v>0</v>
      </c>
      <c r="O237" s="239">
        <v>173761</v>
      </c>
      <c r="P237" s="239">
        <v>-335482</v>
      </c>
      <c r="Q237" s="239">
        <v>0</v>
      </c>
      <c r="R237" s="239">
        <v>-335482</v>
      </c>
      <c r="S237" s="239">
        <v>-8294770</v>
      </c>
      <c r="T237" s="239">
        <v>0</v>
      </c>
      <c r="U237" s="239">
        <v>-8294770</v>
      </c>
      <c r="V237" s="239">
        <v>-20146</v>
      </c>
      <c r="W237" s="239">
        <v>0</v>
      </c>
      <c r="X237" s="239">
        <v>-20146</v>
      </c>
      <c r="Y237" s="239">
        <v>-491461</v>
      </c>
      <c r="Z237" s="239">
        <v>0</v>
      </c>
      <c r="AA237" s="239">
        <v>-491461</v>
      </c>
      <c r="AB237" s="239">
        <v>-277321</v>
      </c>
      <c r="AC237" s="239">
        <v>0</v>
      </c>
      <c r="AD237" s="239">
        <v>-277321</v>
      </c>
      <c r="AE237" s="239">
        <v>-2793</v>
      </c>
      <c r="AF237" s="239">
        <v>0</v>
      </c>
      <c r="AG237" s="239">
        <v>-2793</v>
      </c>
      <c r="AH237" s="239">
        <v>2059981</v>
      </c>
      <c r="AI237" s="239">
        <v>0</v>
      </c>
      <c r="AJ237" s="239">
        <v>2059981</v>
      </c>
      <c r="AK237" s="239">
        <v>-798</v>
      </c>
      <c r="AL237" s="239">
        <v>0</v>
      </c>
      <c r="AM237" s="239">
        <v>-798</v>
      </c>
      <c r="AN237" s="239">
        <v>-6561420</v>
      </c>
      <c r="AO237" s="239">
        <v>0</v>
      </c>
      <c r="AP237" s="239">
        <v>-6561420</v>
      </c>
      <c r="AQ237" s="239">
        <v>-11202</v>
      </c>
      <c r="AR237" s="239">
        <v>0</v>
      </c>
      <c r="AS237" s="239">
        <v>-11202</v>
      </c>
      <c r="AT237" s="239">
        <v>-167880</v>
      </c>
      <c r="AU237" s="239">
        <v>0</v>
      </c>
      <c r="AV237" s="239">
        <v>-167880</v>
      </c>
      <c r="AW237" s="239">
        <v>-4952</v>
      </c>
      <c r="AX237" s="239">
        <v>0</v>
      </c>
      <c r="AY237" s="239">
        <v>-4952</v>
      </c>
      <c r="AZ237" s="239">
        <v>-105634</v>
      </c>
      <c r="BA237" s="239">
        <v>0</v>
      </c>
      <c r="BB237" s="239">
        <v>-105634</v>
      </c>
      <c r="BC237" s="239">
        <v>909</v>
      </c>
      <c r="BD237" s="239">
        <v>0</v>
      </c>
      <c r="BE237" s="239">
        <v>909</v>
      </c>
      <c r="BF237" s="239">
        <v>-13577227</v>
      </c>
      <c r="BG237" s="239">
        <v>0</v>
      </c>
      <c r="BH237" s="239">
        <v>-13577227</v>
      </c>
      <c r="BI237" s="239">
        <v>-23570</v>
      </c>
      <c r="BJ237" s="239">
        <v>0</v>
      </c>
      <c r="BK237" s="239">
        <v>-23570</v>
      </c>
      <c r="BL237" s="239">
        <v>2336</v>
      </c>
      <c r="BM237" s="239">
        <v>0</v>
      </c>
      <c r="BN237" s="239">
        <v>2336</v>
      </c>
      <c r="BO237" s="239">
        <v>-2457002</v>
      </c>
      <c r="BP237" s="239">
        <v>0</v>
      </c>
      <c r="BQ237" s="239">
        <v>-2457002</v>
      </c>
      <c r="BR237" s="239">
        <v>-128615</v>
      </c>
      <c r="BS237" s="239">
        <v>0</v>
      </c>
      <c r="BT237" s="239">
        <v>-128615</v>
      </c>
      <c r="BU237" s="239">
        <v>-2606851</v>
      </c>
      <c r="BV237" s="239">
        <v>0</v>
      </c>
      <c r="BW237" s="239">
        <v>-2606851</v>
      </c>
      <c r="BX237" s="239">
        <v>-528990</v>
      </c>
      <c r="BY237" s="239">
        <v>0</v>
      </c>
      <c r="BZ237" s="239">
        <v>-528990</v>
      </c>
      <c r="CA237" s="239">
        <v>28</v>
      </c>
      <c r="CB237" s="239">
        <v>0</v>
      </c>
      <c r="CC237" s="239">
        <v>28</v>
      </c>
      <c r="CD237" s="239">
        <v>-406232</v>
      </c>
      <c r="CE237" s="239">
        <v>0</v>
      </c>
      <c r="CF237" s="239">
        <v>-406232</v>
      </c>
      <c r="CG237" s="239">
        <v>27649</v>
      </c>
      <c r="CH237" s="239">
        <v>0</v>
      </c>
      <c r="CI237" s="239">
        <v>27649</v>
      </c>
      <c r="CJ237" s="239">
        <v>-30292</v>
      </c>
      <c r="CK237" s="239">
        <v>0</v>
      </c>
      <c r="CL237" s="239">
        <v>-30292</v>
      </c>
      <c r="CM237" s="239">
        <v>-1238</v>
      </c>
      <c r="CN237" s="239">
        <v>0</v>
      </c>
      <c r="CO237" s="239">
        <v>-1238</v>
      </c>
      <c r="CP237" s="239">
        <v>-9378</v>
      </c>
      <c r="CQ237" s="239">
        <v>0</v>
      </c>
      <c r="CR237" s="239">
        <v>-9378</v>
      </c>
      <c r="CS237" s="239">
        <v>108</v>
      </c>
      <c r="CT237" s="239">
        <v>0</v>
      </c>
      <c r="CU237" s="239">
        <v>108</v>
      </c>
      <c r="CV237" s="239">
        <v>0</v>
      </c>
      <c r="CW237" s="239">
        <v>0</v>
      </c>
      <c r="CX237" s="239">
        <v>0</v>
      </c>
      <c r="CY237" s="239">
        <v>0</v>
      </c>
      <c r="CZ237" s="239">
        <v>0</v>
      </c>
      <c r="DA237" s="239">
        <v>0</v>
      </c>
      <c r="DB237" s="239">
        <v>0</v>
      </c>
      <c r="DC237" s="239">
        <v>0</v>
      </c>
      <c r="DD237" s="239">
        <v>0</v>
      </c>
      <c r="DE237" s="239">
        <v>0</v>
      </c>
      <c r="DF237" s="239">
        <v>0</v>
      </c>
      <c r="DG237" s="239">
        <v>0</v>
      </c>
      <c r="DH237" s="239">
        <v>0</v>
      </c>
      <c r="DI237" s="239">
        <v>0</v>
      </c>
      <c r="DJ237" s="239">
        <v>-948345</v>
      </c>
      <c r="DK237" s="239">
        <v>0</v>
      </c>
      <c r="DL237" s="239">
        <v>-948345</v>
      </c>
      <c r="DM237" s="239">
        <v>-129187</v>
      </c>
      <c r="DN237" s="239">
        <v>0</v>
      </c>
      <c r="DO237" s="239">
        <v>-129187</v>
      </c>
      <c r="DP237" s="239">
        <v>-34636</v>
      </c>
      <c r="DQ237" s="239">
        <v>0</v>
      </c>
      <c r="DR237" s="239">
        <v>-34636</v>
      </c>
      <c r="DS237" s="239">
        <v>-79805</v>
      </c>
      <c r="DT237" s="239">
        <v>0</v>
      </c>
      <c r="DU237" s="239">
        <v>-79805</v>
      </c>
      <c r="DV237" s="239">
        <v>-14309</v>
      </c>
      <c r="DW237" s="239">
        <v>0</v>
      </c>
      <c r="DX237" s="239">
        <v>-14309</v>
      </c>
      <c r="DY237" s="239">
        <v>-1492958</v>
      </c>
      <c r="DZ237" s="239">
        <v>0</v>
      </c>
      <c r="EA237" s="239">
        <v>-1492958</v>
      </c>
      <c r="EB237" s="239">
        <v>-82577</v>
      </c>
      <c r="EC237" s="239">
        <v>0</v>
      </c>
      <c r="ED237" s="239">
        <v>-82577</v>
      </c>
      <c r="EE237" s="239">
        <v>0</v>
      </c>
      <c r="EF237" s="239">
        <v>0</v>
      </c>
      <c r="EG237" s="239">
        <v>0</v>
      </c>
      <c r="EH237" s="239">
        <v>0</v>
      </c>
      <c r="EI237" s="239">
        <v>0</v>
      </c>
      <c r="EJ237" s="239">
        <v>0</v>
      </c>
      <c r="EK237" s="239">
        <v>-22434</v>
      </c>
      <c r="EL237" s="239">
        <v>0</v>
      </c>
      <c r="EM237" s="239">
        <v>-22434</v>
      </c>
      <c r="EN237" s="239">
        <v>-1855906</v>
      </c>
      <c r="EO237" s="239">
        <v>0</v>
      </c>
      <c r="EP237" s="239">
        <v>-1855906</v>
      </c>
      <c r="EQ237" s="239">
        <v>0</v>
      </c>
      <c r="ER237" s="239">
        <v>0</v>
      </c>
      <c r="ES237" s="239">
        <v>0</v>
      </c>
      <c r="ET237" s="239">
        <v>0</v>
      </c>
      <c r="EU237" s="239">
        <v>0</v>
      </c>
      <c r="EV237" s="239">
        <v>0</v>
      </c>
      <c r="EW237" s="239">
        <v>0</v>
      </c>
      <c r="EX237" s="239">
        <v>0</v>
      </c>
      <c r="EY237" s="239">
        <v>0</v>
      </c>
      <c r="EZ237" s="239">
        <v>95250765</v>
      </c>
      <c r="FA237" s="239">
        <v>0</v>
      </c>
      <c r="FB237" s="239">
        <v>95250765</v>
      </c>
      <c r="FC237" s="239">
        <v>-335482</v>
      </c>
      <c r="FD237" s="239">
        <v>0</v>
      </c>
      <c r="FE237" s="239">
        <v>-335482</v>
      </c>
      <c r="FF237" s="239">
        <v>-13577227</v>
      </c>
      <c r="FG237" s="239">
        <v>0</v>
      </c>
      <c r="FH237" s="239">
        <v>-13577227</v>
      </c>
      <c r="FI237" s="239">
        <v>-2606851</v>
      </c>
      <c r="FJ237" s="239">
        <v>0</v>
      </c>
      <c r="FK237" s="239">
        <v>-2606851</v>
      </c>
      <c r="FL237" s="239">
        <v>-948345</v>
      </c>
      <c r="FM237" s="239">
        <v>0</v>
      </c>
      <c r="FN237" s="239">
        <v>-948345</v>
      </c>
      <c r="FO237" s="239">
        <v>-1855906</v>
      </c>
      <c r="FP237" s="239">
        <v>0</v>
      </c>
      <c r="FQ237" s="239">
        <v>-1855906</v>
      </c>
      <c r="FR237" s="239">
        <v>0</v>
      </c>
      <c r="FS237" s="239">
        <v>0</v>
      </c>
      <c r="FT237" s="239">
        <v>0</v>
      </c>
      <c r="FU237" s="239">
        <v>-19323811</v>
      </c>
      <c r="FV237" s="239">
        <v>0</v>
      </c>
      <c r="FW237" s="239">
        <v>-19323811</v>
      </c>
      <c r="FX237" s="239">
        <v>75926954</v>
      </c>
      <c r="FY237" s="239">
        <v>0</v>
      </c>
      <c r="FZ237" s="239">
        <v>75926954</v>
      </c>
      <c r="GA237" s="214" t="s">
        <v>748</v>
      </c>
    </row>
    <row r="238" spans="2:183" s="214" customFormat="1" x14ac:dyDescent="0.2">
      <c r="B238" s="610" t="s">
        <v>559</v>
      </c>
      <c r="C238" s="610" t="s">
        <v>558</v>
      </c>
      <c r="D238" s="239">
        <v>0</v>
      </c>
      <c r="E238" s="239">
        <v>0</v>
      </c>
      <c r="F238" s="239">
        <v>0</v>
      </c>
      <c r="G238" s="239">
        <v>-20935</v>
      </c>
      <c r="H238" s="239">
        <v>0</v>
      </c>
      <c r="I238" s="239">
        <v>-20935</v>
      </c>
      <c r="J238" s="239">
        <v>0</v>
      </c>
      <c r="K238" s="239">
        <v>0</v>
      </c>
      <c r="L238" s="239">
        <v>0</v>
      </c>
      <c r="M238" s="239">
        <v>248779</v>
      </c>
      <c r="N238" s="239">
        <v>0</v>
      </c>
      <c r="O238" s="239">
        <v>248779</v>
      </c>
      <c r="P238" s="239">
        <v>227844</v>
      </c>
      <c r="Q238" s="239">
        <v>0</v>
      </c>
      <c r="R238" s="239">
        <v>227844</v>
      </c>
      <c r="S238" s="239">
        <v>-1340545</v>
      </c>
      <c r="T238" s="239">
        <v>0</v>
      </c>
      <c r="U238" s="239">
        <v>-1340545</v>
      </c>
      <c r="V238" s="239">
        <v>-7235</v>
      </c>
      <c r="W238" s="239">
        <v>0</v>
      </c>
      <c r="X238" s="239">
        <v>-7235</v>
      </c>
      <c r="Y238" s="239">
        <v>-146749</v>
      </c>
      <c r="Z238" s="239">
        <v>0</v>
      </c>
      <c r="AA238" s="239">
        <v>-146749</v>
      </c>
      <c r="AB238" s="239">
        <v>-110673</v>
      </c>
      <c r="AC238" s="239">
        <v>0</v>
      </c>
      <c r="AD238" s="239">
        <v>-110673</v>
      </c>
      <c r="AE238" s="239">
        <v>0</v>
      </c>
      <c r="AF238" s="239">
        <v>0</v>
      </c>
      <c r="AG238" s="239">
        <v>0</v>
      </c>
      <c r="AH238" s="239">
        <v>2766373</v>
      </c>
      <c r="AI238" s="239">
        <v>0</v>
      </c>
      <c r="AJ238" s="239">
        <v>2766373</v>
      </c>
      <c r="AK238" s="239">
        <v>-526</v>
      </c>
      <c r="AL238" s="239">
        <v>0</v>
      </c>
      <c r="AM238" s="239">
        <v>-526</v>
      </c>
      <c r="AN238" s="239">
        <v>-3646092</v>
      </c>
      <c r="AO238" s="239">
        <v>0</v>
      </c>
      <c r="AP238" s="239">
        <v>-3646092</v>
      </c>
      <c r="AQ238" s="239">
        <v>94605</v>
      </c>
      <c r="AR238" s="239">
        <v>0</v>
      </c>
      <c r="AS238" s="239">
        <v>94605</v>
      </c>
      <c r="AT238" s="239">
        <v>0</v>
      </c>
      <c r="AU238" s="239">
        <v>0</v>
      </c>
      <c r="AV238" s="239">
        <v>0</v>
      </c>
      <c r="AW238" s="239">
        <v>0</v>
      </c>
      <c r="AX238" s="239">
        <v>0</v>
      </c>
      <c r="AY238" s="239">
        <v>0</v>
      </c>
      <c r="AZ238" s="239">
        <v>0</v>
      </c>
      <c r="BA238" s="239">
        <v>0</v>
      </c>
      <c r="BB238" s="239">
        <v>0</v>
      </c>
      <c r="BC238" s="239">
        <v>0</v>
      </c>
      <c r="BD238" s="239">
        <v>0</v>
      </c>
      <c r="BE238" s="239">
        <v>0</v>
      </c>
      <c r="BF238" s="239">
        <v>-2272934</v>
      </c>
      <c r="BG238" s="239">
        <v>0</v>
      </c>
      <c r="BH238" s="239">
        <v>-2272934</v>
      </c>
      <c r="BI238" s="239">
        <v>-20855</v>
      </c>
      <c r="BJ238" s="239">
        <v>0</v>
      </c>
      <c r="BK238" s="239">
        <v>-20855</v>
      </c>
      <c r="BL238" s="239">
        <v>-17629</v>
      </c>
      <c r="BM238" s="239">
        <v>0</v>
      </c>
      <c r="BN238" s="239">
        <v>-17629</v>
      </c>
      <c r="BO238" s="239">
        <v>-4757752</v>
      </c>
      <c r="BP238" s="239">
        <v>0</v>
      </c>
      <c r="BQ238" s="239">
        <v>-4757752</v>
      </c>
      <c r="BR238" s="239">
        <v>-61659</v>
      </c>
      <c r="BS238" s="239">
        <v>0</v>
      </c>
      <c r="BT238" s="239">
        <v>-61659</v>
      </c>
      <c r="BU238" s="239">
        <v>-4857895</v>
      </c>
      <c r="BV238" s="239">
        <v>0</v>
      </c>
      <c r="BW238" s="239">
        <v>-4857895</v>
      </c>
      <c r="BX238" s="239">
        <v>-80130</v>
      </c>
      <c r="BY238" s="239">
        <v>0</v>
      </c>
      <c r="BZ238" s="239">
        <v>-80130</v>
      </c>
      <c r="CA238" s="239">
        <v>95237</v>
      </c>
      <c r="CB238" s="239">
        <v>0</v>
      </c>
      <c r="CC238" s="239">
        <v>95237</v>
      </c>
      <c r="CD238" s="239">
        <v>-103753</v>
      </c>
      <c r="CE238" s="239">
        <v>0</v>
      </c>
      <c r="CF238" s="239">
        <v>-103753</v>
      </c>
      <c r="CG238" s="239">
        <v>-26195</v>
      </c>
      <c r="CH238" s="239">
        <v>0</v>
      </c>
      <c r="CI238" s="239">
        <v>-26195</v>
      </c>
      <c r="CJ238" s="239">
        <v>0</v>
      </c>
      <c r="CK238" s="239">
        <v>0</v>
      </c>
      <c r="CL238" s="239">
        <v>0</v>
      </c>
      <c r="CM238" s="239">
        <v>0</v>
      </c>
      <c r="CN238" s="239">
        <v>0</v>
      </c>
      <c r="CO238" s="239">
        <v>0</v>
      </c>
      <c r="CP238" s="239">
        <v>0</v>
      </c>
      <c r="CQ238" s="239">
        <v>0</v>
      </c>
      <c r="CR238" s="239">
        <v>0</v>
      </c>
      <c r="CS238" s="239">
        <v>0</v>
      </c>
      <c r="CT238" s="239">
        <v>0</v>
      </c>
      <c r="CU238" s="239">
        <v>0</v>
      </c>
      <c r="CV238" s="239">
        <v>0</v>
      </c>
      <c r="CW238" s="239">
        <v>0</v>
      </c>
      <c r="CX238" s="239">
        <v>0</v>
      </c>
      <c r="CY238" s="239">
        <v>0</v>
      </c>
      <c r="CZ238" s="239">
        <v>0</v>
      </c>
      <c r="DA238" s="239">
        <v>0</v>
      </c>
      <c r="DB238" s="239">
        <v>-11462</v>
      </c>
      <c r="DC238" s="239">
        <v>0</v>
      </c>
      <c r="DD238" s="239">
        <v>-11462</v>
      </c>
      <c r="DE238" s="239">
        <v>0</v>
      </c>
      <c r="DF238" s="239">
        <v>0</v>
      </c>
      <c r="DG238" s="239">
        <v>0</v>
      </c>
      <c r="DH238" s="239">
        <v>0</v>
      </c>
      <c r="DI238" s="239">
        <v>0</v>
      </c>
      <c r="DJ238" s="239">
        <v>-126303</v>
      </c>
      <c r="DK238" s="239">
        <v>0</v>
      </c>
      <c r="DL238" s="239">
        <v>-126303</v>
      </c>
      <c r="DM238" s="239">
        <v>-197228</v>
      </c>
      <c r="DN238" s="239">
        <v>0</v>
      </c>
      <c r="DO238" s="239">
        <v>-197228</v>
      </c>
      <c r="DP238" s="239">
        <v>0</v>
      </c>
      <c r="DQ238" s="239">
        <v>0</v>
      </c>
      <c r="DR238" s="239">
        <v>0</v>
      </c>
      <c r="DS238" s="239">
        <v>-26845</v>
      </c>
      <c r="DT238" s="239">
        <v>0</v>
      </c>
      <c r="DU238" s="239">
        <v>-26845</v>
      </c>
      <c r="DV238" s="239">
        <v>0</v>
      </c>
      <c r="DW238" s="239">
        <v>0</v>
      </c>
      <c r="DX238" s="239">
        <v>0</v>
      </c>
      <c r="DY238" s="239">
        <v>-557901</v>
      </c>
      <c r="DZ238" s="239">
        <v>0</v>
      </c>
      <c r="EA238" s="239">
        <v>-557901</v>
      </c>
      <c r="EB238" s="239">
        <v>-9361</v>
      </c>
      <c r="EC238" s="239">
        <v>0</v>
      </c>
      <c r="ED238" s="239">
        <v>-9361</v>
      </c>
      <c r="EE238" s="239">
        <v>0</v>
      </c>
      <c r="EF238" s="239">
        <v>0</v>
      </c>
      <c r="EG238" s="239">
        <v>0</v>
      </c>
      <c r="EH238" s="239">
        <v>0</v>
      </c>
      <c r="EI238" s="239">
        <v>0</v>
      </c>
      <c r="EJ238" s="239">
        <v>0</v>
      </c>
      <c r="EK238" s="239">
        <v>-770</v>
      </c>
      <c r="EL238" s="239">
        <v>0</v>
      </c>
      <c r="EM238" s="239">
        <v>-770</v>
      </c>
      <c r="EN238" s="239">
        <v>-792105</v>
      </c>
      <c r="EO238" s="239">
        <v>0</v>
      </c>
      <c r="EP238" s="239">
        <v>-792105</v>
      </c>
      <c r="EQ238" s="239">
        <v>0</v>
      </c>
      <c r="ER238" s="239">
        <v>0</v>
      </c>
      <c r="ES238" s="239">
        <v>0</v>
      </c>
      <c r="ET238" s="239">
        <v>0</v>
      </c>
      <c r="EU238" s="239">
        <v>0</v>
      </c>
      <c r="EV238" s="239">
        <v>0</v>
      </c>
      <c r="EW238" s="239">
        <v>0</v>
      </c>
      <c r="EX238" s="239">
        <v>0</v>
      </c>
      <c r="EY238" s="239">
        <v>0</v>
      </c>
      <c r="EZ238" s="239">
        <v>108155417</v>
      </c>
      <c r="FA238" s="239">
        <v>0</v>
      </c>
      <c r="FB238" s="239">
        <v>108155417</v>
      </c>
      <c r="FC238" s="239">
        <v>227844</v>
      </c>
      <c r="FD238" s="239">
        <v>0</v>
      </c>
      <c r="FE238" s="239">
        <v>227844</v>
      </c>
      <c r="FF238" s="239">
        <v>-2272934</v>
      </c>
      <c r="FG238" s="239">
        <v>0</v>
      </c>
      <c r="FH238" s="239">
        <v>-2272934</v>
      </c>
      <c r="FI238" s="239">
        <v>-4857895</v>
      </c>
      <c r="FJ238" s="239">
        <v>0</v>
      </c>
      <c r="FK238" s="239">
        <v>-4857895</v>
      </c>
      <c r="FL238" s="239">
        <v>-126303</v>
      </c>
      <c r="FM238" s="239">
        <v>0</v>
      </c>
      <c r="FN238" s="239">
        <v>-126303</v>
      </c>
      <c r="FO238" s="239">
        <v>-792105</v>
      </c>
      <c r="FP238" s="239">
        <v>0</v>
      </c>
      <c r="FQ238" s="239">
        <v>-792105</v>
      </c>
      <c r="FR238" s="239">
        <v>0</v>
      </c>
      <c r="FS238" s="239">
        <v>0</v>
      </c>
      <c r="FT238" s="239">
        <v>0</v>
      </c>
      <c r="FU238" s="239">
        <v>-7821393</v>
      </c>
      <c r="FV238" s="239">
        <v>0</v>
      </c>
      <c r="FW238" s="239">
        <v>-7821393</v>
      </c>
      <c r="FX238" s="239">
        <v>100334024</v>
      </c>
      <c r="FY238" s="239">
        <v>0</v>
      </c>
      <c r="FZ238" s="239">
        <v>100334024</v>
      </c>
      <c r="GA238" s="214" t="s">
        <v>748</v>
      </c>
    </row>
    <row r="239" spans="2:183" s="214" customFormat="1" x14ac:dyDescent="0.2">
      <c r="B239" s="610" t="s">
        <v>561</v>
      </c>
      <c r="C239" s="610" t="s">
        <v>560</v>
      </c>
      <c r="D239" s="239">
        <v>0</v>
      </c>
      <c r="E239" s="239">
        <v>0</v>
      </c>
      <c r="F239" s="239">
        <v>0</v>
      </c>
      <c r="G239" s="239">
        <v>17482</v>
      </c>
      <c r="H239" s="239">
        <v>0</v>
      </c>
      <c r="I239" s="239">
        <v>17482</v>
      </c>
      <c r="J239" s="239">
        <v>0</v>
      </c>
      <c r="K239" s="239">
        <v>0</v>
      </c>
      <c r="L239" s="239">
        <v>0</v>
      </c>
      <c r="M239" s="239">
        <v>137196</v>
      </c>
      <c r="N239" s="239">
        <v>0</v>
      </c>
      <c r="O239" s="239">
        <v>137196</v>
      </c>
      <c r="P239" s="239">
        <v>154678</v>
      </c>
      <c r="Q239" s="239">
        <v>0</v>
      </c>
      <c r="R239" s="239">
        <v>154678</v>
      </c>
      <c r="S239" s="239">
        <v>-2294880</v>
      </c>
      <c r="T239" s="239">
        <v>0</v>
      </c>
      <c r="U239" s="239">
        <v>-2294880</v>
      </c>
      <c r="V239" s="239">
        <v>-3096</v>
      </c>
      <c r="W239" s="239">
        <v>0</v>
      </c>
      <c r="X239" s="239">
        <v>-3096</v>
      </c>
      <c r="Y239" s="239">
        <v>-73563</v>
      </c>
      <c r="Z239" s="239">
        <v>0</v>
      </c>
      <c r="AA239" s="239">
        <v>-73563</v>
      </c>
      <c r="AB239" s="239">
        <v>-54446</v>
      </c>
      <c r="AC239" s="239">
        <v>0</v>
      </c>
      <c r="AD239" s="239">
        <v>-54446</v>
      </c>
      <c r="AE239" s="239">
        <v>0</v>
      </c>
      <c r="AF239" s="239">
        <v>0</v>
      </c>
      <c r="AG239" s="239">
        <v>0</v>
      </c>
      <c r="AH239" s="239">
        <v>3305606</v>
      </c>
      <c r="AI239" s="239">
        <v>0</v>
      </c>
      <c r="AJ239" s="239">
        <v>3305606</v>
      </c>
      <c r="AK239" s="239">
        <v>106172</v>
      </c>
      <c r="AL239" s="239">
        <v>0</v>
      </c>
      <c r="AM239" s="239">
        <v>106172</v>
      </c>
      <c r="AN239" s="239">
        <v>-4808681</v>
      </c>
      <c r="AO239" s="239">
        <v>0</v>
      </c>
      <c r="AP239" s="239">
        <v>-4808681</v>
      </c>
      <c r="AQ239" s="239">
        <v>-210695</v>
      </c>
      <c r="AR239" s="239">
        <v>0</v>
      </c>
      <c r="AS239" s="239">
        <v>-210695</v>
      </c>
      <c r="AT239" s="239">
        <v>-108204</v>
      </c>
      <c r="AU239" s="239">
        <v>0</v>
      </c>
      <c r="AV239" s="239">
        <v>-108204</v>
      </c>
      <c r="AW239" s="239">
        <v>0</v>
      </c>
      <c r="AX239" s="239">
        <v>0</v>
      </c>
      <c r="AY239" s="239">
        <v>0</v>
      </c>
      <c r="AZ239" s="239">
        <v>-986</v>
      </c>
      <c r="BA239" s="239">
        <v>0</v>
      </c>
      <c r="BB239" s="239">
        <v>-986</v>
      </c>
      <c r="BC239" s="239">
        <v>0</v>
      </c>
      <c r="BD239" s="239">
        <v>0</v>
      </c>
      <c r="BE239" s="239">
        <v>0</v>
      </c>
      <c r="BF239" s="239">
        <v>-4085231</v>
      </c>
      <c r="BG239" s="239">
        <v>0</v>
      </c>
      <c r="BH239" s="239">
        <v>-4085231</v>
      </c>
      <c r="BI239" s="239">
        <v>-200284</v>
      </c>
      <c r="BJ239" s="239">
        <v>0</v>
      </c>
      <c r="BK239" s="239">
        <v>-200284</v>
      </c>
      <c r="BL239" s="239">
        <v>-28977</v>
      </c>
      <c r="BM239" s="239">
        <v>0</v>
      </c>
      <c r="BN239" s="239">
        <v>-28977</v>
      </c>
      <c r="BO239" s="239">
        <v>-3664907</v>
      </c>
      <c r="BP239" s="239">
        <v>0</v>
      </c>
      <c r="BQ239" s="239">
        <v>-3664907</v>
      </c>
      <c r="BR239" s="239">
        <v>-81332</v>
      </c>
      <c r="BS239" s="239">
        <v>0</v>
      </c>
      <c r="BT239" s="239">
        <v>-81332</v>
      </c>
      <c r="BU239" s="239">
        <v>-3975500</v>
      </c>
      <c r="BV239" s="239">
        <v>0</v>
      </c>
      <c r="BW239" s="239">
        <v>-3975500</v>
      </c>
      <c r="BX239" s="239">
        <v>-53880</v>
      </c>
      <c r="BY239" s="239">
        <v>0</v>
      </c>
      <c r="BZ239" s="239">
        <v>-53880</v>
      </c>
      <c r="CA239" s="239">
        <v>-4003</v>
      </c>
      <c r="CB239" s="239">
        <v>0</v>
      </c>
      <c r="CC239" s="239">
        <v>-4003</v>
      </c>
      <c r="CD239" s="239">
        <v>-377118</v>
      </c>
      <c r="CE239" s="239">
        <v>0</v>
      </c>
      <c r="CF239" s="239">
        <v>-377118</v>
      </c>
      <c r="CG239" s="239">
        <v>0</v>
      </c>
      <c r="CH239" s="239">
        <v>0</v>
      </c>
      <c r="CI239" s="239">
        <v>0</v>
      </c>
      <c r="CJ239" s="239">
        <v>0</v>
      </c>
      <c r="CK239" s="239">
        <v>0</v>
      </c>
      <c r="CL239" s="239">
        <v>0</v>
      </c>
      <c r="CM239" s="239">
        <v>0</v>
      </c>
      <c r="CN239" s="239">
        <v>0</v>
      </c>
      <c r="CO239" s="239">
        <v>0</v>
      </c>
      <c r="CP239" s="239">
        <v>0</v>
      </c>
      <c r="CQ239" s="239">
        <v>0</v>
      </c>
      <c r="CR239" s="239">
        <v>0</v>
      </c>
      <c r="CS239" s="239">
        <v>0</v>
      </c>
      <c r="CT239" s="239">
        <v>0</v>
      </c>
      <c r="CU239" s="239">
        <v>0</v>
      </c>
      <c r="CV239" s="239">
        <v>0</v>
      </c>
      <c r="CW239" s="239">
        <v>0</v>
      </c>
      <c r="CX239" s="239">
        <v>0</v>
      </c>
      <c r="CY239" s="239">
        <v>0</v>
      </c>
      <c r="CZ239" s="239">
        <v>0</v>
      </c>
      <c r="DA239" s="239">
        <v>0</v>
      </c>
      <c r="DB239" s="239">
        <v>0</v>
      </c>
      <c r="DC239" s="239">
        <v>0</v>
      </c>
      <c r="DD239" s="239">
        <v>0</v>
      </c>
      <c r="DE239" s="239">
        <v>0</v>
      </c>
      <c r="DF239" s="239">
        <v>0</v>
      </c>
      <c r="DG239" s="239">
        <v>0</v>
      </c>
      <c r="DH239" s="239">
        <v>0</v>
      </c>
      <c r="DI239" s="239">
        <v>0</v>
      </c>
      <c r="DJ239" s="239">
        <v>-435001</v>
      </c>
      <c r="DK239" s="239">
        <v>0</v>
      </c>
      <c r="DL239" s="239">
        <v>-435001</v>
      </c>
      <c r="DM239" s="239">
        <v>-371423</v>
      </c>
      <c r="DN239" s="239">
        <v>0</v>
      </c>
      <c r="DO239" s="239">
        <v>-371423</v>
      </c>
      <c r="DP239" s="239">
        <v>-123483</v>
      </c>
      <c r="DQ239" s="239">
        <v>0</v>
      </c>
      <c r="DR239" s="239">
        <v>-123483</v>
      </c>
      <c r="DS239" s="239">
        <v>-20712</v>
      </c>
      <c r="DT239" s="239">
        <v>0</v>
      </c>
      <c r="DU239" s="239">
        <v>-20712</v>
      </c>
      <c r="DV239" s="239">
        <v>0</v>
      </c>
      <c r="DW239" s="239">
        <v>0</v>
      </c>
      <c r="DX239" s="239">
        <v>0</v>
      </c>
      <c r="DY239" s="239">
        <v>-1009614</v>
      </c>
      <c r="DZ239" s="239">
        <v>0</v>
      </c>
      <c r="EA239" s="239">
        <v>-1009614</v>
      </c>
      <c r="EB239" s="239">
        <v>-3609</v>
      </c>
      <c r="EC239" s="239">
        <v>0</v>
      </c>
      <c r="ED239" s="239">
        <v>-3609</v>
      </c>
      <c r="EE239" s="239">
        <v>0</v>
      </c>
      <c r="EF239" s="239">
        <v>0</v>
      </c>
      <c r="EG239" s="239">
        <v>0</v>
      </c>
      <c r="EH239" s="239">
        <v>0</v>
      </c>
      <c r="EI239" s="239">
        <v>0</v>
      </c>
      <c r="EJ239" s="239">
        <v>0</v>
      </c>
      <c r="EK239" s="239">
        <v>-1544</v>
      </c>
      <c r="EL239" s="239">
        <v>0</v>
      </c>
      <c r="EM239" s="239">
        <v>-1544</v>
      </c>
      <c r="EN239" s="239">
        <v>-1530385</v>
      </c>
      <c r="EO239" s="239">
        <v>0</v>
      </c>
      <c r="EP239" s="239">
        <v>-1530385</v>
      </c>
      <c r="EQ239" s="239">
        <v>0</v>
      </c>
      <c r="ER239" s="239">
        <v>0</v>
      </c>
      <c r="ES239" s="239">
        <v>0</v>
      </c>
      <c r="ET239" s="239">
        <v>0</v>
      </c>
      <c r="EU239" s="239">
        <v>0</v>
      </c>
      <c r="EV239" s="239">
        <v>0</v>
      </c>
      <c r="EW239" s="239">
        <v>0</v>
      </c>
      <c r="EX239" s="239">
        <v>0</v>
      </c>
      <c r="EY239" s="239">
        <v>0</v>
      </c>
      <c r="EZ239" s="239">
        <v>131603115</v>
      </c>
      <c r="FA239" s="239">
        <v>0</v>
      </c>
      <c r="FB239" s="239">
        <v>131603115</v>
      </c>
      <c r="FC239" s="239">
        <v>154678</v>
      </c>
      <c r="FD239" s="239">
        <v>0</v>
      </c>
      <c r="FE239" s="239">
        <v>154678</v>
      </c>
      <c r="FF239" s="239">
        <v>-4085231</v>
      </c>
      <c r="FG239" s="239">
        <v>0</v>
      </c>
      <c r="FH239" s="239">
        <v>-4085231</v>
      </c>
      <c r="FI239" s="239">
        <v>-3975500</v>
      </c>
      <c r="FJ239" s="239">
        <v>0</v>
      </c>
      <c r="FK239" s="239">
        <v>-3975500</v>
      </c>
      <c r="FL239" s="239">
        <v>-435001</v>
      </c>
      <c r="FM239" s="239">
        <v>0</v>
      </c>
      <c r="FN239" s="239">
        <v>-435001</v>
      </c>
      <c r="FO239" s="239">
        <v>-1530385</v>
      </c>
      <c r="FP239" s="239">
        <v>0</v>
      </c>
      <c r="FQ239" s="239">
        <v>-1530385</v>
      </c>
      <c r="FR239" s="239">
        <v>0</v>
      </c>
      <c r="FS239" s="239">
        <v>0</v>
      </c>
      <c r="FT239" s="239">
        <v>0</v>
      </c>
      <c r="FU239" s="239">
        <v>-9871439</v>
      </c>
      <c r="FV239" s="239">
        <v>0</v>
      </c>
      <c r="FW239" s="239">
        <v>-9871439</v>
      </c>
      <c r="FX239" s="239">
        <v>121731676</v>
      </c>
      <c r="FY239" s="239">
        <v>0</v>
      </c>
      <c r="FZ239" s="239">
        <v>121731676</v>
      </c>
      <c r="GA239" s="214" t="s">
        <v>1296</v>
      </c>
    </row>
    <row r="240" spans="2:183" s="214" customFormat="1" x14ac:dyDescent="0.2">
      <c r="B240" s="610" t="s">
        <v>563</v>
      </c>
      <c r="C240" s="610" t="s">
        <v>562</v>
      </c>
      <c r="D240" s="239">
        <v>0</v>
      </c>
      <c r="E240" s="239">
        <v>0</v>
      </c>
      <c r="F240" s="239">
        <v>0</v>
      </c>
      <c r="G240" s="239">
        <v>338298</v>
      </c>
      <c r="H240" s="239">
        <v>0</v>
      </c>
      <c r="I240" s="239">
        <v>338298</v>
      </c>
      <c r="J240" s="239">
        <v>0</v>
      </c>
      <c r="K240" s="239">
        <v>0</v>
      </c>
      <c r="L240" s="239">
        <v>0</v>
      </c>
      <c r="M240" s="239">
        <v>-94443</v>
      </c>
      <c r="N240" s="239">
        <v>0</v>
      </c>
      <c r="O240" s="239">
        <v>-94443</v>
      </c>
      <c r="P240" s="239">
        <v>243855</v>
      </c>
      <c r="Q240" s="239">
        <v>0</v>
      </c>
      <c r="R240" s="239">
        <v>243855</v>
      </c>
      <c r="S240" s="239">
        <v>-902114</v>
      </c>
      <c r="T240" s="239">
        <v>0</v>
      </c>
      <c r="U240" s="239">
        <v>-902114</v>
      </c>
      <c r="V240" s="239">
        <v>0</v>
      </c>
      <c r="W240" s="239">
        <v>0</v>
      </c>
      <c r="X240" s="239">
        <v>0</v>
      </c>
      <c r="Y240" s="239">
        <v>-51867</v>
      </c>
      <c r="Z240" s="239">
        <v>0</v>
      </c>
      <c r="AA240" s="239">
        <v>-51867</v>
      </c>
      <c r="AB240" s="239">
        <v>0</v>
      </c>
      <c r="AC240" s="239">
        <v>0</v>
      </c>
      <c r="AD240" s="239">
        <v>0</v>
      </c>
      <c r="AE240" s="239">
        <v>0</v>
      </c>
      <c r="AF240" s="239">
        <v>0</v>
      </c>
      <c r="AG240" s="239">
        <v>0</v>
      </c>
      <c r="AH240" s="239">
        <v>879855</v>
      </c>
      <c r="AI240" s="239">
        <v>0</v>
      </c>
      <c r="AJ240" s="239">
        <v>879855</v>
      </c>
      <c r="AK240" s="239">
        <v>-23652</v>
      </c>
      <c r="AL240" s="239">
        <v>0</v>
      </c>
      <c r="AM240" s="239">
        <v>-23652</v>
      </c>
      <c r="AN240" s="239">
        <v>-1891933</v>
      </c>
      <c r="AO240" s="239">
        <v>0</v>
      </c>
      <c r="AP240" s="239">
        <v>-1891933</v>
      </c>
      <c r="AQ240" s="239">
        <v>-29980</v>
      </c>
      <c r="AR240" s="239">
        <v>0</v>
      </c>
      <c r="AS240" s="239">
        <v>-29980</v>
      </c>
      <c r="AT240" s="239">
        <v>-52850</v>
      </c>
      <c r="AU240" s="239">
        <v>0</v>
      </c>
      <c r="AV240" s="239">
        <v>-52850</v>
      </c>
      <c r="AW240" s="239">
        <v>2543</v>
      </c>
      <c r="AX240" s="239">
        <v>0</v>
      </c>
      <c r="AY240" s="239">
        <v>2543</v>
      </c>
      <c r="AZ240" s="239">
        <v>-1159</v>
      </c>
      <c r="BA240" s="239">
        <v>0</v>
      </c>
      <c r="BB240" s="239">
        <v>-1159</v>
      </c>
      <c r="BC240" s="239">
        <v>0</v>
      </c>
      <c r="BD240" s="239">
        <v>0</v>
      </c>
      <c r="BE240" s="239">
        <v>0</v>
      </c>
      <c r="BF240" s="239">
        <v>-2071157</v>
      </c>
      <c r="BG240" s="239">
        <v>0</v>
      </c>
      <c r="BH240" s="239">
        <v>-2071157</v>
      </c>
      <c r="BI240" s="239">
        <v>-51216</v>
      </c>
      <c r="BJ240" s="239">
        <v>0</v>
      </c>
      <c r="BK240" s="239">
        <v>-51216</v>
      </c>
      <c r="BL240" s="239">
        <v>-8504</v>
      </c>
      <c r="BM240" s="239">
        <v>0</v>
      </c>
      <c r="BN240" s="239">
        <v>-8504</v>
      </c>
      <c r="BO240" s="239">
        <v>-1719559</v>
      </c>
      <c r="BP240" s="239">
        <v>0</v>
      </c>
      <c r="BQ240" s="239">
        <v>-1719559</v>
      </c>
      <c r="BR240" s="239">
        <v>114126</v>
      </c>
      <c r="BS240" s="239">
        <v>0</v>
      </c>
      <c r="BT240" s="239">
        <v>114126</v>
      </c>
      <c r="BU240" s="239">
        <v>-1665153</v>
      </c>
      <c r="BV240" s="239">
        <v>0</v>
      </c>
      <c r="BW240" s="239">
        <v>-1665153</v>
      </c>
      <c r="BX240" s="239">
        <v>-20339</v>
      </c>
      <c r="BY240" s="239">
        <v>0</v>
      </c>
      <c r="BZ240" s="239">
        <v>-20339</v>
      </c>
      <c r="CA240" s="239">
        <v>0</v>
      </c>
      <c r="CB240" s="239">
        <v>0</v>
      </c>
      <c r="CC240" s="239">
        <v>0</v>
      </c>
      <c r="CD240" s="239">
        <v>-27608</v>
      </c>
      <c r="CE240" s="239">
        <v>0</v>
      </c>
      <c r="CF240" s="239">
        <v>-27608</v>
      </c>
      <c r="CG240" s="239">
        <v>0</v>
      </c>
      <c r="CH240" s="239">
        <v>0</v>
      </c>
      <c r="CI240" s="239">
        <v>0</v>
      </c>
      <c r="CJ240" s="239">
        <v>-261</v>
      </c>
      <c r="CK240" s="239">
        <v>0</v>
      </c>
      <c r="CL240" s="239">
        <v>-261</v>
      </c>
      <c r="CM240" s="239">
        <v>0</v>
      </c>
      <c r="CN240" s="239">
        <v>0</v>
      </c>
      <c r="CO240" s="239">
        <v>0</v>
      </c>
      <c r="CP240" s="239">
        <v>0</v>
      </c>
      <c r="CQ240" s="239">
        <v>0</v>
      </c>
      <c r="CR240" s="239">
        <v>0</v>
      </c>
      <c r="CS240" s="239">
        <v>0</v>
      </c>
      <c r="CT240" s="239">
        <v>0</v>
      </c>
      <c r="CU240" s="239">
        <v>0</v>
      </c>
      <c r="CV240" s="239">
        <v>0</v>
      </c>
      <c r="CW240" s="239">
        <v>0</v>
      </c>
      <c r="CX240" s="239">
        <v>0</v>
      </c>
      <c r="CY240" s="239">
        <v>0</v>
      </c>
      <c r="CZ240" s="239">
        <v>0</v>
      </c>
      <c r="DA240" s="239">
        <v>0</v>
      </c>
      <c r="DB240" s="239">
        <v>0</v>
      </c>
      <c r="DC240" s="239">
        <v>0</v>
      </c>
      <c r="DD240" s="239">
        <v>0</v>
      </c>
      <c r="DE240" s="239">
        <v>0</v>
      </c>
      <c r="DF240" s="239">
        <v>0</v>
      </c>
      <c r="DG240" s="239">
        <v>0</v>
      </c>
      <c r="DH240" s="239">
        <v>0</v>
      </c>
      <c r="DI240" s="239">
        <v>0</v>
      </c>
      <c r="DJ240" s="239">
        <v>-48208</v>
      </c>
      <c r="DK240" s="239">
        <v>0</v>
      </c>
      <c r="DL240" s="239">
        <v>-48208</v>
      </c>
      <c r="DM240" s="239">
        <v>-3173</v>
      </c>
      <c r="DN240" s="239">
        <v>0</v>
      </c>
      <c r="DO240" s="239">
        <v>-3173</v>
      </c>
      <c r="DP240" s="239">
        <v>0</v>
      </c>
      <c r="DQ240" s="239">
        <v>0</v>
      </c>
      <c r="DR240" s="239">
        <v>0</v>
      </c>
      <c r="DS240" s="239">
        <v>0</v>
      </c>
      <c r="DT240" s="239">
        <v>0</v>
      </c>
      <c r="DU240" s="239">
        <v>0</v>
      </c>
      <c r="DV240" s="239">
        <v>0</v>
      </c>
      <c r="DW240" s="239">
        <v>0</v>
      </c>
      <c r="DX240" s="239">
        <v>0</v>
      </c>
      <c r="DY240" s="239">
        <v>-301847</v>
      </c>
      <c r="DZ240" s="239">
        <v>0</v>
      </c>
      <c r="EA240" s="239">
        <v>-301847</v>
      </c>
      <c r="EB240" s="239">
        <v>-36968</v>
      </c>
      <c r="EC240" s="239">
        <v>0</v>
      </c>
      <c r="ED240" s="239">
        <v>-36968</v>
      </c>
      <c r="EE240" s="239">
        <v>0</v>
      </c>
      <c r="EF240" s="239">
        <v>0</v>
      </c>
      <c r="EG240" s="239">
        <v>0</v>
      </c>
      <c r="EH240" s="239">
        <v>0</v>
      </c>
      <c r="EI240" s="239">
        <v>0</v>
      </c>
      <c r="EJ240" s="239">
        <v>0</v>
      </c>
      <c r="EK240" s="239">
        <v>0</v>
      </c>
      <c r="EL240" s="239">
        <v>0</v>
      </c>
      <c r="EM240" s="239">
        <v>0</v>
      </c>
      <c r="EN240" s="239">
        <v>-341988</v>
      </c>
      <c r="EO240" s="239">
        <v>0</v>
      </c>
      <c r="EP240" s="239">
        <v>-341988</v>
      </c>
      <c r="EQ240" s="239">
        <v>0</v>
      </c>
      <c r="ER240" s="239">
        <v>0</v>
      </c>
      <c r="ES240" s="239">
        <v>0</v>
      </c>
      <c r="ET240" s="239">
        <v>0</v>
      </c>
      <c r="EU240" s="239">
        <v>0</v>
      </c>
      <c r="EV240" s="239">
        <v>0</v>
      </c>
      <c r="EW240" s="239">
        <v>0</v>
      </c>
      <c r="EX240" s="239">
        <v>0</v>
      </c>
      <c r="EY240" s="239">
        <v>0</v>
      </c>
      <c r="EZ240" s="239">
        <v>34792848</v>
      </c>
      <c r="FA240" s="239">
        <v>0</v>
      </c>
      <c r="FB240" s="239">
        <v>34792848</v>
      </c>
      <c r="FC240" s="239">
        <v>243855</v>
      </c>
      <c r="FD240" s="239">
        <v>0</v>
      </c>
      <c r="FE240" s="239">
        <v>243855</v>
      </c>
      <c r="FF240" s="239">
        <v>-2071157</v>
      </c>
      <c r="FG240" s="239">
        <v>0</v>
      </c>
      <c r="FH240" s="239">
        <v>-2071157</v>
      </c>
      <c r="FI240" s="239">
        <v>-1665153</v>
      </c>
      <c r="FJ240" s="239">
        <v>0</v>
      </c>
      <c r="FK240" s="239">
        <v>-1665153</v>
      </c>
      <c r="FL240" s="239">
        <v>-48208</v>
      </c>
      <c r="FM240" s="239">
        <v>0</v>
      </c>
      <c r="FN240" s="239">
        <v>-48208</v>
      </c>
      <c r="FO240" s="239">
        <v>-341988</v>
      </c>
      <c r="FP240" s="239">
        <v>0</v>
      </c>
      <c r="FQ240" s="239">
        <v>-341988</v>
      </c>
      <c r="FR240" s="239">
        <v>0</v>
      </c>
      <c r="FS240" s="239">
        <v>0</v>
      </c>
      <c r="FT240" s="239">
        <v>0</v>
      </c>
      <c r="FU240" s="239">
        <v>-3882651</v>
      </c>
      <c r="FV240" s="239">
        <v>0</v>
      </c>
      <c r="FW240" s="239">
        <v>-3882651</v>
      </c>
      <c r="FX240" s="239">
        <v>30910197</v>
      </c>
      <c r="FY240" s="239">
        <v>0</v>
      </c>
      <c r="FZ240" s="239">
        <v>30910197</v>
      </c>
      <c r="GA240" s="214" t="s">
        <v>1294</v>
      </c>
    </row>
    <row r="241" spans="2:183" s="214" customFormat="1" x14ac:dyDescent="0.2">
      <c r="B241" s="610" t="s">
        <v>565</v>
      </c>
      <c r="C241" s="610" t="s">
        <v>564</v>
      </c>
      <c r="D241" s="239">
        <v>0</v>
      </c>
      <c r="E241" s="239">
        <v>0</v>
      </c>
      <c r="F241" s="239">
        <v>0</v>
      </c>
      <c r="G241" s="239">
        <v>213666</v>
      </c>
      <c r="H241" s="239">
        <v>0</v>
      </c>
      <c r="I241" s="239">
        <v>213666</v>
      </c>
      <c r="J241" s="239">
        <v>0</v>
      </c>
      <c r="K241" s="239">
        <v>0</v>
      </c>
      <c r="L241" s="239">
        <v>0</v>
      </c>
      <c r="M241" s="239">
        <v>-86636</v>
      </c>
      <c r="N241" s="239">
        <v>0</v>
      </c>
      <c r="O241" s="239">
        <v>-86636</v>
      </c>
      <c r="P241" s="239">
        <v>127030</v>
      </c>
      <c r="Q241" s="239">
        <v>0</v>
      </c>
      <c r="R241" s="239">
        <v>127030</v>
      </c>
      <c r="S241" s="239">
        <v>-2642921</v>
      </c>
      <c r="T241" s="239">
        <v>0</v>
      </c>
      <c r="U241" s="239">
        <v>-2642921</v>
      </c>
      <c r="V241" s="239">
        <v>14003</v>
      </c>
      <c r="W241" s="239">
        <v>0</v>
      </c>
      <c r="X241" s="239">
        <v>14003</v>
      </c>
      <c r="Y241" s="239">
        <v>-190963</v>
      </c>
      <c r="Z241" s="239">
        <v>0</v>
      </c>
      <c r="AA241" s="239">
        <v>-190963</v>
      </c>
      <c r="AB241" s="239">
        <v>-63201</v>
      </c>
      <c r="AC241" s="239">
        <v>0</v>
      </c>
      <c r="AD241" s="239">
        <v>-63201</v>
      </c>
      <c r="AE241" s="239">
        <v>-3676</v>
      </c>
      <c r="AF241" s="239">
        <v>0</v>
      </c>
      <c r="AG241" s="239">
        <v>-3676</v>
      </c>
      <c r="AH241" s="239">
        <v>2064521</v>
      </c>
      <c r="AI241" s="239">
        <v>0</v>
      </c>
      <c r="AJ241" s="239">
        <v>2064521</v>
      </c>
      <c r="AK241" s="239">
        <v>-38582</v>
      </c>
      <c r="AL241" s="239">
        <v>0</v>
      </c>
      <c r="AM241" s="239">
        <v>-38582</v>
      </c>
      <c r="AN241" s="239">
        <v>-9158981</v>
      </c>
      <c r="AO241" s="239">
        <v>0</v>
      </c>
      <c r="AP241" s="239">
        <v>-9158981</v>
      </c>
      <c r="AQ241" s="239">
        <v>-118071</v>
      </c>
      <c r="AR241" s="239">
        <v>0</v>
      </c>
      <c r="AS241" s="239">
        <v>-118071</v>
      </c>
      <c r="AT241" s="239">
        <v>-39432</v>
      </c>
      <c r="AU241" s="239">
        <v>0</v>
      </c>
      <c r="AV241" s="239">
        <v>-39432</v>
      </c>
      <c r="AW241" s="239">
        <v>-116</v>
      </c>
      <c r="AX241" s="239">
        <v>0</v>
      </c>
      <c r="AY241" s="239">
        <v>-116</v>
      </c>
      <c r="AZ241" s="239">
        <v>-90633</v>
      </c>
      <c r="BA241" s="239">
        <v>0</v>
      </c>
      <c r="BB241" s="239">
        <v>-90633</v>
      </c>
      <c r="BC241" s="239">
        <v>-12407</v>
      </c>
      <c r="BD241" s="239">
        <v>0</v>
      </c>
      <c r="BE241" s="239">
        <v>-12407</v>
      </c>
      <c r="BF241" s="239">
        <v>-10227585</v>
      </c>
      <c r="BG241" s="239">
        <v>0</v>
      </c>
      <c r="BH241" s="239">
        <v>-10227585</v>
      </c>
      <c r="BI241" s="239">
        <v>0</v>
      </c>
      <c r="BJ241" s="239">
        <v>0</v>
      </c>
      <c r="BK241" s="239">
        <v>0</v>
      </c>
      <c r="BL241" s="239">
        <v>0</v>
      </c>
      <c r="BM241" s="239">
        <v>0</v>
      </c>
      <c r="BN241" s="239">
        <v>0</v>
      </c>
      <c r="BO241" s="239">
        <v>-1537360</v>
      </c>
      <c r="BP241" s="239">
        <v>0</v>
      </c>
      <c r="BQ241" s="239">
        <v>-1537360</v>
      </c>
      <c r="BR241" s="239">
        <v>86484</v>
      </c>
      <c r="BS241" s="239">
        <v>0</v>
      </c>
      <c r="BT241" s="239">
        <v>86484</v>
      </c>
      <c r="BU241" s="239">
        <v>-1450876</v>
      </c>
      <c r="BV241" s="239">
        <v>0</v>
      </c>
      <c r="BW241" s="239">
        <v>-1450876</v>
      </c>
      <c r="BX241" s="239">
        <v>-102378</v>
      </c>
      <c r="BY241" s="239">
        <v>0</v>
      </c>
      <c r="BZ241" s="239">
        <v>-102378</v>
      </c>
      <c r="CA241" s="239">
        <v>-2815</v>
      </c>
      <c r="CB241" s="239">
        <v>0</v>
      </c>
      <c r="CC241" s="239">
        <v>-2815</v>
      </c>
      <c r="CD241" s="239">
        <v>-47168</v>
      </c>
      <c r="CE241" s="239">
        <v>0</v>
      </c>
      <c r="CF241" s="239">
        <v>-47168</v>
      </c>
      <c r="CG241" s="239">
        <v>-7589</v>
      </c>
      <c r="CH241" s="239">
        <v>0</v>
      </c>
      <c r="CI241" s="239">
        <v>-7589</v>
      </c>
      <c r="CJ241" s="239">
        <v>0</v>
      </c>
      <c r="CK241" s="239">
        <v>0</v>
      </c>
      <c r="CL241" s="239">
        <v>0</v>
      </c>
      <c r="CM241" s="239">
        <v>0</v>
      </c>
      <c r="CN241" s="239">
        <v>0</v>
      </c>
      <c r="CO241" s="239">
        <v>0</v>
      </c>
      <c r="CP241" s="239">
        <v>-94139</v>
      </c>
      <c r="CQ241" s="239">
        <v>0</v>
      </c>
      <c r="CR241" s="239">
        <v>-94139</v>
      </c>
      <c r="CS241" s="239">
        <v>-6657</v>
      </c>
      <c r="CT241" s="239">
        <v>0</v>
      </c>
      <c r="CU241" s="239">
        <v>-6657</v>
      </c>
      <c r="CV241" s="239">
        <v>-58951</v>
      </c>
      <c r="CW241" s="239">
        <v>0</v>
      </c>
      <c r="CX241" s="239">
        <v>-58951</v>
      </c>
      <c r="CY241" s="239">
        <v>-8492</v>
      </c>
      <c r="CZ241" s="239">
        <v>0</v>
      </c>
      <c r="DA241" s="239">
        <v>-8492</v>
      </c>
      <c r="DB241" s="239">
        <v>0</v>
      </c>
      <c r="DC241" s="239">
        <v>0</v>
      </c>
      <c r="DD241" s="239">
        <v>0</v>
      </c>
      <c r="DE241" s="239">
        <v>0</v>
      </c>
      <c r="DF241" s="239">
        <v>0</v>
      </c>
      <c r="DG241" s="239">
        <v>0</v>
      </c>
      <c r="DH241" s="239">
        <v>0</v>
      </c>
      <c r="DI241" s="239">
        <v>0</v>
      </c>
      <c r="DJ241" s="239">
        <v>-328189</v>
      </c>
      <c r="DK241" s="239">
        <v>0</v>
      </c>
      <c r="DL241" s="239">
        <v>-328189</v>
      </c>
      <c r="DM241" s="239">
        <v>-29879</v>
      </c>
      <c r="DN241" s="239">
        <v>0</v>
      </c>
      <c r="DO241" s="239">
        <v>-29879</v>
      </c>
      <c r="DP241" s="239">
        <v>532</v>
      </c>
      <c r="DQ241" s="239">
        <v>0</v>
      </c>
      <c r="DR241" s="239">
        <v>532</v>
      </c>
      <c r="DS241" s="239">
        <v>-10177</v>
      </c>
      <c r="DT241" s="239">
        <v>0</v>
      </c>
      <c r="DU241" s="239">
        <v>-10177</v>
      </c>
      <c r="DV241" s="239">
        <v>-541</v>
      </c>
      <c r="DW241" s="239">
        <v>0</v>
      </c>
      <c r="DX241" s="239">
        <v>-541</v>
      </c>
      <c r="DY241" s="239">
        <v>-393408</v>
      </c>
      <c r="DZ241" s="239">
        <v>0</v>
      </c>
      <c r="EA241" s="239">
        <v>-393408</v>
      </c>
      <c r="EB241" s="239">
        <v>-25095</v>
      </c>
      <c r="EC241" s="239">
        <v>0</v>
      </c>
      <c r="ED241" s="239">
        <v>-25095</v>
      </c>
      <c r="EE241" s="239">
        <v>0</v>
      </c>
      <c r="EF241" s="239">
        <v>0</v>
      </c>
      <c r="EG241" s="239">
        <v>0</v>
      </c>
      <c r="EH241" s="239">
        <v>0</v>
      </c>
      <c r="EI241" s="239">
        <v>0</v>
      </c>
      <c r="EJ241" s="239">
        <v>0</v>
      </c>
      <c r="EK241" s="239">
        <v>-18089</v>
      </c>
      <c r="EL241" s="239">
        <v>0</v>
      </c>
      <c r="EM241" s="239">
        <v>-18089</v>
      </c>
      <c r="EN241" s="239">
        <v>-476657</v>
      </c>
      <c r="EO241" s="239">
        <v>0</v>
      </c>
      <c r="EP241" s="239">
        <v>-476657</v>
      </c>
      <c r="EQ241" s="239">
        <v>0</v>
      </c>
      <c r="ER241" s="239">
        <v>0</v>
      </c>
      <c r="ES241" s="239">
        <v>0</v>
      </c>
      <c r="ET241" s="239">
        <v>0</v>
      </c>
      <c r="EU241" s="239">
        <v>0</v>
      </c>
      <c r="EV241" s="239">
        <v>0</v>
      </c>
      <c r="EW241" s="239">
        <v>0</v>
      </c>
      <c r="EX241" s="239">
        <v>0</v>
      </c>
      <c r="EY241" s="239">
        <v>0</v>
      </c>
      <c r="EZ241" s="239">
        <v>83042399</v>
      </c>
      <c r="FA241" s="239">
        <v>0</v>
      </c>
      <c r="FB241" s="239">
        <v>83042399</v>
      </c>
      <c r="FC241" s="239">
        <v>127030</v>
      </c>
      <c r="FD241" s="239">
        <v>0</v>
      </c>
      <c r="FE241" s="239">
        <v>127030</v>
      </c>
      <c r="FF241" s="239">
        <v>-10227585</v>
      </c>
      <c r="FG241" s="239">
        <v>0</v>
      </c>
      <c r="FH241" s="239">
        <v>-10227585</v>
      </c>
      <c r="FI241" s="239">
        <v>-1450876</v>
      </c>
      <c r="FJ241" s="239">
        <v>0</v>
      </c>
      <c r="FK241" s="239">
        <v>-1450876</v>
      </c>
      <c r="FL241" s="239">
        <v>-328189</v>
      </c>
      <c r="FM241" s="239">
        <v>0</v>
      </c>
      <c r="FN241" s="239">
        <v>-328189</v>
      </c>
      <c r="FO241" s="239">
        <v>-476657</v>
      </c>
      <c r="FP241" s="239">
        <v>0</v>
      </c>
      <c r="FQ241" s="239">
        <v>-476657</v>
      </c>
      <c r="FR241" s="239">
        <v>0</v>
      </c>
      <c r="FS241" s="239">
        <v>0</v>
      </c>
      <c r="FT241" s="239">
        <v>0</v>
      </c>
      <c r="FU241" s="239">
        <v>-12356277</v>
      </c>
      <c r="FV241" s="239">
        <v>0</v>
      </c>
      <c r="FW241" s="239">
        <v>-12356277</v>
      </c>
      <c r="FX241" s="239">
        <v>70686122</v>
      </c>
      <c r="FY241" s="239">
        <v>0</v>
      </c>
      <c r="FZ241" s="239">
        <v>70686122</v>
      </c>
      <c r="GA241" s="214" t="s">
        <v>1294</v>
      </c>
    </row>
    <row r="242" spans="2:183" s="214" customFormat="1" x14ac:dyDescent="0.2">
      <c r="B242" s="610" t="s">
        <v>567</v>
      </c>
      <c r="C242" s="610" t="s">
        <v>566</v>
      </c>
      <c r="D242" s="239">
        <v>0</v>
      </c>
      <c r="E242" s="239">
        <v>0</v>
      </c>
      <c r="F242" s="239">
        <v>0</v>
      </c>
      <c r="G242" s="239">
        <v>5428</v>
      </c>
      <c r="H242" s="239">
        <v>0</v>
      </c>
      <c r="I242" s="239">
        <v>5428</v>
      </c>
      <c r="J242" s="239">
        <v>0</v>
      </c>
      <c r="K242" s="239">
        <v>0</v>
      </c>
      <c r="L242" s="239">
        <v>0</v>
      </c>
      <c r="M242" s="239">
        <v>20790</v>
      </c>
      <c r="N242" s="239">
        <v>0</v>
      </c>
      <c r="O242" s="239">
        <v>20790</v>
      </c>
      <c r="P242" s="239">
        <v>26218</v>
      </c>
      <c r="Q242" s="239">
        <v>0</v>
      </c>
      <c r="R242" s="239">
        <v>26218</v>
      </c>
      <c r="S242" s="239">
        <v>-1489892</v>
      </c>
      <c r="T242" s="239">
        <v>0</v>
      </c>
      <c r="U242" s="239">
        <v>-1489892</v>
      </c>
      <c r="V242" s="239">
        <v>-4780</v>
      </c>
      <c r="W242" s="239">
        <v>0</v>
      </c>
      <c r="X242" s="239">
        <v>-4780</v>
      </c>
      <c r="Y242" s="239">
        <v>-98070</v>
      </c>
      <c r="Z242" s="239">
        <v>0</v>
      </c>
      <c r="AA242" s="239">
        <v>-98070</v>
      </c>
      <c r="AB242" s="239">
        <v>-54909</v>
      </c>
      <c r="AC242" s="239">
        <v>0</v>
      </c>
      <c r="AD242" s="239">
        <v>-54909</v>
      </c>
      <c r="AE242" s="239">
        <v>-200</v>
      </c>
      <c r="AF242" s="239">
        <v>0</v>
      </c>
      <c r="AG242" s="239">
        <v>-200</v>
      </c>
      <c r="AH242" s="239">
        <v>625580</v>
      </c>
      <c r="AI242" s="239">
        <v>0</v>
      </c>
      <c r="AJ242" s="239">
        <v>625580</v>
      </c>
      <c r="AK242" s="239">
        <v>375</v>
      </c>
      <c r="AL242" s="239">
        <v>0</v>
      </c>
      <c r="AM242" s="239">
        <v>375</v>
      </c>
      <c r="AN242" s="239">
        <v>-1186481</v>
      </c>
      <c r="AO242" s="239">
        <v>0</v>
      </c>
      <c r="AP242" s="239">
        <v>-1186481</v>
      </c>
      <c r="AQ242" s="239">
        <v>-28646</v>
      </c>
      <c r="AR242" s="239">
        <v>0</v>
      </c>
      <c r="AS242" s="239">
        <v>-28646</v>
      </c>
      <c r="AT242" s="239">
        <v>-38740</v>
      </c>
      <c r="AU242" s="239">
        <v>0</v>
      </c>
      <c r="AV242" s="239">
        <v>-38740</v>
      </c>
      <c r="AW242" s="239">
        <v>0</v>
      </c>
      <c r="AX242" s="239">
        <v>0</v>
      </c>
      <c r="AY242" s="239">
        <v>0</v>
      </c>
      <c r="AZ242" s="239">
        <v>-21181</v>
      </c>
      <c r="BA242" s="239">
        <v>0</v>
      </c>
      <c r="BB242" s="239">
        <v>-21181</v>
      </c>
      <c r="BC242" s="239">
        <v>0</v>
      </c>
      <c r="BD242" s="239">
        <v>0</v>
      </c>
      <c r="BE242" s="239">
        <v>0</v>
      </c>
      <c r="BF242" s="239">
        <v>-2237055</v>
      </c>
      <c r="BG242" s="239">
        <v>0</v>
      </c>
      <c r="BH242" s="239">
        <v>-2237055</v>
      </c>
      <c r="BI242" s="239">
        <v>-512759</v>
      </c>
      <c r="BJ242" s="239">
        <v>0</v>
      </c>
      <c r="BK242" s="239">
        <v>-512759</v>
      </c>
      <c r="BL242" s="239">
        <v>-12477</v>
      </c>
      <c r="BM242" s="239">
        <v>0</v>
      </c>
      <c r="BN242" s="239">
        <v>-12477</v>
      </c>
      <c r="BO242" s="239">
        <v>-549152</v>
      </c>
      <c r="BP242" s="239">
        <v>0</v>
      </c>
      <c r="BQ242" s="239">
        <v>-549152</v>
      </c>
      <c r="BR242" s="239">
        <v>-38664</v>
      </c>
      <c r="BS242" s="239">
        <v>0</v>
      </c>
      <c r="BT242" s="239">
        <v>-38664</v>
      </c>
      <c r="BU242" s="239">
        <v>-1113052</v>
      </c>
      <c r="BV242" s="239">
        <v>0</v>
      </c>
      <c r="BW242" s="239">
        <v>-1113052</v>
      </c>
      <c r="BX242" s="239">
        <v>-38757</v>
      </c>
      <c r="BY242" s="239">
        <v>0</v>
      </c>
      <c r="BZ242" s="239">
        <v>-38757</v>
      </c>
      <c r="CA242" s="239">
        <v>0</v>
      </c>
      <c r="CB242" s="239">
        <v>0</v>
      </c>
      <c r="CC242" s="239">
        <v>0</v>
      </c>
      <c r="CD242" s="239">
        <v>-30274</v>
      </c>
      <c r="CE242" s="239">
        <v>0</v>
      </c>
      <c r="CF242" s="239">
        <v>-30274</v>
      </c>
      <c r="CG242" s="239">
        <v>-15889</v>
      </c>
      <c r="CH242" s="239">
        <v>0</v>
      </c>
      <c r="CI242" s="239">
        <v>-15889</v>
      </c>
      <c r="CJ242" s="239">
        <v>0</v>
      </c>
      <c r="CK242" s="239">
        <v>0</v>
      </c>
      <c r="CL242" s="239">
        <v>0</v>
      </c>
      <c r="CM242" s="239">
        <v>0</v>
      </c>
      <c r="CN242" s="239">
        <v>0</v>
      </c>
      <c r="CO242" s="239">
        <v>0</v>
      </c>
      <c r="CP242" s="239">
        <v>0</v>
      </c>
      <c r="CQ242" s="239">
        <v>0</v>
      </c>
      <c r="CR242" s="239">
        <v>0</v>
      </c>
      <c r="CS242" s="239">
        <v>0</v>
      </c>
      <c r="CT242" s="239">
        <v>0</v>
      </c>
      <c r="CU242" s="239">
        <v>0</v>
      </c>
      <c r="CV242" s="239">
        <v>-1545</v>
      </c>
      <c r="CW242" s="239">
        <v>0</v>
      </c>
      <c r="CX242" s="239">
        <v>-1545</v>
      </c>
      <c r="CY242" s="239">
        <v>0</v>
      </c>
      <c r="CZ242" s="239">
        <v>0</v>
      </c>
      <c r="DA242" s="239">
        <v>0</v>
      </c>
      <c r="DB242" s="239">
        <v>0</v>
      </c>
      <c r="DC242" s="239">
        <v>0</v>
      </c>
      <c r="DD242" s="239">
        <v>0</v>
      </c>
      <c r="DE242" s="239">
        <v>0</v>
      </c>
      <c r="DF242" s="239">
        <v>0</v>
      </c>
      <c r="DG242" s="239">
        <v>0</v>
      </c>
      <c r="DH242" s="239">
        <v>0</v>
      </c>
      <c r="DI242" s="239">
        <v>0</v>
      </c>
      <c r="DJ242" s="239">
        <v>-86465</v>
      </c>
      <c r="DK242" s="239">
        <v>0</v>
      </c>
      <c r="DL242" s="239">
        <v>-86465</v>
      </c>
      <c r="DM242" s="239">
        <v>0</v>
      </c>
      <c r="DN242" s="239">
        <v>0</v>
      </c>
      <c r="DO242" s="239">
        <v>0</v>
      </c>
      <c r="DP242" s="239">
        <v>0</v>
      </c>
      <c r="DQ242" s="239">
        <v>0</v>
      </c>
      <c r="DR242" s="239">
        <v>0</v>
      </c>
      <c r="DS242" s="239">
        <v>0</v>
      </c>
      <c r="DT242" s="239">
        <v>0</v>
      </c>
      <c r="DU242" s="239">
        <v>0</v>
      </c>
      <c r="DV242" s="239">
        <v>0</v>
      </c>
      <c r="DW242" s="239">
        <v>0</v>
      </c>
      <c r="DX242" s="239">
        <v>0</v>
      </c>
      <c r="DY242" s="239">
        <v>-213925</v>
      </c>
      <c r="DZ242" s="239">
        <v>0</v>
      </c>
      <c r="EA242" s="239">
        <v>-213925</v>
      </c>
      <c r="EB242" s="239">
        <v>-25859</v>
      </c>
      <c r="EC242" s="239">
        <v>0</v>
      </c>
      <c r="ED242" s="239">
        <v>-25859</v>
      </c>
      <c r="EE242" s="239">
        <v>0</v>
      </c>
      <c r="EF242" s="239">
        <v>0</v>
      </c>
      <c r="EG242" s="239">
        <v>0</v>
      </c>
      <c r="EH242" s="239">
        <v>0</v>
      </c>
      <c r="EI242" s="239">
        <v>0</v>
      </c>
      <c r="EJ242" s="239">
        <v>0</v>
      </c>
      <c r="EK242" s="239">
        <v>-13700</v>
      </c>
      <c r="EL242" s="239">
        <v>0</v>
      </c>
      <c r="EM242" s="239">
        <v>-13700</v>
      </c>
      <c r="EN242" s="239">
        <v>-253484</v>
      </c>
      <c r="EO242" s="239">
        <v>0</v>
      </c>
      <c r="EP242" s="239">
        <v>-253484</v>
      </c>
      <c r="EQ242" s="239">
        <v>-4055</v>
      </c>
      <c r="ER242" s="239">
        <v>0</v>
      </c>
      <c r="ES242" s="239">
        <v>-4055</v>
      </c>
      <c r="ET242" s="239">
        <v>125</v>
      </c>
      <c r="EU242" s="239">
        <v>0</v>
      </c>
      <c r="EV242" s="239">
        <v>125</v>
      </c>
      <c r="EW242" s="239">
        <v>-3930</v>
      </c>
      <c r="EX242" s="239">
        <v>0</v>
      </c>
      <c r="EY242" s="239">
        <v>-3930</v>
      </c>
      <c r="EZ242" s="239">
        <v>27018598</v>
      </c>
      <c r="FA242" s="239">
        <v>0</v>
      </c>
      <c r="FB242" s="239">
        <v>27018598</v>
      </c>
      <c r="FC242" s="239">
        <v>26218</v>
      </c>
      <c r="FD242" s="239">
        <v>0</v>
      </c>
      <c r="FE242" s="239">
        <v>26218</v>
      </c>
      <c r="FF242" s="239">
        <v>-2237055</v>
      </c>
      <c r="FG242" s="239">
        <v>0</v>
      </c>
      <c r="FH242" s="239">
        <v>-2237055</v>
      </c>
      <c r="FI242" s="239">
        <v>-1113052</v>
      </c>
      <c r="FJ242" s="239">
        <v>0</v>
      </c>
      <c r="FK242" s="239">
        <v>-1113052</v>
      </c>
      <c r="FL242" s="239">
        <v>-86465</v>
      </c>
      <c r="FM242" s="239">
        <v>0</v>
      </c>
      <c r="FN242" s="239">
        <v>-86465</v>
      </c>
      <c r="FO242" s="239">
        <v>-253484</v>
      </c>
      <c r="FP242" s="239">
        <v>0</v>
      </c>
      <c r="FQ242" s="239">
        <v>-253484</v>
      </c>
      <c r="FR242" s="239">
        <v>-3930</v>
      </c>
      <c r="FS242" s="239">
        <v>0</v>
      </c>
      <c r="FT242" s="239">
        <v>-3930</v>
      </c>
      <c r="FU242" s="239">
        <v>-3667768</v>
      </c>
      <c r="FV242" s="239">
        <v>0</v>
      </c>
      <c r="FW242" s="239">
        <v>-3667768</v>
      </c>
      <c r="FX242" s="239">
        <v>23350830</v>
      </c>
      <c r="FY242" s="239">
        <v>0</v>
      </c>
      <c r="FZ242" s="239">
        <v>23350830</v>
      </c>
      <c r="GA242" s="214" t="s">
        <v>1294</v>
      </c>
    </row>
    <row r="243" spans="2:183" s="214" customFormat="1" x14ac:dyDescent="0.2">
      <c r="B243" s="610" t="s">
        <v>569</v>
      </c>
      <c r="C243" s="610" t="s">
        <v>568</v>
      </c>
      <c r="D243" s="239">
        <v>0</v>
      </c>
      <c r="E243" s="239">
        <v>0</v>
      </c>
      <c r="F243" s="239">
        <v>0</v>
      </c>
      <c r="G243" s="239">
        <v>350585</v>
      </c>
      <c r="H243" s="239">
        <v>0</v>
      </c>
      <c r="I243" s="239">
        <v>350585</v>
      </c>
      <c r="J243" s="239">
        <v>0</v>
      </c>
      <c r="K243" s="239">
        <v>0</v>
      </c>
      <c r="L243" s="239">
        <v>0</v>
      </c>
      <c r="M243" s="239">
        <v>304797</v>
      </c>
      <c r="N243" s="239">
        <v>0</v>
      </c>
      <c r="O243" s="239">
        <v>304797</v>
      </c>
      <c r="P243" s="239">
        <v>655382</v>
      </c>
      <c r="Q243" s="239">
        <v>0</v>
      </c>
      <c r="R243" s="239">
        <v>655382</v>
      </c>
      <c r="S243" s="239">
        <v>-3769773</v>
      </c>
      <c r="T243" s="239">
        <v>-4479</v>
      </c>
      <c r="U243" s="239">
        <v>-3774252</v>
      </c>
      <c r="V243" s="239">
        <v>-18978</v>
      </c>
      <c r="W243" s="239">
        <v>0</v>
      </c>
      <c r="X243" s="239">
        <v>-18978</v>
      </c>
      <c r="Y243" s="239">
        <v>-289690</v>
      </c>
      <c r="Z243" s="239">
        <v>0</v>
      </c>
      <c r="AA243" s="239">
        <v>-289690</v>
      </c>
      <c r="AB243" s="239">
        <v>0</v>
      </c>
      <c r="AC243" s="239">
        <v>0</v>
      </c>
      <c r="AD243" s="239">
        <v>0</v>
      </c>
      <c r="AE243" s="239">
        <v>-1342</v>
      </c>
      <c r="AF243" s="239">
        <v>0</v>
      </c>
      <c r="AG243" s="239">
        <v>-1342</v>
      </c>
      <c r="AH243" s="239">
        <v>3802996</v>
      </c>
      <c r="AI243" s="239">
        <v>136569</v>
      </c>
      <c r="AJ243" s="239">
        <v>3939565</v>
      </c>
      <c r="AK243" s="239">
        <v>79559</v>
      </c>
      <c r="AL243" s="239">
        <v>7679</v>
      </c>
      <c r="AM243" s="239">
        <v>87238</v>
      </c>
      <c r="AN243" s="239">
        <v>-7241573</v>
      </c>
      <c r="AO243" s="239">
        <v>0</v>
      </c>
      <c r="AP243" s="239">
        <v>-7241573</v>
      </c>
      <c r="AQ243" s="239">
        <v>-61243</v>
      </c>
      <c r="AR243" s="239">
        <v>0</v>
      </c>
      <c r="AS243" s="239">
        <v>-61243</v>
      </c>
      <c r="AT243" s="239">
        <v>-91205</v>
      </c>
      <c r="AU243" s="239">
        <v>0</v>
      </c>
      <c r="AV243" s="239">
        <v>-91205</v>
      </c>
      <c r="AW243" s="239">
        <v>10215</v>
      </c>
      <c r="AX243" s="239">
        <v>0</v>
      </c>
      <c r="AY243" s="239">
        <v>10215</v>
      </c>
      <c r="AZ243" s="239">
        <v>-29876</v>
      </c>
      <c r="BA243" s="239">
        <v>0</v>
      </c>
      <c r="BB243" s="239">
        <v>-29876</v>
      </c>
      <c r="BC243" s="239">
        <v>0</v>
      </c>
      <c r="BD243" s="239">
        <v>0</v>
      </c>
      <c r="BE243" s="239">
        <v>0</v>
      </c>
      <c r="BF243" s="239">
        <v>-7590590</v>
      </c>
      <c r="BG243" s="239">
        <v>139769</v>
      </c>
      <c r="BH243" s="239">
        <v>-7450821</v>
      </c>
      <c r="BI243" s="239">
        <v>-106519</v>
      </c>
      <c r="BJ243" s="239">
        <v>0</v>
      </c>
      <c r="BK243" s="239">
        <v>-106519</v>
      </c>
      <c r="BL243" s="239">
        <v>-24130</v>
      </c>
      <c r="BM243" s="239">
        <v>0</v>
      </c>
      <c r="BN243" s="239">
        <v>-24130</v>
      </c>
      <c r="BO243" s="239">
        <v>-3845622</v>
      </c>
      <c r="BP243" s="239">
        <v>0</v>
      </c>
      <c r="BQ243" s="239">
        <v>-3845622</v>
      </c>
      <c r="BR243" s="239">
        <v>-272489</v>
      </c>
      <c r="BS243" s="239">
        <v>-35</v>
      </c>
      <c r="BT243" s="239">
        <v>-272524</v>
      </c>
      <c r="BU243" s="239">
        <v>-4248760</v>
      </c>
      <c r="BV243" s="239">
        <v>-35</v>
      </c>
      <c r="BW243" s="239">
        <v>-4248795</v>
      </c>
      <c r="BX243" s="239">
        <v>-143973</v>
      </c>
      <c r="BY243" s="239">
        <v>0</v>
      </c>
      <c r="BZ243" s="239">
        <v>-143973</v>
      </c>
      <c r="CA243" s="239">
        <v>513</v>
      </c>
      <c r="CB243" s="239">
        <v>0</v>
      </c>
      <c r="CC243" s="239">
        <v>513</v>
      </c>
      <c r="CD243" s="239">
        <v>-589246</v>
      </c>
      <c r="CE243" s="239">
        <v>0</v>
      </c>
      <c r="CF243" s="239">
        <v>-589246</v>
      </c>
      <c r="CG243" s="239">
        <v>-102</v>
      </c>
      <c r="CH243" s="239">
        <v>0</v>
      </c>
      <c r="CI243" s="239">
        <v>-102</v>
      </c>
      <c r="CJ243" s="239">
        <v>0</v>
      </c>
      <c r="CK243" s="239">
        <v>0</v>
      </c>
      <c r="CL243" s="239">
        <v>0</v>
      </c>
      <c r="CM243" s="239">
        <v>0</v>
      </c>
      <c r="CN243" s="239">
        <v>0</v>
      </c>
      <c r="CO243" s="239">
        <v>0</v>
      </c>
      <c r="CP243" s="239">
        <v>-52628</v>
      </c>
      <c r="CQ243" s="239">
        <v>0</v>
      </c>
      <c r="CR243" s="239">
        <v>-52628</v>
      </c>
      <c r="CS243" s="239">
        <v>0</v>
      </c>
      <c r="CT243" s="239">
        <v>0</v>
      </c>
      <c r="CU243" s="239">
        <v>0</v>
      </c>
      <c r="CV243" s="239">
        <v>0</v>
      </c>
      <c r="CW243" s="239">
        <v>0</v>
      </c>
      <c r="CX243" s="239">
        <v>0</v>
      </c>
      <c r="CY243" s="239">
        <v>0</v>
      </c>
      <c r="CZ243" s="239">
        <v>0</v>
      </c>
      <c r="DA243" s="239">
        <v>0</v>
      </c>
      <c r="DB243" s="239">
        <v>0</v>
      </c>
      <c r="DC243" s="239">
        <v>0</v>
      </c>
      <c r="DD243" s="239">
        <v>0</v>
      </c>
      <c r="DE243" s="239">
        <v>0</v>
      </c>
      <c r="DF243" s="239">
        <v>0</v>
      </c>
      <c r="DG243" s="239">
        <v>0</v>
      </c>
      <c r="DH243" s="239">
        <v>0</v>
      </c>
      <c r="DI243" s="239">
        <v>0</v>
      </c>
      <c r="DJ243" s="239">
        <v>-785436</v>
      </c>
      <c r="DK243" s="239">
        <v>0</v>
      </c>
      <c r="DL243" s="239">
        <v>-785436</v>
      </c>
      <c r="DM243" s="239">
        <v>0</v>
      </c>
      <c r="DN243" s="239">
        <v>0</v>
      </c>
      <c r="DO243" s="239">
        <v>0</v>
      </c>
      <c r="DP243" s="239">
        <v>0</v>
      </c>
      <c r="DQ243" s="239">
        <v>0</v>
      </c>
      <c r="DR243" s="239">
        <v>0</v>
      </c>
      <c r="DS243" s="239">
        <v>-17139</v>
      </c>
      <c r="DT243" s="239">
        <v>0</v>
      </c>
      <c r="DU243" s="239">
        <v>-17139</v>
      </c>
      <c r="DV243" s="239">
        <v>616</v>
      </c>
      <c r="DW243" s="239">
        <v>0</v>
      </c>
      <c r="DX243" s="239">
        <v>616</v>
      </c>
      <c r="DY243" s="239">
        <v>-798552</v>
      </c>
      <c r="DZ243" s="239">
        <v>0</v>
      </c>
      <c r="EA243" s="239">
        <v>-798552</v>
      </c>
      <c r="EB243" s="239">
        <v>0</v>
      </c>
      <c r="EC243" s="239">
        <v>0</v>
      </c>
      <c r="ED243" s="239">
        <v>0</v>
      </c>
      <c r="EE243" s="239">
        <v>0</v>
      </c>
      <c r="EF243" s="239">
        <v>0</v>
      </c>
      <c r="EG243" s="239">
        <v>0</v>
      </c>
      <c r="EH243" s="239">
        <v>0</v>
      </c>
      <c r="EI243" s="239">
        <v>0</v>
      </c>
      <c r="EJ243" s="239">
        <v>0</v>
      </c>
      <c r="EK243" s="239">
        <v>-36434</v>
      </c>
      <c r="EL243" s="239">
        <v>0</v>
      </c>
      <c r="EM243" s="239">
        <v>-36434</v>
      </c>
      <c r="EN243" s="239">
        <v>-851509</v>
      </c>
      <c r="EO243" s="239">
        <v>0</v>
      </c>
      <c r="EP243" s="239">
        <v>-851509</v>
      </c>
      <c r="EQ243" s="239">
        <v>0</v>
      </c>
      <c r="ER243" s="239">
        <v>0</v>
      </c>
      <c r="ES243" s="239">
        <v>0</v>
      </c>
      <c r="ET243" s="239">
        <v>0</v>
      </c>
      <c r="EU243" s="239">
        <v>0</v>
      </c>
      <c r="EV243" s="239">
        <v>0</v>
      </c>
      <c r="EW243" s="239">
        <v>0</v>
      </c>
      <c r="EX243" s="239">
        <v>0</v>
      </c>
      <c r="EY243" s="239">
        <v>0</v>
      </c>
      <c r="EZ243" s="239">
        <v>153060546</v>
      </c>
      <c r="FA243" s="239">
        <v>5583268</v>
      </c>
      <c r="FB243" s="239">
        <v>158643814</v>
      </c>
      <c r="FC243" s="239">
        <v>655382</v>
      </c>
      <c r="FD243" s="239">
        <v>0</v>
      </c>
      <c r="FE243" s="239">
        <v>655382</v>
      </c>
      <c r="FF243" s="239">
        <v>-7590590</v>
      </c>
      <c r="FG243" s="239">
        <v>139769</v>
      </c>
      <c r="FH243" s="239">
        <v>-7450821</v>
      </c>
      <c r="FI243" s="239">
        <v>-4248760</v>
      </c>
      <c r="FJ243" s="239">
        <v>-35</v>
      </c>
      <c r="FK243" s="239">
        <v>-4248795</v>
      </c>
      <c r="FL243" s="239">
        <v>-785436</v>
      </c>
      <c r="FM243" s="239">
        <v>0</v>
      </c>
      <c r="FN243" s="239">
        <v>-785436</v>
      </c>
      <c r="FO243" s="239">
        <v>-851509</v>
      </c>
      <c r="FP243" s="239">
        <v>0</v>
      </c>
      <c r="FQ243" s="239">
        <v>-851509</v>
      </c>
      <c r="FR243" s="239">
        <v>0</v>
      </c>
      <c r="FS243" s="239">
        <v>0</v>
      </c>
      <c r="FT243" s="239">
        <v>0</v>
      </c>
      <c r="FU243" s="239">
        <v>-12820913</v>
      </c>
      <c r="FV243" s="239">
        <v>139734</v>
      </c>
      <c r="FW243" s="239">
        <v>-12681179</v>
      </c>
      <c r="FX243" s="239">
        <v>140239633</v>
      </c>
      <c r="FY243" s="239">
        <v>5723002</v>
      </c>
      <c r="FZ243" s="239">
        <v>145962635</v>
      </c>
      <c r="GA243" s="214" t="s">
        <v>748</v>
      </c>
    </row>
    <row r="244" spans="2:183" s="214" customFormat="1" x14ac:dyDescent="0.2">
      <c r="B244" s="610" t="s">
        <v>571</v>
      </c>
      <c r="C244" s="610" t="s">
        <v>570</v>
      </c>
      <c r="D244" s="239">
        <v>0</v>
      </c>
      <c r="E244" s="239">
        <v>0</v>
      </c>
      <c r="F244" s="239">
        <v>0</v>
      </c>
      <c r="G244" s="239">
        <v>33516</v>
      </c>
      <c r="H244" s="239">
        <v>0</v>
      </c>
      <c r="I244" s="239">
        <v>33516</v>
      </c>
      <c r="J244" s="239">
        <v>0</v>
      </c>
      <c r="K244" s="239">
        <v>0</v>
      </c>
      <c r="L244" s="239">
        <v>0</v>
      </c>
      <c r="M244" s="239">
        <v>11524</v>
      </c>
      <c r="N244" s="239">
        <v>0</v>
      </c>
      <c r="O244" s="239">
        <v>11524</v>
      </c>
      <c r="P244" s="239">
        <v>45040</v>
      </c>
      <c r="Q244" s="239">
        <v>0</v>
      </c>
      <c r="R244" s="239">
        <v>45040</v>
      </c>
      <c r="S244" s="239">
        <v>-4322468</v>
      </c>
      <c r="T244" s="239">
        <v>0</v>
      </c>
      <c r="U244" s="239">
        <v>-4322468</v>
      </c>
      <c r="V244" s="239">
        <v>0</v>
      </c>
      <c r="W244" s="239">
        <v>0</v>
      </c>
      <c r="X244" s="239">
        <v>0</v>
      </c>
      <c r="Y244" s="239">
        <v>-343450</v>
      </c>
      <c r="Z244" s="239">
        <v>0</v>
      </c>
      <c r="AA244" s="239">
        <v>-343450</v>
      </c>
      <c r="AB244" s="239">
        <v>-181244</v>
      </c>
      <c r="AC244" s="239">
        <v>0</v>
      </c>
      <c r="AD244" s="239">
        <v>-181244</v>
      </c>
      <c r="AE244" s="239">
        <v>0</v>
      </c>
      <c r="AF244" s="239">
        <v>0</v>
      </c>
      <c r="AG244" s="239">
        <v>0</v>
      </c>
      <c r="AH244" s="239">
        <v>798713</v>
      </c>
      <c r="AI244" s="239">
        <v>0</v>
      </c>
      <c r="AJ244" s="239">
        <v>798713</v>
      </c>
      <c r="AK244" s="239">
        <v>12265</v>
      </c>
      <c r="AL244" s="239">
        <v>0</v>
      </c>
      <c r="AM244" s="239">
        <v>12265</v>
      </c>
      <c r="AN244" s="239">
        <v>-2288009</v>
      </c>
      <c r="AO244" s="239">
        <v>0</v>
      </c>
      <c r="AP244" s="239">
        <v>-2288009</v>
      </c>
      <c r="AQ244" s="239">
        <v>-65359</v>
      </c>
      <c r="AR244" s="239">
        <v>0</v>
      </c>
      <c r="AS244" s="239">
        <v>-65359</v>
      </c>
      <c r="AT244" s="239">
        <v>-90606</v>
      </c>
      <c r="AU244" s="239">
        <v>0</v>
      </c>
      <c r="AV244" s="239">
        <v>-90606</v>
      </c>
      <c r="AW244" s="239">
        <v>-6381</v>
      </c>
      <c r="AX244" s="239">
        <v>0</v>
      </c>
      <c r="AY244" s="239">
        <v>-6381</v>
      </c>
      <c r="AZ244" s="239">
        <v>-52643</v>
      </c>
      <c r="BA244" s="239">
        <v>0</v>
      </c>
      <c r="BB244" s="239">
        <v>-52643</v>
      </c>
      <c r="BC244" s="239">
        <v>-387</v>
      </c>
      <c r="BD244" s="239">
        <v>0</v>
      </c>
      <c r="BE244" s="239">
        <v>-387</v>
      </c>
      <c r="BF244" s="239">
        <v>-6358325</v>
      </c>
      <c r="BG244" s="239">
        <v>0</v>
      </c>
      <c r="BH244" s="239">
        <v>-6358325</v>
      </c>
      <c r="BI244" s="239">
        <v>0</v>
      </c>
      <c r="BJ244" s="239">
        <v>0</v>
      </c>
      <c r="BK244" s="239">
        <v>0</v>
      </c>
      <c r="BL244" s="239">
        <v>-6960</v>
      </c>
      <c r="BM244" s="239">
        <v>0</v>
      </c>
      <c r="BN244" s="239">
        <v>-6960</v>
      </c>
      <c r="BO244" s="239">
        <v>-990955</v>
      </c>
      <c r="BP244" s="239">
        <v>0</v>
      </c>
      <c r="BQ244" s="239">
        <v>-990955</v>
      </c>
      <c r="BR244" s="239">
        <v>-88954</v>
      </c>
      <c r="BS244" s="239">
        <v>0</v>
      </c>
      <c r="BT244" s="239">
        <v>-88954</v>
      </c>
      <c r="BU244" s="239">
        <v>-1086869</v>
      </c>
      <c r="BV244" s="239">
        <v>0</v>
      </c>
      <c r="BW244" s="239">
        <v>-1086869</v>
      </c>
      <c r="BX244" s="239">
        <v>-162384</v>
      </c>
      <c r="BY244" s="239">
        <v>0</v>
      </c>
      <c r="BZ244" s="239">
        <v>-162384</v>
      </c>
      <c r="CA244" s="239">
        <v>424</v>
      </c>
      <c r="CB244" s="239">
        <v>0</v>
      </c>
      <c r="CC244" s="239">
        <v>424</v>
      </c>
      <c r="CD244" s="239">
        <v>-18546</v>
      </c>
      <c r="CE244" s="239">
        <v>0</v>
      </c>
      <c r="CF244" s="239">
        <v>-18546</v>
      </c>
      <c r="CG244" s="239">
        <v>75012</v>
      </c>
      <c r="CH244" s="239">
        <v>0</v>
      </c>
      <c r="CI244" s="239">
        <v>75012</v>
      </c>
      <c r="CJ244" s="239">
        <v>-10980</v>
      </c>
      <c r="CK244" s="239">
        <v>0</v>
      </c>
      <c r="CL244" s="239">
        <v>-10980</v>
      </c>
      <c r="CM244" s="239">
        <v>0</v>
      </c>
      <c r="CN244" s="239">
        <v>0</v>
      </c>
      <c r="CO244" s="239">
        <v>0</v>
      </c>
      <c r="CP244" s="239">
        <v>-6385</v>
      </c>
      <c r="CQ244" s="239">
        <v>0</v>
      </c>
      <c r="CR244" s="239">
        <v>-6385</v>
      </c>
      <c r="CS244" s="239">
        <v>0</v>
      </c>
      <c r="CT244" s="239">
        <v>0</v>
      </c>
      <c r="CU244" s="239">
        <v>0</v>
      </c>
      <c r="CV244" s="239">
        <v>0</v>
      </c>
      <c r="CW244" s="239">
        <v>0</v>
      </c>
      <c r="CX244" s="239">
        <v>0</v>
      </c>
      <c r="CY244" s="239">
        <v>0</v>
      </c>
      <c r="CZ244" s="239">
        <v>0</v>
      </c>
      <c r="DA244" s="239">
        <v>0</v>
      </c>
      <c r="DB244" s="239">
        <v>0</v>
      </c>
      <c r="DC244" s="239">
        <v>0</v>
      </c>
      <c r="DD244" s="239">
        <v>0</v>
      </c>
      <c r="DE244" s="239">
        <v>0</v>
      </c>
      <c r="DF244" s="239">
        <v>0</v>
      </c>
      <c r="DG244" s="239">
        <v>0</v>
      </c>
      <c r="DH244" s="239">
        <v>0</v>
      </c>
      <c r="DI244" s="239">
        <v>0</v>
      </c>
      <c r="DJ244" s="239">
        <v>-122859</v>
      </c>
      <c r="DK244" s="239">
        <v>0</v>
      </c>
      <c r="DL244" s="239">
        <v>-122859</v>
      </c>
      <c r="DM244" s="239">
        <v>-2870</v>
      </c>
      <c r="DN244" s="239">
        <v>0</v>
      </c>
      <c r="DO244" s="239">
        <v>-2870</v>
      </c>
      <c r="DP244" s="239">
        <v>0</v>
      </c>
      <c r="DQ244" s="239">
        <v>0</v>
      </c>
      <c r="DR244" s="239">
        <v>0</v>
      </c>
      <c r="DS244" s="239">
        <v>-4415</v>
      </c>
      <c r="DT244" s="239">
        <v>0</v>
      </c>
      <c r="DU244" s="239">
        <v>-4415</v>
      </c>
      <c r="DV244" s="239">
        <v>23</v>
      </c>
      <c r="DW244" s="239">
        <v>0</v>
      </c>
      <c r="DX244" s="239">
        <v>23</v>
      </c>
      <c r="DY244" s="239">
        <v>-917267</v>
      </c>
      <c r="DZ244" s="239">
        <v>0</v>
      </c>
      <c r="EA244" s="239">
        <v>-917267</v>
      </c>
      <c r="EB244" s="239">
        <v>-10340</v>
      </c>
      <c r="EC244" s="239">
        <v>0</v>
      </c>
      <c r="ED244" s="239">
        <v>-10340</v>
      </c>
      <c r="EE244" s="239">
        <v>0</v>
      </c>
      <c r="EF244" s="239">
        <v>0</v>
      </c>
      <c r="EG244" s="239">
        <v>0</v>
      </c>
      <c r="EH244" s="239">
        <v>0</v>
      </c>
      <c r="EI244" s="239">
        <v>0</v>
      </c>
      <c r="EJ244" s="239">
        <v>0</v>
      </c>
      <c r="EK244" s="239">
        <v>-54286</v>
      </c>
      <c r="EL244" s="239">
        <v>0</v>
      </c>
      <c r="EM244" s="239">
        <v>-54286</v>
      </c>
      <c r="EN244" s="239">
        <v>-989155</v>
      </c>
      <c r="EO244" s="239">
        <v>0</v>
      </c>
      <c r="EP244" s="239">
        <v>-989155</v>
      </c>
      <c r="EQ244" s="239">
        <v>-1152</v>
      </c>
      <c r="ER244" s="239">
        <v>0</v>
      </c>
      <c r="ES244" s="239">
        <v>-1152</v>
      </c>
      <c r="ET244" s="239">
        <v>-105501</v>
      </c>
      <c r="EU244" s="239">
        <v>0</v>
      </c>
      <c r="EV244" s="239">
        <v>-105501</v>
      </c>
      <c r="EW244" s="239">
        <v>-106653</v>
      </c>
      <c r="EX244" s="239">
        <v>0</v>
      </c>
      <c r="EY244" s="239">
        <v>-106653</v>
      </c>
      <c r="EZ244" s="239">
        <v>40131518</v>
      </c>
      <c r="FA244" s="239">
        <v>0</v>
      </c>
      <c r="FB244" s="239">
        <v>40131518</v>
      </c>
      <c r="FC244" s="239">
        <v>45040</v>
      </c>
      <c r="FD244" s="239">
        <v>0</v>
      </c>
      <c r="FE244" s="239">
        <v>45040</v>
      </c>
      <c r="FF244" s="239">
        <v>-6358325</v>
      </c>
      <c r="FG244" s="239">
        <v>0</v>
      </c>
      <c r="FH244" s="239">
        <v>-6358325</v>
      </c>
      <c r="FI244" s="239">
        <v>-1086869</v>
      </c>
      <c r="FJ244" s="239">
        <v>0</v>
      </c>
      <c r="FK244" s="239">
        <v>-1086869</v>
      </c>
      <c r="FL244" s="239">
        <v>-122859</v>
      </c>
      <c r="FM244" s="239">
        <v>0</v>
      </c>
      <c r="FN244" s="239">
        <v>-122859</v>
      </c>
      <c r="FO244" s="239">
        <v>-989155</v>
      </c>
      <c r="FP244" s="239">
        <v>0</v>
      </c>
      <c r="FQ244" s="239">
        <v>-989155</v>
      </c>
      <c r="FR244" s="239">
        <v>-106653</v>
      </c>
      <c r="FS244" s="239">
        <v>0</v>
      </c>
      <c r="FT244" s="239">
        <v>-106653</v>
      </c>
      <c r="FU244" s="239">
        <v>-8618821</v>
      </c>
      <c r="FV244" s="239">
        <v>0</v>
      </c>
      <c r="FW244" s="239">
        <v>-8618821</v>
      </c>
      <c r="FX244" s="239">
        <v>31512697</v>
      </c>
      <c r="FY244" s="239">
        <v>0</v>
      </c>
      <c r="FZ244" s="239">
        <v>31512697</v>
      </c>
      <c r="GA244" s="214" t="s">
        <v>1294</v>
      </c>
    </row>
    <row r="245" spans="2:183" s="214" customFormat="1" x14ac:dyDescent="0.2">
      <c r="B245" s="610" t="s">
        <v>573</v>
      </c>
      <c r="C245" s="610" t="s">
        <v>572</v>
      </c>
      <c r="D245" s="239">
        <v>0</v>
      </c>
      <c r="E245" s="239">
        <v>0</v>
      </c>
      <c r="F245" s="239">
        <v>0</v>
      </c>
      <c r="G245" s="239">
        <v>-185472</v>
      </c>
      <c r="H245" s="239">
        <v>0</v>
      </c>
      <c r="I245" s="239">
        <v>-185472</v>
      </c>
      <c r="J245" s="239">
        <v>0</v>
      </c>
      <c r="K245" s="239">
        <v>0</v>
      </c>
      <c r="L245" s="239">
        <v>0</v>
      </c>
      <c r="M245" s="239">
        <v>-292282</v>
      </c>
      <c r="N245" s="239">
        <v>0</v>
      </c>
      <c r="O245" s="239">
        <v>-292282</v>
      </c>
      <c r="P245" s="239">
        <v>-477754</v>
      </c>
      <c r="Q245" s="239">
        <v>0</v>
      </c>
      <c r="R245" s="239">
        <v>-477754</v>
      </c>
      <c r="S245" s="239">
        <v>-1827319</v>
      </c>
      <c r="T245" s="239">
        <v>0</v>
      </c>
      <c r="U245" s="239">
        <v>-1827319</v>
      </c>
      <c r="V245" s="239">
        <v>-3031</v>
      </c>
      <c r="W245" s="239">
        <v>0</v>
      </c>
      <c r="X245" s="239">
        <v>-3031</v>
      </c>
      <c r="Y245" s="239">
        <v>-63904</v>
      </c>
      <c r="Z245" s="239">
        <v>0</v>
      </c>
      <c r="AA245" s="239">
        <v>-63904</v>
      </c>
      <c r="AB245" s="239">
        <v>23361</v>
      </c>
      <c r="AC245" s="239">
        <v>0</v>
      </c>
      <c r="AD245" s="239">
        <v>23361</v>
      </c>
      <c r="AE245" s="239">
        <v>0</v>
      </c>
      <c r="AF245" s="239">
        <v>0</v>
      </c>
      <c r="AG245" s="239">
        <v>0</v>
      </c>
      <c r="AH245" s="239">
        <v>697742</v>
      </c>
      <c r="AI245" s="239">
        <v>0</v>
      </c>
      <c r="AJ245" s="239">
        <v>697742</v>
      </c>
      <c r="AK245" s="239">
        <v>-14442</v>
      </c>
      <c r="AL245" s="239">
        <v>0</v>
      </c>
      <c r="AM245" s="239">
        <v>-14442</v>
      </c>
      <c r="AN245" s="239">
        <v>-1183154</v>
      </c>
      <c r="AO245" s="239">
        <v>0</v>
      </c>
      <c r="AP245" s="239">
        <v>-1183154</v>
      </c>
      <c r="AQ245" s="239">
        <v>-230679</v>
      </c>
      <c r="AR245" s="239">
        <v>0</v>
      </c>
      <c r="AS245" s="239">
        <v>-230679</v>
      </c>
      <c r="AT245" s="239">
        <v>-50502</v>
      </c>
      <c r="AU245" s="239">
        <v>0</v>
      </c>
      <c r="AV245" s="239">
        <v>-50502</v>
      </c>
      <c r="AW245" s="239">
        <v>0</v>
      </c>
      <c r="AX245" s="239">
        <v>0</v>
      </c>
      <c r="AY245" s="239">
        <v>0</v>
      </c>
      <c r="AZ245" s="239">
        <v>-37865</v>
      </c>
      <c r="BA245" s="239">
        <v>0</v>
      </c>
      <c r="BB245" s="239">
        <v>-37865</v>
      </c>
      <c r="BC245" s="239">
        <v>0</v>
      </c>
      <c r="BD245" s="239">
        <v>0</v>
      </c>
      <c r="BE245" s="239">
        <v>0</v>
      </c>
      <c r="BF245" s="239">
        <v>-2710123</v>
      </c>
      <c r="BG245" s="239">
        <v>0</v>
      </c>
      <c r="BH245" s="239">
        <v>-2710123</v>
      </c>
      <c r="BI245" s="239">
        <v>0</v>
      </c>
      <c r="BJ245" s="239">
        <v>0</v>
      </c>
      <c r="BK245" s="239">
        <v>0</v>
      </c>
      <c r="BL245" s="239">
        <v>8994</v>
      </c>
      <c r="BM245" s="239">
        <v>0</v>
      </c>
      <c r="BN245" s="239">
        <v>8994</v>
      </c>
      <c r="BO245" s="239">
        <v>-331029</v>
      </c>
      <c r="BP245" s="239">
        <v>0</v>
      </c>
      <c r="BQ245" s="239">
        <v>-331029</v>
      </c>
      <c r="BR245" s="239">
        <v>-14291</v>
      </c>
      <c r="BS245" s="239">
        <v>0</v>
      </c>
      <c r="BT245" s="239">
        <v>-14291</v>
      </c>
      <c r="BU245" s="239">
        <v>-336326</v>
      </c>
      <c r="BV245" s="239">
        <v>0</v>
      </c>
      <c r="BW245" s="239">
        <v>-336326</v>
      </c>
      <c r="BX245" s="239">
        <v>-68168</v>
      </c>
      <c r="BY245" s="239">
        <v>0</v>
      </c>
      <c r="BZ245" s="239">
        <v>-68168</v>
      </c>
      <c r="CA245" s="239">
        <v>7647</v>
      </c>
      <c r="CB245" s="239">
        <v>0</v>
      </c>
      <c r="CC245" s="239">
        <v>7647</v>
      </c>
      <c r="CD245" s="239">
        <v>-51699</v>
      </c>
      <c r="CE245" s="239">
        <v>0</v>
      </c>
      <c r="CF245" s="239">
        <v>-51699</v>
      </c>
      <c r="CG245" s="239">
        <v>-610</v>
      </c>
      <c r="CH245" s="239">
        <v>0</v>
      </c>
      <c r="CI245" s="239">
        <v>-610</v>
      </c>
      <c r="CJ245" s="239">
        <v>-7101</v>
      </c>
      <c r="CK245" s="239">
        <v>0</v>
      </c>
      <c r="CL245" s="239">
        <v>-7101</v>
      </c>
      <c r="CM245" s="239">
        <v>0</v>
      </c>
      <c r="CN245" s="239">
        <v>0</v>
      </c>
      <c r="CO245" s="239">
        <v>0</v>
      </c>
      <c r="CP245" s="239">
        <v>-35770</v>
      </c>
      <c r="CQ245" s="239">
        <v>0</v>
      </c>
      <c r="CR245" s="239">
        <v>-35770</v>
      </c>
      <c r="CS245" s="239">
        <v>0</v>
      </c>
      <c r="CT245" s="239">
        <v>0</v>
      </c>
      <c r="CU245" s="239">
        <v>0</v>
      </c>
      <c r="CV245" s="239">
        <v>0</v>
      </c>
      <c r="CW245" s="239">
        <v>0</v>
      </c>
      <c r="CX245" s="239">
        <v>0</v>
      </c>
      <c r="CY245" s="239">
        <v>0</v>
      </c>
      <c r="CZ245" s="239">
        <v>0</v>
      </c>
      <c r="DA245" s="239">
        <v>0</v>
      </c>
      <c r="DB245" s="239">
        <v>0</v>
      </c>
      <c r="DC245" s="239">
        <v>0</v>
      </c>
      <c r="DD245" s="239">
        <v>0</v>
      </c>
      <c r="DE245" s="239">
        <v>0</v>
      </c>
      <c r="DF245" s="239">
        <v>0</v>
      </c>
      <c r="DG245" s="239">
        <v>0</v>
      </c>
      <c r="DH245" s="239">
        <v>0</v>
      </c>
      <c r="DI245" s="239">
        <v>0</v>
      </c>
      <c r="DJ245" s="239">
        <v>-155701</v>
      </c>
      <c r="DK245" s="239">
        <v>0</v>
      </c>
      <c r="DL245" s="239">
        <v>-155701</v>
      </c>
      <c r="DM245" s="239">
        <v>0</v>
      </c>
      <c r="DN245" s="239">
        <v>0</v>
      </c>
      <c r="DO245" s="239">
        <v>0</v>
      </c>
      <c r="DP245" s="239">
        <v>0</v>
      </c>
      <c r="DQ245" s="239">
        <v>0</v>
      </c>
      <c r="DR245" s="239">
        <v>0</v>
      </c>
      <c r="DS245" s="239">
        <v>0</v>
      </c>
      <c r="DT245" s="239">
        <v>0</v>
      </c>
      <c r="DU245" s="239">
        <v>0</v>
      </c>
      <c r="DV245" s="239">
        <v>0</v>
      </c>
      <c r="DW245" s="239">
        <v>0</v>
      </c>
      <c r="DX245" s="239">
        <v>0</v>
      </c>
      <c r="DY245" s="239">
        <v>-273096</v>
      </c>
      <c r="DZ245" s="239">
        <v>0</v>
      </c>
      <c r="EA245" s="239">
        <v>-273096</v>
      </c>
      <c r="EB245" s="239">
        <v>-7448</v>
      </c>
      <c r="EC245" s="239">
        <v>0</v>
      </c>
      <c r="ED245" s="239">
        <v>-7448</v>
      </c>
      <c r="EE245" s="239">
        <v>0</v>
      </c>
      <c r="EF245" s="239">
        <v>0</v>
      </c>
      <c r="EG245" s="239">
        <v>0</v>
      </c>
      <c r="EH245" s="239">
        <v>0</v>
      </c>
      <c r="EI245" s="239">
        <v>0</v>
      </c>
      <c r="EJ245" s="239">
        <v>0</v>
      </c>
      <c r="EK245" s="239">
        <v>-8567</v>
      </c>
      <c r="EL245" s="239">
        <v>0</v>
      </c>
      <c r="EM245" s="239">
        <v>-8567</v>
      </c>
      <c r="EN245" s="239">
        <v>-289111</v>
      </c>
      <c r="EO245" s="239">
        <v>0</v>
      </c>
      <c r="EP245" s="239">
        <v>-289111</v>
      </c>
      <c r="EQ245" s="239">
        <v>0</v>
      </c>
      <c r="ER245" s="239">
        <v>0</v>
      </c>
      <c r="ES245" s="239">
        <v>0</v>
      </c>
      <c r="ET245" s="239">
        <v>0</v>
      </c>
      <c r="EU245" s="239">
        <v>0</v>
      </c>
      <c r="EV245" s="239">
        <v>0</v>
      </c>
      <c r="EW245" s="239">
        <v>0</v>
      </c>
      <c r="EX245" s="239">
        <v>0</v>
      </c>
      <c r="EY245" s="239">
        <v>0</v>
      </c>
      <c r="EZ245" s="239">
        <v>29540943</v>
      </c>
      <c r="FA245" s="239">
        <v>0</v>
      </c>
      <c r="FB245" s="239">
        <v>29540943</v>
      </c>
      <c r="FC245" s="239">
        <v>-477754</v>
      </c>
      <c r="FD245" s="239">
        <v>0</v>
      </c>
      <c r="FE245" s="239">
        <v>-477754</v>
      </c>
      <c r="FF245" s="239">
        <v>-2710123</v>
      </c>
      <c r="FG245" s="239">
        <v>0</v>
      </c>
      <c r="FH245" s="239">
        <v>-2710123</v>
      </c>
      <c r="FI245" s="239">
        <v>-336326</v>
      </c>
      <c r="FJ245" s="239">
        <v>0</v>
      </c>
      <c r="FK245" s="239">
        <v>-336326</v>
      </c>
      <c r="FL245" s="239">
        <v>-155701</v>
      </c>
      <c r="FM245" s="239">
        <v>0</v>
      </c>
      <c r="FN245" s="239">
        <v>-155701</v>
      </c>
      <c r="FO245" s="239">
        <v>-289111</v>
      </c>
      <c r="FP245" s="239">
        <v>0</v>
      </c>
      <c r="FQ245" s="239">
        <v>-289111</v>
      </c>
      <c r="FR245" s="239">
        <v>0</v>
      </c>
      <c r="FS245" s="239">
        <v>0</v>
      </c>
      <c r="FT245" s="239">
        <v>0</v>
      </c>
      <c r="FU245" s="239">
        <v>-3969015</v>
      </c>
      <c r="FV245" s="239">
        <v>0</v>
      </c>
      <c r="FW245" s="239">
        <v>-3969015</v>
      </c>
      <c r="FX245" s="239">
        <v>25571928</v>
      </c>
      <c r="FY245" s="239">
        <v>0</v>
      </c>
      <c r="FZ245" s="239">
        <v>25571928</v>
      </c>
      <c r="GA245" s="214" t="s">
        <v>1294</v>
      </c>
    </row>
    <row r="246" spans="2:183" s="214" customFormat="1" x14ac:dyDescent="0.2">
      <c r="B246" s="610" t="s">
        <v>575</v>
      </c>
      <c r="C246" s="610" t="s">
        <v>574</v>
      </c>
      <c r="D246" s="239">
        <v>0</v>
      </c>
      <c r="E246" s="239">
        <v>0</v>
      </c>
      <c r="F246" s="239">
        <v>0</v>
      </c>
      <c r="G246" s="239">
        <v>178821</v>
      </c>
      <c r="H246" s="239">
        <v>0</v>
      </c>
      <c r="I246" s="239">
        <v>178821</v>
      </c>
      <c r="J246" s="239">
        <v>0</v>
      </c>
      <c r="K246" s="239">
        <v>0</v>
      </c>
      <c r="L246" s="239">
        <v>0</v>
      </c>
      <c r="M246" s="239">
        <v>577</v>
      </c>
      <c r="N246" s="239">
        <v>0</v>
      </c>
      <c r="O246" s="239">
        <v>577</v>
      </c>
      <c r="P246" s="239">
        <v>179398</v>
      </c>
      <c r="Q246" s="239">
        <v>0</v>
      </c>
      <c r="R246" s="239">
        <v>179398</v>
      </c>
      <c r="S246" s="239">
        <v>-2841135</v>
      </c>
      <c r="T246" s="239">
        <v>0</v>
      </c>
      <c r="U246" s="239">
        <v>-2841135</v>
      </c>
      <c r="V246" s="239">
        <v>2850</v>
      </c>
      <c r="W246" s="239">
        <v>0</v>
      </c>
      <c r="X246" s="239">
        <v>2850</v>
      </c>
      <c r="Y246" s="239">
        <v>-111888</v>
      </c>
      <c r="Z246" s="239">
        <v>0</v>
      </c>
      <c r="AA246" s="239">
        <v>-111888</v>
      </c>
      <c r="AB246" s="239">
        <v>-54613</v>
      </c>
      <c r="AC246" s="239">
        <v>0</v>
      </c>
      <c r="AD246" s="239">
        <v>-54613</v>
      </c>
      <c r="AE246" s="239">
        <v>0</v>
      </c>
      <c r="AF246" s="239">
        <v>0</v>
      </c>
      <c r="AG246" s="239">
        <v>0</v>
      </c>
      <c r="AH246" s="239">
        <v>1074221</v>
      </c>
      <c r="AI246" s="239">
        <v>0</v>
      </c>
      <c r="AJ246" s="239">
        <v>1074221</v>
      </c>
      <c r="AK246" s="239">
        <v>-19124</v>
      </c>
      <c r="AL246" s="239">
        <v>0</v>
      </c>
      <c r="AM246" s="239">
        <v>-19124</v>
      </c>
      <c r="AN246" s="239">
        <v>-3322167</v>
      </c>
      <c r="AO246" s="239">
        <v>0</v>
      </c>
      <c r="AP246" s="239">
        <v>-3322167</v>
      </c>
      <c r="AQ246" s="239">
        <v>-48733</v>
      </c>
      <c r="AR246" s="239">
        <v>0</v>
      </c>
      <c r="AS246" s="239">
        <v>-48733</v>
      </c>
      <c r="AT246" s="239">
        <v>-144190</v>
      </c>
      <c r="AU246" s="239">
        <v>0</v>
      </c>
      <c r="AV246" s="239">
        <v>-144190</v>
      </c>
      <c r="AW246" s="239">
        <v>0</v>
      </c>
      <c r="AX246" s="239">
        <v>0</v>
      </c>
      <c r="AY246" s="239">
        <v>0</v>
      </c>
      <c r="AZ246" s="239">
        <v>-48709</v>
      </c>
      <c r="BA246" s="239">
        <v>0</v>
      </c>
      <c r="BB246" s="239">
        <v>-48709</v>
      </c>
      <c r="BC246" s="239">
        <v>322</v>
      </c>
      <c r="BD246" s="239">
        <v>0</v>
      </c>
      <c r="BE246" s="239">
        <v>322</v>
      </c>
      <c r="BF246" s="239">
        <v>-5461403</v>
      </c>
      <c r="BG246" s="239">
        <v>0</v>
      </c>
      <c r="BH246" s="239">
        <v>-5461403</v>
      </c>
      <c r="BI246" s="239">
        <v>-83824</v>
      </c>
      <c r="BJ246" s="239">
        <v>0</v>
      </c>
      <c r="BK246" s="239">
        <v>-83824</v>
      </c>
      <c r="BL246" s="239">
        <v>0</v>
      </c>
      <c r="BM246" s="239">
        <v>0</v>
      </c>
      <c r="BN246" s="239">
        <v>0</v>
      </c>
      <c r="BO246" s="239">
        <v>-1370073</v>
      </c>
      <c r="BP246" s="239">
        <v>0</v>
      </c>
      <c r="BQ246" s="239">
        <v>-1370073</v>
      </c>
      <c r="BR246" s="239">
        <v>-288531</v>
      </c>
      <c r="BS246" s="239">
        <v>0</v>
      </c>
      <c r="BT246" s="239">
        <v>-288531</v>
      </c>
      <c r="BU246" s="239">
        <v>-1742428</v>
      </c>
      <c r="BV246" s="239">
        <v>0</v>
      </c>
      <c r="BW246" s="239">
        <v>-1742428</v>
      </c>
      <c r="BX246" s="239">
        <v>-19770</v>
      </c>
      <c r="BY246" s="239">
        <v>0</v>
      </c>
      <c r="BZ246" s="239">
        <v>-19770</v>
      </c>
      <c r="CA246" s="239">
        <v>-148</v>
      </c>
      <c r="CB246" s="239">
        <v>0</v>
      </c>
      <c r="CC246" s="239">
        <v>-148</v>
      </c>
      <c r="CD246" s="239">
        <v>-2961</v>
      </c>
      <c r="CE246" s="239">
        <v>0</v>
      </c>
      <c r="CF246" s="239">
        <v>-2961</v>
      </c>
      <c r="CG246" s="239">
        <v>-5500</v>
      </c>
      <c r="CH246" s="239">
        <v>0</v>
      </c>
      <c r="CI246" s="239">
        <v>-5500</v>
      </c>
      <c r="CJ246" s="239">
        <v>0</v>
      </c>
      <c r="CK246" s="239">
        <v>0</v>
      </c>
      <c r="CL246" s="239">
        <v>0</v>
      </c>
      <c r="CM246" s="239">
        <v>0</v>
      </c>
      <c r="CN246" s="239">
        <v>0</v>
      </c>
      <c r="CO246" s="239">
        <v>0</v>
      </c>
      <c r="CP246" s="239">
        <v>-24241</v>
      </c>
      <c r="CQ246" s="239">
        <v>0</v>
      </c>
      <c r="CR246" s="239">
        <v>-24241</v>
      </c>
      <c r="CS246" s="239">
        <v>-646</v>
      </c>
      <c r="CT246" s="239">
        <v>0</v>
      </c>
      <c r="CU246" s="239">
        <v>-646</v>
      </c>
      <c r="CV246" s="239">
        <v>-50056</v>
      </c>
      <c r="CW246" s="239">
        <v>0</v>
      </c>
      <c r="CX246" s="239">
        <v>-50056</v>
      </c>
      <c r="CY246" s="239">
        <v>820</v>
      </c>
      <c r="CZ246" s="239">
        <v>0</v>
      </c>
      <c r="DA246" s="239">
        <v>820</v>
      </c>
      <c r="DB246" s="239">
        <v>0</v>
      </c>
      <c r="DC246" s="239">
        <v>0</v>
      </c>
      <c r="DD246" s="239">
        <v>0</v>
      </c>
      <c r="DE246" s="239">
        <v>0</v>
      </c>
      <c r="DF246" s="239">
        <v>0</v>
      </c>
      <c r="DG246" s="239">
        <v>0</v>
      </c>
      <c r="DH246" s="239">
        <v>0</v>
      </c>
      <c r="DI246" s="239">
        <v>0</v>
      </c>
      <c r="DJ246" s="239">
        <v>-102502</v>
      </c>
      <c r="DK246" s="239">
        <v>0</v>
      </c>
      <c r="DL246" s="239">
        <v>-102502</v>
      </c>
      <c r="DM246" s="239">
        <v>-62488</v>
      </c>
      <c r="DN246" s="239">
        <v>0</v>
      </c>
      <c r="DO246" s="239">
        <v>-62488</v>
      </c>
      <c r="DP246" s="239">
        <v>19951</v>
      </c>
      <c r="DQ246" s="239">
        <v>0</v>
      </c>
      <c r="DR246" s="239">
        <v>19951</v>
      </c>
      <c r="DS246" s="239">
        <v>-70261</v>
      </c>
      <c r="DT246" s="239">
        <v>0</v>
      </c>
      <c r="DU246" s="239">
        <v>-70261</v>
      </c>
      <c r="DV246" s="239">
        <v>-1098</v>
      </c>
      <c r="DW246" s="239">
        <v>0</v>
      </c>
      <c r="DX246" s="239">
        <v>-1098</v>
      </c>
      <c r="DY246" s="239">
        <v>-949834</v>
      </c>
      <c r="DZ246" s="239">
        <v>0</v>
      </c>
      <c r="EA246" s="239">
        <v>-949834</v>
      </c>
      <c r="EB246" s="239">
        <v>-12381</v>
      </c>
      <c r="EC246" s="239">
        <v>0</v>
      </c>
      <c r="ED246" s="239">
        <v>-12381</v>
      </c>
      <c r="EE246" s="239">
        <v>0</v>
      </c>
      <c r="EF246" s="239">
        <v>0</v>
      </c>
      <c r="EG246" s="239">
        <v>0</v>
      </c>
      <c r="EH246" s="239">
        <v>0</v>
      </c>
      <c r="EI246" s="239">
        <v>0</v>
      </c>
      <c r="EJ246" s="239">
        <v>0</v>
      </c>
      <c r="EK246" s="239">
        <v>-8216</v>
      </c>
      <c r="EL246" s="239">
        <v>0</v>
      </c>
      <c r="EM246" s="239">
        <v>-8216</v>
      </c>
      <c r="EN246" s="239">
        <v>-1084327</v>
      </c>
      <c r="EO246" s="239">
        <v>0</v>
      </c>
      <c r="EP246" s="239">
        <v>-1084327</v>
      </c>
      <c r="EQ246" s="239">
        <v>0</v>
      </c>
      <c r="ER246" s="239">
        <v>0</v>
      </c>
      <c r="ES246" s="239">
        <v>0</v>
      </c>
      <c r="ET246" s="239">
        <v>0</v>
      </c>
      <c r="EU246" s="239">
        <v>0</v>
      </c>
      <c r="EV246" s="239">
        <v>0</v>
      </c>
      <c r="EW246" s="239">
        <v>0</v>
      </c>
      <c r="EX246" s="239">
        <v>0</v>
      </c>
      <c r="EY246" s="239">
        <v>0</v>
      </c>
      <c r="EZ246" s="239">
        <v>46413437</v>
      </c>
      <c r="FA246" s="239">
        <v>0</v>
      </c>
      <c r="FB246" s="239">
        <v>46413437</v>
      </c>
      <c r="FC246" s="239">
        <v>179398</v>
      </c>
      <c r="FD246" s="239">
        <v>0</v>
      </c>
      <c r="FE246" s="239">
        <v>179398</v>
      </c>
      <c r="FF246" s="239">
        <v>-5461403</v>
      </c>
      <c r="FG246" s="239">
        <v>0</v>
      </c>
      <c r="FH246" s="239">
        <v>-5461403</v>
      </c>
      <c r="FI246" s="239">
        <v>-1742428</v>
      </c>
      <c r="FJ246" s="239">
        <v>0</v>
      </c>
      <c r="FK246" s="239">
        <v>-1742428</v>
      </c>
      <c r="FL246" s="239">
        <v>-102502</v>
      </c>
      <c r="FM246" s="239">
        <v>0</v>
      </c>
      <c r="FN246" s="239">
        <v>-102502</v>
      </c>
      <c r="FO246" s="239">
        <v>-1084327</v>
      </c>
      <c r="FP246" s="239">
        <v>0</v>
      </c>
      <c r="FQ246" s="239">
        <v>-1084327</v>
      </c>
      <c r="FR246" s="239">
        <v>0</v>
      </c>
      <c r="FS246" s="239">
        <v>0</v>
      </c>
      <c r="FT246" s="239">
        <v>0</v>
      </c>
      <c r="FU246" s="239">
        <v>-8211262</v>
      </c>
      <c r="FV246" s="239">
        <v>0</v>
      </c>
      <c r="FW246" s="239">
        <v>-8211262</v>
      </c>
      <c r="FX246" s="239">
        <v>38202175</v>
      </c>
      <c r="FY246" s="239">
        <v>0</v>
      </c>
      <c r="FZ246" s="239">
        <v>38202175</v>
      </c>
      <c r="GA246" s="214" t="s">
        <v>1294</v>
      </c>
    </row>
    <row r="247" spans="2:183" s="214" customFormat="1" x14ac:dyDescent="0.2">
      <c r="B247" s="610" t="s">
        <v>577</v>
      </c>
      <c r="C247" s="610" t="s">
        <v>576</v>
      </c>
      <c r="D247" s="239">
        <v>0</v>
      </c>
      <c r="E247" s="239">
        <v>0</v>
      </c>
      <c r="F247" s="239">
        <v>0</v>
      </c>
      <c r="G247" s="239">
        <v>45649</v>
      </c>
      <c r="H247" s="239">
        <v>0</v>
      </c>
      <c r="I247" s="239">
        <v>45649</v>
      </c>
      <c r="J247" s="239">
        <v>0</v>
      </c>
      <c r="K247" s="239">
        <v>0</v>
      </c>
      <c r="L247" s="239">
        <v>0</v>
      </c>
      <c r="M247" s="239">
        <v>32293</v>
      </c>
      <c r="N247" s="239">
        <v>0</v>
      </c>
      <c r="O247" s="239">
        <v>32293</v>
      </c>
      <c r="P247" s="239">
        <v>77942</v>
      </c>
      <c r="Q247" s="239">
        <v>0</v>
      </c>
      <c r="R247" s="239">
        <v>77942</v>
      </c>
      <c r="S247" s="239">
        <v>-6177826</v>
      </c>
      <c r="T247" s="239">
        <v>0</v>
      </c>
      <c r="U247" s="239">
        <v>-6177826</v>
      </c>
      <c r="V247" s="239">
        <v>-36999</v>
      </c>
      <c r="W247" s="239">
        <v>0</v>
      </c>
      <c r="X247" s="239">
        <v>-36999</v>
      </c>
      <c r="Y247" s="239">
        <v>-313682</v>
      </c>
      <c r="Z247" s="239">
        <v>0</v>
      </c>
      <c r="AA247" s="239">
        <v>-313682</v>
      </c>
      <c r="AB247" s="239">
        <v>-313682</v>
      </c>
      <c r="AC247" s="239">
        <v>0</v>
      </c>
      <c r="AD247" s="239">
        <v>-313682</v>
      </c>
      <c r="AE247" s="239">
        <v>0</v>
      </c>
      <c r="AF247" s="239">
        <v>0</v>
      </c>
      <c r="AG247" s="239">
        <v>0</v>
      </c>
      <c r="AH247" s="239">
        <v>999404</v>
      </c>
      <c r="AI247" s="239">
        <v>0</v>
      </c>
      <c r="AJ247" s="239">
        <v>999404</v>
      </c>
      <c r="AK247" s="239">
        <v>-4663</v>
      </c>
      <c r="AL247" s="239">
        <v>0</v>
      </c>
      <c r="AM247" s="239">
        <v>-4663</v>
      </c>
      <c r="AN247" s="239">
        <v>-2958359</v>
      </c>
      <c r="AO247" s="239">
        <v>0</v>
      </c>
      <c r="AP247" s="239">
        <v>-2958359</v>
      </c>
      <c r="AQ247" s="239">
        <v>-83418</v>
      </c>
      <c r="AR247" s="239">
        <v>0</v>
      </c>
      <c r="AS247" s="239">
        <v>-83418</v>
      </c>
      <c r="AT247" s="239">
        <v>-119741</v>
      </c>
      <c r="AU247" s="239">
        <v>0</v>
      </c>
      <c r="AV247" s="239">
        <v>-119741</v>
      </c>
      <c r="AW247" s="239">
        <v>-4126</v>
      </c>
      <c r="AX247" s="239">
        <v>0</v>
      </c>
      <c r="AY247" s="239">
        <v>-4126</v>
      </c>
      <c r="AZ247" s="239">
        <v>-27145</v>
      </c>
      <c r="BA247" s="239">
        <v>0</v>
      </c>
      <c r="BB247" s="239">
        <v>-27145</v>
      </c>
      <c r="BC247" s="239">
        <v>-1435</v>
      </c>
      <c r="BD247" s="239">
        <v>0</v>
      </c>
      <c r="BE247" s="239">
        <v>-1435</v>
      </c>
      <c r="BF247" s="239">
        <v>-8690991</v>
      </c>
      <c r="BG247" s="239">
        <v>0</v>
      </c>
      <c r="BH247" s="239">
        <v>-8690991</v>
      </c>
      <c r="BI247" s="239">
        <v>-12308</v>
      </c>
      <c r="BJ247" s="239">
        <v>0</v>
      </c>
      <c r="BK247" s="239">
        <v>-12308</v>
      </c>
      <c r="BL247" s="239">
        <v>-7435</v>
      </c>
      <c r="BM247" s="239">
        <v>0</v>
      </c>
      <c r="BN247" s="239">
        <v>-7435</v>
      </c>
      <c r="BO247" s="239">
        <v>-775853</v>
      </c>
      <c r="BP247" s="239">
        <v>0</v>
      </c>
      <c r="BQ247" s="239">
        <v>-775853</v>
      </c>
      <c r="BR247" s="239">
        <v>-61704</v>
      </c>
      <c r="BS247" s="239">
        <v>0</v>
      </c>
      <c r="BT247" s="239">
        <v>-61704</v>
      </c>
      <c r="BU247" s="239">
        <v>-857300</v>
      </c>
      <c r="BV247" s="239">
        <v>0</v>
      </c>
      <c r="BW247" s="239">
        <v>-857300</v>
      </c>
      <c r="BX247" s="239">
        <v>-68351</v>
      </c>
      <c r="BY247" s="239">
        <v>0</v>
      </c>
      <c r="BZ247" s="239">
        <v>-68351</v>
      </c>
      <c r="CA247" s="239">
        <v>-113</v>
      </c>
      <c r="CB247" s="239">
        <v>0</v>
      </c>
      <c r="CC247" s="239">
        <v>-113</v>
      </c>
      <c r="CD247" s="239">
        <v>-29728</v>
      </c>
      <c r="CE247" s="239">
        <v>0</v>
      </c>
      <c r="CF247" s="239">
        <v>-29728</v>
      </c>
      <c r="CG247" s="239">
        <v>395</v>
      </c>
      <c r="CH247" s="239">
        <v>0</v>
      </c>
      <c r="CI247" s="239">
        <v>395</v>
      </c>
      <c r="CJ247" s="239">
        <v>-11257</v>
      </c>
      <c r="CK247" s="239">
        <v>0</v>
      </c>
      <c r="CL247" s="239">
        <v>-11257</v>
      </c>
      <c r="CM247" s="239">
        <v>0</v>
      </c>
      <c r="CN247" s="239">
        <v>0</v>
      </c>
      <c r="CO247" s="239">
        <v>0</v>
      </c>
      <c r="CP247" s="239">
        <v>-3686</v>
      </c>
      <c r="CQ247" s="239">
        <v>0</v>
      </c>
      <c r="CR247" s="239">
        <v>-3686</v>
      </c>
      <c r="CS247" s="239">
        <v>0</v>
      </c>
      <c r="CT247" s="239">
        <v>0</v>
      </c>
      <c r="CU247" s="239">
        <v>0</v>
      </c>
      <c r="CV247" s="239">
        <v>-8842</v>
      </c>
      <c r="CW247" s="239">
        <v>0</v>
      </c>
      <c r="CX247" s="239">
        <v>-8842</v>
      </c>
      <c r="CY247" s="239">
        <v>-1005</v>
      </c>
      <c r="CZ247" s="239">
        <v>0</v>
      </c>
      <c r="DA247" s="239">
        <v>-1005</v>
      </c>
      <c r="DB247" s="239">
        <v>-16286</v>
      </c>
      <c r="DC247" s="239">
        <v>0</v>
      </c>
      <c r="DD247" s="239">
        <v>-16286</v>
      </c>
      <c r="DE247" s="239">
        <v>0</v>
      </c>
      <c r="DF247" s="239">
        <v>0</v>
      </c>
      <c r="DG247" s="239">
        <v>0</v>
      </c>
      <c r="DH247" s="239">
        <v>0</v>
      </c>
      <c r="DI247" s="239">
        <v>0</v>
      </c>
      <c r="DJ247" s="239">
        <v>-138873</v>
      </c>
      <c r="DK247" s="239">
        <v>0</v>
      </c>
      <c r="DL247" s="239">
        <v>-138873</v>
      </c>
      <c r="DM247" s="239">
        <v>-5352</v>
      </c>
      <c r="DN247" s="239">
        <v>0</v>
      </c>
      <c r="DO247" s="239">
        <v>-5352</v>
      </c>
      <c r="DP247" s="239">
        <v>68</v>
      </c>
      <c r="DQ247" s="239">
        <v>0</v>
      </c>
      <c r="DR247" s="239">
        <v>68</v>
      </c>
      <c r="DS247" s="239">
        <v>-30898</v>
      </c>
      <c r="DT247" s="239">
        <v>0</v>
      </c>
      <c r="DU247" s="239">
        <v>-30898</v>
      </c>
      <c r="DV247" s="239">
        <v>-6152</v>
      </c>
      <c r="DW247" s="239">
        <v>0</v>
      </c>
      <c r="DX247" s="239">
        <v>-6152</v>
      </c>
      <c r="DY247" s="239">
        <v>-1195762</v>
      </c>
      <c r="DZ247" s="239">
        <v>0</v>
      </c>
      <c r="EA247" s="239">
        <v>-1195762</v>
      </c>
      <c r="EB247" s="239">
        <v>-35961</v>
      </c>
      <c r="EC247" s="239">
        <v>0</v>
      </c>
      <c r="ED247" s="239">
        <v>-35961</v>
      </c>
      <c r="EE247" s="239">
        <v>-873989</v>
      </c>
      <c r="EF247" s="239">
        <v>0</v>
      </c>
      <c r="EG247" s="239">
        <v>-873989</v>
      </c>
      <c r="EH247" s="239">
        <v>0</v>
      </c>
      <c r="EI247" s="239">
        <v>0</v>
      </c>
      <c r="EJ247" s="239">
        <v>0</v>
      </c>
      <c r="EK247" s="239">
        <v>-17691</v>
      </c>
      <c r="EL247" s="239">
        <v>0</v>
      </c>
      <c r="EM247" s="239">
        <v>-17691</v>
      </c>
      <c r="EN247" s="239">
        <v>-2165737</v>
      </c>
      <c r="EO247" s="239">
        <v>0</v>
      </c>
      <c r="EP247" s="239">
        <v>-2165737</v>
      </c>
      <c r="EQ247" s="239">
        <v>0</v>
      </c>
      <c r="ER247" s="239">
        <v>0</v>
      </c>
      <c r="ES247" s="239">
        <v>0</v>
      </c>
      <c r="ET247" s="239">
        <v>0</v>
      </c>
      <c r="EU247" s="239">
        <v>0</v>
      </c>
      <c r="EV247" s="239">
        <v>0</v>
      </c>
      <c r="EW247" s="239">
        <v>0</v>
      </c>
      <c r="EX247" s="239">
        <v>0</v>
      </c>
      <c r="EY247" s="239">
        <v>0</v>
      </c>
      <c r="EZ247" s="239">
        <v>51681360</v>
      </c>
      <c r="FA247" s="239">
        <v>0</v>
      </c>
      <c r="FB247" s="239">
        <v>51681360</v>
      </c>
      <c r="FC247" s="239">
        <v>77942</v>
      </c>
      <c r="FD247" s="239">
        <v>0</v>
      </c>
      <c r="FE247" s="239">
        <v>77942</v>
      </c>
      <c r="FF247" s="239">
        <v>-8690991</v>
      </c>
      <c r="FG247" s="239">
        <v>0</v>
      </c>
      <c r="FH247" s="239">
        <v>-8690991</v>
      </c>
      <c r="FI247" s="239">
        <v>-857300</v>
      </c>
      <c r="FJ247" s="239">
        <v>0</v>
      </c>
      <c r="FK247" s="239">
        <v>-857300</v>
      </c>
      <c r="FL247" s="239">
        <v>-138873</v>
      </c>
      <c r="FM247" s="239">
        <v>0</v>
      </c>
      <c r="FN247" s="239">
        <v>-138873</v>
      </c>
      <c r="FO247" s="239">
        <v>-2165737</v>
      </c>
      <c r="FP247" s="239">
        <v>0</v>
      </c>
      <c r="FQ247" s="239">
        <v>-2165737</v>
      </c>
      <c r="FR247" s="239">
        <v>0</v>
      </c>
      <c r="FS247" s="239">
        <v>0</v>
      </c>
      <c r="FT247" s="239">
        <v>0</v>
      </c>
      <c r="FU247" s="239">
        <v>-11774959</v>
      </c>
      <c r="FV247" s="239">
        <v>0</v>
      </c>
      <c r="FW247" s="239">
        <v>-11774959</v>
      </c>
      <c r="FX247" s="239">
        <v>39906401</v>
      </c>
      <c r="FY247" s="239">
        <v>0</v>
      </c>
      <c r="FZ247" s="239">
        <v>39906401</v>
      </c>
      <c r="GA247" s="214" t="s">
        <v>1294</v>
      </c>
    </row>
    <row r="248" spans="2:183" s="214" customFormat="1" x14ac:dyDescent="0.2">
      <c r="B248" s="610" t="s">
        <v>579</v>
      </c>
      <c r="C248" s="610" t="s">
        <v>578</v>
      </c>
      <c r="D248" s="239">
        <v>0</v>
      </c>
      <c r="E248" s="239">
        <v>0</v>
      </c>
      <c r="F248" s="239">
        <v>0</v>
      </c>
      <c r="G248" s="239">
        <v>-22847</v>
      </c>
      <c r="H248" s="239">
        <v>0</v>
      </c>
      <c r="I248" s="239">
        <v>-22847</v>
      </c>
      <c r="J248" s="239">
        <v>0</v>
      </c>
      <c r="K248" s="239">
        <v>0</v>
      </c>
      <c r="L248" s="239">
        <v>0</v>
      </c>
      <c r="M248" s="239">
        <v>387</v>
      </c>
      <c r="N248" s="239">
        <v>0</v>
      </c>
      <c r="O248" s="239">
        <v>387</v>
      </c>
      <c r="P248" s="239">
        <v>-22460</v>
      </c>
      <c r="Q248" s="239">
        <v>0</v>
      </c>
      <c r="R248" s="239">
        <v>-22460</v>
      </c>
      <c r="S248" s="239">
        <v>-2766177</v>
      </c>
      <c r="T248" s="239">
        <v>0</v>
      </c>
      <c r="U248" s="239">
        <v>-2766177</v>
      </c>
      <c r="V248" s="239">
        <v>0</v>
      </c>
      <c r="W248" s="239">
        <v>0</v>
      </c>
      <c r="X248" s="239">
        <v>0</v>
      </c>
      <c r="Y248" s="239">
        <v>-136966</v>
      </c>
      <c r="Z248" s="239">
        <v>0</v>
      </c>
      <c r="AA248" s="239">
        <v>-136966</v>
      </c>
      <c r="AB248" s="239">
        <v>-88931.31</v>
      </c>
      <c r="AC248" s="239">
        <v>0</v>
      </c>
      <c r="AD248" s="239">
        <v>-88931.31</v>
      </c>
      <c r="AE248" s="239">
        <v>0</v>
      </c>
      <c r="AF248" s="239">
        <v>0</v>
      </c>
      <c r="AG248" s="239">
        <v>0</v>
      </c>
      <c r="AH248" s="239">
        <v>836296</v>
      </c>
      <c r="AI248" s="239">
        <v>0</v>
      </c>
      <c r="AJ248" s="239">
        <v>836296</v>
      </c>
      <c r="AK248" s="239">
        <v>-6512</v>
      </c>
      <c r="AL248" s="239">
        <v>0</v>
      </c>
      <c r="AM248" s="239">
        <v>-6512</v>
      </c>
      <c r="AN248" s="239">
        <v>-3785781</v>
      </c>
      <c r="AO248" s="239">
        <v>0</v>
      </c>
      <c r="AP248" s="239">
        <v>-3785781</v>
      </c>
      <c r="AQ248" s="239">
        <v>-51022</v>
      </c>
      <c r="AR248" s="239">
        <v>0</v>
      </c>
      <c r="AS248" s="239">
        <v>-51022</v>
      </c>
      <c r="AT248" s="239">
        <v>-62006</v>
      </c>
      <c r="AU248" s="239">
        <v>0</v>
      </c>
      <c r="AV248" s="239">
        <v>-62006</v>
      </c>
      <c r="AW248" s="239">
        <v>0</v>
      </c>
      <c r="AX248" s="239">
        <v>0</v>
      </c>
      <c r="AY248" s="239">
        <v>0</v>
      </c>
      <c r="AZ248" s="239">
        <v>-91426</v>
      </c>
      <c r="BA248" s="239">
        <v>0</v>
      </c>
      <c r="BB248" s="239">
        <v>-91426</v>
      </c>
      <c r="BC248" s="239">
        <v>-8955</v>
      </c>
      <c r="BD248" s="239">
        <v>0</v>
      </c>
      <c r="BE248" s="239">
        <v>-8955</v>
      </c>
      <c r="BF248" s="239">
        <v>-6072549</v>
      </c>
      <c r="BG248" s="239">
        <v>0</v>
      </c>
      <c r="BH248" s="239">
        <v>-6072549</v>
      </c>
      <c r="BI248" s="239">
        <v>-89038</v>
      </c>
      <c r="BJ248" s="239">
        <v>0</v>
      </c>
      <c r="BK248" s="239">
        <v>-89038</v>
      </c>
      <c r="BL248" s="239">
        <v>-14338</v>
      </c>
      <c r="BM248" s="239">
        <v>0</v>
      </c>
      <c r="BN248" s="239">
        <v>-14338</v>
      </c>
      <c r="BO248" s="239">
        <v>-728546</v>
      </c>
      <c r="BP248" s="239">
        <v>0</v>
      </c>
      <c r="BQ248" s="239">
        <v>-728546</v>
      </c>
      <c r="BR248" s="239">
        <v>-21967</v>
      </c>
      <c r="BS248" s="239">
        <v>0</v>
      </c>
      <c r="BT248" s="239">
        <v>-21967</v>
      </c>
      <c r="BU248" s="239">
        <v>-853889</v>
      </c>
      <c r="BV248" s="239">
        <v>0</v>
      </c>
      <c r="BW248" s="239">
        <v>-853889</v>
      </c>
      <c r="BX248" s="239">
        <v>-118497</v>
      </c>
      <c r="BY248" s="239">
        <v>0</v>
      </c>
      <c r="BZ248" s="239">
        <v>-118497</v>
      </c>
      <c r="CA248" s="239">
        <v>-491</v>
      </c>
      <c r="CB248" s="239">
        <v>0</v>
      </c>
      <c r="CC248" s="239">
        <v>-491</v>
      </c>
      <c r="CD248" s="239">
        <v>-127582</v>
      </c>
      <c r="CE248" s="239">
        <v>0</v>
      </c>
      <c r="CF248" s="239">
        <v>-127582</v>
      </c>
      <c r="CG248" s="239">
        <v>0</v>
      </c>
      <c r="CH248" s="239">
        <v>0</v>
      </c>
      <c r="CI248" s="239">
        <v>0</v>
      </c>
      <c r="CJ248" s="239">
        <v>-5045</v>
      </c>
      <c r="CK248" s="239">
        <v>0</v>
      </c>
      <c r="CL248" s="239">
        <v>-5045</v>
      </c>
      <c r="CM248" s="239">
        <v>0</v>
      </c>
      <c r="CN248" s="239">
        <v>0</v>
      </c>
      <c r="CO248" s="239">
        <v>0</v>
      </c>
      <c r="CP248" s="239">
        <v>-43063</v>
      </c>
      <c r="CQ248" s="239">
        <v>0</v>
      </c>
      <c r="CR248" s="239">
        <v>-43063</v>
      </c>
      <c r="CS248" s="239">
        <v>0</v>
      </c>
      <c r="CT248" s="239">
        <v>0</v>
      </c>
      <c r="CU248" s="239">
        <v>0</v>
      </c>
      <c r="CV248" s="239">
        <v>-36674</v>
      </c>
      <c r="CW248" s="239">
        <v>0</v>
      </c>
      <c r="CX248" s="239">
        <v>-36674</v>
      </c>
      <c r="CY248" s="239">
        <v>-6446</v>
      </c>
      <c r="CZ248" s="239">
        <v>0</v>
      </c>
      <c r="DA248" s="239">
        <v>-6446</v>
      </c>
      <c r="DB248" s="239">
        <v>-709</v>
      </c>
      <c r="DC248" s="239">
        <v>0</v>
      </c>
      <c r="DD248" s="239">
        <v>-709</v>
      </c>
      <c r="DE248" s="239">
        <v>-4967</v>
      </c>
      <c r="DF248" s="239">
        <v>0</v>
      </c>
      <c r="DG248" s="239">
        <v>-4967</v>
      </c>
      <c r="DH248" s="239">
        <v>0</v>
      </c>
      <c r="DI248" s="239">
        <v>0</v>
      </c>
      <c r="DJ248" s="239">
        <v>-343474</v>
      </c>
      <c r="DK248" s="239">
        <v>0</v>
      </c>
      <c r="DL248" s="239">
        <v>-343474</v>
      </c>
      <c r="DM248" s="239">
        <v>-23433</v>
      </c>
      <c r="DN248" s="239">
        <v>0</v>
      </c>
      <c r="DO248" s="239">
        <v>-23433</v>
      </c>
      <c r="DP248" s="239">
        <v>5472</v>
      </c>
      <c r="DQ248" s="239">
        <v>0</v>
      </c>
      <c r="DR248" s="239">
        <v>5472</v>
      </c>
      <c r="DS248" s="239">
        <v>-17302</v>
      </c>
      <c r="DT248" s="239">
        <v>0</v>
      </c>
      <c r="DU248" s="239">
        <v>-17302</v>
      </c>
      <c r="DV248" s="239">
        <v>1</v>
      </c>
      <c r="DW248" s="239">
        <v>0</v>
      </c>
      <c r="DX248" s="239">
        <v>1</v>
      </c>
      <c r="DY248" s="239">
        <v>-570877</v>
      </c>
      <c r="DZ248" s="239">
        <v>0</v>
      </c>
      <c r="EA248" s="239">
        <v>-570877</v>
      </c>
      <c r="EB248" s="239">
        <v>8973</v>
      </c>
      <c r="EC248" s="239">
        <v>0</v>
      </c>
      <c r="ED248" s="239">
        <v>8973</v>
      </c>
      <c r="EE248" s="239">
        <v>0</v>
      </c>
      <c r="EF248" s="239">
        <v>0</v>
      </c>
      <c r="EG248" s="239">
        <v>0</v>
      </c>
      <c r="EH248" s="239">
        <v>0</v>
      </c>
      <c r="EI248" s="239">
        <v>0</v>
      </c>
      <c r="EJ248" s="239">
        <v>0</v>
      </c>
      <c r="EK248" s="239">
        <v>-15341</v>
      </c>
      <c r="EL248" s="239">
        <v>0</v>
      </c>
      <c r="EM248" s="239">
        <v>-15341</v>
      </c>
      <c r="EN248" s="239">
        <v>-612507</v>
      </c>
      <c r="EO248" s="239">
        <v>0</v>
      </c>
      <c r="EP248" s="239">
        <v>-612507</v>
      </c>
      <c r="EQ248" s="239">
        <v>-5447</v>
      </c>
      <c r="ER248" s="239">
        <v>0</v>
      </c>
      <c r="ES248" s="239">
        <v>-5447</v>
      </c>
      <c r="ET248" s="239">
        <v>0</v>
      </c>
      <c r="EU248" s="239">
        <v>0</v>
      </c>
      <c r="EV248" s="239">
        <v>0</v>
      </c>
      <c r="EW248" s="239">
        <v>-5447</v>
      </c>
      <c r="EX248" s="239">
        <v>0</v>
      </c>
      <c r="EY248" s="239">
        <v>-5447</v>
      </c>
      <c r="EZ248" s="239">
        <v>0</v>
      </c>
      <c r="FA248" s="239">
        <v>0</v>
      </c>
      <c r="FB248" s="239">
        <v>0</v>
      </c>
      <c r="FC248" s="239">
        <v>-22460</v>
      </c>
      <c r="FD248" s="239">
        <v>0</v>
      </c>
      <c r="FE248" s="239">
        <v>-22460</v>
      </c>
      <c r="FF248" s="239">
        <v>-6072549</v>
      </c>
      <c r="FG248" s="239">
        <v>0</v>
      </c>
      <c r="FH248" s="239">
        <v>-6072549</v>
      </c>
      <c r="FI248" s="239">
        <v>-853889</v>
      </c>
      <c r="FJ248" s="239">
        <v>0</v>
      </c>
      <c r="FK248" s="239">
        <v>-853889</v>
      </c>
      <c r="FL248" s="239">
        <v>-343474</v>
      </c>
      <c r="FM248" s="239">
        <v>0</v>
      </c>
      <c r="FN248" s="239">
        <v>-343474</v>
      </c>
      <c r="FO248" s="239">
        <v>-612507</v>
      </c>
      <c r="FP248" s="239">
        <v>0</v>
      </c>
      <c r="FQ248" s="239">
        <v>-612507</v>
      </c>
      <c r="FR248" s="239">
        <v>-5447</v>
      </c>
      <c r="FS248" s="239">
        <v>0</v>
      </c>
      <c r="FT248" s="239">
        <v>-5447</v>
      </c>
      <c r="FU248" s="239">
        <v>-7910326</v>
      </c>
      <c r="FV248" s="239">
        <v>0</v>
      </c>
      <c r="FW248" s="239">
        <v>-7910326</v>
      </c>
      <c r="FX248" s="239">
        <v>-7910326</v>
      </c>
      <c r="FY248" s="239">
        <v>0</v>
      </c>
      <c r="FZ248" s="239">
        <v>-7910326</v>
      </c>
      <c r="GA248" s="214" t="s">
        <v>1294</v>
      </c>
    </row>
    <row r="249" spans="2:183" s="214" customFormat="1" x14ac:dyDescent="0.2">
      <c r="B249" s="610" t="s">
        <v>581</v>
      </c>
      <c r="C249" s="610" t="s">
        <v>580</v>
      </c>
      <c r="D249" s="239">
        <v>0</v>
      </c>
      <c r="E249" s="239">
        <v>0</v>
      </c>
      <c r="F249" s="239">
        <v>0</v>
      </c>
      <c r="G249" s="239">
        <v>24609</v>
      </c>
      <c r="H249" s="239">
        <v>0</v>
      </c>
      <c r="I249" s="239">
        <v>24609</v>
      </c>
      <c r="J249" s="239">
        <v>0</v>
      </c>
      <c r="K249" s="239">
        <v>0</v>
      </c>
      <c r="L249" s="239">
        <v>0</v>
      </c>
      <c r="M249" s="239">
        <v>51568.14</v>
      </c>
      <c r="N249" s="239">
        <v>0</v>
      </c>
      <c r="O249" s="239">
        <v>51568.14</v>
      </c>
      <c r="P249" s="239">
        <v>76177</v>
      </c>
      <c r="Q249" s="239">
        <v>0</v>
      </c>
      <c r="R249" s="239">
        <v>76177</v>
      </c>
      <c r="S249" s="239">
        <v>-1919323</v>
      </c>
      <c r="T249" s="239">
        <v>0</v>
      </c>
      <c r="U249" s="239">
        <v>-1919323</v>
      </c>
      <c r="V249" s="239">
        <v>-4613</v>
      </c>
      <c r="W249" s="239">
        <v>0</v>
      </c>
      <c r="X249" s="239">
        <v>-4613</v>
      </c>
      <c r="Y249" s="239">
        <v>-144782</v>
      </c>
      <c r="Z249" s="239">
        <v>0</v>
      </c>
      <c r="AA249" s="239">
        <v>-144782</v>
      </c>
      <c r="AB249" s="239">
        <v>-89600</v>
      </c>
      <c r="AC249" s="239">
        <v>0</v>
      </c>
      <c r="AD249" s="239">
        <v>-89600</v>
      </c>
      <c r="AE249" s="239">
        <v>-208</v>
      </c>
      <c r="AF249" s="239">
        <v>0</v>
      </c>
      <c r="AG249" s="239">
        <v>-208</v>
      </c>
      <c r="AH249" s="239">
        <v>553857</v>
      </c>
      <c r="AI249" s="239">
        <v>0</v>
      </c>
      <c r="AJ249" s="239">
        <v>553857</v>
      </c>
      <c r="AK249" s="239">
        <v>-14286</v>
      </c>
      <c r="AL249" s="239">
        <v>0</v>
      </c>
      <c r="AM249" s="239">
        <v>-14286</v>
      </c>
      <c r="AN249" s="239">
        <v>-1654294</v>
      </c>
      <c r="AO249" s="239">
        <v>0</v>
      </c>
      <c r="AP249" s="239">
        <v>-1654294</v>
      </c>
      <c r="AQ249" s="239">
        <v>60259</v>
      </c>
      <c r="AR249" s="239">
        <v>0</v>
      </c>
      <c r="AS249" s="239">
        <v>60259</v>
      </c>
      <c r="AT249" s="239">
        <v>-10826</v>
      </c>
      <c r="AU249" s="239">
        <v>0</v>
      </c>
      <c r="AV249" s="239">
        <v>-10826</v>
      </c>
      <c r="AW249" s="239">
        <v>-7572</v>
      </c>
      <c r="AX249" s="239">
        <v>0</v>
      </c>
      <c r="AY249" s="239">
        <v>-7572</v>
      </c>
      <c r="AZ249" s="239">
        <v>-61665</v>
      </c>
      <c r="BA249" s="239">
        <v>0</v>
      </c>
      <c r="BB249" s="239">
        <v>-61665</v>
      </c>
      <c r="BC249" s="239">
        <v>851</v>
      </c>
      <c r="BD249" s="239">
        <v>0</v>
      </c>
      <c r="BE249" s="239">
        <v>851</v>
      </c>
      <c r="BF249" s="239">
        <v>-3197781</v>
      </c>
      <c r="BG249" s="239">
        <v>0</v>
      </c>
      <c r="BH249" s="239">
        <v>-3197781</v>
      </c>
      <c r="BI249" s="239">
        <v>-831</v>
      </c>
      <c r="BJ249" s="239">
        <v>0</v>
      </c>
      <c r="BK249" s="239">
        <v>-831</v>
      </c>
      <c r="BL249" s="239">
        <v>0</v>
      </c>
      <c r="BM249" s="239">
        <v>0</v>
      </c>
      <c r="BN249" s="239">
        <v>0</v>
      </c>
      <c r="BO249" s="239">
        <v>-510821</v>
      </c>
      <c r="BP249" s="239">
        <v>0</v>
      </c>
      <c r="BQ249" s="239">
        <v>-510821</v>
      </c>
      <c r="BR249" s="239">
        <v>-29133</v>
      </c>
      <c r="BS249" s="239">
        <v>0</v>
      </c>
      <c r="BT249" s="239">
        <v>-29133</v>
      </c>
      <c r="BU249" s="239">
        <v>-540785</v>
      </c>
      <c r="BV249" s="239">
        <v>0</v>
      </c>
      <c r="BW249" s="239">
        <v>-540785</v>
      </c>
      <c r="BX249" s="239">
        <v>-136528</v>
      </c>
      <c r="BY249" s="239">
        <v>0</v>
      </c>
      <c r="BZ249" s="239">
        <v>-136528</v>
      </c>
      <c r="CA249" s="239">
        <v>-4336</v>
      </c>
      <c r="CB249" s="239">
        <v>0</v>
      </c>
      <c r="CC249" s="239">
        <v>-4336</v>
      </c>
      <c r="CD249" s="239">
        <v>-135975</v>
      </c>
      <c r="CE249" s="239">
        <v>0</v>
      </c>
      <c r="CF249" s="239">
        <v>-135975</v>
      </c>
      <c r="CG249" s="239">
        <v>0</v>
      </c>
      <c r="CH249" s="239">
        <v>0</v>
      </c>
      <c r="CI249" s="239">
        <v>0</v>
      </c>
      <c r="CJ249" s="239">
        <v>-2707</v>
      </c>
      <c r="CK249" s="239">
        <v>0</v>
      </c>
      <c r="CL249" s="239">
        <v>-2707</v>
      </c>
      <c r="CM249" s="239">
        <v>-1893</v>
      </c>
      <c r="CN249" s="239">
        <v>0</v>
      </c>
      <c r="CO249" s="239">
        <v>-1893</v>
      </c>
      <c r="CP249" s="239">
        <v>-15847</v>
      </c>
      <c r="CQ249" s="239">
        <v>0</v>
      </c>
      <c r="CR249" s="239">
        <v>-15847</v>
      </c>
      <c r="CS249" s="239">
        <v>186</v>
      </c>
      <c r="CT249" s="239">
        <v>0</v>
      </c>
      <c r="CU249" s="239">
        <v>186</v>
      </c>
      <c r="CV249" s="239">
        <v>-8112</v>
      </c>
      <c r="CW249" s="239">
        <v>0</v>
      </c>
      <c r="CX249" s="239">
        <v>-8112</v>
      </c>
      <c r="CY249" s="239">
        <v>0</v>
      </c>
      <c r="CZ249" s="239">
        <v>0</v>
      </c>
      <c r="DA249" s="239">
        <v>0</v>
      </c>
      <c r="DB249" s="239">
        <v>0</v>
      </c>
      <c r="DC249" s="239">
        <v>0</v>
      </c>
      <c r="DD249" s="239">
        <v>0</v>
      </c>
      <c r="DE249" s="239">
        <v>0</v>
      </c>
      <c r="DF249" s="239">
        <v>0</v>
      </c>
      <c r="DG249" s="239">
        <v>0</v>
      </c>
      <c r="DH249" s="239">
        <v>0</v>
      </c>
      <c r="DI249" s="239">
        <v>0</v>
      </c>
      <c r="DJ249" s="239">
        <v>-305212</v>
      </c>
      <c r="DK249" s="239">
        <v>0</v>
      </c>
      <c r="DL249" s="239">
        <v>-305212</v>
      </c>
      <c r="DM249" s="239">
        <v>0</v>
      </c>
      <c r="DN249" s="239">
        <v>0</v>
      </c>
      <c r="DO249" s="239">
        <v>0</v>
      </c>
      <c r="DP249" s="239">
        <v>0</v>
      </c>
      <c r="DQ249" s="239">
        <v>0</v>
      </c>
      <c r="DR249" s="239">
        <v>0</v>
      </c>
      <c r="DS249" s="239">
        <v>-1192</v>
      </c>
      <c r="DT249" s="239">
        <v>0</v>
      </c>
      <c r="DU249" s="239">
        <v>-1192</v>
      </c>
      <c r="DV249" s="239">
        <v>894</v>
      </c>
      <c r="DW249" s="239">
        <v>0</v>
      </c>
      <c r="DX249" s="239">
        <v>894</v>
      </c>
      <c r="DY249" s="239">
        <v>-344995</v>
      </c>
      <c r="DZ249" s="239">
        <v>0</v>
      </c>
      <c r="EA249" s="239">
        <v>-344995</v>
      </c>
      <c r="EB249" s="239">
        <v>-10238</v>
      </c>
      <c r="EC249" s="239">
        <v>0</v>
      </c>
      <c r="ED249" s="239">
        <v>-10238</v>
      </c>
      <c r="EE249" s="239">
        <v>0</v>
      </c>
      <c r="EF249" s="239">
        <v>0</v>
      </c>
      <c r="EG249" s="239">
        <v>0</v>
      </c>
      <c r="EH249" s="239">
        <v>0</v>
      </c>
      <c r="EI249" s="239">
        <v>0</v>
      </c>
      <c r="EJ249" s="239">
        <v>0</v>
      </c>
      <c r="EK249" s="239">
        <v>-648</v>
      </c>
      <c r="EL249" s="239">
        <v>0</v>
      </c>
      <c r="EM249" s="239">
        <v>-648</v>
      </c>
      <c r="EN249" s="239">
        <v>-356179</v>
      </c>
      <c r="EO249" s="239">
        <v>0</v>
      </c>
      <c r="EP249" s="239">
        <v>-356179</v>
      </c>
      <c r="EQ249" s="239">
        <v>-1780</v>
      </c>
      <c r="ER249" s="239">
        <v>0</v>
      </c>
      <c r="ES249" s="239">
        <v>-1780</v>
      </c>
      <c r="ET249" s="239">
        <v>-288</v>
      </c>
      <c r="EU249" s="239">
        <v>0</v>
      </c>
      <c r="EV249" s="239">
        <v>-288</v>
      </c>
      <c r="EW249" s="239">
        <v>-2068</v>
      </c>
      <c r="EX249" s="239">
        <v>0</v>
      </c>
      <c r="EY249" s="239">
        <v>-2068</v>
      </c>
      <c r="EZ249" s="239">
        <v>25768236</v>
      </c>
      <c r="FA249" s="239">
        <v>0</v>
      </c>
      <c r="FB249" s="239">
        <v>25768236</v>
      </c>
      <c r="FC249" s="239">
        <v>76177</v>
      </c>
      <c r="FD249" s="239">
        <v>0</v>
      </c>
      <c r="FE249" s="239">
        <v>76177</v>
      </c>
      <c r="FF249" s="239">
        <v>-3197781</v>
      </c>
      <c r="FG249" s="239">
        <v>0</v>
      </c>
      <c r="FH249" s="239">
        <v>-3197781</v>
      </c>
      <c r="FI249" s="239">
        <v>-540785</v>
      </c>
      <c r="FJ249" s="239">
        <v>0</v>
      </c>
      <c r="FK249" s="239">
        <v>-540785</v>
      </c>
      <c r="FL249" s="239">
        <v>-305212</v>
      </c>
      <c r="FM249" s="239">
        <v>0</v>
      </c>
      <c r="FN249" s="239">
        <v>-305212</v>
      </c>
      <c r="FO249" s="239">
        <v>-356179</v>
      </c>
      <c r="FP249" s="239">
        <v>0</v>
      </c>
      <c r="FQ249" s="239">
        <v>-356179</v>
      </c>
      <c r="FR249" s="239">
        <v>-2068</v>
      </c>
      <c r="FS249" s="239">
        <v>0</v>
      </c>
      <c r="FT249" s="239">
        <v>-2068</v>
      </c>
      <c r="FU249" s="239">
        <v>-4325848</v>
      </c>
      <c r="FV249" s="239">
        <v>0</v>
      </c>
      <c r="FW249" s="239">
        <v>-4325848</v>
      </c>
      <c r="FX249" s="239">
        <v>21442388</v>
      </c>
      <c r="FY249" s="239">
        <v>0</v>
      </c>
      <c r="FZ249" s="239">
        <v>21442388</v>
      </c>
      <c r="GA249" s="214" t="s">
        <v>1294</v>
      </c>
    </row>
    <row r="250" spans="2:183" s="214" customFormat="1" x14ac:dyDescent="0.2">
      <c r="B250" s="610" t="s">
        <v>583</v>
      </c>
      <c r="C250" s="610" t="s">
        <v>582</v>
      </c>
      <c r="D250" s="239">
        <v>0</v>
      </c>
      <c r="E250" s="239">
        <v>0</v>
      </c>
      <c r="F250" s="239">
        <v>0</v>
      </c>
      <c r="G250" s="239">
        <v>26804</v>
      </c>
      <c r="H250" s="239">
        <v>0</v>
      </c>
      <c r="I250" s="239">
        <v>26804</v>
      </c>
      <c r="J250" s="239">
        <v>0</v>
      </c>
      <c r="K250" s="239">
        <v>0</v>
      </c>
      <c r="L250" s="239">
        <v>0</v>
      </c>
      <c r="M250" s="239">
        <v>27389</v>
      </c>
      <c r="N250" s="239">
        <v>0</v>
      </c>
      <c r="O250" s="239">
        <v>27389</v>
      </c>
      <c r="P250" s="239">
        <v>54193</v>
      </c>
      <c r="Q250" s="239">
        <v>0</v>
      </c>
      <c r="R250" s="239">
        <v>54193</v>
      </c>
      <c r="S250" s="239">
        <v>-2543108</v>
      </c>
      <c r="T250" s="239">
        <v>0</v>
      </c>
      <c r="U250" s="239">
        <v>-2543108</v>
      </c>
      <c r="V250" s="239">
        <v>0</v>
      </c>
      <c r="W250" s="239">
        <v>0</v>
      </c>
      <c r="X250" s="239">
        <v>0</v>
      </c>
      <c r="Y250" s="239">
        <v>-47701</v>
      </c>
      <c r="Z250" s="239">
        <v>0</v>
      </c>
      <c r="AA250" s="239">
        <v>-47701</v>
      </c>
      <c r="AB250" s="239">
        <v>-13672</v>
      </c>
      <c r="AC250" s="239">
        <v>0</v>
      </c>
      <c r="AD250" s="239">
        <v>-13672</v>
      </c>
      <c r="AE250" s="239">
        <v>0</v>
      </c>
      <c r="AF250" s="239">
        <v>0</v>
      </c>
      <c r="AG250" s="239">
        <v>0</v>
      </c>
      <c r="AH250" s="239">
        <v>1152225</v>
      </c>
      <c r="AI250" s="239">
        <v>0</v>
      </c>
      <c r="AJ250" s="239">
        <v>1152225</v>
      </c>
      <c r="AK250" s="239">
        <v>-8523</v>
      </c>
      <c r="AL250" s="239">
        <v>0</v>
      </c>
      <c r="AM250" s="239">
        <v>-8523</v>
      </c>
      <c r="AN250" s="239">
        <v>-4110438</v>
      </c>
      <c r="AO250" s="239">
        <v>0</v>
      </c>
      <c r="AP250" s="239">
        <v>-4110438</v>
      </c>
      <c r="AQ250" s="239">
        <v>87104</v>
      </c>
      <c r="AR250" s="239">
        <v>0</v>
      </c>
      <c r="AS250" s="239">
        <v>87104</v>
      </c>
      <c r="AT250" s="239">
        <v>-118413</v>
      </c>
      <c r="AU250" s="239">
        <v>0</v>
      </c>
      <c r="AV250" s="239">
        <v>-118413</v>
      </c>
      <c r="AW250" s="239">
        <v>-30743</v>
      </c>
      <c r="AX250" s="239">
        <v>0</v>
      </c>
      <c r="AY250" s="239">
        <v>-30743</v>
      </c>
      <c r="AZ250" s="239">
        <v>-49807</v>
      </c>
      <c r="BA250" s="239">
        <v>0</v>
      </c>
      <c r="BB250" s="239">
        <v>-49807</v>
      </c>
      <c r="BC250" s="239">
        <v>0</v>
      </c>
      <c r="BD250" s="239">
        <v>0</v>
      </c>
      <c r="BE250" s="239">
        <v>0</v>
      </c>
      <c r="BF250" s="239">
        <v>-5669404</v>
      </c>
      <c r="BG250" s="239">
        <v>0</v>
      </c>
      <c r="BH250" s="239">
        <v>-5669404</v>
      </c>
      <c r="BI250" s="239">
        <v>-19009</v>
      </c>
      <c r="BJ250" s="239">
        <v>0</v>
      </c>
      <c r="BK250" s="239">
        <v>-19009</v>
      </c>
      <c r="BL250" s="239">
        <v>0</v>
      </c>
      <c r="BM250" s="239">
        <v>0</v>
      </c>
      <c r="BN250" s="239">
        <v>0</v>
      </c>
      <c r="BO250" s="239">
        <v>-1019131</v>
      </c>
      <c r="BP250" s="239">
        <v>0</v>
      </c>
      <c r="BQ250" s="239">
        <v>-1019131</v>
      </c>
      <c r="BR250" s="239">
        <v>183229</v>
      </c>
      <c r="BS250" s="239">
        <v>0</v>
      </c>
      <c r="BT250" s="239">
        <v>183229</v>
      </c>
      <c r="BU250" s="239">
        <v>-854911</v>
      </c>
      <c r="BV250" s="239">
        <v>0</v>
      </c>
      <c r="BW250" s="239">
        <v>-854911</v>
      </c>
      <c r="BX250" s="239">
        <v>-190660</v>
      </c>
      <c r="BY250" s="239">
        <v>0</v>
      </c>
      <c r="BZ250" s="239">
        <v>-190660</v>
      </c>
      <c r="CA250" s="239">
        <v>72189</v>
      </c>
      <c r="CB250" s="239">
        <v>0</v>
      </c>
      <c r="CC250" s="239">
        <v>72189</v>
      </c>
      <c r="CD250" s="239">
        <v>-17091</v>
      </c>
      <c r="CE250" s="239">
        <v>0</v>
      </c>
      <c r="CF250" s="239">
        <v>-17091</v>
      </c>
      <c r="CG250" s="239">
        <v>0</v>
      </c>
      <c r="CH250" s="239">
        <v>0</v>
      </c>
      <c r="CI250" s="239">
        <v>0</v>
      </c>
      <c r="CJ250" s="239">
        <v>-18913</v>
      </c>
      <c r="CK250" s="239">
        <v>0</v>
      </c>
      <c r="CL250" s="239">
        <v>-18913</v>
      </c>
      <c r="CM250" s="239">
        <v>-4976</v>
      </c>
      <c r="CN250" s="239">
        <v>0</v>
      </c>
      <c r="CO250" s="239">
        <v>-4976</v>
      </c>
      <c r="CP250" s="239">
        <v>-21803</v>
      </c>
      <c r="CQ250" s="239">
        <v>0</v>
      </c>
      <c r="CR250" s="239">
        <v>-21803</v>
      </c>
      <c r="CS250" s="239">
        <v>0</v>
      </c>
      <c r="CT250" s="239">
        <v>0</v>
      </c>
      <c r="CU250" s="239">
        <v>0</v>
      </c>
      <c r="CV250" s="239">
        <v>0</v>
      </c>
      <c r="CW250" s="239">
        <v>0</v>
      </c>
      <c r="CX250" s="239">
        <v>0</v>
      </c>
      <c r="CY250" s="239">
        <v>0</v>
      </c>
      <c r="CZ250" s="239">
        <v>0</v>
      </c>
      <c r="DA250" s="239">
        <v>0</v>
      </c>
      <c r="DB250" s="239">
        <v>0</v>
      </c>
      <c r="DC250" s="239">
        <v>0</v>
      </c>
      <c r="DD250" s="239">
        <v>0</v>
      </c>
      <c r="DE250" s="239">
        <v>0</v>
      </c>
      <c r="DF250" s="239">
        <v>0</v>
      </c>
      <c r="DG250" s="239">
        <v>0</v>
      </c>
      <c r="DH250" s="239">
        <v>0</v>
      </c>
      <c r="DI250" s="239">
        <v>0</v>
      </c>
      <c r="DJ250" s="239">
        <v>-181254</v>
      </c>
      <c r="DK250" s="239">
        <v>0</v>
      </c>
      <c r="DL250" s="239">
        <v>-181254</v>
      </c>
      <c r="DM250" s="239">
        <v>0</v>
      </c>
      <c r="DN250" s="239">
        <v>0</v>
      </c>
      <c r="DO250" s="239">
        <v>0</v>
      </c>
      <c r="DP250" s="239">
        <v>0</v>
      </c>
      <c r="DQ250" s="239">
        <v>0</v>
      </c>
      <c r="DR250" s="239">
        <v>0</v>
      </c>
      <c r="DS250" s="239">
        <v>-19263</v>
      </c>
      <c r="DT250" s="239">
        <v>0</v>
      </c>
      <c r="DU250" s="239">
        <v>-19263</v>
      </c>
      <c r="DV250" s="239">
        <v>-1644</v>
      </c>
      <c r="DW250" s="239">
        <v>0</v>
      </c>
      <c r="DX250" s="239">
        <v>-1644</v>
      </c>
      <c r="DY250" s="239">
        <v>-767631</v>
      </c>
      <c r="DZ250" s="239">
        <v>0</v>
      </c>
      <c r="EA250" s="239">
        <v>-767631</v>
      </c>
      <c r="EB250" s="239">
        <v>-35868</v>
      </c>
      <c r="EC250" s="239">
        <v>0</v>
      </c>
      <c r="ED250" s="239">
        <v>-35868</v>
      </c>
      <c r="EE250" s="239">
        <v>0</v>
      </c>
      <c r="EF250" s="239">
        <v>0</v>
      </c>
      <c r="EG250" s="239">
        <v>0</v>
      </c>
      <c r="EH250" s="239">
        <v>0</v>
      </c>
      <c r="EI250" s="239">
        <v>0</v>
      </c>
      <c r="EJ250" s="239">
        <v>0</v>
      </c>
      <c r="EK250" s="239">
        <v>-2573</v>
      </c>
      <c r="EL250" s="239">
        <v>0</v>
      </c>
      <c r="EM250" s="239">
        <v>-2573</v>
      </c>
      <c r="EN250" s="239">
        <v>-826979</v>
      </c>
      <c r="EO250" s="239">
        <v>0</v>
      </c>
      <c r="EP250" s="239">
        <v>-826979</v>
      </c>
      <c r="EQ250" s="239">
        <v>0</v>
      </c>
      <c r="ER250" s="239">
        <v>0</v>
      </c>
      <c r="ES250" s="239">
        <v>0</v>
      </c>
      <c r="ET250" s="239">
        <v>0</v>
      </c>
      <c r="EU250" s="239">
        <v>0</v>
      </c>
      <c r="EV250" s="239">
        <v>0</v>
      </c>
      <c r="EW250" s="239">
        <v>0</v>
      </c>
      <c r="EX250" s="239">
        <v>0</v>
      </c>
      <c r="EY250" s="239">
        <v>0</v>
      </c>
      <c r="EZ250" s="239">
        <v>50716977</v>
      </c>
      <c r="FA250" s="239">
        <v>0</v>
      </c>
      <c r="FB250" s="239">
        <v>50716977</v>
      </c>
      <c r="FC250" s="239">
        <v>54193</v>
      </c>
      <c r="FD250" s="239">
        <v>0</v>
      </c>
      <c r="FE250" s="239">
        <v>54193</v>
      </c>
      <c r="FF250" s="239">
        <v>-5669404</v>
      </c>
      <c r="FG250" s="239">
        <v>0</v>
      </c>
      <c r="FH250" s="239">
        <v>-5669404</v>
      </c>
      <c r="FI250" s="239">
        <v>-854911</v>
      </c>
      <c r="FJ250" s="239">
        <v>0</v>
      </c>
      <c r="FK250" s="239">
        <v>-854911</v>
      </c>
      <c r="FL250" s="239">
        <v>-181254</v>
      </c>
      <c r="FM250" s="239">
        <v>0</v>
      </c>
      <c r="FN250" s="239">
        <v>-181254</v>
      </c>
      <c r="FO250" s="239">
        <v>-826979</v>
      </c>
      <c r="FP250" s="239">
        <v>0</v>
      </c>
      <c r="FQ250" s="239">
        <v>-826979</v>
      </c>
      <c r="FR250" s="239">
        <v>0</v>
      </c>
      <c r="FS250" s="239">
        <v>0</v>
      </c>
      <c r="FT250" s="239">
        <v>0</v>
      </c>
      <c r="FU250" s="239">
        <v>-7478355</v>
      </c>
      <c r="FV250" s="239">
        <v>0</v>
      </c>
      <c r="FW250" s="239">
        <v>-7478355</v>
      </c>
      <c r="FX250" s="239">
        <v>43238622</v>
      </c>
      <c r="FY250" s="239">
        <v>0</v>
      </c>
      <c r="FZ250" s="239">
        <v>43238622</v>
      </c>
      <c r="GA250" s="214" t="s">
        <v>1294</v>
      </c>
    </row>
    <row r="251" spans="2:183" s="214" customFormat="1" x14ac:dyDescent="0.2">
      <c r="B251" s="610" t="s">
        <v>585</v>
      </c>
      <c r="C251" s="610" t="s">
        <v>584</v>
      </c>
      <c r="D251" s="239">
        <v>0</v>
      </c>
      <c r="E251" s="239">
        <v>0</v>
      </c>
      <c r="F251" s="239">
        <v>0</v>
      </c>
      <c r="G251" s="239">
        <v>-45090</v>
      </c>
      <c r="H251" s="239">
        <v>0</v>
      </c>
      <c r="I251" s="239">
        <v>-45090</v>
      </c>
      <c r="J251" s="239">
        <v>0</v>
      </c>
      <c r="K251" s="239">
        <v>0</v>
      </c>
      <c r="L251" s="239">
        <v>0</v>
      </c>
      <c r="M251" s="239">
        <v>-8931</v>
      </c>
      <c r="N251" s="239">
        <v>0</v>
      </c>
      <c r="O251" s="239">
        <v>-8931</v>
      </c>
      <c r="P251" s="239">
        <v>-54021</v>
      </c>
      <c r="Q251" s="239">
        <v>0</v>
      </c>
      <c r="R251" s="239">
        <v>-54021</v>
      </c>
      <c r="S251" s="239">
        <v>-2201645</v>
      </c>
      <c r="T251" s="239">
        <v>0</v>
      </c>
      <c r="U251" s="239">
        <v>-2201645</v>
      </c>
      <c r="V251" s="239">
        <v>-6943</v>
      </c>
      <c r="W251" s="239">
        <v>0</v>
      </c>
      <c r="X251" s="239">
        <v>-6943</v>
      </c>
      <c r="Y251" s="239">
        <v>-55612</v>
      </c>
      <c r="Z251" s="239">
        <v>0</v>
      </c>
      <c r="AA251" s="239">
        <v>-55612</v>
      </c>
      <c r="AB251" s="239">
        <v>-32772</v>
      </c>
      <c r="AC251" s="239">
        <v>0</v>
      </c>
      <c r="AD251" s="239">
        <v>-32772</v>
      </c>
      <c r="AE251" s="239">
        <v>-1885</v>
      </c>
      <c r="AF251" s="239">
        <v>0</v>
      </c>
      <c r="AG251" s="239">
        <v>-1885</v>
      </c>
      <c r="AH251" s="239">
        <v>1022951</v>
      </c>
      <c r="AI251" s="239">
        <v>0</v>
      </c>
      <c r="AJ251" s="239">
        <v>1022951</v>
      </c>
      <c r="AK251" s="239">
        <v>2147</v>
      </c>
      <c r="AL251" s="239">
        <v>0</v>
      </c>
      <c r="AM251" s="239">
        <v>2147</v>
      </c>
      <c r="AN251" s="239">
        <v>-1701953</v>
      </c>
      <c r="AO251" s="239">
        <v>0</v>
      </c>
      <c r="AP251" s="239">
        <v>-1701953</v>
      </c>
      <c r="AQ251" s="239">
        <v>-506</v>
      </c>
      <c r="AR251" s="239">
        <v>0</v>
      </c>
      <c r="AS251" s="239">
        <v>-506</v>
      </c>
      <c r="AT251" s="239">
        <v>-48984</v>
      </c>
      <c r="AU251" s="239">
        <v>0</v>
      </c>
      <c r="AV251" s="239">
        <v>-48984</v>
      </c>
      <c r="AW251" s="239">
        <v>-769</v>
      </c>
      <c r="AX251" s="239">
        <v>0</v>
      </c>
      <c r="AY251" s="239">
        <v>-769</v>
      </c>
      <c r="AZ251" s="239">
        <v>-4528</v>
      </c>
      <c r="BA251" s="239">
        <v>0</v>
      </c>
      <c r="BB251" s="239">
        <v>-4528</v>
      </c>
      <c r="BC251" s="239">
        <v>0</v>
      </c>
      <c r="BD251" s="239">
        <v>0</v>
      </c>
      <c r="BE251" s="239">
        <v>0</v>
      </c>
      <c r="BF251" s="239">
        <v>-2988899</v>
      </c>
      <c r="BG251" s="239">
        <v>0</v>
      </c>
      <c r="BH251" s="239">
        <v>-2988899</v>
      </c>
      <c r="BI251" s="239">
        <v>-8085</v>
      </c>
      <c r="BJ251" s="239">
        <v>0</v>
      </c>
      <c r="BK251" s="239">
        <v>-8085</v>
      </c>
      <c r="BL251" s="239">
        <v>0</v>
      </c>
      <c r="BM251" s="239">
        <v>0</v>
      </c>
      <c r="BN251" s="239">
        <v>0</v>
      </c>
      <c r="BO251" s="239">
        <v>-905861</v>
      </c>
      <c r="BP251" s="239">
        <v>0</v>
      </c>
      <c r="BQ251" s="239">
        <v>-905861</v>
      </c>
      <c r="BR251" s="239">
        <v>-82116</v>
      </c>
      <c r="BS251" s="239">
        <v>0</v>
      </c>
      <c r="BT251" s="239">
        <v>-82116</v>
      </c>
      <c r="BU251" s="239">
        <v>-996062</v>
      </c>
      <c r="BV251" s="239">
        <v>0</v>
      </c>
      <c r="BW251" s="239">
        <v>-996062</v>
      </c>
      <c r="BX251" s="239">
        <v>-113839</v>
      </c>
      <c r="BY251" s="239">
        <v>0</v>
      </c>
      <c r="BZ251" s="239">
        <v>-113839</v>
      </c>
      <c r="CA251" s="239">
        <v>615</v>
      </c>
      <c r="CB251" s="239">
        <v>0</v>
      </c>
      <c r="CC251" s="239">
        <v>615</v>
      </c>
      <c r="CD251" s="239">
        <v>-21016</v>
      </c>
      <c r="CE251" s="239">
        <v>0</v>
      </c>
      <c r="CF251" s="239">
        <v>-21016</v>
      </c>
      <c r="CG251" s="239">
        <v>9</v>
      </c>
      <c r="CH251" s="239">
        <v>0</v>
      </c>
      <c r="CI251" s="239">
        <v>9</v>
      </c>
      <c r="CJ251" s="239">
        <v>-818</v>
      </c>
      <c r="CK251" s="239">
        <v>0</v>
      </c>
      <c r="CL251" s="239">
        <v>-818</v>
      </c>
      <c r="CM251" s="239">
        <v>-192</v>
      </c>
      <c r="CN251" s="239">
        <v>0</v>
      </c>
      <c r="CO251" s="239">
        <v>-192</v>
      </c>
      <c r="CP251" s="239">
        <v>-4528</v>
      </c>
      <c r="CQ251" s="239">
        <v>0</v>
      </c>
      <c r="CR251" s="239">
        <v>-4528</v>
      </c>
      <c r="CS251" s="239">
        <v>0</v>
      </c>
      <c r="CT251" s="239">
        <v>0</v>
      </c>
      <c r="CU251" s="239">
        <v>0</v>
      </c>
      <c r="CV251" s="239">
        <v>0</v>
      </c>
      <c r="CW251" s="239">
        <v>0</v>
      </c>
      <c r="CX251" s="239">
        <v>0</v>
      </c>
      <c r="CY251" s="239">
        <v>0</v>
      </c>
      <c r="CZ251" s="239">
        <v>0</v>
      </c>
      <c r="DA251" s="239">
        <v>0</v>
      </c>
      <c r="DB251" s="239">
        <v>0</v>
      </c>
      <c r="DC251" s="239">
        <v>0</v>
      </c>
      <c r="DD251" s="239">
        <v>0</v>
      </c>
      <c r="DE251" s="239">
        <v>0</v>
      </c>
      <c r="DF251" s="239">
        <v>0</v>
      </c>
      <c r="DG251" s="239">
        <v>0</v>
      </c>
      <c r="DH251" s="239">
        <v>0</v>
      </c>
      <c r="DI251" s="239">
        <v>0</v>
      </c>
      <c r="DJ251" s="239">
        <v>-139769</v>
      </c>
      <c r="DK251" s="239">
        <v>0</v>
      </c>
      <c r="DL251" s="239">
        <v>-139769</v>
      </c>
      <c r="DM251" s="239">
        <v>-18976</v>
      </c>
      <c r="DN251" s="239">
        <v>0</v>
      </c>
      <c r="DO251" s="239">
        <v>-18976</v>
      </c>
      <c r="DP251" s="239">
        <v>0</v>
      </c>
      <c r="DQ251" s="239">
        <v>0</v>
      </c>
      <c r="DR251" s="239">
        <v>0</v>
      </c>
      <c r="DS251" s="239">
        <v>-7097</v>
      </c>
      <c r="DT251" s="239">
        <v>0</v>
      </c>
      <c r="DU251" s="239">
        <v>-7097</v>
      </c>
      <c r="DV251" s="239">
        <v>0</v>
      </c>
      <c r="DW251" s="239">
        <v>0</v>
      </c>
      <c r="DX251" s="239">
        <v>0</v>
      </c>
      <c r="DY251" s="239">
        <v>-485314</v>
      </c>
      <c r="DZ251" s="239">
        <v>0</v>
      </c>
      <c r="EA251" s="239">
        <v>-485314</v>
      </c>
      <c r="EB251" s="239">
        <v>-48162</v>
      </c>
      <c r="EC251" s="239">
        <v>0</v>
      </c>
      <c r="ED251" s="239">
        <v>-48162</v>
      </c>
      <c r="EE251" s="239">
        <v>-24619</v>
      </c>
      <c r="EF251" s="239">
        <v>0</v>
      </c>
      <c r="EG251" s="239">
        <v>-24619</v>
      </c>
      <c r="EH251" s="239">
        <v>0</v>
      </c>
      <c r="EI251" s="239">
        <v>0</v>
      </c>
      <c r="EJ251" s="239">
        <v>0</v>
      </c>
      <c r="EK251" s="239">
        <v>-5784</v>
      </c>
      <c r="EL251" s="239">
        <v>0</v>
      </c>
      <c r="EM251" s="239">
        <v>-5784</v>
      </c>
      <c r="EN251" s="239">
        <v>-589952</v>
      </c>
      <c r="EO251" s="239">
        <v>0</v>
      </c>
      <c r="EP251" s="239">
        <v>-589952</v>
      </c>
      <c r="EQ251" s="239">
        <v>0</v>
      </c>
      <c r="ER251" s="239">
        <v>0</v>
      </c>
      <c r="ES251" s="239">
        <v>0</v>
      </c>
      <c r="ET251" s="239">
        <v>0</v>
      </c>
      <c r="EU251" s="239">
        <v>0</v>
      </c>
      <c r="EV251" s="239">
        <v>0</v>
      </c>
      <c r="EW251" s="239">
        <v>0</v>
      </c>
      <c r="EX251" s="239">
        <v>0</v>
      </c>
      <c r="EY251" s="239">
        <v>0</v>
      </c>
      <c r="EZ251" s="239">
        <v>43922724</v>
      </c>
      <c r="FA251" s="239">
        <v>0</v>
      </c>
      <c r="FB251" s="239">
        <v>43922724</v>
      </c>
      <c r="FC251" s="239">
        <v>-54021</v>
      </c>
      <c r="FD251" s="239">
        <v>0</v>
      </c>
      <c r="FE251" s="239">
        <v>-54021</v>
      </c>
      <c r="FF251" s="239">
        <v>-2988899</v>
      </c>
      <c r="FG251" s="239">
        <v>0</v>
      </c>
      <c r="FH251" s="239">
        <v>-2988899</v>
      </c>
      <c r="FI251" s="239">
        <v>-996062</v>
      </c>
      <c r="FJ251" s="239">
        <v>0</v>
      </c>
      <c r="FK251" s="239">
        <v>-996062</v>
      </c>
      <c r="FL251" s="239">
        <v>-139769</v>
      </c>
      <c r="FM251" s="239">
        <v>0</v>
      </c>
      <c r="FN251" s="239">
        <v>-139769</v>
      </c>
      <c r="FO251" s="239">
        <v>-589952</v>
      </c>
      <c r="FP251" s="239">
        <v>0</v>
      </c>
      <c r="FQ251" s="239">
        <v>-589952</v>
      </c>
      <c r="FR251" s="239">
        <v>0</v>
      </c>
      <c r="FS251" s="239">
        <v>0</v>
      </c>
      <c r="FT251" s="239">
        <v>0</v>
      </c>
      <c r="FU251" s="239">
        <v>-4768703</v>
      </c>
      <c r="FV251" s="239">
        <v>0</v>
      </c>
      <c r="FW251" s="239">
        <v>-4768703</v>
      </c>
      <c r="FX251" s="239">
        <v>39154021</v>
      </c>
      <c r="FY251" s="239">
        <v>0</v>
      </c>
      <c r="FZ251" s="239">
        <v>39154021</v>
      </c>
      <c r="GA251" s="214" t="s">
        <v>1294</v>
      </c>
    </row>
    <row r="252" spans="2:183" s="214" customFormat="1" x14ac:dyDescent="0.2">
      <c r="B252" s="610" t="s">
        <v>587</v>
      </c>
      <c r="C252" s="610" t="s">
        <v>586</v>
      </c>
      <c r="D252" s="239">
        <v>0</v>
      </c>
      <c r="E252" s="239">
        <v>0</v>
      </c>
      <c r="F252" s="239">
        <v>0</v>
      </c>
      <c r="G252" s="239">
        <v>-396871</v>
      </c>
      <c r="H252" s="239">
        <v>0</v>
      </c>
      <c r="I252" s="239">
        <v>-396871</v>
      </c>
      <c r="J252" s="239">
        <v>0</v>
      </c>
      <c r="K252" s="239">
        <v>0</v>
      </c>
      <c r="L252" s="239">
        <v>0</v>
      </c>
      <c r="M252" s="239">
        <v>1100</v>
      </c>
      <c r="N252" s="239">
        <v>0</v>
      </c>
      <c r="O252" s="239">
        <v>1100</v>
      </c>
      <c r="P252" s="239">
        <v>-395771</v>
      </c>
      <c r="Q252" s="239">
        <v>0</v>
      </c>
      <c r="R252" s="239">
        <v>-395771</v>
      </c>
      <c r="S252" s="239">
        <v>-3901802</v>
      </c>
      <c r="T252" s="239">
        <v>0</v>
      </c>
      <c r="U252" s="239">
        <v>-3901802</v>
      </c>
      <c r="V252" s="239">
        <v>-24468</v>
      </c>
      <c r="W252" s="239">
        <v>0</v>
      </c>
      <c r="X252" s="239">
        <v>-24468</v>
      </c>
      <c r="Y252" s="239">
        <v>-240365</v>
      </c>
      <c r="Z252" s="239">
        <v>0</v>
      </c>
      <c r="AA252" s="239">
        <v>-240365</v>
      </c>
      <c r="AB252" s="239">
        <v>-179944</v>
      </c>
      <c r="AC252" s="239">
        <v>0</v>
      </c>
      <c r="AD252" s="239">
        <v>-179944</v>
      </c>
      <c r="AE252" s="239">
        <v>-2775</v>
      </c>
      <c r="AF252" s="239">
        <v>0</v>
      </c>
      <c r="AG252" s="239">
        <v>-2775</v>
      </c>
      <c r="AH252" s="239">
        <v>1162248</v>
      </c>
      <c r="AI252" s="239">
        <v>0</v>
      </c>
      <c r="AJ252" s="239">
        <v>1162248</v>
      </c>
      <c r="AK252" s="239">
        <v>-13294</v>
      </c>
      <c r="AL252" s="239">
        <v>0</v>
      </c>
      <c r="AM252" s="239">
        <v>-13294</v>
      </c>
      <c r="AN252" s="239">
        <v>-3359476</v>
      </c>
      <c r="AO252" s="239">
        <v>0</v>
      </c>
      <c r="AP252" s="239">
        <v>-3359476</v>
      </c>
      <c r="AQ252" s="239">
        <v>-11049</v>
      </c>
      <c r="AR252" s="239">
        <v>0</v>
      </c>
      <c r="AS252" s="239">
        <v>-11049</v>
      </c>
      <c r="AT252" s="239">
        <v>-25192</v>
      </c>
      <c r="AU252" s="239">
        <v>0</v>
      </c>
      <c r="AV252" s="239">
        <v>-25192</v>
      </c>
      <c r="AW252" s="239">
        <v>0</v>
      </c>
      <c r="AX252" s="239">
        <v>0</v>
      </c>
      <c r="AY252" s="239">
        <v>0</v>
      </c>
      <c r="AZ252" s="239">
        <v>-98728</v>
      </c>
      <c r="BA252" s="239">
        <v>0</v>
      </c>
      <c r="BB252" s="239">
        <v>-98728</v>
      </c>
      <c r="BC252" s="239">
        <v>-2308</v>
      </c>
      <c r="BD252" s="239">
        <v>0</v>
      </c>
      <c r="BE252" s="239">
        <v>-2308</v>
      </c>
      <c r="BF252" s="239">
        <v>-6489966</v>
      </c>
      <c r="BG252" s="239">
        <v>0</v>
      </c>
      <c r="BH252" s="239">
        <v>-6489966</v>
      </c>
      <c r="BI252" s="239">
        <v>-15016</v>
      </c>
      <c r="BJ252" s="239">
        <v>0</v>
      </c>
      <c r="BK252" s="239">
        <v>-15016</v>
      </c>
      <c r="BL252" s="239">
        <v>-12409</v>
      </c>
      <c r="BM252" s="239">
        <v>0</v>
      </c>
      <c r="BN252" s="239">
        <v>-12409</v>
      </c>
      <c r="BO252" s="239">
        <v>-1329012</v>
      </c>
      <c r="BP252" s="239">
        <v>0</v>
      </c>
      <c r="BQ252" s="239">
        <v>-1329012</v>
      </c>
      <c r="BR252" s="239">
        <v>35741</v>
      </c>
      <c r="BS252" s="239">
        <v>0</v>
      </c>
      <c r="BT252" s="239">
        <v>35741</v>
      </c>
      <c r="BU252" s="239">
        <v>-1320696</v>
      </c>
      <c r="BV252" s="239">
        <v>0</v>
      </c>
      <c r="BW252" s="239">
        <v>-1320696</v>
      </c>
      <c r="BX252" s="239">
        <v>-170967</v>
      </c>
      <c r="BY252" s="239">
        <v>0</v>
      </c>
      <c r="BZ252" s="239">
        <v>-170967</v>
      </c>
      <c r="CA252" s="239">
        <v>3558</v>
      </c>
      <c r="CB252" s="239">
        <v>0</v>
      </c>
      <c r="CC252" s="239">
        <v>3558</v>
      </c>
      <c r="CD252" s="239">
        <v>-149987</v>
      </c>
      <c r="CE252" s="239">
        <v>0</v>
      </c>
      <c r="CF252" s="239">
        <v>-149987</v>
      </c>
      <c r="CG252" s="239">
        <v>-26242</v>
      </c>
      <c r="CH252" s="239">
        <v>0</v>
      </c>
      <c r="CI252" s="239">
        <v>-26242</v>
      </c>
      <c r="CJ252" s="239">
        <v>-3882</v>
      </c>
      <c r="CK252" s="239">
        <v>0</v>
      </c>
      <c r="CL252" s="239">
        <v>-3882</v>
      </c>
      <c r="CM252" s="239">
        <v>0</v>
      </c>
      <c r="CN252" s="239">
        <v>0</v>
      </c>
      <c r="CO252" s="239">
        <v>0</v>
      </c>
      <c r="CP252" s="239">
        <v>-32804</v>
      </c>
      <c r="CQ252" s="239">
        <v>0</v>
      </c>
      <c r="CR252" s="239">
        <v>-32804</v>
      </c>
      <c r="CS252" s="239">
        <v>-1261</v>
      </c>
      <c r="CT252" s="239">
        <v>0</v>
      </c>
      <c r="CU252" s="239">
        <v>-1261</v>
      </c>
      <c r="CV252" s="239">
        <v>-40125</v>
      </c>
      <c r="CW252" s="239">
        <v>0</v>
      </c>
      <c r="CX252" s="239">
        <v>-40125</v>
      </c>
      <c r="CY252" s="239">
        <v>-1385</v>
      </c>
      <c r="CZ252" s="239">
        <v>0</v>
      </c>
      <c r="DA252" s="239">
        <v>-1385</v>
      </c>
      <c r="DB252" s="239">
        <v>0</v>
      </c>
      <c r="DC252" s="239">
        <v>0</v>
      </c>
      <c r="DD252" s="239">
        <v>0</v>
      </c>
      <c r="DE252" s="239">
        <v>0</v>
      </c>
      <c r="DF252" s="239">
        <v>0</v>
      </c>
      <c r="DG252" s="239">
        <v>0</v>
      </c>
      <c r="DH252" s="239">
        <v>0</v>
      </c>
      <c r="DI252" s="239">
        <v>0</v>
      </c>
      <c r="DJ252" s="239">
        <v>-423095</v>
      </c>
      <c r="DK252" s="239">
        <v>0</v>
      </c>
      <c r="DL252" s="239">
        <v>-423095</v>
      </c>
      <c r="DM252" s="239">
        <v>0</v>
      </c>
      <c r="DN252" s="239">
        <v>0</v>
      </c>
      <c r="DO252" s="239">
        <v>0</v>
      </c>
      <c r="DP252" s="239">
        <v>0</v>
      </c>
      <c r="DQ252" s="239">
        <v>0</v>
      </c>
      <c r="DR252" s="239">
        <v>0</v>
      </c>
      <c r="DS252" s="239">
        <v>-26497</v>
      </c>
      <c r="DT252" s="239">
        <v>0</v>
      </c>
      <c r="DU252" s="239">
        <v>-26497</v>
      </c>
      <c r="DV252" s="239">
        <v>-6860</v>
      </c>
      <c r="DW252" s="239">
        <v>0</v>
      </c>
      <c r="DX252" s="239">
        <v>-6860</v>
      </c>
      <c r="DY252" s="239">
        <v>-684428</v>
      </c>
      <c r="DZ252" s="239">
        <v>0</v>
      </c>
      <c r="EA252" s="239">
        <v>-684428</v>
      </c>
      <c r="EB252" s="239">
        <v>-34196</v>
      </c>
      <c r="EC252" s="239">
        <v>0</v>
      </c>
      <c r="ED252" s="239">
        <v>-34196</v>
      </c>
      <c r="EE252" s="239">
        <v>0</v>
      </c>
      <c r="EF252" s="239">
        <v>0</v>
      </c>
      <c r="EG252" s="239">
        <v>0</v>
      </c>
      <c r="EH252" s="239">
        <v>0</v>
      </c>
      <c r="EI252" s="239">
        <v>0</v>
      </c>
      <c r="EJ252" s="239">
        <v>0</v>
      </c>
      <c r="EK252" s="239">
        <v>-18148</v>
      </c>
      <c r="EL252" s="239">
        <v>0</v>
      </c>
      <c r="EM252" s="239">
        <v>-18148</v>
      </c>
      <c r="EN252" s="239">
        <v>-770129</v>
      </c>
      <c r="EO252" s="239">
        <v>0</v>
      </c>
      <c r="EP252" s="239">
        <v>-770129</v>
      </c>
      <c r="EQ252" s="239">
        <v>0</v>
      </c>
      <c r="ER252" s="239">
        <v>0</v>
      </c>
      <c r="ES252" s="239">
        <v>0</v>
      </c>
      <c r="ET252" s="239">
        <v>0</v>
      </c>
      <c r="EU252" s="239">
        <v>0</v>
      </c>
      <c r="EV252" s="239">
        <v>0</v>
      </c>
      <c r="EW252" s="239">
        <v>0</v>
      </c>
      <c r="EX252" s="239">
        <v>0</v>
      </c>
      <c r="EY252" s="239">
        <v>0</v>
      </c>
      <c r="EZ252" s="239">
        <v>51281637</v>
      </c>
      <c r="FA252" s="239">
        <v>0</v>
      </c>
      <c r="FB252" s="239">
        <v>51281637</v>
      </c>
      <c r="FC252" s="239">
        <v>-395771</v>
      </c>
      <c r="FD252" s="239">
        <v>0</v>
      </c>
      <c r="FE252" s="239">
        <v>-395771</v>
      </c>
      <c r="FF252" s="239">
        <v>-6489966</v>
      </c>
      <c r="FG252" s="239">
        <v>0</v>
      </c>
      <c r="FH252" s="239">
        <v>-6489966</v>
      </c>
      <c r="FI252" s="239">
        <v>-1320696</v>
      </c>
      <c r="FJ252" s="239">
        <v>0</v>
      </c>
      <c r="FK252" s="239">
        <v>-1320696</v>
      </c>
      <c r="FL252" s="239">
        <v>-423095</v>
      </c>
      <c r="FM252" s="239">
        <v>0</v>
      </c>
      <c r="FN252" s="239">
        <v>-423095</v>
      </c>
      <c r="FO252" s="239">
        <v>-770129</v>
      </c>
      <c r="FP252" s="239">
        <v>0</v>
      </c>
      <c r="FQ252" s="239">
        <v>-770129</v>
      </c>
      <c r="FR252" s="239">
        <v>0</v>
      </c>
      <c r="FS252" s="239">
        <v>0</v>
      </c>
      <c r="FT252" s="239">
        <v>0</v>
      </c>
      <c r="FU252" s="239">
        <v>-9399657</v>
      </c>
      <c r="FV252" s="239">
        <v>0</v>
      </c>
      <c r="FW252" s="239">
        <v>-9399657</v>
      </c>
      <c r="FX252" s="239">
        <v>41881980</v>
      </c>
      <c r="FY252" s="239">
        <v>0</v>
      </c>
      <c r="FZ252" s="239">
        <v>41881980</v>
      </c>
      <c r="GA252" s="214" t="s">
        <v>1294</v>
      </c>
    </row>
    <row r="253" spans="2:183" s="214" customFormat="1" x14ac:dyDescent="0.2">
      <c r="B253" s="610" t="s">
        <v>589</v>
      </c>
      <c r="C253" s="610" t="s">
        <v>588</v>
      </c>
      <c r="D253" s="239">
        <v>0</v>
      </c>
      <c r="E253" s="239">
        <v>0</v>
      </c>
      <c r="F253" s="239">
        <v>0</v>
      </c>
      <c r="G253" s="239">
        <v>86900</v>
      </c>
      <c r="H253" s="239">
        <v>0</v>
      </c>
      <c r="I253" s="239">
        <v>86900</v>
      </c>
      <c r="J253" s="239">
        <v>0</v>
      </c>
      <c r="K253" s="239">
        <v>0</v>
      </c>
      <c r="L253" s="239">
        <v>0</v>
      </c>
      <c r="M253" s="239">
        <v>70338</v>
      </c>
      <c r="N253" s="239">
        <v>0</v>
      </c>
      <c r="O253" s="239">
        <v>70338</v>
      </c>
      <c r="P253" s="239">
        <v>157238</v>
      </c>
      <c r="Q253" s="239">
        <v>0</v>
      </c>
      <c r="R253" s="239">
        <v>157238</v>
      </c>
      <c r="S253" s="239">
        <v>-2093855</v>
      </c>
      <c r="T253" s="239">
        <v>0</v>
      </c>
      <c r="U253" s="239">
        <v>-2093855</v>
      </c>
      <c r="V253" s="239">
        <v>-937</v>
      </c>
      <c r="W253" s="239">
        <v>0</v>
      </c>
      <c r="X253" s="239">
        <v>-937</v>
      </c>
      <c r="Y253" s="239">
        <v>-105616</v>
      </c>
      <c r="Z253" s="239">
        <v>0</v>
      </c>
      <c r="AA253" s="239">
        <v>-105616</v>
      </c>
      <c r="AB253" s="239">
        <v>-56791</v>
      </c>
      <c r="AC253" s="239">
        <v>0</v>
      </c>
      <c r="AD253" s="239">
        <v>-56791</v>
      </c>
      <c r="AE253" s="239">
        <v>0</v>
      </c>
      <c r="AF253" s="239">
        <v>0</v>
      </c>
      <c r="AG253" s="239">
        <v>0</v>
      </c>
      <c r="AH253" s="239">
        <v>554996</v>
      </c>
      <c r="AI253" s="239">
        <v>62295</v>
      </c>
      <c r="AJ253" s="239">
        <v>617291</v>
      </c>
      <c r="AK253" s="239">
        <v>360</v>
      </c>
      <c r="AL253" s="239">
        <v>0</v>
      </c>
      <c r="AM253" s="239">
        <v>360</v>
      </c>
      <c r="AN253" s="239">
        <v>-735737</v>
      </c>
      <c r="AO253" s="239">
        <v>0</v>
      </c>
      <c r="AP253" s="239">
        <v>-735737</v>
      </c>
      <c r="AQ253" s="239">
        <v>-44419</v>
      </c>
      <c r="AR253" s="239">
        <v>0</v>
      </c>
      <c r="AS253" s="239">
        <v>-44419</v>
      </c>
      <c r="AT253" s="239">
        <v>-21179</v>
      </c>
      <c r="AU253" s="239">
        <v>0</v>
      </c>
      <c r="AV253" s="239">
        <v>-21179</v>
      </c>
      <c r="AW253" s="239">
        <v>0</v>
      </c>
      <c r="AX253" s="239">
        <v>0</v>
      </c>
      <c r="AY253" s="239">
        <v>0</v>
      </c>
      <c r="AZ253" s="239">
        <v>-8956</v>
      </c>
      <c r="BA253" s="239">
        <v>0</v>
      </c>
      <c r="BB253" s="239">
        <v>-8956</v>
      </c>
      <c r="BC253" s="239">
        <v>1728</v>
      </c>
      <c r="BD253" s="239">
        <v>0</v>
      </c>
      <c r="BE253" s="239">
        <v>1728</v>
      </c>
      <c r="BF253" s="239">
        <v>-2452678</v>
      </c>
      <c r="BG253" s="239">
        <v>62295</v>
      </c>
      <c r="BH253" s="239">
        <v>-2390383</v>
      </c>
      <c r="BI253" s="239">
        <v>0</v>
      </c>
      <c r="BJ253" s="239">
        <v>0</v>
      </c>
      <c r="BK253" s="239">
        <v>0</v>
      </c>
      <c r="BL253" s="239">
        <v>0</v>
      </c>
      <c r="BM253" s="239">
        <v>0</v>
      </c>
      <c r="BN253" s="239">
        <v>0</v>
      </c>
      <c r="BO253" s="239">
        <v>-474179</v>
      </c>
      <c r="BP253" s="239">
        <v>0</v>
      </c>
      <c r="BQ253" s="239">
        <v>-474179</v>
      </c>
      <c r="BR253" s="239">
        <v>-41608</v>
      </c>
      <c r="BS253" s="239">
        <v>0</v>
      </c>
      <c r="BT253" s="239">
        <v>-41608</v>
      </c>
      <c r="BU253" s="239">
        <v>-515787</v>
      </c>
      <c r="BV253" s="239">
        <v>0</v>
      </c>
      <c r="BW253" s="239">
        <v>-515787</v>
      </c>
      <c r="BX253" s="239">
        <v>-43638</v>
      </c>
      <c r="BY253" s="239">
        <v>0</v>
      </c>
      <c r="BZ253" s="239">
        <v>-43638</v>
      </c>
      <c r="CA253" s="239">
        <v>-2275</v>
      </c>
      <c r="CB253" s="239">
        <v>0</v>
      </c>
      <c r="CC253" s="239">
        <v>-2275</v>
      </c>
      <c r="CD253" s="239">
        <v>-233168</v>
      </c>
      <c r="CE253" s="239">
        <v>0</v>
      </c>
      <c r="CF253" s="239">
        <v>-233168</v>
      </c>
      <c r="CG253" s="239">
        <v>2379</v>
      </c>
      <c r="CH253" s="239">
        <v>0</v>
      </c>
      <c r="CI253" s="239">
        <v>2379</v>
      </c>
      <c r="CJ253" s="239">
        <v>-4210</v>
      </c>
      <c r="CK253" s="239">
        <v>0</v>
      </c>
      <c r="CL253" s="239">
        <v>-4210</v>
      </c>
      <c r="CM253" s="239">
        <v>0</v>
      </c>
      <c r="CN253" s="239">
        <v>0</v>
      </c>
      <c r="CO253" s="239">
        <v>0</v>
      </c>
      <c r="CP253" s="239">
        <v>-3927</v>
      </c>
      <c r="CQ253" s="239">
        <v>0</v>
      </c>
      <c r="CR253" s="239">
        <v>-3927</v>
      </c>
      <c r="CS253" s="239">
        <v>1728</v>
      </c>
      <c r="CT253" s="239">
        <v>0</v>
      </c>
      <c r="CU253" s="239">
        <v>1728</v>
      </c>
      <c r="CV253" s="239">
        <v>0</v>
      </c>
      <c r="CW253" s="239">
        <v>0</v>
      </c>
      <c r="CX253" s="239">
        <v>0</v>
      </c>
      <c r="CY253" s="239">
        <v>0</v>
      </c>
      <c r="CZ253" s="239">
        <v>0</v>
      </c>
      <c r="DA253" s="239">
        <v>0</v>
      </c>
      <c r="DB253" s="239">
        <v>0</v>
      </c>
      <c r="DC253" s="239">
        <v>-54035</v>
      </c>
      <c r="DD253" s="239">
        <v>-54035</v>
      </c>
      <c r="DE253" s="239">
        <v>0</v>
      </c>
      <c r="DF253" s="239">
        <v>0</v>
      </c>
      <c r="DG253" s="239">
        <v>0</v>
      </c>
      <c r="DH253" s="239">
        <v>-54035</v>
      </c>
      <c r="DI253" s="239">
        <v>0</v>
      </c>
      <c r="DJ253" s="239">
        <v>-283111</v>
      </c>
      <c r="DK253" s="239">
        <v>-54035</v>
      </c>
      <c r="DL253" s="239">
        <v>-337146</v>
      </c>
      <c r="DM253" s="239">
        <v>0</v>
      </c>
      <c r="DN253" s="239">
        <v>0</v>
      </c>
      <c r="DO253" s="239">
        <v>0</v>
      </c>
      <c r="DP253" s="239">
        <v>0</v>
      </c>
      <c r="DQ253" s="239">
        <v>0</v>
      </c>
      <c r="DR253" s="239">
        <v>0</v>
      </c>
      <c r="DS253" s="239">
        <v>0</v>
      </c>
      <c r="DT253" s="239">
        <v>0</v>
      </c>
      <c r="DU253" s="239">
        <v>0</v>
      </c>
      <c r="DV253" s="239">
        <v>0</v>
      </c>
      <c r="DW253" s="239">
        <v>0</v>
      </c>
      <c r="DX253" s="239">
        <v>0</v>
      </c>
      <c r="DY253" s="239">
        <v>-393526</v>
      </c>
      <c r="DZ253" s="239">
        <v>0</v>
      </c>
      <c r="EA253" s="239">
        <v>-393526</v>
      </c>
      <c r="EB253" s="239">
        <v>-4069</v>
      </c>
      <c r="EC253" s="239">
        <v>0</v>
      </c>
      <c r="ED253" s="239">
        <v>-4069</v>
      </c>
      <c r="EE253" s="239">
        <v>0</v>
      </c>
      <c r="EF253" s="239">
        <v>0</v>
      </c>
      <c r="EG253" s="239">
        <v>0</v>
      </c>
      <c r="EH253" s="239">
        <v>0</v>
      </c>
      <c r="EI253" s="239">
        <v>0</v>
      </c>
      <c r="EJ253" s="239">
        <v>0</v>
      </c>
      <c r="EK253" s="239">
        <v>-3517</v>
      </c>
      <c r="EL253" s="239">
        <v>0</v>
      </c>
      <c r="EM253" s="239">
        <v>-3517</v>
      </c>
      <c r="EN253" s="239">
        <v>-401112</v>
      </c>
      <c r="EO253" s="239">
        <v>0</v>
      </c>
      <c r="EP253" s="239">
        <v>-401112</v>
      </c>
      <c r="EQ253" s="239">
        <v>0</v>
      </c>
      <c r="ER253" s="239">
        <v>0</v>
      </c>
      <c r="ES253" s="239">
        <v>0</v>
      </c>
      <c r="ET253" s="239">
        <v>0</v>
      </c>
      <c r="EU253" s="239">
        <v>0</v>
      </c>
      <c r="EV253" s="239">
        <v>0</v>
      </c>
      <c r="EW253" s="239">
        <v>0</v>
      </c>
      <c r="EX253" s="239">
        <v>0</v>
      </c>
      <c r="EY253" s="239">
        <v>0</v>
      </c>
      <c r="EZ253" s="239">
        <v>25819935</v>
      </c>
      <c r="FA253" s="239">
        <v>2300138</v>
      </c>
      <c r="FB253" s="239">
        <v>28120073</v>
      </c>
      <c r="FC253" s="239">
        <v>157238</v>
      </c>
      <c r="FD253" s="239">
        <v>0</v>
      </c>
      <c r="FE253" s="239">
        <v>157238</v>
      </c>
      <c r="FF253" s="239">
        <v>-2452678</v>
      </c>
      <c r="FG253" s="239">
        <v>62295</v>
      </c>
      <c r="FH253" s="239">
        <v>-2390383</v>
      </c>
      <c r="FI253" s="239">
        <v>-515787</v>
      </c>
      <c r="FJ253" s="239">
        <v>0</v>
      </c>
      <c r="FK253" s="239">
        <v>-515787</v>
      </c>
      <c r="FL253" s="239">
        <v>-283111</v>
      </c>
      <c r="FM253" s="239">
        <v>-54035</v>
      </c>
      <c r="FN253" s="239">
        <v>-337146</v>
      </c>
      <c r="FO253" s="239">
        <v>-401112</v>
      </c>
      <c r="FP253" s="239">
        <v>0</v>
      </c>
      <c r="FQ253" s="239">
        <v>-401112</v>
      </c>
      <c r="FR253" s="239">
        <v>0</v>
      </c>
      <c r="FS253" s="239">
        <v>0</v>
      </c>
      <c r="FT253" s="239">
        <v>0</v>
      </c>
      <c r="FU253" s="239">
        <v>-3495450</v>
      </c>
      <c r="FV253" s="239">
        <v>8260</v>
      </c>
      <c r="FW253" s="239">
        <v>-3487190</v>
      </c>
      <c r="FX253" s="239">
        <v>22324485</v>
      </c>
      <c r="FY253" s="239">
        <v>2308398</v>
      </c>
      <c r="FZ253" s="239">
        <v>24632883</v>
      </c>
      <c r="GA253" s="214" t="s">
        <v>1294</v>
      </c>
    </row>
    <row r="254" spans="2:183" s="214" customFormat="1" x14ac:dyDescent="0.2">
      <c r="B254" s="610" t="s">
        <v>591</v>
      </c>
      <c r="C254" s="610" t="s">
        <v>590</v>
      </c>
      <c r="D254" s="239">
        <v>0</v>
      </c>
      <c r="E254" s="239">
        <v>0</v>
      </c>
      <c r="F254" s="239">
        <v>0</v>
      </c>
      <c r="G254" s="239">
        <v>613176</v>
      </c>
      <c r="H254" s="239">
        <v>0</v>
      </c>
      <c r="I254" s="239">
        <v>613176</v>
      </c>
      <c r="J254" s="239">
        <v>0</v>
      </c>
      <c r="K254" s="239">
        <v>0</v>
      </c>
      <c r="L254" s="239">
        <v>0</v>
      </c>
      <c r="M254" s="239">
        <v>24943</v>
      </c>
      <c r="N254" s="239">
        <v>0</v>
      </c>
      <c r="O254" s="239">
        <v>24943</v>
      </c>
      <c r="P254" s="239">
        <v>638119</v>
      </c>
      <c r="Q254" s="239">
        <v>0</v>
      </c>
      <c r="R254" s="239">
        <v>638119</v>
      </c>
      <c r="S254" s="239">
        <v>-2747766</v>
      </c>
      <c r="T254" s="239">
        <v>0</v>
      </c>
      <c r="U254" s="239">
        <v>-2747766</v>
      </c>
      <c r="V254" s="239">
        <v>-9957</v>
      </c>
      <c r="W254" s="239">
        <v>0</v>
      </c>
      <c r="X254" s="239">
        <v>-9957</v>
      </c>
      <c r="Y254" s="239">
        <v>-116635</v>
      </c>
      <c r="Z254" s="239">
        <v>0</v>
      </c>
      <c r="AA254" s="239">
        <v>-116635</v>
      </c>
      <c r="AB254" s="239">
        <v>-100416</v>
      </c>
      <c r="AC254" s="239">
        <v>0</v>
      </c>
      <c r="AD254" s="239">
        <v>-100416</v>
      </c>
      <c r="AE254" s="239">
        <v>0</v>
      </c>
      <c r="AF254" s="239">
        <v>0</v>
      </c>
      <c r="AG254" s="239">
        <v>0</v>
      </c>
      <c r="AH254" s="239">
        <v>861636</v>
      </c>
      <c r="AI254" s="239">
        <v>0</v>
      </c>
      <c r="AJ254" s="239">
        <v>861636</v>
      </c>
      <c r="AK254" s="239">
        <v>-4264</v>
      </c>
      <c r="AL254" s="239">
        <v>0</v>
      </c>
      <c r="AM254" s="239">
        <v>-4264</v>
      </c>
      <c r="AN254" s="239">
        <v>-1970539</v>
      </c>
      <c r="AO254" s="239">
        <v>0</v>
      </c>
      <c r="AP254" s="239">
        <v>-1970539</v>
      </c>
      <c r="AQ254" s="239">
        <v>-4899</v>
      </c>
      <c r="AR254" s="239">
        <v>0</v>
      </c>
      <c r="AS254" s="239">
        <v>-4899</v>
      </c>
      <c r="AT254" s="239">
        <v>-47856</v>
      </c>
      <c r="AU254" s="239">
        <v>0</v>
      </c>
      <c r="AV254" s="239">
        <v>-47856</v>
      </c>
      <c r="AW254" s="239">
        <v>0</v>
      </c>
      <c r="AX254" s="239">
        <v>0</v>
      </c>
      <c r="AY254" s="239">
        <v>0</v>
      </c>
      <c r="AZ254" s="239">
        <v>0</v>
      </c>
      <c r="BA254" s="239">
        <v>0</v>
      </c>
      <c r="BB254" s="239">
        <v>0</v>
      </c>
      <c r="BC254" s="239">
        <v>0</v>
      </c>
      <c r="BD254" s="239">
        <v>0</v>
      </c>
      <c r="BE254" s="239">
        <v>0</v>
      </c>
      <c r="BF254" s="239">
        <v>-4030323</v>
      </c>
      <c r="BG254" s="239">
        <v>0</v>
      </c>
      <c r="BH254" s="239">
        <v>-4030323</v>
      </c>
      <c r="BI254" s="239">
        <v>-68474</v>
      </c>
      <c r="BJ254" s="239">
        <v>0</v>
      </c>
      <c r="BK254" s="239">
        <v>-68474</v>
      </c>
      <c r="BL254" s="239">
        <v>0</v>
      </c>
      <c r="BM254" s="239">
        <v>0</v>
      </c>
      <c r="BN254" s="239">
        <v>0</v>
      </c>
      <c r="BO254" s="239">
        <v>-1347299</v>
      </c>
      <c r="BP254" s="239">
        <v>0</v>
      </c>
      <c r="BQ254" s="239">
        <v>-1347299</v>
      </c>
      <c r="BR254" s="239">
        <v>-88153</v>
      </c>
      <c r="BS254" s="239">
        <v>0</v>
      </c>
      <c r="BT254" s="239">
        <v>-88153</v>
      </c>
      <c r="BU254" s="239">
        <v>-1503926</v>
      </c>
      <c r="BV254" s="239">
        <v>0</v>
      </c>
      <c r="BW254" s="239">
        <v>-1503926</v>
      </c>
      <c r="BX254" s="239">
        <v>-59942</v>
      </c>
      <c r="BY254" s="239">
        <v>0</v>
      </c>
      <c r="BZ254" s="239">
        <v>-59942</v>
      </c>
      <c r="CA254" s="239">
        <v>-1257</v>
      </c>
      <c r="CB254" s="239">
        <v>0</v>
      </c>
      <c r="CC254" s="239">
        <v>-1257</v>
      </c>
      <c r="CD254" s="239">
        <v>-101524</v>
      </c>
      <c r="CE254" s="239">
        <v>0</v>
      </c>
      <c r="CF254" s="239">
        <v>-101524</v>
      </c>
      <c r="CG254" s="239">
        <v>-589</v>
      </c>
      <c r="CH254" s="239">
        <v>0</v>
      </c>
      <c r="CI254" s="239">
        <v>-589</v>
      </c>
      <c r="CJ254" s="239">
        <v>-131</v>
      </c>
      <c r="CK254" s="239">
        <v>0</v>
      </c>
      <c r="CL254" s="239">
        <v>-131</v>
      </c>
      <c r="CM254" s="239">
        <v>0</v>
      </c>
      <c r="CN254" s="239">
        <v>0</v>
      </c>
      <c r="CO254" s="239">
        <v>0</v>
      </c>
      <c r="CP254" s="239">
        <v>0</v>
      </c>
      <c r="CQ254" s="239">
        <v>0</v>
      </c>
      <c r="CR254" s="239">
        <v>0</v>
      </c>
      <c r="CS254" s="239">
        <v>0</v>
      </c>
      <c r="CT254" s="239">
        <v>0</v>
      </c>
      <c r="CU254" s="239">
        <v>0</v>
      </c>
      <c r="CV254" s="239">
        <v>0</v>
      </c>
      <c r="CW254" s="239">
        <v>0</v>
      </c>
      <c r="CX254" s="239">
        <v>0</v>
      </c>
      <c r="CY254" s="239">
        <v>0</v>
      </c>
      <c r="CZ254" s="239">
        <v>0</v>
      </c>
      <c r="DA254" s="239">
        <v>0</v>
      </c>
      <c r="DB254" s="239">
        <v>0</v>
      </c>
      <c r="DC254" s="239">
        <v>0</v>
      </c>
      <c r="DD254" s="239">
        <v>0</v>
      </c>
      <c r="DE254" s="239">
        <v>0</v>
      </c>
      <c r="DF254" s="239">
        <v>0</v>
      </c>
      <c r="DG254" s="239">
        <v>0</v>
      </c>
      <c r="DH254" s="239">
        <v>0</v>
      </c>
      <c r="DI254" s="239">
        <v>0</v>
      </c>
      <c r="DJ254" s="239">
        <v>-163443</v>
      </c>
      <c r="DK254" s="239">
        <v>0</v>
      </c>
      <c r="DL254" s="239">
        <v>-163443</v>
      </c>
      <c r="DM254" s="239">
        <v>0</v>
      </c>
      <c r="DN254" s="239">
        <v>0</v>
      </c>
      <c r="DO254" s="239">
        <v>0</v>
      </c>
      <c r="DP254" s="239">
        <v>0</v>
      </c>
      <c r="DQ254" s="239">
        <v>0</v>
      </c>
      <c r="DR254" s="239">
        <v>0</v>
      </c>
      <c r="DS254" s="239">
        <v>-46010</v>
      </c>
      <c r="DT254" s="239">
        <v>0</v>
      </c>
      <c r="DU254" s="239">
        <v>-46010</v>
      </c>
      <c r="DV254" s="239">
        <v>-8129</v>
      </c>
      <c r="DW254" s="239">
        <v>0</v>
      </c>
      <c r="DX254" s="239">
        <v>-8129</v>
      </c>
      <c r="DY254" s="239">
        <v>-655062</v>
      </c>
      <c r="DZ254" s="239">
        <v>0</v>
      </c>
      <c r="EA254" s="239">
        <v>-655062</v>
      </c>
      <c r="EB254" s="239">
        <v>-16601</v>
      </c>
      <c r="EC254" s="239">
        <v>0</v>
      </c>
      <c r="ED254" s="239">
        <v>-16601</v>
      </c>
      <c r="EE254" s="239">
        <v>0</v>
      </c>
      <c r="EF254" s="239">
        <v>0</v>
      </c>
      <c r="EG254" s="239">
        <v>0</v>
      </c>
      <c r="EH254" s="239">
        <v>0</v>
      </c>
      <c r="EI254" s="239">
        <v>0</v>
      </c>
      <c r="EJ254" s="239">
        <v>0</v>
      </c>
      <c r="EK254" s="239">
        <v>0</v>
      </c>
      <c r="EL254" s="239">
        <v>0</v>
      </c>
      <c r="EM254" s="239">
        <v>0</v>
      </c>
      <c r="EN254" s="239">
        <v>-725802</v>
      </c>
      <c r="EO254" s="239">
        <v>0</v>
      </c>
      <c r="EP254" s="239">
        <v>-725802</v>
      </c>
      <c r="EQ254" s="239">
        <v>0</v>
      </c>
      <c r="ER254" s="239">
        <v>0</v>
      </c>
      <c r="ES254" s="239">
        <v>0</v>
      </c>
      <c r="ET254" s="239">
        <v>0</v>
      </c>
      <c r="EU254" s="239">
        <v>0</v>
      </c>
      <c r="EV254" s="239">
        <v>0</v>
      </c>
      <c r="EW254" s="239">
        <v>0</v>
      </c>
      <c r="EX254" s="239">
        <v>0</v>
      </c>
      <c r="EY254" s="239">
        <v>0</v>
      </c>
      <c r="EZ254" s="239">
        <v>37131752</v>
      </c>
      <c r="FA254" s="239">
        <v>0</v>
      </c>
      <c r="FB254" s="239">
        <v>37131752</v>
      </c>
      <c r="FC254" s="239">
        <v>638119</v>
      </c>
      <c r="FD254" s="239">
        <v>0</v>
      </c>
      <c r="FE254" s="239">
        <v>638119</v>
      </c>
      <c r="FF254" s="239">
        <v>-4030323</v>
      </c>
      <c r="FG254" s="239">
        <v>0</v>
      </c>
      <c r="FH254" s="239">
        <v>-4030323</v>
      </c>
      <c r="FI254" s="239">
        <v>-1503926</v>
      </c>
      <c r="FJ254" s="239">
        <v>0</v>
      </c>
      <c r="FK254" s="239">
        <v>-1503926</v>
      </c>
      <c r="FL254" s="239">
        <v>-163443</v>
      </c>
      <c r="FM254" s="239">
        <v>0</v>
      </c>
      <c r="FN254" s="239">
        <v>-163443</v>
      </c>
      <c r="FO254" s="239">
        <v>-725802</v>
      </c>
      <c r="FP254" s="239">
        <v>0</v>
      </c>
      <c r="FQ254" s="239">
        <v>-725802</v>
      </c>
      <c r="FR254" s="239">
        <v>0</v>
      </c>
      <c r="FS254" s="239">
        <v>0</v>
      </c>
      <c r="FT254" s="239">
        <v>0</v>
      </c>
      <c r="FU254" s="239">
        <v>-5785375</v>
      </c>
      <c r="FV254" s="239">
        <v>0</v>
      </c>
      <c r="FW254" s="239">
        <v>-5785375</v>
      </c>
      <c r="FX254" s="239">
        <v>31346377</v>
      </c>
      <c r="FY254" s="239">
        <v>0</v>
      </c>
      <c r="FZ254" s="239">
        <v>31346377</v>
      </c>
      <c r="GA254" s="214" t="s">
        <v>1296</v>
      </c>
    </row>
    <row r="255" spans="2:183" s="214" customFormat="1" x14ac:dyDescent="0.2">
      <c r="B255" s="610" t="s">
        <v>593</v>
      </c>
      <c r="C255" s="610" t="s">
        <v>592</v>
      </c>
      <c r="D255" s="239">
        <v>0</v>
      </c>
      <c r="E255" s="239">
        <v>0</v>
      </c>
      <c r="F255" s="239">
        <v>0</v>
      </c>
      <c r="G255" s="239">
        <v>390270</v>
      </c>
      <c r="H255" s="239">
        <v>0</v>
      </c>
      <c r="I255" s="239">
        <v>390270</v>
      </c>
      <c r="J255" s="239">
        <v>0</v>
      </c>
      <c r="K255" s="239">
        <v>0</v>
      </c>
      <c r="L255" s="239">
        <v>0</v>
      </c>
      <c r="M255" s="239">
        <v>26630</v>
      </c>
      <c r="N255" s="239">
        <v>0</v>
      </c>
      <c r="O255" s="239">
        <v>26630</v>
      </c>
      <c r="P255" s="239">
        <v>416900</v>
      </c>
      <c r="Q255" s="239">
        <v>0</v>
      </c>
      <c r="R255" s="239">
        <v>416900</v>
      </c>
      <c r="S255" s="239">
        <v>-3533029</v>
      </c>
      <c r="T255" s="239">
        <v>0</v>
      </c>
      <c r="U255" s="239">
        <v>-3533029</v>
      </c>
      <c r="V255" s="239">
        <v>-25701</v>
      </c>
      <c r="W255" s="239">
        <v>0</v>
      </c>
      <c r="X255" s="239">
        <v>-25701</v>
      </c>
      <c r="Y255" s="239">
        <v>-128034</v>
      </c>
      <c r="Z255" s="239">
        <v>0</v>
      </c>
      <c r="AA255" s="239">
        <v>-128034</v>
      </c>
      <c r="AB255" s="239">
        <v>-98766</v>
      </c>
      <c r="AC255" s="239">
        <v>0</v>
      </c>
      <c r="AD255" s="239">
        <v>-98766</v>
      </c>
      <c r="AE255" s="239">
        <v>1097</v>
      </c>
      <c r="AF255" s="239">
        <v>0</v>
      </c>
      <c r="AG255" s="239">
        <v>1097</v>
      </c>
      <c r="AH255" s="239">
        <v>2959186</v>
      </c>
      <c r="AI255" s="239">
        <v>0</v>
      </c>
      <c r="AJ255" s="239">
        <v>2959186</v>
      </c>
      <c r="AK255" s="239">
        <v>-69970</v>
      </c>
      <c r="AL255" s="239">
        <v>0</v>
      </c>
      <c r="AM255" s="239">
        <v>-69970</v>
      </c>
      <c r="AN255" s="239">
        <v>-9226386</v>
      </c>
      <c r="AO255" s="239">
        <v>0</v>
      </c>
      <c r="AP255" s="239">
        <v>-9226386</v>
      </c>
      <c r="AQ255" s="239">
        <v>-69457</v>
      </c>
      <c r="AR255" s="239">
        <v>0</v>
      </c>
      <c r="AS255" s="239">
        <v>-69457</v>
      </c>
      <c r="AT255" s="239">
        <v>-52252</v>
      </c>
      <c r="AU255" s="239">
        <v>0</v>
      </c>
      <c r="AV255" s="239">
        <v>-52252</v>
      </c>
      <c r="AW255" s="239">
        <v>0</v>
      </c>
      <c r="AX255" s="239">
        <v>0</v>
      </c>
      <c r="AY255" s="239">
        <v>0</v>
      </c>
      <c r="AZ255" s="239">
        <v>0</v>
      </c>
      <c r="BA255" s="239">
        <v>0</v>
      </c>
      <c r="BB255" s="239">
        <v>0</v>
      </c>
      <c r="BC255" s="239">
        <v>0</v>
      </c>
      <c r="BD255" s="239">
        <v>0</v>
      </c>
      <c r="BE255" s="239">
        <v>0</v>
      </c>
      <c r="BF255" s="239">
        <v>-10119942</v>
      </c>
      <c r="BG255" s="239">
        <v>0</v>
      </c>
      <c r="BH255" s="239">
        <v>-10119942</v>
      </c>
      <c r="BI255" s="239">
        <v>0</v>
      </c>
      <c r="BJ255" s="239">
        <v>0</v>
      </c>
      <c r="BK255" s="239">
        <v>0</v>
      </c>
      <c r="BL255" s="239">
        <v>-18881</v>
      </c>
      <c r="BM255" s="239">
        <v>0</v>
      </c>
      <c r="BN255" s="239">
        <v>-18881</v>
      </c>
      <c r="BO255" s="239">
        <v>-4133626</v>
      </c>
      <c r="BP255" s="239">
        <v>0</v>
      </c>
      <c r="BQ255" s="239">
        <v>-4133626</v>
      </c>
      <c r="BR255" s="239">
        <v>267627</v>
      </c>
      <c r="BS255" s="239">
        <v>0</v>
      </c>
      <c r="BT255" s="239">
        <v>267627</v>
      </c>
      <c r="BU255" s="239">
        <v>-3884880</v>
      </c>
      <c r="BV255" s="239">
        <v>0</v>
      </c>
      <c r="BW255" s="239">
        <v>-3884880</v>
      </c>
      <c r="BX255" s="239">
        <v>0</v>
      </c>
      <c r="BY255" s="239">
        <v>0</v>
      </c>
      <c r="BZ255" s="239">
        <v>0</v>
      </c>
      <c r="CA255" s="239">
        <v>0</v>
      </c>
      <c r="CB255" s="239">
        <v>0</v>
      </c>
      <c r="CC255" s="239">
        <v>0</v>
      </c>
      <c r="CD255" s="239">
        <v>-105949</v>
      </c>
      <c r="CE255" s="239">
        <v>0</v>
      </c>
      <c r="CF255" s="239">
        <v>-105949</v>
      </c>
      <c r="CG255" s="239">
        <v>286</v>
      </c>
      <c r="CH255" s="239">
        <v>0</v>
      </c>
      <c r="CI255" s="239">
        <v>286</v>
      </c>
      <c r="CJ255" s="239">
        <v>0</v>
      </c>
      <c r="CK255" s="239">
        <v>0</v>
      </c>
      <c r="CL255" s="239">
        <v>0</v>
      </c>
      <c r="CM255" s="239">
        <v>0</v>
      </c>
      <c r="CN255" s="239">
        <v>0</v>
      </c>
      <c r="CO255" s="239">
        <v>0</v>
      </c>
      <c r="CP255" s="239">
        <v>0</v>
      </c>
      <c r="CQ255" s="239">
        <v>0</v>
      </c>
      <c r="CR255" s="239">
        <v>0</v>
      </c>
      <c r="CS255" s="239">
        <v>0</v>
      </c>
      <c r="CT255" s="239">
        <v>0</v>
      </c>
      <c r="CU255" s="239">
        <v>0</v>
      </c>
      <c r="CV255" s="239">
        <v>0</v>
      </c>
      <c r="CW255" s="239">
        <v>0</v>
      </c>
      <c r="CX255" s="239">
        <v>0</v>
      </c>
      <c r="CY255" s="239">
        <v>0</v>
      </c>
      <c r="CZ255" s="239">
        <v>0</v>
      </c>
      <c r="DA255" s="239">
        <v>0</v>
      </c>
      <c r="DB255" s="239">
        <v>0</v>
      </c>
      <c r="DC255" s="239">
        <v>0</v>
      </c>
      <c r="DD255" s="239">
        <v>0</v>
      </c>
      <c r="DE255" s="239">
        <v>0</v>
      </c>
      <c r="DF255" s="239">
        <v>0</v>
      </c>
      <c r="DG255" s="239">
        <v>0</v>
      </c>
      <c r="DH255" s="239">
        <v>0</v>
      </c>
      <c r="DI255" s="239">
        <v>0</v>
      </c>
      <c r="DJ255" s="239">
        <v>-105663</v>
      </c>
      <c r="DK255" s="239">
        <v>0</v>
      </c>
      <c r="DL255" s="239">
        <v>-105663</v>
      </c>
      <c r="DM255" s="239">
        <v>0</v>
      </c>
      <c r="DN255" s="239">
        <v>0</v>
      </c>
      <c r="DO255" s="239">
        <v>0</v>
      </c>
      <c r="DP255" s="239">
        <v>0</v>
      </c>
      <c r="DQ255" s="239">
        <v>0</v>
      </c>
      <c r="DR255" s="239">
        <v>0</v>
      </c>
      <c r="DS255" s="239">
        <v>-52224</v>
      </c>
      <c r="DT255" s="239">
        <v>0</v>
      </c>
      <c r="DU255" s="239">
        <v>-52224</v>
      </c>
      <c r="DV255" s="239">
        <v>46</v>
      </c>
      <c r="DW255" s="239">
        <v>0</v>
      </c>
      <c r="DX255" s="239">
        <v>46</v>
      </c>
      <c r="DY255" s="239">
        <v>-995808</v>
      </c>
      <c r="DZ255" s="239">
        <v>0</v>
      </c>
      <c r="EA255" s="239">
        <v>-995808</v>
      </c>
      <c r="EB255" s="239">
        <v>-26633</v>
      </c>
      <c r="EC255" s="239">
        <v>0</v>
      </c>
      <c r="ED255" s="239">
        <v>-26633</v>
      </c>
      <c r="EE255" s="239">
        <v>0</v>
      </c>
      <c r="EF255" s="239">
        <v>0</v>
      </c>
      <c r="EG255" s="239">
        <v>0</v>
      </c>
      <c r="EH255" s="239">
        <v>0</v>
      </c>
      <c r="EI255" s="239">
        <v>0</v>
      </c>
      <c r="EJ255" s="239">
        <v>0</v>
      </c>
      <c r="EK255" s="239">
        <v>-14015</v>
      </c>
      <c r="EL255" s="239">
        <v>0</v>
      </c>
      <c r="EM255" s="239">
        <v>-14015</v>
      </c>
      <c r="EN255" s="239">
        <v>-1088634</v>
      </c>
      <c r="EO255" s="239">
        <v>0</v>
      </c>
      <c r="EP255" s="239">
        <v>-1088634</v>
      </c>
      <c r="EQ255" s="239">
        <v>0</v>
      </c>
      <c r="ER255" s="239">
        <v>0</v>
      </c>
      <c r="ES255" s="239">
        <v>0</v>
      </c>
      <c r="ET255" s="239">
        <v>0</v>
      </c>
      <c r="EU255" s="239">
        <v>0</v>
      </c>
      <c r="EV255" s="239">
        <v>0</v>
      </c>
      <c r="EW255" s="239">
        <v>0</v>
      </c>
      <c r="EX255" s="239">
        <v>0</v>
      </c>
      <c r="EY255" s="239">
        <v>0</v>
      </c>
      <c r="EZ255" s="239">
        <v>117846475</v>
      </c>
      <c r="FA255" s="239">
        <v>0</v>
      </c>
      <c r="FB255" s="239">
        <v>117846475</v>
      </c>
      <c r="FC255" s="239">
        <v>416900</v>
      </c>
      <c r="FD255" s="239">
        <v>0</v>
      </c>
      <c r="FE255" s="239">
        <v>416900</v>
      </c>
      <c r="FF255" s="239">
        <v>-10119942</v>
      </c>
      <c r="FG255" s="239">
        <v>0</v>
      </c>
      <c r="FH255" s="239">
        <v>-10119942</v>
      </c>
      <c r="FI255" s="239">
        <v>-3884880</v>
      </c>
      <c r="FJ255" s="239">
        <v>0</v>
      </c>
      <c r="FK255" s="239">
        <v>-3884880</v>
      </c>
      <c r="FL255" s="239">
        <v>-105663</v>
      </c>
      <c r="FM255" s="239">
        <v>0</v>
      </c>
      <c r="FN255" s="239">
        <v>-105663</v>
      </c>
      <c r="FO255" s="239">
        <v>-1088634</v>
      </c>
      <c r="FP255" s="239">
        <v>0</v>
      </c>
      <c r="FQ255" s="239">
        <v>-1088634</v>
      </c>
      <c r="FR255" s="239">
        <v>0</v>
      </c>
      <c r="FS255" s="239">
        <v>0</v>
      </c>
      <c r="FT255" s="239">
        <v>0</v>
      </c>
      <c r="FU255" s="239">
        <v>-14782219</v>
      </c>
      <c r="FV255" s="239">
        <v>0</v>
      </c>
      <c r="FW255" s="239">
        <v>-14782219</v>
      </c>
      <c r="FX255" s="239">
        <v>103064256</v>
      </c>
      <c r="FY255" s="239">
        <v>0</v>
      </c>
      <c r="FZ255" s="239">
        <v>103064256</v>
      </c>
      <c r="GA255" s="214" t="s">
        <v>748</v>
      </c>
    </row>
    <row r="256" spans="2:183" s="214" customFormat="1" x14ac:dyDescent="0.2">
      <c r="B256" s="610" t="s">
        <v>595</v>
      </c>
      <c r="C256" s="610" t="s">
        <v>594</v>
      </c>
      <c r="D256" s="239">
        <v>0</v>
      </c>
      <c r="E256" s="239">
        <v>0</v>
      </c>
      <c r="F256" s="239">
        <v>0</v>
      </c>
      <c r="G256" s="239">
        <v>15337</v>
      </c>
      <c r="H256" s="239">
        <v>0</v>
      </c>
      <c r="I256" s="239">
        <v>15337</v>
      </c>
      <c r="J256" s="239">
        <v>0</v>
      </c>
      <c r="K256" s="239">
        <v>0</v>
      </c>
      <c r="L256" s="239">
        <v>0</v>
      </c>
      <c r="M256" s="239">
        <v>289382</v>
      </c>
      <c r="N256" s="239">
        <v>0</v>
      </c>
      <c r="O256" s="239">
        <v>289382</v>
      </c>
      <c r="P256" s="239">
        <v>304719</v>
      </c>
      <c r="Q256" s="239">
        <v>0</v>
      </c>
      <c r="R256" s="239">
        <v>304719</v>
      </c>
      <c r="S256" s="239">
        <v>-4948137</v>
      </c>
      <c r="T256" s="239">
        <v>0</v>
      </c>
      <c r="U256" s="239">
        <v>-4948137</v>
      </c>
      <c r="V256" s="239">
        <v>-24805</v>
      </c>
      <c r="W256" s="239">
        <v>0</v>
      </c>
      <c r="X256" s="239">
        <v>-24805</v>
      </c>
      <c r="Y256" s="239">
        <v>-194909</v>
      </c>
      <c r="Z256" s="239">
        <v>0</v>
      </c>
      <c r="AA256" s="239">
        <v>-194909</v>
      </c>
      <c r="AB256" s="239">
        <v>-116141</v>
      </c>
      <c r="AC256" s="239">
        <v>0</v>
      </c>
      <c r="AD256" s="239">
        <v>-116141</v>
      </c>
      <c r="AE256" s="239">
        <v>657</v>
      </c>
      <c r="AF256" s="239">
        <v>0</v>
      </c>
      <c r="AG256" s="239">
        <v>657</v>
      </c>
      <c r="AH256" s="239">
        <v>1248310</v>
      </c>
      <c r="AI256" s="239">
        <v>0</v>
      </c>
      <c r="AJ256" s="239">
        <v>1248310</v>
      </c>
      <c r="AK256" s="239">
        <v>2078</v>
      </c>
      <c r="AL256" s="239">
        <v>0</v>
      </c>
      <c r="AM256" s="239">
        <v>2078</v>
      </c>
      <c r="AN256" s="239">
        <v>-4161550</v>
      </c>
      <c r="AO256" s="239">
        <v>0</v>
      </c>
      <c r="AP256" s="239">
        <v>-4161550</v>
      </c>
      <c r="AQ256" s="239">
        <v>-352461</v>
      </c>
      <c r="AR256" s="239">
        <v>0</v>
      </c>
      <c r="AS256" s="239">
        <v>-352461</v>
      </c>
      <c r="AT256" s="239">
        <v>-57324</v>
      </c>
      <c r="AU256" s="239">
        <v>0</v>
      </c>
      <c r="AV256" s="239">
        <v>-57324</v>
      </c>
      <c r="AW256" s="239">
        <v>-39138</v>
      </c>
      <c r="AX256" s="239">
        <v>0</v>
      </c>
      <c r="AY256" s="239">
        <v>-39138</v>
      </c>
      <c r="AZ256" s="239">
        <v>0</v>
      </c>
      <c r="BA256" s="239">
        <v>0</v>
      </c>
      <c r="BB256" s="239">
        <v>0</v>
      </c>
      <c r="BC256" s="239">
        <v>0</v>
      </c>
      <c r="BD256" s="239">
        <v>0</v>
      </c>
      <c r="BE256" s="239">
        <v>0</v>
      </c>
      <c r="BF256" s="239">
        <v>-8503131</v>
      </c>
      <c r="BG256" s="239">
        <v>0</v>
      </c>
      <c r="BH256" s="239">
        <v>-8503131</v>
      </c>
      <c r="BI256" s="239">
        <v>-9591</v>
      </c>
      <c r="BJ256" s="239">
        <v>0</v>
      </c>
      <c r="BK256" s="239">
        <v>-9591</v>
      </c>
      <c r="BL256" s="239">
        <v>-827</v>
      </c>
      <c r="BM256" s="239">
        <v>0</v>
      </c>
      <c r="BN256" s="239">
        <v>-827</v>
      </c>
      <c r="BO256" s="239">
        <v>-1432740</v>
      </c>
      <c r="BP256" s="239">
        <v>0</v>
      </c>
      <c r="BQ256" s="239">
        <v>-1432740</v>
      </c>
      <c r="BR256" s="239">
        <v>-25844</v>
      </c>
      <c r="BS256" s="239">
        <v>0</v>
      </c>
      <c r="BT256" s="239">
        <v>-25844</v>
      </c>
      <c r="BU256" s="239">
        <v>-1469002</v>
      </c>
      <c r="BV256" s="239">
        <v>0</v>
      </c>
      <c r="BW256" s="239">
        <v>-1469002</v>
      </c>
      <c r="BX256" s="239">
        <v>-90541</v>
      </c>
      <c r="BY256" s="239">
        <v>0</v>
      </c>
      <c r="BZ256" s="239">
        <v>-90541</v>
      </c>
      <c r="CA256" s="239">
        <v>-985</v>
      </c>
      <c r="CB256" s="239">
        <v>0</v>
      </c>
      <c r="CC256" s="239">
        <v>-985</v>
      </c>
      <c r="CD256" s="239">
        <v>-5379</v>
      </c>
      <c r="CE256" s="239">
        <v>0</v>
      </c>
      <c r="CF256" s="239">
        <v>-5379</v>
      </c>
      <c r="CG256" s="239">
        <v>0</v>
      </c>
      <c r="CH256" s="239">
        <v>0</v>
      </c>
      <c r="CI256" s="239">
        <v>0</v>
      </c>
      <c r="CJ256" s="239">
        <v>-2638</v>
      </c>
      <c r="CK256" s="239">
        <v>0</v>
      </c>
      <c r="CL256" s="239">
        <v>-2638</v>
      </c>
      <c r="CM256" s="239">
        <v>0</v>
      </c>
      <c r="CN256" s="239">
        <v>0</v>
      </c>
      <c r="CO256" s="239">
        <v>0</v>
      </c>
      <c r="CP256" s="239">
        <v>0</v>
      </c>
      <c r="CQ256" s="239">
        <v>0</v>
      </c>
      <c r="CR256" s="239">
        <v>0</v>
      </c>
      <c r="CS256" s="239">
        <v>0</v>
      </c>
      <c r="CT256" s="239">
        <v>0</v>
      </c>
      <c r="CU256" s="239">
        <v>0</v>
      </c>
      <c r="CV256" s="239">
        <v>0</v>
      </c>
      <c r="CW256" s="239">
        <v>0</v>
      </c>
      <c r="CX256" s="239">
        <v>0</v>
      </c>
      <c r="CY256" s="239">
        <v>0</v>
      </c>
      <c r="CZ256" s="239">
        <v>0</v>
      </c>
      <c r="DA256" s="239">
        <v>0</v>
      </c>
      <c r="DB256" s="239">
        <v>0</v>
      </c>
      <c r="DC256" s="239">
        <v>0</v>
      </c>
      <c r="DD256" s="239">
        <v>0</v>
      </c>
      <c r="DE256" s="239">
        <v>0</v>
      </c>
      <c r="DF256" s="239">
        <v>0</v>
      </c>
      <c r="DG256" s="239">
        <v>0</v>
      </c>
      <c r="DH256" s="239">
        <v>0</v>
      </c>
      <c r="DI256" s="239">
        <v>0</v>
      </c>
      <c r="DJ256" s="239">
        <v>-99543</v>
      </c>
      <c r="DK256" s="239">
        <v>0</v>
      </c>
      <c r="DL256" s="239">
        <v>-99543</v>
      </c>
      <c r="DM256" s="239">
        <v>-28611</v>
      </c>
      <c r="DN256" s="239">
        <v>0</v>
      </c>
      <c r="DO256" s="239">
        <v>-28611</v>
      </c>
      <c r="DP256" s="239">
        <v>0</v>
      </c>
      <c r="DQ256" s="239">
        <v>0</v>
      </c>
      <c r="DR256" s="239">
        <v>0</v>
      </c>
      <c r="DS256" s="239">
        <v>-17350</v>
      </c>
      <c r="DT256" s="239">
        <v>0</v>
      </c>
      <c r="DU256" s="239">
        <v>-17350</v>
      </c>
      <c r="DV256" s="239">
        <v>0</v>
      </c>
      <c r="DW256" s="239">
        <v>0</v>
      </c>
      <c r="DX256" s="239">
        <v>0</v>
      </c>
      <c r="DY256" s="239">
        <v>-948226</v>
      </c>
      <c r="DZ256" s="239">
        <v>0</v>
      </c>
      <c r="EA256" s="239">
        <v>-948226</v>
      </c>
      <c r="EB256" s="239">
        <v>-60863</v>
      </c>
      <c r="EC256" s="239">
        <v>0</v>
      </c>
      <c r="ED256" s="239">
        <v>-60863</v>
      </c>
      <c r="EE256" s="239">
        <v>0</v>
      </c>
      <c r="EF256" s="239">
        <v>0</v>
      </c>
      <c r="EG256" s="239">
        <v>0</v>
      </c>
      <c r="EH256" s="239">
        <v>0</v>
      </c>
      <c r="EI256" s="239">
        <v>0</v>
      </c>
      <c r="EJ256" s="239">
        <v>0</v>
      </c>
      <c r="EK256" s="239">
        <v>556</v>
      </c>
      <c r="EL256" s="239">
        <v>0</v>
      </c>
      <c r="EM256" s="239">
        <v>556</v>
      </c>
      <c r="EN256" s="239">
        <v>-1054494</v>
      </c>
      <c r="EO256" s="239">
        <v>0</v>
      </c>
      <c r="EP256" s="239">
        <v>-1054494</v>
      </c>
      <c r="EQ256" s="239">
        <v>0</v>
      </c>
      <c r="ER256" s="239">
        <v>0</v>
      </c>
      <c r="ES256" s="239">
        <v>0</v>
      </c>
      <c r="ET256" s="239">
        <v>0</v>
      </c>
      <c r="EU256" s="239">
        <v>0</v>
      </c>
      <c r="EV256" s="239">
        <v>0</v>
      </c>
      <c r="EW256" s="239">
        <v>0</v>
      </c>
      <c r="EX256" s="239">
        <v>0</v>
      </c>
      <c r="EY256" s="239">
        <v>0</v>
      </c>
      <c r="EZ256" s="239">
        <v>56871411</v>
      </c>
      <c r="FA256" s="239">
        <v>0</v>
      </c>
      <c r="FB256" s="239">
        <v>56871411</v>
      </c>
      <c r="FC256" s="239">
        <v>304719</v>
      </c>
      <c r="FD256" s="239">
        <v>0</v>
      </c>
      <c r="FE256" s="239">
        <v>304719</v>
      </c>
      <c r="FF256" s="239">
        <v>-8503131</v>
      </c>
      <c r="FG256" s="239">
        <v>0</v>
      </c>
      <c r="FH256" s="239">
        <v>-8503131</v>
      </c>
      <c r="FI256" s="239">
        <v>-1469002</v>
      </c>
      <c r="FJ256" s="239">
        <v>0</v>
      </c>
      <c r="FK256" s="239">
        <v>-1469002</v>
      </c>
      <c r="FL256" s="239">
        <v>-99543</v>
      </c>
      <c r="FM256" s="239">
        <v>0</v>
      </c>
      <c r="FN256" s="239">
        <v>-99543</v>
      </c>
      <c r="FO256" s="239">
        <v>-1054494</v>
      </c>
      <c r="FP256" s="239">
        <v>0</v>
      </c>
      <c r="FQ256" s="239">
        <v>-1054494</v>
      </c>
      <c r="FR256" s="239">
        <v>0</v>
      </c>
      <c r="FS256" s="239">
        <v>0</v>
      </c>
      <c r="FT256" s="239">
        <v>0</v>
      </c>
      <c r="FU256" s="239">
        <v>-10821451</v>
      </c>
      <c r="FV256" s="239">
        <v>0</v>
      </c>
      <c r="FW256" s="239">
        <v>-10821451</v>
      </c>
      <c r="FX256" s="239">
        <v>46049960</v>
      </c>
      <c r="FY256" s="239">
        <v>0</v>
      </c>
      <c r="FZ256" s="239">
        <v>46049960</v>
      </c>
      <c r="GA256" s="214" t="s">
        <v>748</v>
      </c>
    </row>
    <row r="257" spans="2:183" s="214" customFormat="1" x14ac:dyDescent="0.2">
      <c r="B257" s="610" t="s">
        <v>597</v>
      </c>
      <c r="C257" s="610" t="s">
        <v>596</v>
      </c>
      <c r="D257" s="239">
        <v>0</v>
      </c>
      <c r="E257" s="239">
        <v>0</v>
      </c>
      <c r="F257" s="239">
        <v>0</v>
      </c>
      <c r="G257" s="239">
        <v>-334815</v>
      </c>
      <c r="H257" s="239">
        <v>0</v>
      </c>
      <c r="I257" s="239">
        <v>-334815</v>
      </c>
      <c r="J257" s="239">
        <v>0</v>
      </c>
      <c r="K257" s="239">
        <v>0</v>
      </c>
      <c r="L257" s="239">
        <v>0</v>
      </c>
      <c r="M257" s="239">
        <v>394642</v>
      </c>
      <c r="N257" s="239">
        <v>0</v>
      </c>
      <c r="O257" s="239">
        <v>394642</v>
      </c>
      <c r="P257" s="239">
        <v>59827</v>
      </c>
      <c r="Q257" s="239">
        <v>0</v>
      </c>
      <c r="R257" s="239">
        <v>59827</v>
      </c>
      <c r="S257" s="239">
        <v>-5718489</v>
      </c>
      <c r="T257" s="239">
        <v>0</v>
      </c>
      <c r="U257" s="239">
        <v>-5718489</v>
      </c>
      <c r="V257" s="239">
        <v>-14582</v>
      </c>
      <c r="W257" s="239">
        <v>0</v>
      </c>
      <c r="X257" s="239">
        <v>-14582</v>
      </c>
      <c r="Y257" s="239">
        <v>-247034</v>
      </c>
      <c r="Z257" s="239">
        <v>0</v>
      </c>
      <c r="AA257" s="239">
        <v>-247034</v>
      </c>
      <c r="AB257" s="239">
        <v>0</v>
      </c>
      <c r="AC257" s="239">
        <v>0</v>
      </c>
      <c r="AD257" s="239">
        <v>0</v>
      </c>
      <c r="AE257" s="239">
        <v>562</v>
      </c>
      <c r="AF257" s="239">
        <v>0</v>
      </c>
      <c r="AG257" s="239">
        <v>562</v>
      </c>
      <c r="AH257" s="239">
        <v>6291331</v>
      </c>
      <c r="AI257" s="239">
        <v>0</v>
      </c>
      <c r="AJ257" s="239">
        <v>6291331</v>
      </c>
      <c r="AK257" s="239">
        <v>-14632</v>
      </c>
      <c r="AL257" s="239">
        <v>0</v>
      </c>
      <c r="AM257" s="239">
        <v>-14632</v>
      </c>
      <c r="AN257" s="239">
        <v>-24426055</v>
      </c>
      <c r="AO257" s="239">
        <v>0</v>
      </c>
      <c r="AP257" s="239">
        <v>-24426055</v>
      </c>
      <c r="AQ257" s="239">
        <v>435084</v>
      </c>
      <c r="AR257" s="239">
        <v>0</v>
      </c>
      <c r="AS257" s="239">
        <v>435084</v>
      </c>
      <c r="AT257" s="239">
        <v>-44895</v>
      </c>
      <c r="AU257" s="239">
        <v>0</v>
      </c>
      <c r="AV257" s="239">
        <v>-44895</v>
      </c>
      <c r="AW257" s="239">
        <v>0</v>
      </c>
      <c r="AX257" s="239">
        <v>0</v>
      </c>
      <c r="AY257" s="239">
        <v>0</v>
      </c>
      <c r="AZ257" s="239">
        <v>0</v>
      </c>
      <c r="BA257" s="239">
        <v>0</v>
      </c>
      <c r="BB257" s="239">
        <v>0</v>
      </c>
      <c r="BC257" s="239">
        <v>0</v>
      </c>
      <c r="BD257" s="239">
        <v>0</v>
      </c>
      <c r="BE257" s="239">
        <v>0</v>
      </c>
      <c r="BF257" s="239">
        <v>-23724690</v>
      </c>
      <c r="BG257" s="239">
        <v>0</v>
      </c>
      <c r="BH257" s="239">
        <v>-23724690</v>
      </c>
      <c r="BI257" s="239">
        <v>-491006</v>
      </c>
      <c r="BJ257" s="239">
        <v>0</v>
      </c>
      <c r="BK257" s="239">
        <v>-491006</v>
      </c>
      <c r="BL257" s="239">
        <v>-39194</v>
      </c>
      <c r="BM257" s="239">
        <v>0</v>
      </c>
      <c r="BN257" s="239">
        <v>-39194</v>
      </c>
      <c r="BO257" s="239">
        <v>-5155892</v>
      </c>
      <c r="BP257" s="239">
        <v>0</v>
      </c>
      <c r="BQ257" s="239">
        <v>-5155892</v>
      </c>
      <c r="BR257" s="239">
        <v>806514</v>
      </c>
      <c r="BS257" s="239">
        <v>0</v>
      </c>
      <c r="BT257" s="239">
        <v>806514</v>
      </c>
      <c r="BU257" s="239">
        <v>-4879578</v>
      </c>
      <c r="BV257" s="239">
        <v>0</v>
      </c>
      <c r="BW257" s="239">
        <v>-4879578</v>
      </c>
      <c r="BX257" s="239">
        <v>-292081</v>
      </c>
      <c r="BY257" s="239">
        <v>0</v>
      </c>
      <c r="BZ257" s="239">
        <v>-292081</v>
      </c>
      <c r="CA257" s="239">
        <v>18039</v>
      </c>
      <c r="CB257" s="239">
        <v>0</v>
      </c>
      <c r="CC257" s="239">
        <v>18039</v>
      </c>
      <c r="CD257" s="239">
        <v>-12456</v>
      </c>
      <c r="CE257" s="239">
        <v>0</v>
      </c>
      <c r="CF257" s="239">
        <v>-12456</v>
      </c>
      <c r="CG257" s="239">
        <v>0</v>
      </c>
      <c r="CH257" s="239">
        <v>0</v>
      </c>
      <c r="CI257" s="239">
        <v>0</v>
      </c>
      <c r="CJ257" s="239">
        <v>0</v>
      </c>
      <c r="CK257" s="239">
        <v>0</v>
      </c>
      <c r="CL257" s="239">
        <v>0</v>
      </c>
      <c r="CM257" s="239">
        <v>0</v>
      </c>
      <c r="CN257" s="239">
        <v>0</v>
      </c>
      <c r="CO257" s="239">
        <v>0</v>
      </c>
      <c r="CP257" s="239">
        <v>0</v>
      </c>
      <c r="CQ257" s="239">
        <v>0</v>
      </c>
      <c r="CR257" s="239">
        <v>0</v>
      </c>
      <c r="CS257" s="239">
        <v>0</v>
      </c>
      <c r="CT257" s="239">
        <v>0</v>
      </c>
      <c r="CU257" s="239">
        <v>0</v>
      </c>
      <c r="CV257" s="239">
        <v>0</v>
      </c>
      <c r="CW257" s="239">
        <v>0</v>
      </c>
      <c r="CX257" s="239">
        <v>0</v>
      </c>
      <c r="CY257" s="239">
        <v>0</v>
      </c>
      <c r="CZ257" s="239">
        <v>0</v>
      </c>
      <c r="DA257" s="239">
        <v>0</v>
      </c>
      <c r="DB257" s="239">
        <v>0</v>
      </c>
      <c r="DC257" s="239">
        <v>0</v>
      </c>
      <c r="DD257" s="239">
        <v>0</v>
      </c>
      <c r="DE257" s="239">
        <v>0</v>
      </c>
      <c r="DF257" s="239">
        <v>0</v>
      </c>
      <c r="DG257" s="239">
        <v>0</v>
      </c>
      <c r="DH257" s="239">
        <v>0</v>
      </c>
      <c r="DI257" s="239">
        <v>0</v>
      </c>
      <c r="DJ257" s="239">
        <v>-286498</v>
      </c>
      <c r="DK257" s="239">
        <v>0</v>
      </c>
      <c r="DL257" s="239">
        <v>-286498</v>
      </c>
      <c r="DM257" s="239">
        <v>0</v>
      </c>
      <c r="DN257" s="239">
        <v>0</v>
      </c>
      <c r="DO257" s="239">
        <v>0</v>
      </c>
      <c r="DP257" s="239">
        <v>0</v>
      </c>
      <c r="DQ257" s="239">
        <v>0</v>
      </c>
      <c r="DR257" s="239">
        <v>0</v>
      </c>
      <c r="DS257" s="239">
        <v>-21526</v>
      </c>
      <c r="DT257" s="239">
        <v>0</v>
      </c>
      <c r="DU257" s="239">
        <v>-21526</v>
      </c>
      <c r="DV257" s="239">
        <v>-8521</v>
      </c>
      <c r="DW257" s="239">
        <v>0</v>
      </c>
      <c r="DX257" s="239">
        <v>-8521</v>
      </c>
      <c r="DY257" s="239">
        <v>-1365633</v>
      </c>
      <c r="DZ257" s="239">
        <v>0</v>
      </c>
      <c r="EA257" s="239">
        <v>-1365633</v>
      </c>
      <c r="EB257" s="239">
        <v>-213944</v>
      </c>
      <c r="EC257" s="239">
        <v>0</v>
      </c>
      <c r="ED257" s="239">
        <v>-213944</v>
      </c>
      <c r="EE257" s="239">
        <v>0</v>
      </c>
      <c r="EF257" s="239">
        <v>0</v>
      </c>
      <c r="EG257" s="239">
        <v>0</v>
      </c>
      <c r="EH257" s="239">
        <v>0</v>
      </c>
      <c r="EI257" s="239">
        <v>0</v>
      </c>
      <c r="EJ257" s="239">
        <v>0</v>
      </c>
      <c r="EK257" s="239">
        <v>0</v>
      </c>
      <c r="EL257" s="239">
        <v>0</v>
      </c>
      <c r="EM257" s="239">
        <v>0</v>
      </c>
      <c r="EN257" s="239">
        <v>-1609624</v>
      </c>
      <c r="EO257" s="239">
        <v>0</v>
      </c>
      <c r="EP257" s="239">
        <v>-1609624</v>
      </c>
      <c r="EQ257" s="239">
        <v>0</v>
      </c>
      <c r="ER257" s="239">
        <v>0</v>
      </c>
      <c r="ES257" s="239">
        <v>0</v>
      </c>
      <c r="ET257" s="239">
        <v>0</v>
      </c>
      <c r="EU257" s="239">
        <v>0</v>
      </c>
      <c r="EV257" s="239">
        <v>0</v>
      </c>
      <c r="EW257" s="239">
        <v>0</v>
      </c>
      <c r="EX257" s="239">
        <v>0</v>
      </c>
      <c r="EY257" s="239">
        <v>0</v>
      </c>
      <c r="EZ257" s="239">
        <v>254855191</v>
      </c>
      <c r="FA257" s="239">
        <v>0</v>
      </c>
      <c r="FB257" s="239">
        <v>254855191</v>
      </c>
      <c r="FC257" s="239">
        <v>59827</v>
      </c>
      <c r="FD257" s="239">
        <v>0</v>
      </c>
      <c r="FE257" s="239">
        <v>59827</v>
      </c>
      <c r="FF257" s="239">
        <v>-23724690</v>
      </c>
      <c r="FG257" s="239">
        <v>0</v>
      </c>
      <c r="FH257" s="239">
        <v>-23724690</v>
      </c>
      <c r="FI257" s="239">
        <v>-4879578</v>
      </c>
      <c r="FJ257" s="239">
        <v>0</v>
      </c>
      <c r="FK257" s="239">
        <v>-4879578</v>
      </c>
      <c r="FL257" s="239">
        <v>-286498</v>
      </c>
      <c r="FM257" s="239">
        <v>0</v>
      </c>
      <c r="FN257" s="239">
        <v>-286498</v>
      </c>
      <c r="FO257" s="239">
        <v>-1609624</v>
      </c>
      <c r="FP257" s="239">
        <v>0</v>
      </c>
      <c r="FQ257" s="239">
        <v>-1609624</v>
      </c>
      <c r="FR257" s="239">
        <v>0</v>
      </c>
      <c r="FS257" s="239">
        <v>0</v>
      </c>
      <c r="FT257" s="239">
        <v>0</v>
      </c>
      <c r="FU257" s="239">
        <v>-30440563</v>
      </c>
      <c r="FV257" s="239">
        <v>0</v>
      </c>
      <c r="FW257" s="239">
        <v>-30440563</v>
      </c>
      <c r="FX257" s="239">
        <v>224414628</v>
      </c>
      <c r="FY257" s="239">
        <v>0</v>
      </c>
      <c r="FZ257" s="239">
        <v>224414628</v>
      </c>
      <c r="GA257" s="214" t="s">
        <v>1297</v>
      </c>
    </row>
    <row r="258" spans="2:183" s="214" customFormat="1" x14ac:dyDescent="0.2">
      <c r="B258" s="610" t="s">
        <v>599</v>
      </c>
      <c r="C258" s="610" t="s">
        <v>598</v>
      </c>
      <c r="D258" s="239">
        <v>0</v>
      </c>
      <c r="E258" s="239">
        <v>0</v>
      </c>
      <c r="F258" s="239">
        <v>0</v>
      </c>
      <c r="G258" s="239">
        <v>4786</v>
      </c>
      <c r="H258" s="239">
        <v>0</v>
      </c>
      <c r="I258" s="239">
        <v>4786</v>
      </c>
      <c r="J258" s="239">
        <v>0</v>
      </c>
      <c r="K258" s="239">
        <v>0</v>
      </c>
      <c r="L258" s="239">
        <v>0</v>
      </c>
      <c r="M258" s="239">
        <v>6826</v>
      </c>
      <c r="N258" s="239">
        <v>0</v>
      </c>
      <c r="O258" s="239">
        <v>6826</v>
      </c>
      <c r="P258" s="239">
        <v>11612</v>
      </c>
      <c r="Q258" s="239">
        <v>0</v>
      </c>
      <c r="R258" s="239">
        <v>11612</v>
      </c>
      <c r="S258" s="239">
        <v>-1292813</v>
      </c>
      <c r="T258" s="239">
        <v>0</v>
      </c>
      <c r="U258" s="239">
        <v>-1292813</v>
      </c>
      <c r="V258" s="239">
        <v>0</v>
      </c>
      <c r="W258" s="239">
        <v>0</v>
      </c>
      <c r="X258" s="239">
        <v>0</v>
      </c>
      <c r="Y258" s="239">
        <v>-133367</v>
      </c>
      <c r="Z258" s="239">
        <v>0</v>
      </c>
      <c r="AA258" s="239">
        <v>-133367</v>
      </c>
      <c r="AB258" s="239">
        <v>-72569</v>
      </c>
      <c r="AC258" s="239">
        <v>0</v>
      </c>
      <c r="AD258" s="239">
        <v>-72569</v>
      </c>
      <c r="AE258" s="239">
        <v>0</v>
      </c>
      <c r="AF258" s="239">
        <v>0</v>
      </c>
      <c r="AG258" s="239">
        <v>0</v>
      </c>
      <c r="AH258" s="239">
        <v>1201159</v>
      </c>
      <c r="AI258" s="239">
        <v>0</v>
      </c>
      <c r="AJ258" s="239">
        <v>1201159</v>
      </c>
      <c r="AK258" s="239">
        <v>-60182</v>
      </c>
      <c r="AL258" s="239">
        <v>0</v>
      </c>
      <c r="AM258" s="239">
        <v>-60182</v>
      </c>
      <c r="AN258" s="239">
        <v>-1958980</v>
      </c>
      <c r="AO258" s="239">
        <v>0</v>
      </c>
      <c r="AP258" s="239">
        <v>-1958980</v>
      </c>
      <c r="AQ258" s="239">
        <v>-311325</v>
      </c>
      <c r="AR258" s="239">
        <v>0</v>
      </c>
      <c r="AS258" s="239">
        <v>-311325</v>
      </c>
      <c r="AT258" s="239">
        <v>-29580</v>
      </c>
      <c r="AU258" s="239">
        <v>0</v>
      </c>
      <c r="AV258" s="239">
        <v>-29580</v>
      </c>
      <c r="AW258" s="239">
        <v>0</v>
      </c>
      <c r="AX258" s="239">
        <v>0</v>
      </c>
      <c r="AY258" s="239">
        <v>0</v>
      </c>
      <c r="AZ258" s="239">
        <v>0</v>
      </c>
      <c r="BA258" s="239">
        <v>0</v>
      </c>
      <c r="BB258" s="239">
        <v>0</v>
      </c>
      <c r="BC258" s="239">
        <v>0</v>
      </c>
      <c r="BD258" s="239">
        <v>0</v>
      </c>
      <c r="BE258" s="239">
        <v>0</v>
      </c>
      <c r="BF258" s="239">
        <v>-2585088</v>
      </c>
      <c r="BG258" s="239">
        <v>0</v>
      </c>
      <c r="BH258" s="239">
        <v>-2585088</v>
      </c>
      <c r="BI258" s="239">
        <v>-14966</v>
      </c>
      <c r="BJ258" s="239">
        <v>0</v>
      </c>
      <c r="BK258" s="239">
        <v>-14966</v>
      </c>
      <c r="BL258" s="239">
        <v>-14898</v>
      </c>
      <c r="BM258" s="239">
        <v>0</v>
      </c>
      <c r="BN258" s="239">
        <v>-14898</v>
      </c>
      <c r="BO258" s="239">
        <v>-1321219</v>
      </c>
      <c r="BP258" s="239">
        <v>0</v>
      </c>
      <c r="BQ258" s="239">
        <v>-1321219</v>
      </c>
      <c r="BR258" s="239">
        <v>449964</v>
      </c>
      <c r="BS258" s="239">
        <v>0</v>
      </c>
      <c r="BT258" s="239">
        <v>449964</v>
      </c>
      <c r="BU258" s="239">
        <v>-901119</v>
      </c>
      <c r="BV258" s="239">
        <v>0</v>
      </c>
      <c r="BW258" s="239">
        <v>-901119</v>
      </c>
      <c r="BX258" s="239">
        <v>-51562</v>
      </c>
      <c r="BY258" s="239">
        <v>0</v>
      </c>
      <c r="BZ258" s="239">
        <v>-51562</v>
      </c>
      <c r="CA258" s="239">
        <v>-1954</v>
      </c>
      <c r="CB258" s="239">
        <v>0</v>
      </c>
      <c r="CC258" s="239">
        <v>-1954</v>
      </c>
      <c r="CD258" s="239">
        <v>-46190</v>
      </c>
      <c r="CE258" s="239">
        <v>0</v>
      </c>
      <c r="CF258" s="239">
        <v>-46190</v>
      </c>
      <c r="CG258" s="239">
        <v>25943</v>
      </c>
      <c r="CH258" s="239">
        <v>0</v>
      </c>
      <c r="CI258" s="239">
        <v>25943</v>
      </c>
      <c r="CJ258" s="239">
        <v>-6754</v>
      </c>
      <c r="CK258" s="239">
        <v>0</v>
      </c>
      <c r="CL258" s="239">
        <v>-6754</v>
      </c>
      <c r="CM258" s="239">
        <v>0</v>
      </c>
      <c r="CN258" s="239">
        <v>0</v>
      </c>
      <c r="CO258" s="239">
        <v>0</v>
      </c>
      <c r="CP258" s="239">
        <v>0</v>
      </c>
      <c r="CQ258" s="239">
        <v>0</v>
      </c>
      <c r="CR258" s="239">
        <v>0</v>
      </c>
      <c r="CS258" s="239">
        <v>0</v>
      </c>
      <c r="CT258" s="239">
        <v>0</v>
      </c>
      <c r="CU258" s="239">
        <v>0</v>
      </c>
      <c r="CV258" s="239">
        <v>0</v>
      </c>
      <c r="CW258" s="239">
        <v>0</v>
      </c>
      <c r="CX258" s="239">
        <v>0</v>
      </c>
      <c r="CY258" s="239">
        <v>0</v>
      </c>
      <c r="CZ258" s="239">
        <v>0</v>
      </c>
      <c r="DA258" s="239">
        <v>0</v>
      </c>
      <c r="DB258" s="239">
        <v>0</v>
      </c>
      <c r="DC258" s="239">
        <v>0</v>
      </c>
      <c r="DD258" s="239">
        <v>0</v>
      </c>
      <c r="DE258" s="239">
        <v>406</v>
      </c>
      <c r="DF258" s="239">
        <v>0</v>
      </c>
      <c r="DG258" s="239">
        <v>406</v>
      </c>
      <c r="DH258" s="239">
        <v>0</v>
      </c>
      <c r="DI258" s="239">
        <v>0</v>
      </c>
      <c r="DJ258" s="239">
        <v>-80111</v>
      </c>
      <c r="DK258" s="239">
        <v>0</v>
      </c>
      <c r="DL258" s="239">
        <v>-80111</v>
      </c>
      <c r="DM258" s="239">
        <v>0</v>
      </c>
      <c r="DN258" s="239">
        <v>0</v>
      </c>
      <c r="DO258" s="239">
        <v>0</v>
      </c>
      <c r="DP258" s="239">
        <v>0</v>
      </c>
      <c r="DQ258" s="239">
        <v>0</v>
      </c>
      <c r="DR258" s="239">
        <v>0</v>
      </c>
      <c r="DS258" s="239">
        <v>-3960</v>
      </c>
      <c r="DT258" s="239">
        <v>0</v>
      </c>
      <c r="DU258" s="239">
        <v>-3960</v>
      </c>
      <c r="DV258" s="239">
        <v>-713</v>
      </c>
      <c r="DW258" s="239">
        <v>0</v>
      </c>
      <c r="DX258" s="239">
        <v>-713</v>
      </c>
      <c r="DY258" s="239">
        <v>-455668</v>
      </c>
      <c r="DZ258" s="239">
        <v>0</v>
      </c>
      <c r="EA258" s="239">
        <v>-455668</v>
      </c>
      <c r="EB258" s="239">
        <v>-32251</v>
      </c>
      <c r="EC258" s="239">
        <v>0</v>
      </c>
      <c r="ED258" s="239">
        <v>-32251</v>
      </c>
      <c r="EE258" s="239">
        <v>0</v>
      </c>
      <c r="EF258" s="239">
        <v>0</v>
      </c>
      <c r="EG258" s="239">
        <v>0</v>
      </c>
      <c r="EH258" s="239">
        <v>0</v>
      </c>
      <c r="EI258" s="239">
        <v>0</v>
      </c>
      <c r="EJ258" s="239">
        <v>0</v>
      </c>
      <c r="EK258" s="239">
        <v>-1907</v>
      </c>
      <c r="EL258" s="239">
        <v>0</v>
      </c>
      <c r="EM258" s="239">
        <v>-1907</v>
      </c>
      <c r="EN258" s="239">
        <v>-494499</v>
      </c>
      <c r="EO258" s="239">
        <v>0</v>
      </c>
      <c r="EP258" s="239">
        <v>-494499</v>
      </c>
      <c r="EQ258" s="239">
        <v>0</v>
      </c>
      <c r="ER258" s="239">
        <v>0</v>
      </c>
      <c r="ES258" s="239">
        <v>0</v>
      </c>
      <c r="ET258" s="239">
        <v>0</v>
      </c>
      <c r="EU258" s="239">
        <v>0</v>
      </c>
      <c r="EV258" s="239">
        <v>0</v>
      </c>
      <c r="EW258" s="239">
        <v>0</v>
      </c>
      <c r="EX258" s="239">
        <v>0</v>
      </c>
      <c r="EY258" s="239">
        <v>0</v>
      </c>
      <c r="EZ258" s="239">
        <v>46016702</v>
      </c>
      <c r="FA258" s="239">
        <v>0</v>
      </c>
      <c r="FB258" s="239">
        <v>46016702</v>
      </c>
      <c r="FC258" s="239">
        <v>11612</v>
      </c>
      <c r="FD258" s="239">
        <v>0</v>
      </c>
      <c r="FE258" s="239">
        <v>11612</v>
      </c>
      <c r="FF258" s="239">
        <v>-2585088</v>
      </c>
      <c r="FG258" s="239">
        <v>0</v>
      </c>
      <c r="FH258" s="239">
        <v>-2585088</v>
      </c>
      <c r="FI258" s="239">
        <v>-901119</v>
      </c>
      <c r="FJ258" s="239">
        <v>0</v>
      </c>
      <c r="FK258" s="239">
        <v>-901119</v>
      </c>
      <c r="FL258" s="239">
        <v>-80111</v>
      </c>
      <c r="FM258" s="239">
        <v>0</v>
      </c>
      <c r="FN258" s="239">
        <v>-80111</v>
      </c>
      <c r="FO258" s="239">
        <v>-494499</v>
      </c>
      <c r="FP258" s="239">
        <v>0</v>
      </c>
      <c r="FQ258" s="239">
        <v>-494499</v>
      </c>
      <c r="FR258" s="239">
        <v>0</v>
      </c>
      <c r="FS258" s="239">
        <v>0</v>
      </c>
      <c r="FT258" s="239">
        <v>0</v>
      </c>
      <c r="FU258" s="239">
        <v>-4049205</v>
      </c>
      <c r="FV258" s="239">
        <v>0</v>
      </c>
      <c r="FW258" s="239">
        <v>-4049205</v>
      </c>
      <c r="FX258" s="239">
        <v>41967497</v>
      </c>
      <c r="FY258" s="239">
        <v>0</v>
      </c>
      <c r="FZ258" s="239">
        <v>41967497</v>
      </c>
      <c r="GA258" s="214" t="s">
        <v>1294</v>
      </c>
    </row>
    <row r="259" spans="2:183" s="214" customFormat="1" x14ac:dyDescent="0.2">
      <c r="B259" s="610" t="s">
        <v>601</v>
      </c>
      <c r="C259" s="610" t="s">
        <v>600</v>
      </c>
      <c r="D259" s="239">
        <v>0</v>
      </c>
      <c r="E259" s="239">
        <v>0</v>
      </c>
      <c r="F259" s="239">
        <v>0</v>
      </c>
      <c r="G259" s="239">
        <v>-36456</v>
      </c>
      <c r="H259" s="239">
        <v>0</v>
      </c>
      <c r="I259" s="239">
        <v>-36456</v>
      </c>
      <c r="J259" s="239">
        <v>0</v>
      </c>
      <c r="K259" s="239">
        <v>0</v>
      </c>
      <c r="L259" s="239">
        <v>0</v>
      </c>
      <c r="M259" s="239">
        <v>129301</v>
      </c>
      <c r="N259" s="239">
        <v>0</v>
      </c>
      <c r="O259" s="239">
        <v>129301</v>
      </c>
      <c r="P259" s="239">
        <v>92845</v>
      </c>
      <c r="Q259" s="239">
        <v>0</v>
      </c>
      <c r="R259" s="239">
        <v>92845</v>
      </c>
      <c r="S259" s="239">
        <v>-1714755</v>
      </c>
      <c r="T259" s="239">
        <v>0</v>
      </c>
      <c r="U259" s="239">
        <v>-1714755</v>
      </c>
      <c r="V259" s="239">
        <v>0</v>
      </c>
      <c r="W259" s="239">
        <v>0</v>
      </c>
      <c r="X259" s="239">
        <v>0</v>
      </c>
      <c r="Y259" s="239">
        <v>-48219</v>
      </c>
      <c r="Z259" s="239">
        <v>0</v>
      </c>
      <c r="AA259" s="239">
        <v>-48219</v>
      </c>
      <c r="AB259" s="239">
        <v>-39213</v>
      </c>
      <c r="AC259" s="239">
        <v>0</v>
      </c>
      <c r="AD259" s="239">
        <v>-39213</v>
      </c>
      <c r="AE259" s="239">
        <v>0</v>
      </c>
      <c r="AF259" s="239">
        <v>0</v>
      </c>
      <c r="AG259" s="239">
        <v>0</v>
      </c>
      <c r="AH259" s="239">
        <v>1796301</v>
      </c>
      <c r="AI259" s="239">
        <v>0</v>
      </c>
      <c r="AJ259" s="239">
        <v>1796301</v>
      </c>
      <c r="AK259" s="239">
        <v>-10397</v>
      </c>
      <c r="AL259" s="239">
        <v>0</v>
      </c>
      <c r="AM259" s="239">
        <v>-10397</v>
      </c>
      <c r="AN259" s="239">
        <v>-5432510</v>
      </c>
      <c r="AO259" s="239">
        <v>0</v>
      </c>
      <c r="AP259" s="239">
        <v>-5432510</v>
      </c>
      <c r="AQ259" s="239">
        <v>-14820</v>
      </c>
      <c r="AR259" s="239">
        <v>0</v>
      </c>
      <c r="AS259" s="239">
        <v>-14820</v>
      </c>
      <c r="AT259" s="239">
        <v>-133199</v>
      </c>
      <c r="AU259" s="239">
        <v>0</v>
      </c>
      <c r="AV259" s="239">
        <v>-133199</v>
      </c>
      <c r="AW259" s="239">
        <v>0</v>
      </c>
      <c r="AX259" s="239">
        <v>0</v>
      </c>
      <c r="AY259" s="239">
        <v>0</v>
      </c>
      <c r="AZ259" s="239">
        <v>0</v>
      </c>
      <c r="BA259" s="239">
        <v>0</v>
      </c>
      <c r="BB259" s="239">
        <v>0</v>
      </c>
      <c r="BC259" s="239">
        <v>0</v>
      </c>
      <c r="BD259" s="239">
        <v>0</v>
      </c>
      <c r="BE259" s="239">
        <v>0</v>
      </c>
      <c r="BF259" s="239">
        <v>-5557599</v>
      </c>
      <c r="BG259" s="239">
        <v>0</v>
      </c>
      <c r="BH259" s="239">
        <v>-5557599</v>
      </c>
      <c r="BI259" s="239">
        <v>-138936</v>
      </c>
      <c r="BJ259" s="239">
        <v>0</v>
      </c>
      <c r="BK259" s="239">
        <v>-138936</v>
      </c>
      <c r="BL259" s="239">
        <v>-47696</v>
      </c>
      <c r="BM259" s="239">
        <v>0</v>
      </c>
      <c r="BN259" s="239">
        <v>-47696</v>
      </c>
      <c r="BO259" s="239">
        <v>-2148385</v>
      </c>
      <c r="BP259" s="239">
        <v>0</v>
      </c>
      <c r="BQ259" s="239">
        <v>-2148385</v>
      </c>
      <c r="BR259" s="239">
        <v>-86703</v>
      </c>
      <c r="BS259" s="239">
        <v>0</v>
      </c>
      <c r="BT259" s="239">
        <v>-86703</v>
      </c>
      <c r="BU259" s="239">
        <v>-2421720</v>
      </c>
      <c r="BV259" s="239">
        <v>0</v>
      </c>
      <c r="BW259" s="239">
        <v>-2421720</v>
      </c>
      <c r="BX259" s="239">
        <v>-142319</v>
      </c>
      <c r="BY259" s="239">
        <v>0</v>
      </c>
      <c r="BZ259" s="239">
        <v>-142319</v>
      </c>
      <c r="CA259" s="239">
        <v>-50802</v>
      </c>
      <c r="CB259" s="239">
        <v>0</v>
      </c>
      <c r="CC259" s="239">
        <v>-50802</v>
      </c>
      <c r="CD259" s="239">
        <v>-22168</v>
      </c>
      <c r="CE259" s="239">
        <v>0</v>
      </c>
      <c r="CF259" s="239">
        <v>-22168</v>
      </c>
      <c r="CG259" s="239">
        <v>0</v>
      </c>
      <c r="CH259" s="239">
        <v>0</v>
      </c>
      <c r="CI259" s="239">
        <v>0</v>
      </c>
      <c r="CJ259" s="239">
        <v>-1159</v>
      </c>
      <c r="CK259" s="239">
        <v>0</v>
      </c>
      <c r="CL259" s="239">
        <v>-1159</v>
      </c>
      <c r="CM259" s="239">
        <v>0</v>
      </c>
      <c r="CN259" s="239">
        <v>0</v>
      </c>
      <c r="CO259" s="239">
        <v>0</v>
      </c>
      <c r="CP259" s="239">
        <v>0</v>
      </c>
      <c r="CQ259" s="239">
        <v>0</v>
      </c>
      <c r="CR259" s="239">
        <v>0</v>
      </c>
      <c r="CS259" s="239">
        <v>0</v>
      </c>
      <c r="CT259" s="239">
        <v>0</v>
      </c>
      <c r="CU259" s="239">
        <v>0</v>
      </c>
      <c r="CV259" s="239">
        <v>0</v>
      </c>
      <c r="CW259" s="239">
        <v>0</v>
      </c>
      <c r="CX259" s="239">
        <v>0</v>
      </c>
      <c r="CY259" s="239">
        <v>0</v>
      </c>
      <c r="CZ259" s="239">
        <v>0</v>
      </c>
      <c r="DA259" s="239">
        <v>0</v>
      </c>
      <c r="DB259" s="239">
        <v>0</v>
      </c>
      <c r="DC259" s="239">
        <v>0</v>
      </c>
      <c r="DD259" s="239">
        <v>0</v>
      </c>
      <c r="DE259" s="239">
        <v>0</v>
      </c>
      <c r="DF259" s="239">
        <v>0</v>
      </c>
      <c r="DG259" s="239">
        <v>0</v>
      </c>
      <c r="DH259" s="239">
        <v>0</v>
      </c>
      <c r="DI259" s="239">
        <v>0</v>
      </c>
      <c r="DJ259" s="239">
        <v>-216448</v>
      </c>
      <c r="DK259" s="239">
        <v>0</v>
      </c>
      <c r="DL259" s="239">
        <v>-216448</v>
      </c>
      <c r="DM259" s="239">
        <v>0</v>
      </c>
      <c r="DN259" s="239">
        <v>0</v>
      </c>
      <c r="DO259" s="239">
        <v>0</v>
      </c>
      <c r="DP259" s="239">
        <v>0</v>
      </c>
      <c r="DQ259" s="239">
        <v>0</v>
      </c>
      <c r="DR259" s="239">
        <v>0</v>
      </c>
      <c r="DS259" s="239">
        <v>-10253</v>
      </c>
      <c r="DT259" s="239">
        <v>0</v>
      </c>
      <c r="DU259" s="239">
        <v>-10253</v>
      </c>
      <c r="DV259" s="239">
        <v>1286</v>
      </c>
      <c r="DW259" s="239">
        <v>0</v>
      </c>
      <c r="DX259" s="239">
        <v>1286</v>
      </c>
      <c r="DY259" s="239">
        <v>-1107410</v>
      </c>
      <c r="DZ259" s="239">
        <v>0</v>
      </c>
      <c r="EA259" s="239">
        <v>-1107410</v>
      </c>
      <c r="EB259" s="239">
        <v>-16417</v>
      </c>
      <c r="EC259" s="239">
        <v>0</v>
      </c>
      <c r="ED259" s="239">
        <v>-16417</v>
      </c>
      <c r="EE259" s="239">
        <v>0</v>
      </c>
      <c r="EF259" s="239">
        <v>0</v>
      </c>
      <c r="EG259" s="239">
        <v>0</v>
      </c>
      <c r="EH259" s="239">
        <v>0</v>
      </c>
      <c r="EI259" s="239">
        <v>0</v>
      </c>
      <c r="EJ259" s="239">
        <v>0</v>
      </c>
      <c r="EK259" s="239">
        <v>-7190</v>
      </c>
      <c r="EL259" s="239">
        <v>0</v>
      </c>
      <c r="EM259" s="239">
        <v>-7190</v>
      </c>
      <c r="EN259" s="239">
        <v>-1139984</v>
      </c>
      <c r="EO259" s="239">
        <v>0</v>
      </c>
      <c r="EP259" s="239">
        <v>-1139984</v>
      </c>
      <c r="EQ259" s="239">
        <v>0</v>
      </c>
      <c r="ER259" s="239">
        <v>0</v>
      </c>
      <c r="ES259" s="239">
        <v>0</v>
      </c>
      <c r="ET259" s="239">
        <v>0</v>
      </c>
      <c r="EU259" s="239">
        <v>0</v>
      </c>
      <c r="EV259" s="239">
        <v>0</v>
      </c>
      <c r="EW259" s="239">
        <v>0</v>
      </c>
      <c r="EX259" s="239">
        <v>0</v>
      </c>
      <c r="EY259" s="239">
        <v>0</v>
      </c>
      <c r="EZ259" s="239">
        <v>72796888</v>
      </c>
      <c r="FA259" s="239">
        <v>0</v>
      </c>
      <c r="FB259" s="239">
        <v>72796888</v>
      </c>
      <c r="FC259" s="239">
        <v>92845</v>
      </c>
      <c r="FD259" s="239">
        <v>0</v>
      </c>
      <c r="FE259" s="239">
        <v>92845</v>
      </c>
      <c r="FF259" s="239">
        <v>-5557599</v>
      </c>
      <c r="FG259" s="239">
        <v>0</v>
      </c>
      <c r="FH259" s="239">
        <v>-5557599</v>
      </c>
      <c r="FI259" s="239">
        <v>-2421720</v>
      </c>
      <c r="FJ259" s="239">
        <v>0</v>
      </c>
      <c r="FK259" s="239">
        <v>-2421720</v>
      </c>
      <c r="FL259" s="239">
        <v>-216448</v>
      </c>
      <c r="FM259" s="239">
        <v>0</v>
      </c>
      <c r="FN259" s="239">
        <v>-216448</v>
      </c>
      <c r="FO259" s="239">
        <v>-1139984</v>
      </c>
      <c r="FP259" s="239">
        <v>0</v>
      </c>
      <c r="FQ259" s="239">
        <v>-1139984</v>
      </c>
      <c r="FR259" s="239">
        <v>0</v>
      </c>
      <c r="FS259" s="239">
        <v>0</v>
      </c>
      <c r="FT259" s="239">
        <v>0</v>
      </c>
      <c r="FU259" s="239">
        <v>-9242906</v>
      </c>
      <c r="FV259" s="239">
        <v>0</v>
      </c>
      <c r="FW259" s="239">
        <v>-9242906</v>
      </c>
      <c r="FX259" s="239">
        <v>63553982</v>
      </c>
      <c r="FY259" s="239">
        <v>0</v>
      </c>
      <c r="FZ259" s="239">
        <v>63553982</v>
      </c>
      <c r="GA259" s="214" t="s">
        <v>1294</v>
      </c>
    </row>
    <row r="260" spans="2:183" s="214" customFormat="1" x14ac:dyDescent="0.2">
      <c r="B260" s="610" t="s">
        <v>603</v>
      </c>
      <c r="C260" s="610" t="s">
        <v>602</v>
      </c>
      <c r="D260" s="239">
        <v>0</v>
      </c>
      <c r="E260" s="239">
        <v>0</v>
      </c>
      <c r="F260" s="239">
        <v>0</v>
      </c>
      <c r="G260" s="239">
        <v>33078</v>
      </c>
      <c r="H260" s="239">
        <v>0</v>
      </c>
      <c r="I260" s="239">
        <v>33078</v>
      </c>
      <c r="J260" s="239">
        <v>0</v>
      </c>
      <c r="K260" s="239">
        <v>0</v>
      </c>
      <c r="L260" s="239">
        <v>0</v>
      </c>
      <c r="M260" s="239">
        <v>93952</v>
      </c>
      <c r="N260" s="239">
        <v>0</v>
      </c>
      <c r="O260" s="239">
        <v>93952</v>
      </c>
      <c r="P260" s="239">
        <v>127030</v>
      </c>
      <c r="Q260" s="239">
        <v>0</v>
      </c>
      <c r="R260" s="239">
        <v>127030</v>
      </c>
      <c r="S260" s="239">
        <v>-2039631</v>
      </c>
      <c r="T260" s="239">
        <v>0</v>
      </c>
      <c r="U260" s="239">
        <v>-2039631</v>
      </c>
      <c r="V260" s="239">
        <v>-8038</v>
      </c>
      <c r="W260" s="239">
        <v>0</v>
      </c>
      <c r="X260" s="239">
        <v>-8038</v>
      </c>
      <c r="Y260" s="239">
        <v>-45981</v>
      </c>
      <c r="Z260" s="239">
        <v>0</v>
      </c>
      <c r="AA260" s="239">
        <v>-45981</v>
      </c>
      <c r="AB260" s="239">
        <v>-45733</v>
      </c>
      <c r="AC260" s="239">
        <v>0</v>
      </c>
      <c r="AD260" s="239">
        <v>-45733</v>
      </c>
      <c r="AE260" s="239">
        <v>-248</v>
      </c>
      <c r="AF260" s="239">
        <v>0</v>
      </c>
      <c r="AG260" s="239">
        <v>-248</v>
      </c>
      <c r="AH260" s="239">
        <v>1266054</v>
      </c>
      <c r="AI260" s="239">
        <v>0</v>
      </c>
      <c r="AJ260" s="239">
        <v>1266054</v>
      </c>
      <c r="AK260" s="239">
        <v>-8041</v>
      </c>
      <c r="AL260" s="239">
        <v>0</v>
      </c>
      <c r="AM260" s="239">
        <v>-8041</v>
      </c>
      <c r="AN260" s="239">
        <v>-2722206</v>
      </c>
      <c r="AO260" s="239">
        <v>0</v>
      </c>
      <c r="AP260" s="239">
        <v>-2722206</v>
      </c>
      <c r="AQ260" s="239">
        <v>-8211</v>
      </c>
      <c r="AR260" s="239">
        <v>0</v>
      </c>
      <c r="AS260" s="239">
        <v>-8211</v>
      </c>
      <c r="AT260" s="239">
        <v>-34776</v>
      </c>
      <c r="AU260" s="239">
        <v>0</v>
      </c>
      <c r="AV260" s="239">
        <v>-34776</v>
      </c>
      <c r="AW260" s="239">
        <v>0</v>
      </c>
      <c r="AX260" s="239">
        <v>0</v>
      </c>
      <c r="AY260" s="239">
        <v>0</v>
      </c>
      <c r="AZ260" s="239">
        <v>-51305</v>
      </c>
      <c r="BA260" s="239">
        <v>0</v>
      </c>
      <c r="BB260" s="239">
        <v>-51305</v>
      </c>
      <c r="BC260" s="239">
        <v>1527</v>
      </c>
      <c r="BD260" s="239">
        <v>0</v>
      </c>
      <c r="BE260" s="239">
        <v>1527</v>
      </c>
      <c r="BF260" s="239">
        <v>-3642570</v>
      </c>
      <c r="BG260" s="239">
        <v>0</v>
      </c>
      <c r="BH260" s="239">
        <v>-3642570</v>
      </c>
      <c r="BI260" s="239">
        <v>0</v>
      </c>
      <c r="BJ260" s="239">
        <v>0</v>
      </c>
      <c r="BK260" s="239">
        <v>0</v>
      </c>
      <c r="BL260" s="239">
        <v>968</v>
      </c>
      <c r="BM260" s="239">
        <v>0</v>
      </c>
      <c r="BN260" s="239">
        <v>968</v>
      </c>
      <c r="BO260" s="239">
        <v>-989858</v>
      </c>
      <c r="BP260" s="239">
        <v>0</v>
      </c>
      <c r="BQ260" s="239">
        <v>-989858</v>
      </c>
      <c r="BR260" s="239">
        <v>-69353</v>
      </c>
      <c r="BS260" s="239">
        <v>0</v>
      </c>
      <c r="BT260" s="239">
        <v>-69353</v>
      </c>
      <c r="BU260" s="239">
        <v>-1058243</v>
      </c>
      <c r="BV260" s="239">
        <v>0</v>
      </c>
      <c r="BW260" s="239">
        <v>-1058243</v>
      </c>
      <c r="BX260" s="239">
        <v>-38191</v>
      </c>
      <c r="BY260" s="239">
        <v>0</v>
      </c>
      <c r="BZ260" s="239">
        <v>-38191</v>
      </c>
      <c r="CA260" s="239">
        <v>5641</v>
      </c>
      <c r="CB260" s="239">
        <v>0</v>
      </c>
      <c r="CC260" s="239">
        <v>5641</v>
      </c>
      <c r="CD260" s="239">
        <v>-113558</v>
      </c>
      <c r="CE260" s="239">
        <v>0</v>
      </c>
      <c r="CF260" s="239">
        <v>-113558</v>
      </c>
      <c r="CG260" s="239">
        <v>846</v>
      </c>
      <c r="CH260" s="239">
        <v>0</v>
      </c>
      <c r="CI260" s="239">
        <v>846</v>
      </c>
      <c r="CJ260" s="239">
        <v>-4280</v>
      </c>
      <c r="CK260" s="239">
        <v>0</v>
      </c>
      <c r="CL260" s="239">
        <v>-4280</v>
      </c>
      <c r="CM260" s="239">
        <v>0</v>
      </c>
      <c r="CN260" s="239">
        <v>0</v>
      </c>
      <c r="CO260" s="239">
        <v>0</v>
      </c>
      <c r="CP260" s="239">
        <v>-18278</v>
      </c>
      <c r="CQ260" s="239">
        <v>0</v>
      </c>
      <c r="CR260" s="239">
        <v>-18278</v>
      </c>
      <c r="CS260" s="239">
        <v>1151</v>
      </c>
      <c r="CT260" s="239">
        <v>0</v>
      </c>
      <c r="CU260" s="239">
        <v>1151</v>
      </c>
      <c r="CV260" s="239">
        <v>-8050</v>
      </c>
      <c r="CW260" s="239">
        <v>0</v>
      </c>
      <c r="CX260" s="239">
        <v>-8050</v>
      </c>
      <c r="CY260" s="239">
        <v>0</v>
      </c>
      <c r="CZ260" s="239">
        <v>0</v>
      </c>
      <c r="DA260" s="239">
        <v>0</v>
      </c>
      <c r="DB260" s="239">
        <v>0</v>
      </c>
      <c r="DC260" s="239">
        <v>0</v>
      </c>
      <c r="DD260" s="239">
        <v>0</v>
      </c>
      <c r="DE260" s="239">
        <v>0</v>
      </c>
      <c r="DF260" s="239">
        <v>0</v>
      </c>
      <c r="DG260" s="239">
        <v>0</v>
      </c>
      <c r="DH260" s="239">
        <v>0</v>
      </c>
      <c r="DI260" s="239">
        <v>0</v>
      </c>
      <c r="DJ260" s="239">
        <v>-174719</v>
      </c>
      <c r="DK260" s="239">
        <v>0</v>
      </c>
      <c r="DL260" s="239">
        <v>-174719</v>
      </c>
      <c r="DM260" s="239">
        <v>-7297</v>
      </c>
      <c r="DN260" s="239">
        <v>0</v>
      </c>
      <c r="DO260" s="239">
        <v>-7297</v>
      </c>
      <c r="DP260" s="239">
        <v>3776</v>
      </c>
      <c r="DQ260" s="239">
        <v>0</v>
      </c>
      <c r="DR260" s="239">
        <v>3776</v>
      </c>
      <c r="DS260" s="239">
        <v>-1515</v>
      </c>
      <c r="DT260" s="239">
        <v>0</v>
      </c>
      <c r="DU260" s="239">
        <v>-1515</v>
      </c>
      <c r="DV260" s="239">
        <v>0</v>
      </c>
      <c r="DW260" s="239">
        <v>0</v>
      </c>
      <c r="DX260" s="239">
        <v>0</v>
      </c>
      <c r="DY260" s="239">
        <v>-681487</v>
      </c>
      <c r="DZ260" s="239">
        <v>0</v>
      </c>
      <c r="EA260" s="239">
        <v>-681487</v>
      </c>
      <c r="EB260" s="239">
        <v>3119</v>
      </c>
      <c r="EC260" s="239">
        <v>0</v>
      </c>
      <c r="ED260" s="239">
        <v>3119</v>
      </c>
      <c r="EE260" s="239">
        <v>0</v>
      </c>
      <c r="EF260" s="239">
        <v>0</v>
      </c>
      <c r="EG260" s="239">
        <v>0</v>
      </c>
      <c r="EH260" s="239">
        <v>0</v>
      </c>
      <c r="EI260" s="239">
        <v>0</v>
      </c>
      <c r="EJ260" s="239">
        <v>0</v>
      </c>
      <c r="EK260" s="239">
        <v>-12239</v>
      </c>
      <c r="EL260" s="239">
        <v>0</v>
      </c>
      <c r="EM260" s="239">
        <v>-12239</v>
      </c>
      <c r="EN260" s="239">
        <v>-695643</v>
      </c>
      <c r="EO260" s="239">
        <v>0</v>
      </c>
      <c r="EP260" s="239">
        <v>-695643</v>
      </c>
      <c r="EQ260" s="239">
        <v>0</v>
      </c>
      <c r="ER260" s="239">
        <v>0</v>
      </c>
      <c r="ES260" s="239">
        <v>0</v>
      </c>
      <c r="ET260" s="239">
        <v>0</v>
      </c>
      <c r="EU260" s="239">
        <v>0</v>
      </c>
      <c r="EV260" s="239">
        <v>0</v>
      </c>
      <c r="EW260" s="239">
        <v>0</v>
      </c>
      <c r="EX260" s="239">
        <v>0</v>
      </c>
      <c r="EY260" s="239">
        <v>0</v>
      </c>
      <c r="EZ260" s="239">
        <v>52816228</v>
      </c>
      <c r="FA260" s="239">
        <v>0</v>
      </c>
      <c r="FB260" s="239">
        <v>52816228</v>
      </c>
      <c r="FC260" s="239">
        <v>127030</v>
      </c>
      <c r="FD260" s="239">
        <v>0</v>
      </c>
      <c r="FE260" s="239">
        <v>127030</v>
      </c>
      <c r="FF260" s="239">
        <v>-3642570</v>
      </c>
      <c r="FG260" s="239">
        <v>0</v>
      </c>
      <c r="FH260" s="239">
        <v>-3642570</v>
      </c>
      <c r="FI260" s="239">
        <v>-1058243</v>
      </c>
      <c r="FJ260" s="239">
        <v>0</v>
      </c>
      <c r="FK260" s="239">
        <v>-1058243</v>
      </c>
      <c r="FL260" s="239">
        <v>-174719</v>
      </c>
      <c r="FM260" s="239">
        <v>0</v>
      </c>
      <c r="FN260" s="239">
        <v>-174719</v>
      </c>
      <c r="FO260" s="239">
        <v>-695643</v>
      </c>
      <c r="FP260" s="239">
        <v>0</v>
      </c>
      <c r="FQ260" s="239">
        <v>-695643</v>
      </c>
      <c r="FR260" s="239">
        <v>0</v>
      </c>
      <c r="FS260" s="239">
        <v>0</v>
      </c>
      <c r="FT260" s="239">
        <v>0</v>
      </c>
      <c r="FU260" s="239">
        <v>-5444145</v>
      </c>
      <c r="FV260" s="239">
        <v>0</v>
      </c>
      <c r="FW260" s="239">
        <v>-5444145</v>
      </c>
      <c r="FX260" s="239">
        <v>47372083</v>
      </c>
      <c r="FY260" s="239">
        <v>0</v>
      </c>
      <c r="FZ260" s="239">
        <v>47372083</v>
      </c>
      <c r="GA260" s="214" t="s">
        <v>1294</v>
      </c>
    </row>
    <row r="261" spans="2:183" s="214" customFormat="1" x14ac:dyDescent="0.2">
      <c r="B261" s="610" t="s">
        <v>605</v>
      </c>
      <c r="C261" s="610" t="s">
        <v>604</v>
      </c>
      <c r="D261" s="239">
        <v>0</v>
      </c>
      <c r="E261" s="239">
        <v>0</v>
      </c>
      <c r="F261" s="239">
        <v>0</v>
      </c>
      <c r="G261" s="239">
        <v>3213</v>
      </c>
      <c r="H261" s="239">
        <v>0</v>
      </c>
      <c r="I261" s="239">
        <v>3213</v>
      </c>
      <c r="J261" s="239">
        <v>0</v>
      </c>
      <c r="K261" s="239">
        <v>0</v>
      </c>
      <c r="L261" s="239">
        <v>0</v>
      </c>
      <c r="M261" s="239">
        <v>349075</v>
      </c>
      <c r="N261" s="239">
        <v>0</v>
      </c>
      <c r="O261" s="239">
        <v>349075</v>
      </c>
      <c r="P261" s="239">
        <v>352288</v>
      </c>
      <c r="Q261" s="239">
        <v>0</v>
      </c>
      <c r="R261" s="239">
        <v>352288</v>
      </c>
      <c r="S261" s="239">
        <v>-3276244</v>
      </c>
      <c r="T261" s="239">
        <v>0</v>
      </c>
      <c r="U261" s="239">
        <v>-3276244</v>
      </c>
      <c r="V261" s="239">
        <v>-8323</v>
      </c>
      <c r="W261" s="239">
        <v>0</v>
      </c>
      <c r="X261" s="239">
        <v>-8323</v>
      </c>
      <c r="Y261" s="239">
        <v>-120986</v>
      </c>
      <c r="Z261" s="239">
        <v>0</v>
      </c>
      <c r="AA261" s="239">
        <v>-120986</v>
      </c>
      <c r="AB261" s="239">
        <v>-79623</v>
      </c>
      <c r="AC261" s="239">
        <v>0</v>
      </c>
      <c r="AD261" s="239">
        <v>-79623</v>
      </c>
      <c r="AE261" s="239">
        <v>0</v>
      </c>
      <c r="AF261" s="239">
        <v>0</v>
      </c>
      <c r="AG261" s="239">
        <v>0</v>
      </c>
      <c r="AH261" s="239">
        <v>1466865</v>
      </c>
      <c r="AI261" s="239">
        <v>0</v>
      </c>
      <c r="AJ261" s="239">
        <v>1466865</v>
      </c>
      <c r="AK261" s="239">
        <v>-46161</v>
      </c>
      <c r="AL261" s="239">
        <v>0</v>
      </c>
      <c r="AM261" s="239">
        <v>-46161</v>
      </c>
      <c r="AN261" s="239">
        <v>-3323391</v>
      </c>
      <c r="AO261" s="239">
        <v>0</v>
      </c>
      <c r="AP261" s="239">
        <v>-3323391</v>
      </c>
      <c r="AQ261" s="239">
        <v>21240</v>
      </c>
      <c r="AR261" s="239">
        <v>0</v>
      </c>
      <c r="AS261" s="239">
        <v>21240</v>
      </c>
      <c r="AT261" s="239">
        <v>-108766</v>
      </c>
      <c r="AU261" s="239">
        <v>0</v>
      </c>
      <c r="AV261" s="239">
        <v>-108766</v>
      </c>
      <c r="AW261" s="239">
        <v>-7606</v>
      </c>
      <c r="AX261" s="239">
        <v>0</v>
      </c>
      <c r="AY261" s="239">
        <v>-7606</v>
      </c>
      <c r="AZ261" s="239">
        <v>0</v>
      </c>
      <c r="BA261" s="239">
        <v>0</v>
      </c>
      <c r="BB261" s="239">
        <v>0</v>
      </c>
      <c r="BC261" s="239">
        <v>0</v>
      </c>
      <c r="BD261" s="239">
        <v>0</v>
      </c>
      <c r="BE261" s="239">
        <v>0</v>
      </c>
      <c r="BF261" s="239">
        <v>-5395049</v>
      </c>
      <c r="BG261" s="239">
        <v>0</v>
      </c>
      <c r="BH261" s="239">
        <v>-5395049</v>
      </c>
      <c r="BI261" s="239">
        <v>-19241</v>
      </c>
      <c r="BJ261" s="239">
        <v>0</v>
      </c>
      <c r="BK261" s="239">
        <v>-19241</v>
      </c>
      <c r="BL261" s="239">
        <v>875</v>
      </c>
      <c r="BM261" s="239">
        <v>0</v>
      </c>
      <c r="BN261" s="239">
        <v>875</v>
      </c>
      <c r="BO261" s="239">
        <v>-1989787</v>
      </c>
      <c r="BP261" s="239">
        <v>0</v>
      </c>
      <c r="BQ261" s="239">
        <v>-1989787</v>
      </c>
      <c r="BR261" s="239">
        <v>-239511</v>
      </c>
      <c r="BS261" s="239">
        <v>0</v>
      </c>
      <c r="BT261" s="239">
        <v>-239511</v>
      </c>
      <c r="BU261" s="239">
        <v>-2247664</v>
      </c>
      <c r="BV261" s="239">
        <v>0</v>
      </c>
      <c r="BW261" s="239">
        <v>-2247664</v>
      </c>
      <c r="BX261" s="239">
        <v>-235856</v>
      </c>
      <c r="BY261" s="239">
        <v>0</v>
      </c>
      <c r="BZ261" s="239">
        <v>-235856</v>
      </c>
      <c r="CA261" s="239">
        <v>-15</v>
      </c>
      <c r="CB261" s="239">
        <v>0</v>
      </c>
      <c r="CC261" s="239">
        <v>-15</v>
      </c>
      <c r="CD261" s="239">
        <v>-35031</v>
      </c>
      <c r="CE261" s="239">
        <v>0</v>
      </c>
      <c r="CF261" s="239">
        <v>-35031</v>
      </c>
      <c r="CG261" s="239">
        <v>0</v>
      </c>
      <c r="CH261" s="239">
        <v>0</v>
      </c>
      <c r="CI261" s="239">
        <v>0</v>
      </c>
      <c r="CJ261" s="239">
        <v>-14857</v>
      </c>
      <c r="CK261" s="239">
        <v>0</v>
      </c>
      <c r="CL261" s="239">
        <v>-14857</v>
      </c>
      <c r="CM261" s="239">
        <v>0</v>
      </c>
      <c r="CN261" s="239">
        <v>0</v>
      </c>
      <c r="CO261" s="239">
        <v>0</v>
      </c>
      <c r="CP261" s="239">
        <v>0</v>
      </c>
      <c r="CQ261" s="239">
        <v>0</v>
      </c>
      <c r="CR261" s="239">
        <v>0</v>
      </c>
      <c r="CS261" s="239">
        <v>0</v>
      </c>
      <c r="CT261" s="239">
        <v>0</v>
      </c>
      <c r="CU261" s="239">
        <v>0</v>
      </c>
      <c r="CV261" s="239">
        <v>0</v>
      </c>
      <c r="CW261" s="239">
        <v>0</v>
      </c>
      <c r="CX261" s="239">
        <v>0</v>
      </c>
      <c r="CY261" s="239">
        <v>0</v>
      </c>
      <c r="CZ261" s="239">
        <v>0</v>
      </c>
      <c r="DA261" s="239">
        <v>0</v>
      </c>
      <c r="DB261" s="239">
        <v>0</v>
      </c>
      <c r="DC261" s="239">
        <v>0</v>
      </c>
      <c r="DD261" s="239">
        <v>0</v>
      </c>
      <c r="DE261" s="239">
        <v>0</v>
      </c>
      <c r="DF261" s="239">
        <v>0</v>
      </c>
      <c r="DG261" s="239">
        <v>0</v>
      </c>
      <c r="DH261" s="239">
        <v>0</v>
      </c>
      <c r="DI261" s="239">
        <v>0</v>
      </c>
      <c r="DJ261" s="239">
        <v>-285759</v>
      </c>
      <c r="DK261" s="239">
        <v>0</v>
      </c>
      <c r="DL261" s="239">
        <v>-285759</v>
      </c>
      <c r="DM261" s="239">
        <v>-252</v>
      </c>
      <c r="DN261" s="239">
        <v>0</v>
      </c>
      <c r="DO261" s="239">
        <v>-252</v>
      </c>
      <c r="DP261" s="239">
        <v>-340</v>
      </c>
      <c r="DQ261" s="239">
        <v>0</v>
      </c>
      <c r="DR261" s="239">
        <v>-340</v>
      </c>
      <c r="DS261" s="239">
        <v>-40789</v>
      </c>
      <c r="DT261" s="239">
        <v>0</v>
      </c>
      <c r="DU261" s="239">
        <v>-40789</v>
      </c>
      <c r="DV261" s="239">
        <v>-4739</v>
      </c>
      <c r="DW261" s="239">
        <v>0</v>
      </c>
      <c r="DX261" s="239">
        <v>-4739</v>
      </c>
      <c r="DY261" s="239">
        <v>-685088</v>
      </c>
      <c r="DZ261" s="239">
        <v>0</v>
      </c>
      <c r="EA261" s="239">
        <v>-685088</v>
      </c>
      <c r="EB261" s="239">
        <v>-12348</v>
      </c>
      <c r="EC261" s="239">
        <v>0</v>
      </c>
      <c r="ED261" s="239">
        <v>-12348</v>
      </c>
      <c r="EE261" s="239">
        <v>0</v>
      </c>
      <c r="EF261" s="239">
        <v>0</v>
      </c>
      <c r="EG261" s="239">
        <v>0</v>
      </c>
      <c r="EH261" s="239">
        <v>0</v>
      </c>
      <c r="EI261" s="239">
        <v>0</v>
      </c>
      <c r="EJ261" s="239">
        <v>0</v>
      </c>
      <c r="EK261" s="239">
        <v>-3598</v>
      </c>
      <c r="EL261" s="239">
        <v>0</v>
      </c>
      <c r="EM261" s="239">
        <v>-3598</v>
      </c>
      <c r="EN261" s="239">
        <v>-747154</v>
      </c>
      <c r="EO261" s="239">
        <v>0</v>
      </c>
      <c r="EP261" s="239">
        <v>-747154</v>
      </c>
      <c r="EQ261" s="239">
        <v>-92370</v>
      </c>
      <c r="ER261" s="239">
        <v>0</v>
      </c>
      <c r="ES261" s="239">
        <v>-92370</v>
      </c>
      <c r="ET261" s="239">
        <v>0</v>
      </c>
      <c r="EU261" s="239">
        <v>0</v>
      </c>
      <c r="EV261" s="239">
        <v>0</v>
      </c>
      <c r="EW261" s="239">
        <v>-92370</v>
      </c>
      <c r="EX261" s="239">
        <v>0</v>
      </c>
      <c r="EY261" s="239">
        <v>-92370</v>
      </c>
      <c r="EZ261" s="239">
        <v>60077636</v>
      </c>
      <c r="FA261" s="239">
        <v>0</v>
      </c>
      <c r="FB261" s="239">
        <v>60077636</v>
      </c>
      <c r="FC261" s="239">
        <v>352288</v>
      </c>
      <c r="FD261" s="239">
        <v>0</v>
      </c>
      <c r="FE261" s="239">
        <v>352288</v>
      </c>
      <c r="FF261" s="239">
        <v>-5395049</v>
      </c>
      <c r="FG261" s="239">
        <v>0</v>
      </c>
      <c r="FH261" s="239">
        <v>-5395049</v>
      </c>
      <c r="FI261" s="239">
        <v>-2247664</v>
      </c>
      <c r="FJ261" s="239">
        <v>0</v>
      </c>
      <c r="FK261" s="239">
        <v>-2247664</v>
      </c>
      <c r="FL261" s="239">
        <v>-285759</v>
      </c>
      <c r="FM261" s="239">
        <v>0</v>
      </c>
      <c r="FN261" s="239">
        <v>-285759</v>
      </c>
      <c r="FO261" s="239">
        <v>-747154</v>
      </c>
      <c r="FP261" s="239">
        <v>0</v>
      </c>
      <c r="FQ261" s="239">
        <v>-747154</v>
      </c>
      <c r="FR261" s="239">
        <v>-92370</v>
      </c>
      <c r="FS261" s="239">
        <v>0</v>
      </c>
      <c r="FT261" s="239">
        <v>-92370</v>
      </c>
      <c r="FU261" s="239">
        <v>-8415708</v>
      </c>
      <c r="FV261" s="239">
        <v>0</v>
      </c>
      <c r="FW261" s="239">
        <v>-8415708</v>
      </c>
      <c r="FX261" s="239">
        <v>51661928</v>
      </c>
      <c r="FY261" s="239">
        <v>0</v>
      </c>
      <c r="FZ261" s="239">
        <v>51661928</v>
      </c>
      <c r="GA261" s="214" t="s">
        <v>1296</v>
      </c>
    </row>
    <row r="262" spans="2:183" s="214" customFormat="1" x14ac:dyDescent="0.2">
      <c r="B262" s="610" t="s">
        <v>607</v>
      </c>
      <c r="C262" s="610" t="s">
        <v>606</v>
      </c>
      <c r="D262" s="239">
        <v>0</v>
      </c>
      <c r="E262" s="239">
        <v>0</v>
      </c>
      <c r="F262" s="239">
        <v>0</v>
      </c>
      <c r="G262" s="239">
        <v>-68646</v>
      </c>
      <c r="H262" s="239">
        <v>0</v>
      </c>
      <c r="I262" s="239">
        <v>-68646</v>
      </c>
      <c r="J262" s="239">
        <v>0</v>
      </c>
      <c r="K262" s="239">
        <v>0</v>
      </c>
      <c r="L262" s="239">
        <v>0</v>
      </c>
      <c r="M262" s="239">
        <v>146299</v>
      </c>
      <c r="N262" s="239">
        <v>0</v>
      </c>
      <c r="O262" s="239">
        <v>146299</v>
      </c>
      <c r="P262" s="239">
        <v>77653</v>
      </c>
      <c r="Q262" s="239">
        <v>0</v>
      </c>
      <c r="R262" s="239">
        <v>77653</v>
      </c>
      <c r="S262" s="239">
        <v>-2495221</v>
      </c>
      <c r="T262" s="239">
        <v>0</v>
      </c>
      <c r="U262" s="239">
        <v>-2495221</v>
      </c>
      <c r="V262" s="239">
        <v>0</v>
      </c>
      <c r="W262" s="239">
        <v>0</v>
      </c>
      <c r="X262" s="239">
        <v>0</v>
      </c>
      <c r="Y262" s="239">
        <v>-85016</v>
      </c>
      <c r="Z262" s="239">
        <v>0</v>
      </c>
      <c r="AA262" s="239">
        <v>-85016</v>
      </c>
      <c r="AB262" s="239">
        <v>0</v>
      </c>
      <c r="AC262" s="239">
        <v>0</v>
      </c>
      <c r="AD262" s="239">
        <v>0</v>
      </c>
      <c r="AE262" s="239">
        <v>0</v>
      </c>
      <c r="AF262" s="239">
        <v>0</v>
      </c>
      <c r="AG262" s="239">
        <v>0</v>
      </c>
      <c r="AH262" s="239">
        <v>1234897</v>
      </c>
      <c r="AI262" s="239">
        <v>0</v>
      </c>
      <c r="AJ262" s="239">
        <v>1234897</v>
      </c>
      <c r="AK262" s="239">
        <v>-20673</v>
      </c>
      <c r="AL262" s="239">
        <v>0</v>
      </c>
      <c r="AM262" s="239">
        <v>-20673</v>
      </c>
      <c r="AN262" s="239">
        <v>-2600839</v>
      </c>
      <c r="AO262" s="239">
        <v>0</v>
      </c>
      <c r="AP262" s="239">
        <v>-2600839</v>
      </c>
      <c r="AQ262" s="239">
        <v>290796</v>
      </c>
      <c r="AR262" s="239">
        <v>0</v>
      </c>
      <c r="AS262" s="239">
        <v>290796</v>
      </c>
      <c r="AT262" s="239">
        <v>-67009</v>
      </c>
      <c r="AU262" s="239">
        <v>0</v>
      </c>
      <c r="AV262" s="239">
        <v>-67009</v>
      </c>
      <c r="AW262" s="239">
        <v>-295118</v>
      </c>
      <c r="AX262" s="239">
        <v>0</v>
      </c>
      <c r="AY262" s="239">
        <v>-295118</v>
      </c>
      <c r="AZ262" s="239">
        <v>-20654</v>
      </c>
      <c r="BA262" s="239">
        <v>0</v>
      </c>
      <c r="BB262" s="239">
        <v>-20654</v>
      </c>
      <c r="BC262" s="239">
        <v>0</v>
      </c>
      <c r="BD262" s="239">
        <v>0</v>
      </c>
      <c r="BE262" s="239">
        <v>0</v>
      </c>
      <c r="BF262" s="239">
        <v>-4058837</v>
      </c>
      <c r="BG262" s="239">
        <v>0</v>
      </c>
      <c r="BH262" s="239">
        <v>-4058837</v>
      </c>
      <c r="BI262" s="239">
        <v>0</v>
      </c>
      <c r="BJ262" s="239">
        <v>0</v>
      </c>
      <c r="BK262" s="239">
        <v>0</v>
      </c>
      <c r="BL262" s="239">
        <v>0</v>
      </c>
      <c r="BM262" s="239">
        <v>0</v>
      </c>
      <c r="BN262" s="239">
        <v>0</v>
      </c>
      <c r="BO262" s="239">
        <v>-1608171</v>
      </c>
      <c r="BP262" s="239">
        <v>0</v>
      </c>
      <c r="BQ262" s="239">
        <v>-1608171</v>
      </c>
      <c r="BR262" s="239">
        <v>134570</v>
      </c>
      <c r="BS262" s="239">
        <v>0</v>
      </c>
      <c r="BT262" s="239">
        <v>134570</v>
      </c>
      <c r="BU262" s="239">
        <v>-1473601</v>
      </c>
      <c r="BV262" s="239">
        <v>0</v>
      </c>
      <c r="BW262" s="239">
        <v>-1473601</v>
      </c>
      <c r="BX262" s="239">
        <v>-220727</v>
      </c>
      <c r="BY262" s="239">
        <v>0</v>
      </c>
      <c r="BZ262" s="239">
        <v>-220727</v>
      </c>
      <c r="CA262" s="239">
        <v>3584</v>
      </c>
      <c r="CB262" s="239">
        <v>0</v>
      </c>
      <c r="CC262" s="239">
        <v>3584</v>
      </c>
      <c r="CD262" s="239">
        <v>-84498</v>
      </c>
      <c r="CE262" s="239">
        <v>0</v>
      </c>
      <c r="CF262" s="239">
        <v>-84498</v>
      </c>
      <c r="CG262" s="239">
        <v>-7852</v>
      </c>
      <c r="CH262" s="239">
        <v>0</v>
      </c>
      <c r="CI262" s="239">
        <v>-7852</v>
      </c>
      <c r="CJ262" s="239">
        <v>-4003</v>
      </c>
      <c r="CK262" s="239">
        <v>0</v>
      </c>
      <c r="CL262" s="239">
        <v>-4003</v>
      </c>
      <c r="CM262" s="239">
        <v>0</v>
      </c>
      <c r="CN262" s="239">
        <v>0</v>
      </c>
      <c r="CO262" s="239">
        <v>0</v>
      </c>
      <c r="CP262" s="239">
        <v>-17489</v>
      </c>
      <c r="CQ262" s="239">
        <v>0</v>
      </c>
      <c r="CR262" s="239">
        <v>-17489</v>
      </c>
      <c r="CS262" s="239">
        <v>0</v>
      </c>
      <c r="CT262" s="239">
        <v>0</v>
      </c>
      <c r="CU262" s="239">
        <v>0</v>
      </c>
      <c r="CV262" s="239">
        <v>-4413</v>
      </c>
      <c r="CW262" s="239">
        <v>0</v>
      </c>
      <c r="CX262" s="239">
        <v>-4413</v>
      </c>
      <c r="CY262" s="239">
        <v>0</v>
      </c>
      <c r="CZ262" s="239">
        <v>0</v>
      </c>
      <c r="DA262" s="239">
        <v>0</v>
      </c>
      <c r="DB262" s="239">
        <v>0</v>
      </c>
      <c r="DC262" s="239">
        <v>0</v>
      </c>
      <c r="DD262" s="239">
        <v>0</v>
      </c>
      <c r="DE262" s="239">
        <v>0</v>
      </c>
      <c r="DF262" s="239">
        <v>0</v>
      </c>
      <c r="DG262" s="239">
        <v>0</v>
      </c>
      <c r="DH262" s="239">
        <v>0</v>
      </c>
      <c r="DI262" s="239">
        <v>0</v>
      </c>
      <c r="DJ262" s="239">
        <v>-335398</v>
      </c>
      <c r="DK262" s="239">
        <v>0</v>
      </c>
      <c r="DL262" s="239">
        <v>-335398</v>
      </c>
      <c r="DM262" s="239">
        <v>0</v>
      </c>
      <c r="DN262" s="239">
        <v>0</v>
      </c>
      <c r="DO262" s="239">
        <v>0</v>
      </c>
      <c r="DP262" s="239">
        <v>0</v>
      </c>
      <c r="DQ262" s="239">
        <v>0</v>
      </c>
      <c r="DR262" s="239">
        <v>0</v>
      </c>
      <c r="DS262" s="239">
        <v>-4631</v>
      </c>
      <c r="DT262" s="239">
        <v>0</v>
      </c>
      <c r="DU262" s="239">
        <v>-4631</v>
      </c>
      <c r="DV262" s="239">
        <v>0</v>
      </c>
      <c r="DW262" s="239">
        <v>0</v>
      </c>
      <c r="DX262" s="239">
        <v>0</v>
      </c>
      <c r="DY262" s="239">
        <v>-516667</v>
      </c>
      <c r="DZ262" s="239">
        <v>0</v>
      </c>
      <c r="EA262" s="239">
        <v>-516667</v>
      </c>
      <c r="EB262" s="239">
        <v>-38151</v>
      </c>
      <c r="EC262" s="239">
        <v>0</v>
      </c>
      <c r="ED262" s="239">
        <v>-38151</v>
      </c>
      <c r="EE262" s="239">
        <v>0</v>
      </c>
      <c r="EF262" s="239">
        <v>0</v>
      </c>
      <c r="EG262" s="239">
        <v>0</v>
      </c>
      <c r="EH262" s="239">
        <v>0</v>
      </c>
      <c r="EI262" s="239">
        <v>0</v>
      </c>
      <c r="EJ262" s="239">
        <v>0</v>
      </c>
      <c r="EK262" s="239">
        <v>-14505</v>
      </c>
      <c r="EL262" s="239">
        <v>0</v>
      </c>
      <c r="EM262" s="239">
        <v>-14505</v>
      </c>
      <c r="EN262" s="239">
        <v>-573954</v>
      </c>
      <c r="EO262" s="239">
        <v>0</v>
      </c>
      <c r="EP262" s="239">
        <v>-573954</v>
      </c>
      <c r="EQ262" s="239">
        <v>0</v>
      </c>
      <c r="ER262" s="239">
        <v>0</v>
      </c>
      <c r="ES262" s="239">
        <v>0</v>
      </c>
      <c r="ET262" s="239">
        <v>-16227</v>
      </c>
      <c r="EU262" s="239">
        <v>0</v>
      </c>
      <c r="EV262" s="239">
        <v>-16227</v>
      </c>
      <c r="EW262" s="239">
        <v>-16227</v>
      </c>
      <c r="EX262" s="239">
        <v>0</v>
      </c>
      <c r="EY262" s="239">
        <v>-16227</v>
      </c>
      <c r="EZ262" s="239">
        <v>52244528</v>
      </c>
      <c r="FA262" s="239">
        <v>0</v>
      </c>
      <c r="FB262" s="239">
        <v>52244528</v>
      </c>
      <c r="FC262" s="239">
        <v>77653</v>
      </c>
      <c r="FD262" s="239">
        <v>0</v>
      </c>
      <c r="FE262" s="239">
        <v>77653</v>
      </c>
      <c r="FF262" s="239">
        <v>-4058837</v>
      </c>
      <c r="FG262" s="239">
        <v>0</v>
      </c>
      <c r="FH262" s="239">
        <v>-4058837</v>
      </c>
      <c r="FI262" s="239">
        <v>-1473601</v>
      </c>
      <c r="FJ262" s="239">
        <v>0</v>
      </c>
      <c r="FK262" s="239">
        <v>-1473601</v>
      </c>
      <c r="FL262" s="239">
        <v>-335398</v>
      </c>
      <c r="FM262" s="239">
        <v>0</v>
      </c>
      <c r="FN262" s="239">
        <v>-335398</v>
      </c>
      <c r="FO262" s="239">
        <v>-573954</v>
      </c>
      <c r="FP262" s="239">
        <v>0</v>
      </c>
      <c r="FQ262" s="239">
        <v>-573954</v>
      </c>
      <c r="FR262" s="239">
        <v>-16227</v>
      </c>
      <c r="FS262" s="239">
        <v>0</v>
      </c>
      <c r="FT262" s="239">
        <v>-16227</v>
      </c>
      <c r="FU262" s="239">
        <v>-6380364</v>
      </c>
      <c r="FV262" s="239">
        <v>0</v>
      </c>
      <c r="FW262" s="239">
        <v>-6380364</v>
      </c>
      <c r="FX262" s="239">
        <v>45864164</v>
      </c>
      <c r="FY262" s="239">
        <v>0</v>
      </c>
      <c r="FZ262" s="239">
        <v>45864164</v>
      </c>
      <c r="GA262" s="214" t="s">
        <v>1294</v>
      </c>
    </row>
    <row r="263" spans="2:183" s="214" customFormat="1" x14ac:dyDescent="0.2">
      <c r="B263" s="610" t="s">
        <v>609</v>
      </c>
      <c r="C263" s="610" t="s">
        <v>608</v>
      </c>
      <c r="D263" s="239">
        <v>0</v>
      </c>
      <c r="E263" s="239">
        <v>0</v>
      </c>
      <c r="F263" s="239">
        <v>0</v>
      </c>
      <c r="G263" s="239">
        <v>24044</v>
      </c>
      <c r="H263" s="239">
        <v>0</v>
      </c>
      <c r="I263" s="239">
        <v>24044</v>
      </c>
      <c r="J263" s="239">
        <v>0</v>
      </c>
      <c r="K263" s="239">
        <v>0</v>
      </c>
      <c r="L263" s="239">
        <v>0</v>
      </c>
      <c r="M263" s="239">
        <v>-41510</v>
      </c>
      <c r="N263" s="239">
        <v>0</v>
      </c>
      <c r="O263" s="239">
        <v>-41510</v>
      </c>
      <c r="P263" s="239">
        <v>-17466</v>
      </c>
      <c r="Q263" s="239">
        <v>0</v>
      </c>
      <c r="R263" s="239">
        <v>-17466</v>
      </c>
      <c r="S263" s="239">
        <v>-2367812</v>
      </c>
      <c r="T263" s="239">
        <v>0</v>
      </c>
      <c r="U263" s="239">
        <v>-2367812</v>
      </c>
      <c r="V263" s="239">
        <v>-96</v>
      </c>
      <c r="W263" s="239">
        <v>0</v>
      </c>
      <c r="X263" s="239">
        <v>-96</v>
      </c>
      <c r="Y263" s="239">
        <v>-144807</v>
      </c>
      <c r="Z263" s="239">
        <v>0</v>
      </c>
      <c r="AA263" s="239">
        <v>-144807</v>
      </c>
      <c r="AB263" s="239">
        <v>-90318</v>
      </c>
      <c r="AC263" s="239">
        <v>0</v>
      </c>
      <c r="AD263" s="239">
        <v>-90318</v>
      </c>
      <c r="AE263" s="239">
        <v>0</v>
      </c>
      <c r="AF263" s="239">
        <v>0</v>
      </c>
      <c r="AG263" s="239">
        <v>0</v>
      </c>
      <c r="AH263" s="239">
        <v>483773</v>
      </c>
      <c r="AI263" s="239">
        <v>0</v>
      </c>
      <c r="AJ263" s="239">
        <v>483773</v>
      </c>
      <c r="AK263" s="239">
        <v>-7573</v>
      </c>
      <c r="AL263" s="239">
        <v>0</v>
      </c>
      <c r="AM263" s="239">
        <v>-7573</v>
      </c>
      <c r="AN263" s="239">
        <v>-1203205</v>
      </c>
      <c r="AO263" s="239">
        <v>0</v>
      </c>
      <c r="AP263" s="239">
        <v>-1203205</v>
      </c>
      <c r="AQ263" s="239">
        <v>530</v>
      </c>
      <c r="AR263" s="239">
        <v>0</v>
      </c>
      <c r="AS263" s="239">
        <v>530</v>
      </c>
      <c r="AT263" s="239">
        <v>-52948</v>
      </c>
      <c r="AU263" s="239">
        <v>0</v>
      </c>
      <c r="AV263" s="239">
        <v>-52948</v>
      </c>
      <c r="AW263" s="239">
        <v>-22280</v>
      </c>
      <c r="AX263" s="239">
        <v>0</v>
      </c>
      <c r="AY263" s="239">
        <v>-22280</v>
      </c>
      <c r="AZ263" s="239">
        <v>-19195</v>
      </c>
      <c r="BA263" s="239">
        <v>0</v>
      </c>
      <c r="BB263" s="239">
        <v>-19195</v>
      </c>
      <c r="BC263" s="239">
        <v>216</v>
      </c>
      <c r="BD263" s="239">
        <v>0</v>
      </c>
      <c r="BE263" s="239">
        <v>216</v>
      </c>
      <c r="BF263" s="239">
        <v>-3333301</v>
      </c>
      <c r="BG263" s="239">
        <v>0</v>
      </c>
      <c r="BH263" s="239">
        <v>-3333301</v>
      </c>
      <c r="BI263" s="239">
        <v>-30140</v>
      </c>
      <c r="BJ263" s="239">
        <v>0</v>
      </c>
      <c r="BK263" s="239">
        <v>-30140</v>
      </c>
      <c r="BL263" s="239">
        <v>0</v>
      </c>
      <c r="BM263" s="239">
        <v>0</v>
      </c>
      <c r="BN263" s="239">
        <v>0</v>
      </c>
      <c r="BO263" s="239">
        <v>-458150</v>
      </c>
      <c r="BP263" s="239">
        <v>0</v>
      </c>
      <c r="BQ263" s="239">
        <v>-458150</v>
      </c>
      <c r="BR263" s="239">
        <v>-54255</v>
      </c>
      <c r="BS263" s="239">
        <v>0</v>
      </c>
      <c r="BT263" s="239">
        <v>-54255</v>
      </c>
      <c r="BU263" s="239">
        <v>-542545</v>
      </c>
      <c r="BV263" s="239">
        <v>0</v>
      </c>
      <c r="BW263" s="239">
        <v>-542545</v>
      </c>
      <c r="BX263" s="239">
        <v>-92414</v>
      </c>
      <c r="BY263" s="239">
        <v>0</v>
      </c>
      <c r="BZ263" s="239">
        <v>-92414</v>
      </c>
      <c r="CA263" s="239">
        <v>810</v>
      </c>
      <c r="CB263" s="239">
        <v>0</v>
      </c>
      <c r="CC263" s="239">
        <v>810</v>
      </c>
      <c r="CD263" s="239">
        <v>-116477</v>
      </c>
      <c r="CE263" s="239">
        <v>0</v>
      </c>
      <c r="CF263" s="239">
        <v>-116477</v>
      </c>
      <c r="CG263" s="239">
        <v>27441</v>
      </c>
      <c r="CH263" s="239">
        <v>0</v>
      </c>
      <c r="CI263" s="239">
        <v>27441</v>
      </c>
      <c r="CJ263" s="239">
        <v>-4116</v>
      </c>
      <c r="CK263" s="239">
        <v>0</v>
      </c>
      <c r="CL263" s="239">
        <v>-4116</v>
      </c>
      <c r="CM263" s="239">
        <v>-5570</v>
      </c>
      <c r="CN263" s="239">
        <v>0</v>
      </c>
      <c r="CO263" s="239">
        <v>-5570</v>
      </c>
      <c r="CP263" s="239">
        <v>-7135</v>
      </c>
      <c r="CQ263" s="239">
        <v>0</v>
      </c>
      <c r="CR263" s="239">
        <v>-7135</v>
      </c>
      <c r="CS263" s="239">
        <v>0</v>
      </c>
      <c r="CT263" s="239">
        <v>0</v>
      </c>
      <c r="CU263" s="239">
        <v>0</v>
      </c>
      <c r="CV263" s="239">
        <v>0</v>
      </c>
      <c r="CW263" s="239">
        <v>0</v>
      </c>
      <c r="CX263" s="239">
        <v>0</v>
      </c>
      <c r="CY263" s="239">
        <v>0</v>
      </c>
      <c r="CZ263" s="239">
        <v>0</v>
      </c>
      <c r="DA263" s="239">
        <v>0</v>
      </c>
      <c r="DB263" s="239">
        <v>0</v>
      </c>
      <c r="DC263" s="239">
        <v>0</v>
      </c>
      <c r="DD263" s="239">
        <v>0</v>
      </c>
      <c r="DE263" s="239">
        <v>0</v>
      </c>
      <c r="DF263" s="239">
        <v>0</v>
      </c>
      <c r="DG263" s="239">
        <v>0</v>
      </c>
      <c r="DH263" s="239">
        <v>0</v>
      </c>
      <c r="DI263" s="239">
        <v>0</v>
      </c>
      <c r="DJ263" s="239">
        <v>-197461</v>
      </c>
      <c r="DK263" s="239">
        <v>0</v>
      </c>
      <c r="DL263" s="239">
        <v>-197461</v>
      </c>
      <c r="DM263" s="239">
        <v>-4487</v>
      </c>
      <c r="DN263" s="239">
        <v>0</v>
      </c>
      <c r="DO263" s="239">
        <v>-4487</v>
      </c>
      <c r="DP263" s="239">
        <v>0</v>
      </c>
      <c r="DQ263" s="239">
        <v>0</v>
      </c>
      <c r="DR263" s="239">
        <v>0</v>
      </c>
      <c r="DS263" s="239">
        <v>-11863</v>
      </c>
      <c r="DT263" s="239">
        <v>0</v>
      </c>
      <c r="DU263" s="239">
        <v>-11863</v>
      </c>
      <c r="DV263" s="239">
        <v>71</v>
      </c>
      <c r="DW263" s="239">
        <v>0</v>
      </c>
      <c r="DX263" s="239">
        <v>71</v>
      </c>
      <c r="DY263" s="239">
        <v>-501219</v>
      </c>
      <c r="DZ263" s="239">
        <v>0</v>
      </c>
      <c r="EA263" s="239">
        <v>-501219</v>
      </c>
      <c r="EB263" s="239">
        <v>676</v>
      </c>
      <c r="EC263" s="239">
        <v>0</v>
      </c>
      <c r="ED263" s="239">
        <v>676</v>
      </c>
      <c r="EE263" s="239">
        <v>0</v>
      </c>
      <c r="EF263" s="239">
        <v>0</v>
      </c>
      <c r="EG263" s="239">
        <v>0</v>
      </c>
      <c r="EH263" s="239">
        <v>0</v>
      </c>
      <c r="EI263" s="239">
        <v>0</v>
      </c>
      <c r="EJ263" s="239">
        <v>0</v>
      </c>
      <c r="EK263" s="239">
        <v>-17749</v>
      </c>
      <c r="EL263" s="239">
        <v>0</v>
      </c>
      <c r="EM263" s="239">
        <v>-17749</v>
      </c>
      <c r="EN263" s="239">
        <v>-534571</v>
      </c>
      <c r="EO263" s="239">
        <v>0</v>
      </c>
      <c r="EP263" s="239">
        <v>-534571</v>
      </c>
      <c r="EQ263" s="239">
        <v>0</v>
      </c>
      <c r="ER263" s="239">
        <v>0</v>
      </c>
      <c r="ES263" s="239">
        <v>0</v>
      </c>
      <c r="ET263" s="239">
        <v>246</v>
      </c>
      <c r="EU263" s="239">
        <v>0</v>
      </c>
      <c r="EV263" s="239">
        <v>246</v>
      </c>
      <c r="EW263" s="239">
        <v>246</v>
      </c>
      <c r="EX263" s="239">
        <v>0</v>
      </c>
      <c r="EY263" s="239">
        <v>246</v>
      </c>
      <c r="EZ263" s="239">
        <v>23228786</v>
      </c>
      <c r="FA263" s="239">
        <v>0</v>
      </c>
      <c r="FB263" s="239">
        <v>23228786</v>
      </c>
      <c r="FC263" s="239">
        <v>-17466</v>
      </c>
      <c r="FD263" s="239">
        <v>0</v>
      </c>
      <c r="FE263" s="239">
        <v>-17466</v>
      </c>
      <c r="FF263" s="239">
        <v>-3333301</v>
      </c>
      <c r="FG263" s="239">
        <v>0</v>
      </c>
      <c r="FH263" s="239">
        <v>-3333301</v>
      </c>
      <c r="FI263" s="239">
        <v>-542545</v>
      </c>
      <c r="FJ263" s="239">
        <v>0</v>
      </c>
      <c r="FK263" s="239">
        <v>-542545</v>
      </c>
      <c r="FL263" s="239">
        <v>-197461</v>
      </c>
      <c r="FM263" s="239">
        <v>0</v>
      </c>
      <c r="FN263" s="239">
        <v>-197461</v>
      </c>
      <c r="FO263" s="239">
        <v>-534571</v>
      </c>
      <c r="FP263" s="239">
        <v>0</v>
      </c>
      <c r="FQ263" s="239">
        <v>-534571</v>
      </c>
      <c r="FR263" s="239">
        <v>246</v>
      </c>
      <c r="FS263" s="239">
        <v>0</v>
      </c>
      <c r="FT263" s="239">
        <v>246</v>
      </c>
      <c r="FU263" s="239">
        <v>-4625098</v>
      </c>
      <c r="FV263" s="239">
        <v>0</v>
      </c>
      <c r="FW263" s="239">
        <v>-4625098</v>
      </c>
      <c r="FX263" s="239">
        <v>18603688</v>
      </c>
      <c r="FY263" s="239">
        <v>0</v>
      </c>
      <c r="FZ263" s="239">
        <v>18603688</v>
      </c>
      <c r="GA263" s="214" t="s">
        <v>1294</v>
      </c>
    </row>
    <row r="264" spans="2:183" s="214" customFormat="1" x14ac:dyDescent="0.2">
      <c r="B264" s="610" t="s">
        <v>611</v>
      </c>
      <c r="C264" s="610" t="s">
        <v>610</v>
      </c>
      <c r="D264" s="239">
        <v>0</v>
      </c>
      <c r="E264" s="239">
        <v>0</v>
      </c>
      <c r="F264" s="239">
        <v>0</v>
      </c>
      <c r="G264" s="239">
        <v>-33472</v>
      </c>
      <c r="H264" s="239">
        <v>0</v>
      </c>
      <c r="I264" s="239">
        <v>-33472</v>
      </c>
      <c r="J264" s="239">
        <v>0</v>
      </c>
      <c r="K264" s="239">
        <v>0</v>
      </c>
      <c r="L264" s="239">
        <v>0</v>
      </c>
      <c r="M264" s="239">
        <v>246852</v>
      </c>
      <c r="N264" s="239">
        <v>0</v>
      </c>
      <c r="O264" s="239">
        <v>246852</v>
      </c>
      <c r="P264" s="239">
        <v>213380</v>
      </c>
      <c r="Q264" s="239">
        <v>0</v>
      </c>
      <c r="R264" s="239">
        <v>213380</v>
      </c>
      <c r="S264" s="239">
        <v>-947899</v>
      </c>
      <c r="T264" s="239">
        <v>0</v>
      </c>
      <c r="U264" s="239">
        <v>-947899</v>
      </c>
      <c r="V264" s="239">
        <v>0</v>
      </c>
      <c r="W264" s="239">
        <v>0</v>
      </c>
      <c r="X264" s="239">
        <v>0</v>
      </c>
      <c r="Y264" s="239">
        <v>-72454</v>
      </c>
      <c r="Z264" s="239">
        <v>0</v>
      </c>
      <c r="AA264" s="239">
        <v>-72454</v>
      </c>
      <c r="AB264" s="239">
        <v>-72454</v>
      </c>
      <c r="AC264" s="239">
        <v>0</v>
      </c>
      <c r="AD264" s="239">
        <v>-72454</v>
      </c>
      <c r="AE264" s="239">
        <v>0</v>
      </c>
      <c r="AF264" s="239">
        <v>0</v>
      </c>
      <c r="AG264" s="239">
        <v>0</v>
      </c>
      <c r="AH264" s="239">
        <v>1352555</v>
      </c>
      <c r="AI264" s="239">
        <v>0</v>
      </c>
      <c r="AJ264" s="239">
        <v>1352555</v>
      </c>
      <c r="AK264" s="239">
        <v>-21881</v>
      </c>
      <c r="AL264" s="239">
        <v>0</v>
      </c>
      <c r="AM264" s="239">
        <v>-21881</v>
      </c>
      <c r="AN264" s="239">
        <v>-1590168</v>
      </c>
      <c r="AO264" s="239">
        <v>0</v>
      </c>
      <c r="AP264" s="239">
        <v>-1590168</v>
      </c>
      <c r="AQ264" s="239">
        <v>21924</v>
      </c>
      <c r="AR264" s="239">
        <v>0</v>
      </c>
      <c r="AS264" s="239">
        <v>21924</v>
      </c>
      <c r="AT264" s="239">
        <v>-4043</v>
      </c>
      <c r="AU264" s="239">
        <v>0</v>
      </c>
      <c r="AV264" s="239">
        <v>-4043</v>
      </c>
      <c r="AW264" s="239">
        <v>0</v>
      </c>
      <c r="AX264" s="239">
        <v>0</v>
      </c>
      <c r="AY264" s="239">
        <v>0</v>
      </c>
      <c r="AZ264" s="239">
        <v>0</v>
      </c>
      <c r="BA264" s="239">
        <v>0</v>
      </c>
      <c r="BB264" s="239">
        <v>0</v>
      </c>
      <c r="BC264" s="239">
        <v>0</v>
      </c>
      <c r="BD264" s="239">
        <v>0</v>
      </c>
      <c r="BE264" s="239">
        <v>0</v>
      </c>
      <c r="BF264" s="239">
        <v>-1261966</v>
      </c>
      <c r="BG264" s="239">
        <v>0</v>
      </c>
      <c r="BH264" s="239">
        <v>-1261966</v>
      </c>
      <c r="BI264" s="239">
        <v>-47133</v>
      </c>
      <c r="BJ264" s="239">
        <v>0</v>
      </c>
      <c r="BK264" s="239">
        <v>-47133</v>
      </c>
      <c r="BL264" s="239">
        <v>-6760</v>
      </c>
      <c r="BM264" s="239">
        <v>0</v>
      </c>
      <c r="BN264" s="239">
        <v>-6760</v>
      </c>
      <c r="BO264" s="239">
        <v>-1754013</v>
      </c>
      <c r="BP264" s="239">
        <v>0</v>
      </c>
      <c r="BQ264" s="239">
        <v>-1754013</v>
      </c>
      <c r="BR264" s="239">
        <v>-56734</v>
      </c>
      <c r="BS264" s="239">
        <v>0</v>
      </c>
      <c r="BT264" s="239">
        <v>-56734</v>
      </c>
      <c r="BU264" s="239">
        <v>-1864640</v>
      </c>
      <c r="BV264" s="239">
        <v>0</v>
      </c>
      <c r="BW264" s="239">
        <v>-1864640</v>
      </c>
      <c r="BX264" s="239">
        <v>-126191</v>
      </c>
      <c r="BY264" s="239">
        <v>0</v>
      </c>
      <c r="BZ264" s="239">
        <v>-126191</v>
      </c>
      <c r="CA264" s="239">
        <v>4319</v>
      </c>
      <c r="CB264" s="239">
        <v>0</v>
      </c>
      <c r="CC264" s="239">
        <v>4319</v>
      </c>
      <c r="CD264" s="239">
        <v>-16536</v>
      </c>
      <c r="CE264" s="239">
        <v>0</v>
      </c>
      <c r="CF264" s="239">
        <v>-16536</v>
      </c>
      <c r="CG264" s="239">
        <v>521</v>
      </c>
      <c r="CH264" s="239">
        <v>0</v>
      </c>
      <c r="CI264" s="239">
        <v>521</v>
      </c>
      <c r="CJ264" s="239">
        <v>-1011</v>
      </c>
      <c r="CK264" s="239">
        <v>0</v>
      </c>
      <c r="CL264" s="239">
        <v>-1011</v>
      </c>
      <c r="CM264" s="239">
        <v>0</v>
      </c>
      <c r="CN264" s="239">
        <v>0</v>
      </c>
      <c r="CO264" s="239">
        <v>0</v>
      </c>
      <c r="CP264" s="239">
        <v>0</v>
      </c>
      <c r="CQ264" s="239">
        <v>0</v>
      </c>
      <c r="CR264" s="239">
        <v>0</v>
      </c>
      <c r="CS264" s="239">
        <v>0</v>
      </c>
      <c r="CT264" s="239">
        <v>0</v>
      </c>
      <c r="CU264" s="239">
        <v>0</v>
      </c>
      <c r="CV264" s="239">
        <v>0</v>
      </c>
      <c r="CW264" s="239">
        <v>0</v>
      </c>
      <c r="CX264" s="239">
        <v>0</v>
      </c>
      <c r="CY264" s="239">
        <v>0</v>
      </c>
      <c r="CZ264" s="239">
        <v>0</v>
      </c>
      <c r="DA264" s="239">
        <v>0</v>
      </c>
      <c r="DB264" s="239">
        <v>0</v>
      </c>
      <c r="DC264" s="239">
        <v>0</v>
      </c>
      <c r="DD264" s="239">
        <v>0</v>
      </c>
      <c r="DE264" s="239">
        <v>0</v>
      </c>
      <c r="DF264" s="239">
        <v>0</v>
      </c>
      <c r="DG264" s="239">
        <v>0</v>
      </c>
      <c r="DH264" s="239">
        <v>0</v>
      </c>
      <c r="DI264" s="239">
        <v>0</v>
      </c>
      <c r="DJ264" s="239">
        <v>-138898</v>
      </c>
      <c r="DK264" s="239">
        <v>0</v>
      </c>
      <c r="DL264" s="239">
        <v>-138898</v>
      </c>
      <c r="DM264" s="239">
        <v>-151835</v>
      </c>
      <c r="DN264" s="239">
        <v>0</v>
      </c>
      <c r="DO264" s="239">
        <v>-151835</v>
      </c>
      <c r="DP264" s="239">
        <v>0</v>
      </c>
      <c r="DQ264" s="239">
        <v>0</v>
      </c>
      <c r="DR264" s="239">
        <v>0</v>
      </c>
      <c r="DS264" s="239">
        <v>-18471</v>
      </c>
      <c r="DT264" s="239">
        <v>0</v>
      </c>
      <c r="DU264" s="239">
        <v>-18471</v>
      </c>
      <c r="DV264" s="239">
        <v>0</v>
      </c>
      <c r="DW264" s="239">
        <v>0</v>
      </c>
      <c r="DX264" s="239">
        <v>0</v>
      </c>
      <c r="DY264" s="239">
        <v>-306266</v>
      </c>
      <c r="DZ264" s="239">
        <v>0</v>
      </c>
      <c r="EA264" s="239">
        <v>-306266</v>
      </c>
      <c r="EB264" s="239">
        <v>-35604</v>
      </c>
      <c r="EC264" s="239">
        <v>0</v>
      </c>
      <c r="ED264" s="239">
        <v>-35604</v>
      </c>
      <c r="EE264" s="239">
        <v>0</v>
      </c>
      <c r="EF264" s="239">
        <v>0</v>
      </c>
      <c r="EG264" s="239">
        <v>0</v>
      </c>
      <c r="EH264" s="239">
        <v>0</v>
      </c>
      <c r="EI264" s="239">
        <v>0</v>
      </c>
      <c r="EJ264" s="239">
        <v>0</v>
      </c>
      <c r="EK264" s="239">
        <v>-7319</v>
      </c>
      <c r="EL264" s="239">
        <v>0</v>
      </c>
      <c r="EM264" s="239">
        <v>-7319</v>
      </c>
      <c r="EN264" s="239">
        <v>-519495</v>
      </c>
      <c r="EO264" s="239">
        <v>0</v>
      </c>
      <c r="EP264" s="239">
        <v>-519495</v>
      </c>
      <c r="EQ264" s="239">
        <v>0</v>
      </c>
      <c r="ER264" s="239">
        <v>0</v>
      </c>
      <c r="ES264" s="239">
        <v>0</v>
      </c>
      <c r="ET264" s="239">
        <v>0</v>
      </c>
      <c r="EU264" s="239">
        <v>0</v>
      </c>
      <c r="EV264" s="239">
        <v>0</v>
      </c>
      <c r="EW264" s="239">
        <v>0</v>
      </c>
      <c r="EX264" s="239">
        <v>0</v>
      </c>
      <c r="EY264" s="239">
        <v>0</v>
      </c>
      <c r="EZ264" s="239">
        <v>52386749</v>
      </c>
      <c r="FA264" s="239">
        <v>0</v>
      </c>
      <c r="FB264" s="239">
        <v>52386749</v>
      </c>
      <c r="FC264" s="239">
        <v>213380</v>
      </c>
      <c r="FD264" s="239">
        <v>0</v>
      </c>
      <c r="FE264" s="239">
        <v>213380</v>
      </c>
      <c r="FF264" s="239">
        <v>-1261966</v>
      </c>
      <c r="FG264" s="239">
        <v>0</v>
      </c>
      <c r="FH264" s="239">
        <v>-1261966</v>
      </c>
      <c r="FI264" s="239">
        <v>-1864640</v>
      </c>
      <c r="FJ264" s="239">
        <v>0</v>
      </c>
      <c r="FK264" s="239">
        <v>-1864640</v>
      </c>
      <c r="FL264" s="239">
        <v>-138898</v>
      </c>
      <c r="FM264" s="239">
        <v>0</v>
      </c>
      <c r="FN264" s="239">
        <v>-138898</v>
      </c>
      <c r="FO264" s="239">
        <v>-519495</v>
      </c>
      <c r="FP264" s="239">
        <v>0</v>
      </c>
      <c r="FQ264" s="239">
        <v>-519495</v>
      </c>
      <c r="FR264" s="239">
        <v>0</v>
      </c>
      <c r="FS264" s="239">
        <v>0</v>
      </c>
      <c r="FT264" s="239">
        <v>0</v>
      </c>
      <c r="FU264" s="239">
        <v>-3571619</v>
      </c>
      <c r="FV264" s="239">
        <v>0</v>
      </c>
      <c r="FW264" s="239">
        <v>-3571619</v>
      </c>
      <c r="FX264" s="239">
        <v>48815130</v>
      </c>
      <c r="FY264" s="239">
        <v>0</v>
      </c>
      <c r="FZ264" s="239">
        <v>48815130</v>
      </c>
      <c r="GA264" s="214" t="s">
        <v>1294</v>
      </c>
    </row>
    <row r="265" spans="2:183" s="214" customFormat="1" x14ac:dyDescent="0.2">
      <c r="B265" s="610" t="s">
        <v>613</v>
      </c>
      <c r="C265" s="610" t="s">
        <v>612</v>
      </c>
      <c r="D265" s="239">
        <v>0</v>
      </c>
      <c r="E265" s="239">
        <v>0</v>
      </c>
      <c r="F265" s="239">
        <v>0</v>
      </c>
      <c r="G265" s="239">
        <v>185136</v>
      </c>
      <c r="H265" s="239">
        <v>0</v>
      </c>
      <c r="I265" s="239">
        <v>185136</v>
      </c>
      <c r="J265" s="239">
        <v>0</v>
      </c>
      <c r="K265" s="239">
        <v>0</v>
      </c>
      <c r="L265" s="239">
        <v>0</v>
      </c>
      <c r="M265" s="239">
        <v>71445</v>
      </c>
      <c r="N265" s="239">
        <v>0</v>
      </c>
      <c r="O265" s="239">
        <v>71445</v>
      </c>
      <c r="P265" s="239">
        <v>256581</v>
      </c>
      <c r="Q265" s="239">
        <v>0</v>
      </c>
      <c r="R265" s="239">
        <v>256581</v>
      </c>
      <c r="S265" s="239">
        <v>-7272233</v>
      </c>
      <c r="T265" s="239">
        <v>0</v>
      </c>
      <c r="U265" s="239">
        <v>-7272233</v>
      </c>
      <c r="V265" s="239">
        <v>-41398</v>
      </c>
      <c r="W265" s="239">
        <v>0</v>
      </c>
      <c r="X265" s="239">
        <v>-41398</v>
      </c>
      <c r="Y265" s="239">
        <v>-320377</v>
      </c>
      <c r="Z265" s="239">
        <v>0</v>
      </c>
      <c r="AA265" s="239">
        <v>-320377</v>
      </c>
      <c r="AB265" s="239">
        <v>-224956</v>
      </c>
      <c r="AC265" s="239">
        <v>0</v>
      </c>
      <c r="AD265" s="239">
        <v>-224956</v>
      </c>
      <c r="AE265" s="239">
        <v>-4366</v>
      </c>
      <c r="AF265" s="239">
        <v>0</v>
      </c>
      <c r="AG265" s="239">
        <v>-4366</v>
      </c>
      <c r="AH265" s="239">
        <v>2570238</v>
      </c>
      <c r="AI265" s="239">
        <v>0</v>
      </c>
      <c r="AJ265" s="239">
        <v>2570238</v>
      </c>
      <c r="AK265" s="239">
        <v>-10528</v>
      </c>
      <c r="AL265" s="239">
        <v>0</v>
      </c>
      <c r="AM265" s="239">
        <v>-10528</v>
      </c>
      <c r="AN265" s="239">
        <v>-4386701</v>
      </c>
      <c r="AO265" s="239">
        <v>0</v>
      </c>
      <c r="AP265" s="239">
        <v>-4386701</v>
      </c>
      <c r="AQ265" s="239">
        <v>-112417</v>
      </c>
      <c r="AR265" s="239">
        <v>0</v>
      </c>
      <c r="AS265" s="239">
        <v>-112417</v>
      </c>
      <c r="AT265" s="239">
        <v>-274417</v>
      </c>
      <c r="AU265" s="239">
        <v>0</v>
      </c>
      <c r="AV265" s="239">
        <v>-274417</v>
      </c>
      <c r="AW265" s="239">
        <v>-14548</v>
      </c>
      <c r="AX265" s="239">
        <v>0</v>
      </c>
      <c r="AY265" s="239">
        <v>-14548</v>
      </c>
      <c r="AZ265" s="239">
        <v>0</v>
      </c>
      <c r="BA265" s="239">
        <v>0</v>
      </c>
      <c r="BB265" s="239">
        <v>0</v>
      </c>
      <c r="BC265" s="239">
        <v>0</v>
      </c>
      <c r="BD265" s="239">
        <v>0</v>
      </c>
      <c r="BE265" s="239">
        <v>0</v>
      </c>
      <c r="BF265" s="239">
        <v>-9820983</v>
      </c>
      <c r="BG265" s="239">
        <v>0</v>
      </c>
      <c r="BH265" s="239">
        <v>-9820983</v>
      </c>
      <c r="BI265" s="239">
        <v>-30615</v>
      </c>
      <c r="BJ265" s="239">
        <v>0</v>
      </c>
      <c r="BK265" s="239">
        <v>-30615</v>
      </c>
      <c r="BL265" s="239">
        <v>-6396</v>
      </c>
      <c r="BM265" s="239">
        <v>0</v>
      </c>
      <c r="BN265" s="239">
        <v>-6396</v>
      </c>
      <c r="BO265" s="239">
        <v>-4895241</v>
      </c>
      <c r="BP265" s="239">
        <v>0</v>
      </c>
      <c r="BQ265" s="239">
        <v>-4895241</v>
      </c>
      <c r="BR265" s="239">
        <v>-537414</v>
      </c>
      <c r="BS265" s="239">
        <v>0</v>
      </c>
      <c r="BT265" s="239">
        <v>-537414</v>
      </c>
      <c r="BU265" s="239">
        <v>-5469666</v>
      </c>
      <c r="BV265" s="239">
        <v>0</v>
      </c>
      <c r="BW265" s="239">
        <v>-5469666</v>
      </c>
      <c r="BX265" s="239">
        <v>0</v>
      </c>
      <c r="BY265" s="239">
        <v>0</v>
      </c>
      <c r="BZ265" s="239">
        <v>0</v>
      </c>
      <c r="CA265" s="239">
        <v>0</v>
      </c>
      <c r="CB265" s="239">
        <v>0</v>
      </c>
      <c r="CC265" s="239">
        <v>0</v>
      </c>
      <c r="CD265" s="239">
        <v>-78239</v>
      </c>
      <c r="CE265" s="239">
        <v>0</v>
      </c>
      <c r="CF265" s="239">
        <v>-78239</v>
      </c>
      <c r="CG265" s="239">
        <v>-5473</v>
      </c>
      <c r="CH265" s="239">
        <v>0</v>
      </c>
      <c r="CI265" s="239">
        <v>-5473</v>
      </c>
      <c r="CJ265" s="239">
        <v>-21560</v>
      </c>
      <c r="CK265" s="239">
        <v>0</v>
      </c>
      <c r="CL265" s="239">
        <v>-21560</v>
      </c>
      <c r="CM265" s="239">
        <v>-28</v>
      </c>
      <c r="CN265" s="239">
        <v>0</v>
      </c>
      <c r="CO265" s="239">
        <v>-28</v>
      </c>
      <c r="CP265" s="239">
        <v>0</v>
      </c>
      <c r="CQ265" s="239">
        <v>0</v>
      </c>
      <c r="CR265" s="239">
        <v>0</v>
      </c>
      <c r="CS265" s="239">
        <v>0</v>
      </c>
      <c r="CT265" s="239">
        <v>0</v>
      </c>
      <c r="CU265" s="239">
        <v>0</v>
      </c>
      <c r="CV265" s="239">
        <v>0</v>
      </c>
      <c r="CW265" s="239">
        <v>0</v>
      </c>
      <c r="CX265" s="239">
        <v>0</v>
      </c>
      <c r="CY265" s="239">
        <v>0</v>
      </c>
      <c r="CZ265" s="239">
        <v>0</v>
      </c>
      <c r="DA265" s="239">
        <v>0</v>
      </c>
      <c r="DB265" s="239">
        <v>-3592</v>
      </c>
      <c r="DC265" s="239">
        <v>0</v>
      </c>
      <c r="DD265" s="239">
        <v>-3592</v>
      </c>
      <c r="DE265" s="239">
        <v>669</v>
      </c>
      <c r="DF265" s="239">
        <v>0</v>
      </c>
      <c r="DG265" s="239">
        <v>669</v>
      </c>
      <c r="DH265" s="239">
        <v>0</v>
      </c>
      <c r="DI265" s="239">
        <v>0</v>
      </c>
      <c r="DJ265" s="239">
        <v>-108223</v>
      </c>
      <c r="DK265" s="239">
        <v>0</v>
      </c>
      <c r="DL265" s="239">
        <v>-108223</v>
      </c>
      <c r="DM265" s="239">
        <v>-105060</v>
      </c>
      <c r="DN265" s="239">
        <v>0</v>
      </c>
      <c r="DO265" s="239">
        <v>-105060</v>
      </c>
      <c r="DP265" s="239">
        <v>-1930</v>
      </c>
      <c r="DQ265" s="239">
        <v>0</v>
      </c>
      <c r="DR265" s="239">
        <v>-1930</v>
      </c>
      <c r="DS265" s="239">
        <v>-67313</v>
      </c>
      <c r="DT265" s="239">
        <v>0</v>
      </c>
      <c r="DU265" s="239">
        <v>-67313</v>
      </c>
      <c r="DV265" s="239">
        <v>-12171</v>
      </c>
      <c r="DW265" s="239">
        <v>0</v>
      </c>
      <c r="DX265" s="239">
        <v>-12171</v>
      </c>
      <c r="DY265" s="239">
        <v>-1623423</v>
      </c>
      <c r="DZ265" s="239">
        <v>0</v>
      </c>
      <c r="EA265" s="239">
        <v>-1623423</v>
      </c>
      <c r="EB265" s="239">
        <v>-55466</v>
      </c>
      <c r="EC265" s="239">
        <v>0</v>
      </c>
      <c r="ED265" s="239">
        <v>-55466</v>
      </c>
      <c r="EE265" s="239">
        <v>0</v>
      </c>
      <c r="EF265" s="239">
        <v>0</v>
      </c>
      <c r="EG265" s="239">
        <v>0</v>
      </c>
      <c r="EH265" s="239">
        <v>0</v>
      </c>
      <c r="EI265" s="239">
        <v>0</v>
      </c>
      <c r="EJ265" s="239">
        <v>0</v>
      </c>
      <c r="EK265" s="239">
        <v>-8628</v>
      </c>
      <c r="EL265" s="239">
        <v>0</v>
      </c>
      <c r="EM265" s="239">
        <v>-8628</v>
      </c>
      <c r="EN265" s="239">
        <v>-1873991</v>
      </c>
      <c r="EO265" s="239">
        <v>0</v>
      </c>
      <c r="EP265" s="239">
        <v>-1873991</v>
      </c>
      <c r="EQ265" s="239">
        <v>-94771</v>
      </c>
      <c r="ER265" s="239">
        <v>0</v>
      </c>
      <c r="ES265" s="239">
        <v>-94771</v>
      </c>
      <c r="ET265" s="239">
        <v>0</v>
      </c>
      <c r="EU265" s="239">
        <v>0</v>
      </c>
      <c r="EV265" s="239">
        <v>0</v>
      </c>
      <c r="EW265" s="239">
        <v>-94771</v>
      </c>
      <c r="EX265" s="239">
        <v>0</v>
      </c>
      <c r="EY265" s="239">
        <v>-94771</v>
      </c>
      <c r="EZ265" s="239">
        <v>113319297</v>
      </c>
      <c r="FA265" s="239">
        <v>0</v>
      </c>
      <c r="FB265" s="239">
        <v>113319297</v>
      </c>
      <c r="FC265" s="239">
        <v>256581</v>
      </c>
      <c r="FD265" s="239">
        <v>0</v>
      </c>
      <c r="FE265" s="239">
        <v>256581</v>
      </c>
      <c r="FF265" s="239">
        <v>-9820983</v>
      </c>
      <c r="FG265" s="239">
        <v>0</v>
      </c>
      <c r="FH265" s="239">
        <v>-9820983</v>
      </c>
      <c r="FI265" s="239">
        <v>-5469666</v>
      </c>
      <c r="FJ265" s="239">
        <v>0</v>
      </c>
      <c r="FK265" s="239">
        <v>-5469666</v>
      </c>
      <c r="FL265" s="239">
        <v>-108223</v>
      </c>
      <c r="FM265" s="239">
        <v>0</v>
      </c>
      <c r="FN265" s="239">
        <v>-108223</v>
      </c>
      <c r="FO265" s="239">
        <v>-1873991</v>
      </c>
      <c r="FP265" s="239">
        <v>0</v>
      </c>
      <c r="FQ265" s="239">
        <v>-1873991</v>
      </c>
      <c r="FR265" s="239">
        <v>-94771</v>
      </c>
      <c r="FS265" s="239">
        <v>0</v>
      </c>
      <c r="FT265" s="239">
        <v>-94771</v>
      </c>
      <c r="FU265" s="239">
        <v>-17111053</v>
      </c>
      <c r="FV265" s="239">
        <v>0</v>
      </c>
      <c r="FW265" s="239">
        <v>-17111053</v>
      </c>
      <c r="FX265" s="239">
        <v>96208244</v>
      </c>
      <c r="FY265" s="239">
        <v>0</v>
      </c>
      <c r="FZ265" s="239">
        <v>96208244</v>
      </c>
      <c r="GA265" s="214" t="s">
        <v>1296</v>
      </c>
    </row>
    <row r="266" spans="2:183" s="214" customFormat="1" x14ac:dyDescent="0.2">
      <c r="B266" s="610" t="s">
        <v>615</v>
      </c>
      <c r="C266" s="610" t="s">
        <v>614</v>
      </c>
      <c r="D266" s="239">
        <v>0</v>
      </c>
      <c r="E266" s="239">
        <v>0</v>
      </c>
      <c r="F266" s="239">
        <v>0</v>
      </c>
      <c r="G266" s="239">
        <v>111059</v>
      </c>
      <c r="H266" s="239">
        <v>0</v>
      </c>
      <c r="I266" s="239">
        <v>111059</v>
      </c>
      <c r="J266" s="239">
        <v>0</v>
      </c>
      <c r="K266" s="239">
        <v>0</v>
      </c>
      <c r="L266" s="239">
        <v>0</v>
      </c>
      <c r="M266" s="239">
        <v>493457</v>
      </c>
      <c r="N266" s="239">
        <v>0</v>
      </c>
      <c r="O266" s="239">
        <v>493457</v>
      </c>
      <c r="P266" s="239">
        <v>604516</v>
      </c>
      <c r="Q266" s="239">
        <v>0</v>
      </c>
      <c r="R266" s="239">
        <v>604516</v>
      </c>
      <c r="S266" s="239">
        <v>-3041708</v>
      </c>
      <c r="T266" s="239">
        <v>0</v>
      </c>
      <c r="U266" s="239">
        <v>-3041708</v>
      </c>
      <c r="V266" s="239">
        <v>0</v>
      </c>
      <c r="W266" s="239">
        <v>0</v>
      </c>
      <c r="X266" s="239">
        <v>0</v>
      </c>
      <c r="Y266" s="239">
        <v>-104472</v>
      </c>
      <c r="Z266" s="239">
        <v>0</v>
      </c>
      <c r="AA266" s="239">
        <v>-104472</v>
      </c>
      <c r="AB266" s="239">
        <v>-66555</v>
      </c>
      <c r="AC266" s="239">
        <v>0</v>
      </c>
      <c r="AD266" s="239">
        <v>-66555</v>
      </c>
      <c r="AE266" s="239">
        <v>0</v>
      </c>
      <c r="AF266" s="239">
        <v>0</v>
      </c>
      <c r="AG266" s="239">
        <v>0</v>
      </c>
      <c r="AH266" s="239">
        <v>2322711</v>
      </c>
      <c r="AI266" s="239">
        <v>7982</v>
      </c>
      <c r="AJ266" s="239">
        <v>2330693</v>
      </c>
      <c r="AK266" s="239">
        <v>-28552</v>
      </c>
      <c r="AL266" s="239">
        <v>0</v>
      </c>
      <c r="AM266" s="239">
        <v>-28552</v>
      </c>
      <c r="AN266" s="239">
        <v>-4298055</v>
      </c>
      <c r="AO266" s="239">
        <v>0</v>
      </c>
      <c r="AP266" s="239">
        <v>-4298055</v>
      </c>
      <c r="AQ266" s="239">
        <v>-26176</v>
      </c>
      <c r="AR266" s="239">
        <v>0</v>
      </c>
      <c r="AS266" s="239">
        <v>-26176</v>
      </c>
      <c r="AT266" s="239">
        <v>-41265</v>
      </c>
      <c r="AU266" s="239">
        <v>0</v>
      </c>
      <c r="AV266" s="239">
        <v>-41265</v>
      </c>
      <c r="AW266" s="239">
        <v>0</v>
      </c>
      <c r="AX266" s="239">
        <v>0</v>
      </c>
      <c r="AY266" s="239">
        <v>0</v>
      </c>
      <c r="AZ266" s="239">
        <v>-9357</v>
      </c>
      <c r="BA266" s="239">
        <v>0</v>
      </c>
      <c r="BB266" s="239">
        <v>-9357</v>
      </c>
      <c r="BC266" s="239">
        <v>0</v>
      </c>
      <c r="BD266" s="239">
        <v>0</v>
      </c>
      <c r="BE266" s="239">
        <v>0</v>
      </c>
      <c r="BF266" s="239">
        <v>-5226874</v>
      </c>
      <c r="BG266" s="239">
        <v>7982</v>
      </c>
      <c r="BH266" s="239">
        <v>-5218892</v>
      </c>
      <c r="BI266" s="239">
        <v>-7801</v>
      </c>
      <c r="BJ266" s="239">
        <v>0</v>
      </c>
      <c r="BK266" s="239">
        <v>-7801</v>
      </c>
      <c r="BL266" s="239">
        <v>-60428</v>
      </c>
      <c r="BM266" s="239">
        <v>0</v>
      </c>
      <c r="BN266" s="239">
        <v>-60428</v>
      </c>
      <c r="BO266" s="239">
        <v>-2319011</v>
      </c>
      <c r="BP266" s="239">
        <v>0</v>
      </c>
      <c r="BQ266" s="239">
        <v>-2319011</v>
      </c>
      <c r="BR266" s="239">
        <v>-169735</v>
      </c>
      <c r="BS266" s="239">
        <v>0</v>
      </c>
      <c r="BT266" s="239">
        <v>-169735</v>
      </c>
      <c r="BU266" s="239">
        <v>-2556975</v>
      </c>
      <c r="BV266" s="239">
        <v>0</v>
      </c>
      <c r="BW266" s="239">
        <v>-2556975</v>
      </c>
      <c r="BX266" s="239">
        <v>-188548</v>
      </c>
      <c r="BY266" s="239">
        <v>0</v>
      </c>
      <c r="BZ266" s="239">
        <v>-188548</v>
      </c>
      <c r="CA266" s="239">
        <v>-252</v>
      </c>
      <c r="CB266" s="239">
        <v>0</v>
      </c>
      <c r="CC266" s="239">
        <v>-252</v>
      </c>
      <c r="CD266" s="239">
        <v>-90187</v>
      </c>
      <c r="CE266" s="239">
        <v>0</v>
      </c>
      <c r="CF266" s="239">
        <v>-90187</v>
      </c>
      <c r="CG266" s="239">
        <v>-248</v>
      </c>
      <c r="CH266" s="239">
        <v>0</v>
      </c>
      <c r="CI266" s="239">
        <v>-248</v>
      </c>
      <c r="CJ266" s="239">
        <v>-9507</v>
      </c>
      <c r="CK266" s="239">
        <v>0</v>
      </c>
      <c r="CL266" s="239">
        <v>-9507</v>
      </c>
      <c r="CM266" s="239">
        <v>0</v>
      </c>
      <c r="CN266" s="239">
        <v>0</v>
      </c>
      <c r="CO266" s="239">
        <v>0</v>
      </c>
      <c r="CP266" s="239">
        <v>-9357</v>
      </c>
      <c r="CQ266" s="239">
        <v>0</v>
      </c>
      <c r="CR266" s="239">
        <v>-9357</v>
      </c>
      <c r="CS266" s="239">
        <v>0</v>
      </c>
      <c r="CT266" s="239">
        <v>0</v>
      </c>
      <c r="CU266" s="239">
        <v>0</v>
      </c>
      <c r="CV266" s="239">
        <v>0</v>
      </c>
      <c r="CW266" s="239">
        <v>0</v>
      </c>
      <c r="CX266" s="239">
        <v>0</v>
      </c>
      <c r="CY266" s="239">
        <v>0</v>
      </c>
      <c r="CZ266" s="239">
        <v>0</v>
      </c>
      <c r="DA266" s="239">
        <v>0</v>
      </c>
      <c r="DB266" s="239">
        <v>-102576</v>
      </c>
      <c r="DC266" s="239">
        <v>-123997</v>
      </c>
      <c r="DD266" s="239">
        <v>-226573</v>
      </c>
      <c r="DE266" s="239">
        <v>-962</v>
      </c>
      <c r="DF266" s="239">
        <v>0</v>
      </c>
      <c r="DG266" s="239">
        <v>-962</v>
      </c>
      <c r="DH266" s="239">
        <v>-37672</v>
      </c>
      <c r="DI266" s="239">
        <v>-86325</v>
      </c>
      <c r="DJ266" s="239">
        <v>-401637</v>
      </c>
      <c r="DK266" s="239">
        <v>-123997</v>
      </c>
      <c r="DL266" s="239">
        <v>-525634</v>
      </c>
      <c r="DM266" s="239">
        <v>-38800</v>
      </c>
      <c r="DN266" s="239">
        <v>0</v>
      </c>
      <c r="DO266" s="239">
        <v>-38800</v>
      </c>
      <c r="DP266" s="239">
        <v>0</v>
      </c>
      <c r="DQ266" s="239">
        <v>0</v>
      </c>
      <c r="DR266" s="239">
        <v>0</v>
      </c>
      <c r="DS266" s="239">
        <v>-38574</v>
      </c>
      <c r="DT266" s="239">
        <v>0</v>
      </c>
      <c r="DU266" s="239">
        <v>-38574</v>
      </c>
      <c r="DV266" s="239">
        <v>-53</v>
      </c>
      <c r="DW266" s="239">
        <v>0</v>
      </c>
      <c r="DX266" s="239">
        <v>-53</v>
      </c>
      <c r="DY266" s="239">
        <v>-850453</v>
      </c>
      <c r="DZ266" s="239">
        <v>0</v>
      </c>
      <c r="EA266" s="239">
        <v>-850453</v>
      </c>
      <c r="EB266" s="239">
        <v>-16084</v>
      </c>
      <c r="EC266" s="239">
        <v>0</v>
      </c>
      <c r="ED266" s="239">
        <v>-16084</v>
      </c>
      <c r="EE266" s="239">
        <v>0</v>
      </c>
      <c r="EF266" s="239">
        <v>0</v>
      </c>
      <c r="EG266" s="239">
        <v>0</v>
      </c>
      <c r="EH266" s="239">
        <v>0</v>
      </c>
      <c r="EI266" s="239">
        <v>0</v>
      </c>
      <c r="EJ266" s="239">
        <v>0</v>
      </c>
      <c r="EK266" s="239">
        <v>-10518</v>
      </c>
      <c r="EL266" s="239">
        <v>0</v>
      </c>
      <c r="EM266" s="239">
        <v>-10518</v>
      </c>
      <c r="EN266" s="239">
        <v>-954482</v>
      </c>
      <c r="EO266" s="239">
        <v>0</v>
      </c>
      <c r="EP266" s="239">
        <v>-954482</v>
      </c>
      <c r="EQ266" s="239">
        <v>0</v>
      </c>
      <c r="ER266" s="239">
        <v>0</v>
      </c>
      <c r="ES266" s="239">
        <v>0</v>
      </c>
      <c r="ET266" s="239">
        <v>0</v>
      </c>
      <c r="EU266" s="239">
        <v>0</v>
      </c>
      <c r="EV266" s="239">
        <v>0</v>
      </c>
      <c r="EW266" s="239">
        <v>0</v>
      </c>
      <c r="EX266" s="239">
        <v>0</v>
      </c>
      <c r="EY266" s="239">
        <v>0</v>
      </c>
      <c r="EZ266" s="239">
        <v>92782092</v>
      </c>
      <c r="FA266" s="239">
        <v>294720</v>
      </c>
      <c r="FB266" s="239">
        <v>93076812</v>
      </c>
      <c r="FC266" s="239">
        <v>604516</v>
      </c>
      <c r="FD266" s="239">
        <v>0</v>
      </c>
      <c r="FE266" s="239">
        <v>604516</v>
      </c>
      <c r="FF266" s="239">
        <v>-5226874</v>
      </c>
      <c r="FG266" s="239">
        <v>7982</v>
      </c>
      <c r="FH266" s="239">
        <v>-5218892</v>
      </c>
      <c r="FI266" s="239">
        <v>-2556975</v>
      </c>
      <c r="FJ266" s="239">
        <v>0</v>
      </c>
      <c r="FK266" s="239">
        <v>-2556975</v>
      </c>
      <c r="FL266" s="239">
        <v>-401637</v>
      </c>
      <c r="FM266" s="239">
        <v>-123997</v>
      </c>
      <c r="FN266" s="239">
        <v>-525634</v>
      </c>
      <c r="FO266" s="239">
        <v>-954482</v>
      </c>
      <c r="FP266" s="239">
        <v>0</v>
      </c>
      <c r="FQ266" s="239">
        <v>-954482</v>
      </c>
      <c r="FR266" s="239">
        <v>0</v>
      </c>
      <c r="FS266" s="239">
        <v>0</v>
      </c>
      <c r="FT266" s="239">
        <v>0</v>
      </c>
      <c r="FU266" s="239">
        <v>-8535452</v>
      </c>
      <c r="FV266" s="239">
        <v>-116015</v>
      </c>
      <c r="FW266" s="239">
        <v>-8651467</v>
      </c>
      <c r="FX266" s="239">
        <v>84246640</v>
      </c>
      <c r="FY266" s="239">
        <v>178705</v>
      </c>
      <c r="FZ266" s="239">
        <v>84425345</v>
      </c>
      <c r="GA266" s="214" t="s">
        <v>748</v>
      </c>
    </row>
    <row r="267" spans="2:183" s="214" customFormat="1" x14ac:dyDescent="0.2">
      <c r="B267" s="610" t="s">
        <v>617</v>
      </c>
      <c r="C267" s="610" t="s">
        <v>616</v>
      </c>
      <c r="D267" s="239">
        <v>0</v>
      </c>
      <c r="E267" s="239">
        <v>0</v>
      </c>
      <c r="F267" s="239">
        <v>0</v>
      </c>
      <c r="G267" s="239">
        <v>79312</v>
      </c>
      <c r="H267" s="239">
        <v>0</v>
      </c>
      <c r="I267" s="239">
        <v>79312</v>
      </c>
      <c r="J267" s="239">
        <v>0</v>
      </c>
      <c r="K267" s="239">
        <v>0</v>
      </c>
      <c r="L267" s="239">
        <v>0</v>
      </c>
      <c r="M267" s="239">
        <v>110358</v>
      </c>
      <c r="N267" s="239">
        <v>0</v>
      </c>
      <c r="O267" s="239">
        <v>110358</v>
      </c>
      <c r="P267" s="239">
        <v>189670</v>
      </c>
      <c r="Q267" s="239">
        <v>0</v>
      </c>
      <c r="R267" s="239">
        <v>189670</v>
      </c>
      <c r="S267" s="239">
        <v>-6361417</v>
      </c>
      <c r="T267" s="239">
        <v>0</v>
      </c>
      <c r="U267" s="239">
        <v>-6361417</v>
      </c>
      <c r="V267" s="239">
        <v>-1207</v>
      </c>
      <c r="W267" s="239">
        <v>0</v>
      </c>
      <c r="X267" s="239">
        <v>-1207</v>
      </c>
      <c r="Y267" s="239">
        <v>-90931</v>
      </c>
      <c r="Z267" s="239">
        <v>0</v>
      </c>
      <c r="AA267" s="239">
        <v>-90931</v>
      </c>
      <c r="AB267" s="239">
        <v>-91581</v>
      </c>
      <c r="AC267" s="239">
        <v>0</v>
      </c>
      <c r="AD267" s="239">
        <v>-91581</v>
      </c>
      <c r="AE267" s="239">
        <v>650</v>
      </c>
      <c r="AF267" s="239">
        <v>0</v>
      </c>
      <c r="AG267" s="239">
        <v>650</v>
      </c>
      <c r="AH267" s="239">
        <v>2387459</v>
      </c>
      <c r="AI267" s="239">
        <v>0</v>
      </c>
      <c r="AJ267" s="239">
        <v>2387459</v>
      </c>
      <c r="AK267" s="239">
        <v>-14537</v>
      </c>
      <c r="AL267" s="239">
        <v>0</v>
      </c>
      <c r="AM267" s="239">
        <v>-14537</v>
      </c>
      <c r="AN267" s="239">
        <v>-5803057</v>
      </c>
      <c r="AO267" s="239">
        <v>0</v>
      </c>
      <c r="AP267" s="239">
        <v>-5803057</v>
      </c>
      <c r="AQ267" s="239">
        <v>75198</v>
      </c>
      <c r="AR267" s="239">
        <v>0</v>
      </c>
      <c r="AS267" s="239">
        <v>75198</v>
      </c>
      <c r="AT267" s="239">
        <v>-57365</v>
      </c>
      <c r="AU267" s="239">
        <v>0</v>
      </c>
      <c r="AV267" s="239">
        <v>-57365</v>
      </c>
      <c r="AW267" s="239">
        <v>0</v>
      </c>
      <c r="AX267" s="239">
        <v>0</v>
      </c>
      <c r="AY267" s="239">
        <v>0</v>
      </c>
      <c r="AZ267" s="239">
        <v>0</v>
      </c>
      <c r="BA267" s="239">
        <v>0</v>
      </c>
      <c r="BB267" s="239">
        <v>0</v>
      </c>
      <c r="BC267" s="239">
        <v>0</v>
      </c>
      <c r="BD267" s="239">
        <v>0</v>
      </c>
      <c r="BE267" s="239">
        <v>0</v>
      </c>
      <c r="BF267" s="239">
        <v>-9864650</v>
      </c>
      <c r="BG267" s="239">
        <v>0</v>
      </c>
      <c r="BH267" s="239">
        <v>-9864650</v>
      </c>
      <c r="BI267" s="239">
        <v>-594199</v>
      </c>
      <c r="BJ267" s="239">
        <v>0</v>
      </c>
      <c r="BK267" s="239">
        <v>-594199</v>
      </c>
      <c r="BL267" s="239">
        <v>62189</v>
      </c>
      <c r="BM267" s="239">
        <v>0</v>
      </c>
      <c r="BN267" s="239">
        <v>62189</v>
      </c>
      <c r="BO267" s="239">
        <v>-2372181</v>
      </c>
      <c r="BP267" s="239">
        <v>0</v>
      </c>
      <c r="BQ267" s="239">
        <v>-2372181</v>
      </c>
      <c r="BR267" s="239">
        <v>-626681</v>
      </c>
      <c r="BS267" s="239">
        <v>0</v>
      </c>
      <c r="BT267" s="239">
        <v>-626681</v>
      </c>
      <c r="BU267" s="239">
        <v>-3530872</v>
      </c>
      <c r="BV267" s="239">
        <v>0</v>
      </c>
      <c r="BW267" s="239">
        <v>-3530872</v>
      </c>
      <c r="BX267" s="239">
        <v>-128696</v>
      </c>
      <c r="BY267" s="239">
        <v>0</v>
      </c>
      <c r="BZ267" s="239">
        <v>-128696</v>
      </c>
      <c r="CA267" s="239">
        <v>-4290</v>
      </c>
      <c r="CB267" s="239">
        <v>0</v>
      </c>
      <c r="CC267" s="239">
        <v>-4290</v>
      </c>
      <c r="CD267" s="239">
        <v>-121164</v>
      </c>
      <c r="CE267" s="239">
        <v>0</v>
      </c>
      <c r="CF267" s="239">
        <v>-121164</v>
      </c>
      <c r="CG267" s="239">
        <v>-19187</v>
      </c>
      <c r="CH267" s="239">
        <v>0</v>
      </c>
      <c r="CI267" s="239">
        <v>-19187</v>
      </c>
      <c r="CJ267" s="239">
        <v>-7676</v>
      </c>
      <c r="CK267" s="239">
        <v>0</v>
      </c>
      <c r="CL267" s="239">
        <v>-7676</v>
      </c>
      <c r="CM267" s="239">
        <v>0</v>
      </c>
      <c r="CN267" s="239">
        <v>0</v>
      </c>
      <c r="CO267" s="239">
        <v>0</v>
      </c>
      <c r="CP267" s="239">
        <v>0</v>
      </c>
      <c r="CQ267" s="239">
        <v>0</v>
      </c>
      <c r="CR267" s="239">
        <v>0</v>
      </c>
      <c r="CS267" s="239">
        <v>0</v>
      </c>
      <c r="CT267" s="239">
        <v>0</v>
      </c>
      <c r="CU267" s="239">
        <v>0</v>
      </c>
      <c r="CV267" s="239">
        <v>0</v>
      </c>
      <c r="CW267" s="239">
        <v>0</v>
      </c>
      <c r="CX267" s="239">
        <v>0</v>
      </c>
      <c r="CY267" s="239">
        <v>0</v>
      </c>
      <c r="CZ267" s="239">
        <v>0</v>
      </c>
      <c r="DA267" s="239">
        <v>0</v>
      </c>
      <c r="DB267" s="239">
        <v>0</v>
      </c>
      <c r="DC267" s="239">
        <v>0</v>
      </c>
      <c r="DD267" s="239">
        <v>0</v>
      </c>
      <c r="DE267" s="239">
        <v>0</v>
      </c>
      <c r="DF267" s="239">
        <v>0</v>
      </c>
      <c r="DG267" s="239">
        <v>0</v>
      </c>
      <c r="DH267" s="239">
        <v>0</v>
      </c>
      <c r="DI267" s="239">
        <v>0</v>
      </c>
      <c r="DJ267" s="239">
        <v>-281013</v>
      </c>
      <c r="DK267" s="239">
        <v>0</v>
      </c>
      <c r="DL267" s="239">
        <v>-281013</v>
      </c>
      <c r="DM267" s="239">
        <v>-120691</v>
      </c>
      <c r="DN267" s="239">
        <v>0</v>
      </c>
      <c r="DO267" s="239">
        <v>-120691</v>
      </c>
      <c r="DP267" s="239">
        <v>0</v>
      </c>
      <c r="DQ267" s="239">
        <v>0</v>
      </c>
      <c r="DR267" s="239">
        <v>0</v>
      </c>
      <c r="DS267" s="239">
        <v>-35928</v>
      </c>
      <c r="DT267" s="239">
        <v>0</v>
      </c>
      <c r="DU267" s="239">
        <v>-35928</v>
      </c>
      <c r="DV267" s="239">
        <v>-375</v>
      </c>
      <c r="DW267" s="239">
        <v>0</v>
      </c>
      <c r="DX267" s="239">
        <v>-375</v>
      </c>
      <c r="DY267" s="239">
        <v>-1189439</v>
      </c>
      <c r="DZ267" s="239">
        <v>0</v>
      </c>
      <c r="EA267" s="239">
        <v>-1189439</v>
      </c>
      <c r="EB267" s="239">
        <v>-71218</v>
      </c>
      <c r="EC267" s="239">
        <v>0</v>
      </c>
      <c r="ED267" s="239">
        <v>-71218</v>
      </c>
      <c r="EE267" s="239">
        <v>0</v>
      </c>
      <c r="EF267" s="239">
        <v>0</v>
      </c>
      <c r="EG267" s="239">
        <v>0</v>
      </c>
      <c r="EH267" s="239">
        <v>0</v>
      </c>
      <c r="EI267" s="239">
        <v>0</v>
      </c>
      <c r="EJ267" s="239">
        <v>0</v>
      </c>
      <c r="EK267" s="239">
        <v>0</v>
      </c>
      <c r="EL267" s="239">
        <v>0</v>
      </c>
      <c r="EM267" s="239">
        <v>0</v>
      </c>
      <c r="EN267" s="239">
        <v>-1417651</v>
      </c>
      <c r="EO267" s="239">
        <v>0</v>
      </c>
      <c r="EP267" s="239">
        <v>-1417651</v>
      </c>
      <c r="EQ267" s="239">
        <v>0</v>
      </c>
      <c r="ER267" s="239">
        <v>0</v>
      </c>
      <c r="ES267" s="239">
        <v>0</v>
      </c>
      <c r="ET267" s="239">
        <v>0</v>
      </c>
      <c r="EU267" s="239">
        <v>0</v>
      </c>
      <c r="EV267" s="239">
        <v>0</v>
      </c>
      <c r="EW267" s="239">
        <v>0</v>
      </c>
      <c r="EX267" s="239">
        <v>0</v>
      </c>
      <c r="EY267" s="239">
        <v>0</v>
      </c>
      <c r="EZ267" s="239">
        <v>102718995</v>
      </c>
      <c r="FA267" s="239">
        <v>0</v>
      </c>
      <c r="FB267" s="239">
        <v>102718995</v>
      </c>
      <c r="FC267" s="239">
        <v>189670</v>
      </c>
      <c r="FD267" s="239">
        <v>0</v>
      </c>
      <c r="FE267" s="239">
        <v>189670</v>
      </c>
      <c r="FF267" s="239">
        <v>-9864650</v>
      </c>
      <c r="FG267" s="239">
        <v>0</v>
      </c>
      <c r="FH267" s="239">
        <v>-9864650</v>
      </c>
      <c r="FI267" s="239">
        <v>-3530872</v>
      </c>
      <c r="FJ267" s="239">
        <v>0</v>
      </c>
      <c r="FK267" s="239">
        <v>-3530872</v>
      </c>
      <c r="FL267" s="239">
        <v>-281013</v>
      </c>
      <c r="FM267" s="239">
        <v>0</v>
      </c>
      <c r="FN267" s="239">
        <v>-281013</v>
      </c>
      <c r="FO267" s="239">
        <v>-1417651</v>
      </c>
      <c r="FP267" s="239">
        <v>0</v>
      </c>
      <c r="FQ267" s="239">
        <v>-1417651</v>
      </c>
      <c r="FR267" s="239">
        <v>0</v>
      </c>
      <c r="FS267" s="239">
        <v>0</v>
      </c>
      <c r="FT267" s="239">
        <v>0</v>
      </c>
      <c r="FU267" s="239">
        <v>-14904516</v>
      </c>
      <c r="FV267" s="239">
        <v>0</v>
      </c>
      <c r="FW267" s="239">
        <v>-14904516</v>
      </c>
      <c r="FX267" s="239">
        <v>87814479</v>
      </c>
      <c r="FY267" s="239">
        <v>0</v>
      </c>
      <c r="FZ267" s="239">
        <v>87814479</v>
      </c>
      <c r="GA267" s="214" t="s">
        <v>748</v>
      </c>
    </row>
    <row r="268" spans="2:183" s="214" customFormat="1" x14ac:dyDescent="0.2">
      <c r="B268" s="610" t="s">
        <v>619</v>
      </c>
      <c r="C268" s="610" t="s">
        <v>618</v>
      </c>
      <c r="D268" s="239">
        <v>0</v>
      </c>
      <c r="E268" s="239">
        <v>0</v>
      </c>
      <c r="F268" s="239">
        <v>0</v>
      </c>
      <c r="G268" s="239">
        <v>197813</v>
      </c>
      <c r="H268" s="239">
        <v>0</v>
      </c>
      <c r="I268" s="239">
        <v>197813</v>
      </c>
      <c r="J268" s="239">
        <v>0</v>
      </c>
      <c r="K268" s="239">
        <v>0</v>
      </c>
      <c r="L268" s="239">
        <v>0</v>
      </c>
      <c r="M268" s="239">
        <v>-109166</v>
      </c>
      <c r="N268" s="239">
        <v>0</v>
      </c>
      <c r="O268" s="239">
        <v>-109166</v>
      </c>
      <c r="P268" s="239">
        <v>88647</v>
      </c>
      <c r="Q268" s="239">
        <v>0</v>
      </c>
      <c r="R268" s="239">
        <v>88647</v>
      </c>
      <c r="S268" s="239">
        <v>-3492500.21</v>
      </c>
      <c r="T268" s="239">
        <v>0</v>
      </c>
      <c r="U268" s="239">
        <v>-3492500.21</v>
      </c>
      <c r="V268" s="239">
        <v>0</v>
      </c>
      <c r="W268" s="239">
        <v>0</v>
      </c>
      <c r="X268" s="239">
        <v>0</v>
      </c>
      <c r="Y268" s="239">
        <v>-238566.76</v>
      </c>
      <c r="Z268" s="239">
        <v>0</v>
      </c>
      <c r="AA268" s="239">
        <v>-238566.76</v>
      </c>
      <c r="AB268" s="239">
        <v>0</v>
      </c>
      <c r="AC268" s="239">
        <v>0</v>
      </c>
      <c r="AD268" s="239">
        <v>0</v>
      </c>
      <c r="AE268" s="239">
        <v>0</v>
      </c>
      <c r="AF268" s="239">
        <v>0</v>
      </c>
      <c r="AG268" s="239">
        <v>0</v>
      </c>
      <c r="AH268" s="239">
        <v>1461369</v>
      </c>
      <c r="AI268" s="239">
        <v>0</v>
      </c>
      <c r="AJ268" s="239">
        <v>1461369</v>
      </c>
      <c r="AK268" s="239">
        <v>-31390</v>
      </c>
      <c r="AL268" s="239">
        <v>0</v>
      </c>
      <c r="AM268" s="239">
        <v>-31390</v>
      </c>
      <c r="AN268" s="239">
        <v>-4146872</v>
      </c>
      <c r="AO268" s="239">
        <v>0</v>
      </c>
      <c r="AP268" s="239">
        <v>-4146872</v>
      </c>
      <c r="AQ268" s="239">
        <v>722393</v>
      </c>
      <c r="AR268" s="239">
        <v>0</v>
      </c>
      <c r="AS268" s="239">
        <v>722393</v>
      </c>
      <c r="AT268" s="239">
        <v>-98799</v>
      </c>
      <c r="AU268" s="239">
        <v>0</v>
      </c>
      <c r="AV268" s="239">
        <v>-98799</v>
      </c>
      <c r="AW268" s="239">
        <v>0</v>
      </c>
      <c r="AX268" s="239">
        <v>0</v>
      </c>
      <c r="AY268" s="239">
        <v>0</v>
      </c>
      <c r="AZ268" s="239">
        <v>-33843</v>
      </c>
      <c r="BA268" s="239">
        <v>0</v>
      </c>
      <c r="BB268" s="239">
        <v>-33843</v>
      </c>
      <c r="BC268" s="239">
        <v>2</v>
      </c>
      <c r="BD268" s="239">
        <v>0</v>
      </c>
      <c r="BE268" s="239">
        <v>2</v>
      </c>
      <c r="BF268" s="239">
        <v>-5858207</v>
      </c>
      <c r="BG268" s="239">
        <v>0</v>
      </c>
      <c r="BH268" s="239">
        <v>-5858207</v>
      </c>
      <c r="BI268" s="239">
        <v>-178951</v>
      </c>
      <c r="BJ268" s="239">
        <v>0</v>
      </c>
      <c r="BK268" s="239">
        <v>-178951</v>
      </c>
      <c r="BL268" s="239">
        <v>-49122</v>
      </c>
      <c r="BM268" s="239">
        <v>0</v>
      </c>
      <c r="BN268" s="239">
        <v>-49122</v>
      </c>
      <c r="BO268" s="239">
        <v>-2075481</v>
      </c>
      <c r="BP268" s="239">
        <v>0</v>
      </c>
      <c r="BQ268" s="239">
        <v>-2075481</v>
      </c>
      <c r="BR268" s="239">
        <v>-650876</v>
      </c>
      <c r="BS268" s="239">
        <v>0</v>
      </c>
      <c r="BT268" s="239">
        <v>-650876</v>
      </c>
      <c r="BU268" s="239">
        <v>-2954430</v>
      </c>
      <c r="BV268" s="239">
        <v>0</v>
      </c>
      <c r="BW268" s="239">
        <v>-2954430</v>
      </c>
      <c r="BX268" s="239">
        <v>-12401</v>
      </c>
      <c r="BY268" s="239">
        <v>0</v>
      </c>
      <c r="BZ268" s="239">
        <v>-12401</v>
      </c>
      <c r="CA268" s="239">
        <v>-384273</v>
      </c>
      <c r="CB268" s="239">
        <v>0</v>
      </c>
      <c r="CC268" s="239">
        <v>-384273</v>
      </c>
      <c r="CD268" s="239">
        <v>-31993</v>
      </c>
      <c r="CE268" s="239">
        <v>0</v>
      </c>
      <c r="CF268" s="239">
        <v>-31993</v>
      </c>
      <c r="CG268" s="239">
        <v>-18976</v>
      </c>
      <c r="CH268" s="239">
        <v>0</v>
      </c>
      <c r="CI268" s="239">
        <v>-18976</v>
      </c>
      <c r="CJ268" s="239">
        <v>0</v>
      </c>
      <c r="CK268" s="239">
        <v>0</v>
      </c>
      <c r="CL268" s="239">
        <v>0</v>
      </c>
      <c r="CM268" s="239">
        <v>0</v>
      </c>
      <c r="CN268" s="239">
        <v>0</v>
      </c>
      <c r="CO268" s="239">
        <v>0</v>
      </c>
      <c r="CP268" s="239">
        <v>-2092</v>
      </c>
      <c r="CQ268" s="239">
        <v>0</v>
      </c>
      <c r="CR268" s="239">
        <v>-2092</v>
      </c>
      <c r="CS268" s="239">
        <v>0</v>
      </c>
      <c r="CT268" s="239">
        <v>0</v>
      </c>
      <c r="CU268" s="239">
        <v>0</v>
      </c>
      <c r="CV268" s="239">
        <v>0</v>
      </c>
      <c r="CW268" s="239">
        <v>0</v>
      </c>
      <c r="CX268" s="239">
        <v>0</v>
      </c>
      <c r="CY268" s="239">
        <v>0</v>
      </c>
      <c r="CZ268" s="239">
        <v>0</v>
      </c>
      <c r="DA268" s="239">
        <v>0</v>
      </c>
      <c r="DB268" s="239">
        <v>0</v>
      </c>
      <c r="DC268" s="239">
        <v>0</v>
      </c>
      <c r="DD268" s="239">
        <v>0</v>
      </c>
      <c r="DE268" s="239">
        <v>0</v>
      </c>
      <c r="DF268" s="239">
        <v>0</v>
      </c>
      <c r="DG268" s="239">
        <v>0</v>
      </c>
      <c r="DH268" s="239">
        <v>0</v>
      </c>
      <c r="DI268" s="239">
        <v>0</v>
      </c>
      <c r="DJ268" s="239">
        <v>-449735</v>
      </c>
      <c r="DK268" s="239">
        <v>0</v>
      </c>
      <c r="DL268" s="239">
        <v>-449735</v>
      </c>
      <c r="DM268" s="239">
        <v>0</v>
      </c>
      <c r="DN268" s="239">
        <v>0</v>
      </c>
      <c r="DO268" s="239">
        <v>0</v>
      </c>
      <c r="DP268" s="239">
        <v>0</v>
      </c>
      <c r="DQ268" s="239">
        <v>0</v>
      </c>
      <c r="DR268" s="239">
        <v>0</v>
      </c>
      <c r="DS268" s="239">
        <v>-49964</v>
      </c>
      <c r="DT268" s="239">
        <v>0</v>
      </c>
      <c r="DU268" s="239">
        <v>-49964</v>
      </c>
      <c r="DV268" s="239">
        <v>-696</v>
      </c>
      <c r="DW268" s="239">
        <v>0</v>
      </c>
      <c r="DX268" s="239">
        <v>-696</v>
      </c>
      <c r="DY268" s="239">
        <v>-491627</v>
      </c>
      <c r="DZ268" s="239">
        <v>0</v>
      </c>
      <c r="EA268" s="239">
        <v>-491627</v>
      </c>
      <c r="EB268" s="239">
        <v>-103935</v>
      </c>
      <c r="EC268" s="239">
        <v>0</v>
      </c>
      <c r="ED268" s="239">
        <v>-103935</v>
      </c>
      <c r="EE268" s="239">
        <v>0</v>
      </c>
      <c r="EF268" s="239">
        <v>0</v>
      </c>
      <c r="EG268" s="239">
        <v>0</v>
      </c>
      <c r="EH268" s="239">
        <v>0</v>
      </c>
      <c r="EI268" s="239">
        <v>0</v>
      </c>
      <c r="EJ268" s="239">
        <v>0</v>
      </c>
      <c r="EK268" s="239">
        <v>-5370</v>
      </c>
      <c r="EL268" s="239">
        <v>0</v>
      </c>
      <c r="EM268" s="239">
        <v>-5370</v>
      </c>
      <c r="EN268" s="239">
        <v>-651592</v>
      </c>
      <c r="EO268" s="239">
        <v>0</v>
      </c>
      <c r="EP268" s="239">
        <v>-651592</v>
      </c>
      <c r="EQ268" s="239">
        <v>-57948</v>
      </c>
      <c r="ER268" s="239">
        <v>0</v>
      </c>
      <c r="ES268" s="239">
        <v>-57948</v>
      </c>
      <c r="ET268" s="239">
        <v>-26013</v>
      </c>
      <c r="EU268" s="239">
        <v>0</v>
      </c>
      <c r="EV268" s="239">
        <v>-26013</v>
      </c>
      <c r="EW268" s="239">
        <v>-83961</v>
      </c>
      <c r="EX268" s="239">
        <v>0</v>
      </c>
      <c r="EY268" s="239">
        <v>-83961</v>
      </c>
      <c r="EZ268" s="239">
        <v>63027930</v>
      </c>
      <c r="FA268" s="239">
        <v>0</v>
      </c>
      <c r="FB268" s="239">
        <v>63027930</v>
      </c>
      <c r="FC268" s="239">
        <v>88647</v>
      </c>
      <c r="FD268" s="239">
        <v>0</v>
      </c>
      <c r="FE268" s="239">
        <v>88647</v>
      </c>
      <c r="FF268" s="239">
        <v>-5858207</v>
      </c>
      <c r="FG268" s="239">
        <v>0</v>
      </c>
      <c r="FH268" s="239">
        <v>-5858207</v>
      </c>
      <c r="FI268" s="239">
        <v>-2954430</v>
      </c>
      <c r="FJ268" s="239">
        <v>0</v>
      </c>
      <c r="FK268" s="239">
        <v>-2954430</v>
      </c>
      <c r="FL268" s="239">
        <v>-449735</v>
      </c>
      <c r="FM268" s="239">
        <v>0</v>
      </c>
      <c r="FN268" s="239">
        <v>-449735</v>
      </c>
      <c r="FO268" s="239">
        <v>-651592</v>
      </c>
      <c r="FP268" s="239">
        <v>0</v>
      </c>
      <c r="FQ268" s="239">
        <v>-651592</v>
      </c>
      <c r="FR268" s="239">
        <v>-83961</v>
      </c>
      <c r="FS268" s="239">
        <v>0</v>
      </c>
      <c r="FT268" s="239">
        <v>-83961</v>
      </c>
      <c r="FU268" s="239">
        <v>-9909278</v>
      </c>
      <c r="FV268" s="239">
        <v>0</v>
      </c>
      <c r="FW268" s="239">
        <v>-9909278</v>
      </c>
      <c r="FX268" s="239">
        <v>53118652</v>
      </c>
      <c r="FY268" s="239">
        <v>0</v>
      </c>
      <c r="FZ268" s="239">
        <v>53118652</v>
      </c>
      <c r="GA268" s="214" t="s">
        <v>1294</v>
      </c>
    </row>
    <row r="269" spans="2:183" s="214" customFormat="1" x14ac:dyDescent="0.2">
      <c r="B269" s="610" t="s">
        <v>621</v>
      </c>
      <c r="C269" s="610" t="s">
        <v>620</v>
      </c>
      <c r="D269" s="239">
        <v>0</v>
      </c>
      <c r="E269" s="239">
        <v>0</v>
      </c>
      <c r="F269" s="239">
        <v>0</v>
      </c>
      <c r="G269" s="239">
        <v>-292787</v>
      </c>
      <c r="H269" s="239">
        <v>0</v>
      </c>
      <c r="I269" s="239">
        <v>-292787</v>
      </c>
      <c r="J269" s="239">
        <v>0</v>
      </c>
      <c r="K269" s="239">
        <v>0</v>
      </c>
      <c r="L269" s="239">
        <v>0</v>
      </c>
      <c r="M269" s="239">
        <v>134</v>
      </c>
      <c r="N269" s="239">
        <v>0</v>
      </c>
      <c r="O269" s="239">
        <v>134</v>
      </c>
      <c r="P269" s="239">
        <v>-292653</v>
      </c>
      <c r="Q269" s="239">
        <v>0</v>
      </c>
      <c r="R269" s="239">
        <v>-292653</v>
      </c>
      <c r="S269" s="239">
        <v>-2679613</v>
      </c>
      <c r="T269" s="239">
        <v>0</v>
      </c>
      <c r="U269" s="239">
        <v>-2679613</v>
      </c>
      <c r="V269" s="239">
        <v>0</v>
      </c>
      <c r="W269" s="239">
        <v>0</v>
      </c>
      <c r="X269" s="239">
        <v>0</v>
      </c>
      <c r="Y269" s="239">
        <v>-115756</v>
      </c>
      <c r="Z269" s="239">
        <v>0</v>
      </c>
      <c r="AA269" s="239">
        <v>-115756</v>
      </c>
      <c r="AB269" s="239">
        <v>0</v>
      </c>
      <c r="AC269" s="239">
        <v>0</v>
      </c>
      <c r="AD269" s="239">
        <v>0</v>
      </c>
      <c r="AE269" s="239">
        <v>0</v>
      </c>
      <c r="AF269" s="239">
        <v>0</v>
      </c>
      <c r="AG269" s="239">
        <v>0</v>
      </c>
      <c r="AH269" s="239">
        <v>697862</v>
      </c>
      <c r="AI269" s="239">
        <v>0</v>
      </c>
      <c r="AJ269" s="239">
        <v>697862</v>
      </c>
      <c r="AK269" s="239">
        <v>-6170</v>
      </c>
      <c r="AL269" s="239">
        <v>0</v>
      </c>
      <c r="AM269" s="239">
        <v>-6170</v>
      </c>
      <c r="AN269" s="239">
        <v>-2032752</v>
      </c>
      <c r="AO269" s="239">
        <v>0</v>
      </c>
      <c r="AP269" s="239">
        <v>-2032752</v>
      </c>
      <c r="AQ269" s="239">
        <v>33326</v>
      </c>
      <c r="AR269" s="239">
        <v>0</v>
      </c>
      <c r="AS269" s="239">
        <v>33326</v>
      </c>
      <c r="AT269" s="239">
        <v>-61143</v>
      </c>
      <c r="AU269" s="239">
        <v>0</v>
      </c>
      <c r="AV269" s="239">
        <v>-61143</v>
      </c>
      <c r="AW269" s="239">
        <v>0</v>
      </c>
      <c r="AX269" s="239">
        <v>0</v>
      </c>
      <c r="AY269" s="239">
        <v>0</v>
      </c>
      <c r="AZ269" s="239">
        <v>-44851</v>
      </c>
      <c r="BA269" s="239">
        <v>0</v>
      </c>
      <c r="BB269" s="239">
        <v>-44851</v>
      </c>
      <c r="BC269" s="239">
        <v>0</v>
      </c>
      <c r="BD269" s="239">
        <v>0</v>
      </c>
      <c r="BE269" s="239">
        <v>0</v>
      </c>
      <c r="BF269" s="239">
        <v>-4209097</v>
      </c>
      <c r="BG269" s="239">
        <v>0</v>
      </c>
      <c r="BH269" s="239">
        <v>-4209097</v>
      </c>
      <c r="BI269" s="239">
        <v>-75674</v>
      </c>
      <c r="BJ269" s="239">
        <v>0</v>
      </c>
      <c r="BK269" s="239">
        <v>-75674</v>
      </c>
      <c r="BL269" s="239">
        <v>-37963</v>
      </c>
      <c r="BM269" s="239">
        <v>0</v>
      </c>
      <c r="BN269" s="239">
        <v>-37963</v>
      </c>
      <c r="BO269" s="239">
        <v>-1125011</v>
      </c>
      <c r="BP269" s="239">
        <v>0</v>
      </c>
      <c r="BQ269" s="239">
        <v>-1125011</v>
      </c>
      <c r="BR269" s="239">
        <v>-72</v>
      </c>
      <c r="BS269" s="239">
        <v>0</v>
      </c>
      <c r="BT269" s="239">
        <v>-72</v>
      </c>
      <c r="BU269" s="239">
        <v>-1238720</v>
      </c>
      <c r="BV269" s="239">
        <v>0</v>
      </c>
      <c r="BW269" s="239">
        <v>-1238720</v>
      </c>
      <c r="BX269" s="239">
        <v>-79242</v>
      </c>
      <c r="BY269" s="239">
        <v>0</v>
      </c>
      <c r="BZ269" s="239">
        <v>-79242</v>
      </c>
      <c r="CA269" s="239">
        <v>5316</v>
      </c>
      <c r="CB269" s="239">
        <v>0</v>
      </c>
      <c r="CC269" s="239">
        <v>5316</v>
      </c>
      <c r="CD269" s="239">
        <v>-85560</v>
      </c>
      <c r="CE269" s="239">
        <v>0</v>
      </c>
      <c r="CF269" s="239">
        <v>-85560</v>
      </c>
      <c r="CG269" s="239">
        <v>8842</v>
      </c>
      <c r="CH269" s="239">
        <v>0</v>
      </c>
      <c r="CI269" s="239">
        <v>8842</v>
      </c>
      <c r="CJ269" s="239">
        <v>0</v>
      </c>
      <c r="CK269" s="239">
        <v>0</v>
      </c>
      <c r="CL269" s="239">
        <v>0</v>
      </c>
      <c r="CM269" s="239">
        <v>0</v>
      </c>
      <c r="CN269" s="239">
        <v>0</v>
      </c>
      <c r="CO269" s="239">
        <v>0</v>
      </c>
      <c r="CP269" s="239">
        <v>-3373</v>
      </c>
      <c r="CQ269" s="239">
        <v>0</v>
      </c>
      <c r="CR269" s="239">
        <v>-3373</v>
      </c>
      <c r="CS269" s="239">
        <v>0</v>
      </c>
      <c r="CT269" s="239">
        <v>0</v>
      </c>
      <c r="CU269" s="239">
        <v>0</v>
      </c>
      <c r="CV269" s="239">
        <v>0</v>
      </c>
      <c r="CW269" s="239">
        <v>0</v>
      </c>
      <c r="CX269" s="239">
        <v>0</v>
      </c>
      <c r="CY269" s="239">
        <v>0</v>
      </c>
      <c r="CZ269" s="239">
        <v>0</v>
      </c>
      <c r="DA269" s="239">
        <v>0</v>
      </c>
      <c r="DB269" s="239">
        <v>0</v>
      </c>
      <c r="DC269" s="239">
        <v>0</v>
      </c>
      <c r="DD269" s="239">
        <v>0</v>
      </c>
      <c r="DE269" s="239">
        <v>0</v>
      </c>
      <c r="DF269" s="239">
        <v>0</v>
      </c>
      <c r="DG269" s="239">
        <v>0</v>
      </c>
      <c r="DH269" s="239">
        <v>0</v>
      </c>
      <c r="DI269" s="239">
        <v>0</v>
      </c>
      <c r="DJ269" s="239">
        <v>-154017</v>
      </c>
      <c r="DK269" s="239">
        <v>0</v>
      </c>
      <c r="DL269" s="239">
        <v>-154017</v>
      </c>
      <c r="DM269" s="239">
        <v>0</v>
      </c>
      <c r="DN269" s="239">
        <v>0</v>
      </c>
      <c r="DO269" s="239">
        <v>0</v>
      </c>
      <c r="DP269" s="239">
        <v>0</v>
      </c>
      <c r="DQ269" s="239">
        <v>0</v>
      </c>
      <c r="DR269" s="239">
        <v>0</v>
      </c>
      <c r="DS269" s="239">
        <v>-1382</v>
      </c>
      <c r="DT269" s="239">
        <v>0</v>
      </c>
      <c r="DU269" s="239">
        <v>-1382</v>
      </c>
      <c r="DV269" s="239">
        <v>-22</v>
      </c>
      <c r="DW269" s="239">
        <v>0</v>
      </c>
      <c r="DX269" s="239">
        <v>-22</v>
      </c>
      <c r="DY269" s="239">
        <v>-544140</v>
      </c>
      <c r="DZ269" s="239">
        <v>0</v>
      </c>
      <c r="EA269" s="239">
        <v>-544140</v>
      </c>
      <c r="EB269" s="239">
        <v>-8429</v>
      </c>
      <c r="EC269" s="239">
        <v>0</v>
      </c>
      <c r="ED269" s="239">
        <v>-8429</v>
      </c>
      <c r="EE269" s="239">
        <v>0</v>
      </c>
      <c r="EF269" s="239">
        <v>0</v>
      </c>
      <c r="EG269" s="239">
        <v>0</v>
      </c>
      <c r="EH269" s="239">
        <v>0</v>
      </c>
      <c r="EI269" s="239">
        <v>0</v>
      </c>
      <c r="EJ269" s="239">
        <v>0</v>
      </c>
      <c r="EK269" s="239">
        <v>-8080</v>
      </c>
      <c r="EL269" s="239">
        <v>0</v>
      </c>
      <c r="EM269" s="239">
        <v>-8080</v>
      </c>
      <c r="EN269" s="239">
        <v>-562053</v>
      </c>
      <c r="EO269" s="239">
        <v>0</v>
      </c>
      <c r="EP269" s="239">
        <v>-562053</v>
      </c>
      <c r="EQ269" s="239">
        <v>-47394</v>
      </c>
      <c r="ER269" s="239">
        <v>0</v>
      </c>
      <c r="ES269" s="239">
        <v>-47394</v>
      </c>
      <c r="ET269" s="239">
        <v>0</v>
      </c>
      <c r="EU269" s="239">
        <v>0</v>
      </c>
      <c r="EV269" s="239">
        <v>0</v>
      </c>
      <c r="EW269" s="239">
        <v>-47394</v>
      </c>
      <c r="EX269" s="239">
        <v>0</v>
      </c>
      <c r="EY269" s="239">
        <v>-47394</v>
      </c>
      <c r="EZ269" s="239">
        <v>32673313</v>
      </c>
      <c r="FA269" s="239">
        <v>0</v>
      </c>
      <c r="FB269" s="239">
        <v>32673313</v>
      </c>
      <c r="FC269" s="239">
        <v>-292653</v>
      </c>
      <c r="FD269" s="239">
        <v>0</v>
      </c>
      <c r="FE269" s="239">
        <v>-292653</v>
      </c>
      <c r="FF269" s="239">
        <v>-4209097</v>
      </c>
      <c r="FG269" s="239">
        <v>0</v>
      </c>
      <c r="FH269" s="239">
        <v>-4209097</v>
      </c>
      <c r="FI269" s="239">
        <v>-1238720</v>
      </c>
      <c r="FJ269" s="239">
        <v>0</v>
      </c>
      <c r="FK269" s="239">
        <v>-1238720</v>
      </c>
      <c r="FL269" s="239">
        <v>-154017</v>
      </c>
      <c r="FM269" s="239">
        <v>0</v>
      </c>
      <c r="FN269" s="239">
        <v>-154017</v>
      </c>
      <c r="FO269" s="239">
        <v>-562053</v>
      </c>
      <c r="FP269" s="239">
        <v>0</v>
      </c>
      <c r="FQ269" s="239">
        <v>-562053</v>
      </c>
      <c r="FR269" s="239">
        <v>-47394</v>
      </c>
      <c r="FS269" s="239">
        <v>0</v>
      </c>
      <c r="FT269" s="239">
        <v>-47394</v>
      </c>
      <c r="FU269" s="239">
        <v>-6503934</v>
      </c>
      <c r="FV269" s="239">
        <v>0</v>
      </c>
      <c r="FW269" s="239">
        <v>-6503934</v>
      </c>
      <c r="FX269" s="239">
        <v>26169379</v>
      </c>
      <c r="FY269" s="239">
        <v>0</v>
      </c>
      <c r="FZ269" s="239">
        <v>26169379</v>
      </c>
      <c r="GA269" s="214" t="s">
        <v>1294</v>
      </c>
    </row>
    <row r="270" spans="2:183" s="214" customFormat="1" x14ac:dyDescent="0.2">
      <c r="B270" s="610" t="s">
        <v>623</v>
      </c>
      <c r="C270" s="610" t="s">
        <v>622</v>
      </c>
      <c r="D270" s="239">
        <v>0</v>
      </c>
      <c r="E270" s="239">
        <v>0</v>
      </c>
      <c r="F270" s="239">
        <v>0</v>
      </c>
      <c r="G270" s="239">
        <v>2282</v>
      </c>
      <c r="H270" s="239">
        <v>0</v>
      </c>
      <c r="I270" s="239">
        <v>2282</v>
      </c>
      <c r="J270" s="239">
        <v>0</v>
      </c>
      <c r="K270" s="239">
        <v>0</v>
      </c>
      <c r="L270" s="239">
        <v>0</v>
      </c>
      <c r="M270" s="239">
        <v>477246</v>
      </c>
      <c r="N270" s="239">
        <v>0</v>
      </c>
      <c r="O270" s="239">
        <v>477246</v>
      </c>
      <c r="P270" s="239">
        <v>479528</v>
      </c>
      <c r="Q270" s="239">
        <v>0</v>
      </c>
      <c r="R270" s="239">
        <v>479528</v>
      </c>
      <c r="S270" s="239">
        <v>-3776312</v>
      </c>
      <c r="T270" s="239">
        <v>0</v>
      </c>
      <c r="U270" s="239">
        <v>-3776312</v>
      </c>
      <c r="V270" s="239">
        <v>-6494</v>
      </c>
      <c r="W270" s="239">
        <v>0</v>
      </c>
      <c r="X270" s="239">
        <v>-6494</v>
      </c>
      <c r="Y270" s="239">
        <v>-132207</v>
      </c>
      <c r="Z270" s="239">
        <v>0</v>
      </c>
      <c r="AA270" s="239">
        <v>-132207</v>
      </c>
      <c r="AB270" s="239">
        <v>-132207</v>
      </c>
      <c r="AC270" s="239">
        <v>0</v>
      </c>
      <c r="AD270" s="239">
        <v>-132207</v>
      </c>
      <c r="AE270" s="239">
        <v>0</v>
      </c>
      <c r="AF270" s="239">
        <v>0</v>
      </c>
      <c r="AG270" s="239">
        <v>0</v>
      </c>
      <c r="AH270" s="239">
        <v>1777019</v>
      </c>
      <c r="AI270" s="239">
        <v>0</v>
      </c>
      <c r="AJ270" s="239">
        <v>1777019</v>
      </c>
      <c r="AK270" s="239">
        <v>-51683</v>
      </c>
      <c r="AL270" s="239">
        <v>0</v>
      </c>
      <c r="AM270" s="239">
        <v>-51683</v>
      </c>
      <c r="AN270" s="239">
        <v>-2601150</v>
      </c>
      <c r="AO270" s="239">
        <v>0</v>
      </c>
      <c r="AP270" s="239">
        <v>-2601150</v>
      </c>
      <c r="AQ270" s="239">
        <v>-10713</v>
      </c>
      <c r="AR270" s="239">
        <v>0</v>
      </c>
      <c r="AS270" s="239">
        <v>-10713</v>
      </c>
      <c r="AT270" s="239">
        <v>-40633</v>
      </c>
      <c r="AU270" s="239">
        <v>0</v>
      </c>
      <c r="AV270" s="239">
        <v>-40633</v>
      </c>
      <c r="AW270" s="239">
        <v>0</v>
      </c>
      <c r="AX270" s="239">
        <v>0</v>
      </c>
      <c r="AY270" s="239">
        <v>0</v>
      </c>
      <c r="AZ270" s="239">
        <v>-80026</v>
      </c>
      <c r="BA270" s="239">
        <v>0</v>
      </c>
      <c r="BB270" s="239">
        <v>-80026</v>
      </c>
      <c r="BC270" s="239">
        <v>691</v>
      </c>
      <c r="BD270" s="239">
        <v>0</v>
      </c>
      <c r="BE270" s="239">
        <v>691</v>
      </c>
      <c r="BF270" s="239">
        <v>-4915014</v>
      </c>
      <c r="BG270" s="239">
        <v>0</v>
      </c>
      <c r="BH270" s="239">
        <v>-4915014</v>
      </c>
      <c r="BI270" s="239">
        <v>-3267</v>
      </c>
      <c r="BJ270" s="239">
        <v>0</v>
      </c>
      <c r="BK270" s="239">
        <v>-3267</v>
      </c>
      <c r="BL270" s="239">
        <v>0</v>
      </c>
      <c r="BM270" s="239">
        <v>0</v>
      </c>
      <c r="BN270" s="239">
        <v>0</v>
      </c>
      <c r="BO270" s="239">
        <v>-737681</v>
      </c>
      <c r="BP270" s="239">
        <v>0</v>
      </c>
      <c r="BQ270" s="239">
        <v>-737681</v>
      </c>
      <c r="BR270" s="239">
        <v>125549</v>
      </c>
      <c r="BS270" s="239">
        <v>0</v>
      </c>
      <c r="BT270" s="239">
        <v>125549</v>
      </c>
      <c r="BU270" s="239">
        <v>-615399</v>
      </c>
      <c r="BV270" s="239">
        <v>0</v>
      </c>
      <c r="BW270" s="239">
        <v>-615399</v>
      </c>
      <c r="BX270" s="239">
        <v>-56083</v>
      </c>
      <c r="BY270" s="239">
        <v>0</v>
      </c>
      <c r="BZ270" s="239">
        <v>-56083</v>
      </c>
      <c r="CA270" s="239">
        <v>-4</v>
      </c>
      <c r="CB270" s="239">
        <v>0</v>
      </c>
      <c r="CC270" s="239">
        <v>-4</v>
      </c>
      <c r="CD270" s="239">
        <v>-32947</v>
      </c>
      <c r="CE270" s="239">
        <v>0</v>
      </c>
      <c r="CF270" s="239">
        <v>-32947</v>
      </c>
      <c r="CG270" s="239">
        <v>4113</v>
      </c>
      <c r="CH270" s="239">
        <v>0</v>
      </c>
      <c r="CI270" s="239">
        <v>4113</v>
      </c>
      <c r="CJ270" s="239">
        <v>-217</v>
      </c>
      <c r="CK270" s="239">
        <v>0</v>
      </c>
      <c r="CL270" s="239">
        <v>-217</v>
      </c>
      <c r="CM270" s="239">
        <v>0</v>
      </c>
      <c r="CN270" s="239">
        <v>0</v>
      </c>
      <c r="CO270" s="239">
        <v>0</v>
      </c>
      <c r="CP270" s="239">
        <v>-11164</v>
      </c>
      <c r="CQ270" s="239">
        <v>0</v>
      </c>
      <c r="CR270" s="239">
        <v>-11164</v>
      </c>
      <c r="CS270" s="239">
        <v>585</v>
      </c>
      <c r="CT270" s="239">
        <v>0</v>
      </c>
      <c r="CU270" s="239">
        <v>585</v>
      </c>
      <c r="CV270" s="239">
        <v>-12879</v>
      </c>
      <c r="CW270" s="239">
        <v>0</v>
      </c>
      <c r="CX270" s="239">
        <v>-12879</v>
      </c>
      <c r="CY270" s="239">
        <v>0</v>
      </c>
      <c r="CZ270" s="239">
        <v>0</v>
      </c>
      <c r="DA270" s="239">
        <v>0</v>
      </c>
      <c r="DB270" s="239">
        <v>0</v>
      </c>
      <c r="DC270" s="239">
        <v>0</v>
      </c>
      <c r="DD270" s="239">
        <v>0</v>
      </c>
      <c r="DE270" s="239">
        <v>0</v>
      </c>
      <c r="DF270" s="239">
        <v>0</v>
      </c>
      <c r="DG270" s="239">
        <v>0</v>
      </c>
      <c r="DH270" s="239">
        <v>0</v>
      </c>
      <c r="DI270" s="239">
        <v>0</v>
      </c>
      <c r="DJ270" s="239">
        <v>-108596</v>
      </c>
      <c r="DK270" s="239">
        <v>0</v>
      </c>
      <c r="DL270" s="239">
        <v>-108596</v>
      </c>
      <c r="DM270" s="239">
        <v>0</v>
      </c>
      <c r="DN270" s="239">
        <v>0</v>
      </c>
      <c r="DO270" s="239">
        <v>0</v>
      </c>
      <c r="DP270" s="239">
        <v>0</v>
      </c>
      <c r="DQ270" s="239">
        <v>0</v>
      </c>
      <c r="DR270" s="239">
        <v>0</v>
      </c>
      <c r="DS270" s="239">
        <v>-14770</v>
      </c>
      <c r="DT270" s="239">
        <v>0</v>
      </c>
      <c r="DU270" s="239">
        <v>-14770</v>
      </c>
      <c r="DV270" s="239">
        <v>-5312</v>
      </c>
      <c r="DW270" s="239">
        <v>0</v>
      </c>
      <c r="DX270" s="239">
        <v>-5312</v>
      </c>
      <c r="DY270" s="239">
        <v>-761937</v>
      </c>
      <c r="DZ270" s="239">
        <v>0</v>
      </c>
      <c r="EA270" s="239">
        <v>-761937</v>
      </c>
      <c r="EB270" s="239">
        <v>-4799</v>
      </c>
      <c r="EC270" s="239">
        <v>0</v>
      </c>
      <c r="ED270" s="239">
        <v>-4799</v>
      </c>
      <c r="EE270" s="239">
        <v>0</v>
      </c>
      <c r="EF270" s="239">
        <v>0</v>
      </c>
      <c r="EG270" s="239">
        <v>0</v>
      </c>
      <c r="EH270" s="239">
        <v>0</v>
      </c>
      <c r="EI270" s="239">
        <v>0</v>
      </c>
      <c r="EJ270" s="239">
        <v>0</v>
      </c>
      <c r="EK270" s="239">
        <v>-28658</v>
      </c>
      <c r="EL270" s="239">
        <v>0</v>
      </c>
      <c r="EM270" s="239">
        <v>-28658</v>
      </c>
      <c r="EN270" s="239">
        <v>-815476</v>
      </c>
      <c r="EO270" s="239">
        <v>0</v>
      </c>
      <c r="EP270" s="239">
        <v>-815476</v>
      </c>
      <c r="EQ270" s="239">
        <v>0</v>
      </c>
      <c r="ER270" s="239">
        <v>0</v>
      </c>
      <c r="ES270" s="239">
        <v>0</v>
      </c>
      <c r="ET270" s="239">
        <v>0</v>
      </c>
      <c r="EU270" s="239">
        <v>0</v>
      </c>
      <c r="EV270" s="239">
        <v>0</v>
      </c>
      <c r="EW270" s="239">
        <v>0</v>
      </c>
      <c r="EX270" s="239">
        <v>0</v>
      </c>
      <c r="EY270" s="239">
        <v>0</v>
      </c>
      <c r="EZ270" s="239">
        <v>72402993</v>
      </c>
      <c r="FA270" s="239">
        <v>0</v>
      </c>
      <c r="FB270" s="239">
        <v>72402993</v>
      </c>
      <c r="FC270" s="239">
        <v>479528</v>
      </c>
      <c r="FD270" s="239">
        <v>0</v>
      </c>
      <c r="FE270" s="239">
        <v>479528</v>
      </c>
      <c r="FF270" s="239">
        <v>-4915014</v>
      </c>
      <c r="FG270" s="239">
        <v>0</v>
      </c>
      <c r="FH270" s="239">
        <v>-4915014</v>
      </c>
      <c r="FI270" s="239">
        <v>-615399</v>
      </c>
      <c r="FJ270" s="239">
        <v>0</v>
      </c>
      <c r="FK270" s="239">
        <v>-615399</v>
      </c>
      <c r="FL270" s="239">
        <v>-108596</v>
      </c>
      <c r="FM270" s="239">
        <v>0</v>
      </c>
      <c r="FN270" s="239">
        <v>-108596</v>
      </c>
      <c r="FO270" s="239">
        <v>-815476</v>
      </c>
      <c r="FP270" s="239">
        <v>0</v>
      </c>
      <c r="FQ270" s="239">
        <v>-815476</v>
      </c>
      <c r="FR270" s="239">
        <v>0</v>
      </c>
      <c r="FS270" s="239">
        <v>0</v>
      </c>
      <c r="FT270" s="239">
        <v>0</v>
      </c>
      <c r="FU270" s="239">
        <v>-5974957</v>
      </c>
      <c r="FV270" s="239">
        <v>0</v>
      </c>
      <c r="FW270" s="239">
        <v>-5974957</v>
      </c>
      <c r="FX270" s="239">
        <v>66428036</v>
      </c>
      <c r="FY270" s="239">
        <v>0</v>
      </c>
      <c r="FZ270" s="239">
        <v>66428036</v>
      </c>
      <c r="GA270" s="214" t="s">
        <v>1294</v>
      </c>
    </row>
    <row r="271" spans="2:183" s="214" customFormat="1" x14ac:dyDescent="0.2">
      <c r="B271" s="610" t="s">
        <v>625</v>
      </c>
      <c r="C271" s="610" t="s">
        <v>624</v>
      </c>
      <c r="D271" s="239">
        <v>0</v>
      </c>
      <c r="E271" s="239">
        <v>0</v>
      </c>
      <c r="F271" s="239">
        <v>0</v>
      </c>
      <c r="G271" s="239">
        <v>-543074</v>
      </c>
      <c r="H271" s="239">
        <v>0</v>
      </c>
      <c r="I271" s="239">
        <v>-543074</v>
      </c>
      <c r="J271" s="239">
        <v>0</v>
      </c>
      <c r="K271" s="239">
        <v>0</v>
      </c>
      <c r="L271" s="239">
        <v>0</v>
      </c>
      <c r="M271" s="239">
        <v>742076</v>
      </c>
      <c r="N271" s="239">
        <v>0</v>
      </c>
      <c r="O271" s="239">
        <v>742076</v>
      </c>
      <c r="P271" s="239">
        <v>199002</v>
      </c>
      <c r="Q271" s="239">
        <v>0</v>
      </c>
      <c r="R271" s="239">
        <v>199002</v>
      </c>
      <c r="S271" s="239">
        <v>-4679790</v>
      </c>
      <c r="T271" s="239">
        <v>-2493</v>
      </c>
      <c r="U271" s="239">
        <v>-4682283</v>
      </c>
      <c r="V271" s="239">
        <v>-7206</v>
      </c>
      <c r="W271" s="239">
        <v>0</v>
      </c>
      <c r="X271" s="239">
        <v>-7206</v>
      </c>
      <c r="Y271" s="239">
        <v>-126831</v>
      </c>
      <c r="Z271" s="239">
        <v>0</v>
      </c>
      <c r="AA271" s="239">
        <v>-126831</v>
      </c>
      <c r="AB271" s="239">
        <v>0</v>
      </c>
      <c r="AC271" s="239">
        <v>0</v>
      </c>
      <c r="AD271" s="239">
        <v>0</v>
      </c>
      <c r="AE271" s="239">
        <v>0</v>
      </c>
      <c r="AF271" s="239">
        <v>0</v>
      </c>
      <c r="AG271" s="239">
        <v>0</v>
      </c>
      <c r="AH271" s="239">
        <v>2517153</v>
      </c>
      <c r="AI271" s="239">
        <v>24083</v>
      </c>
      <c r="AJ271" s="239">
        <v>2541236</v>
      </c>
      <c r="AK271" s="239">
        <v>-90323</v>
      </c>
      <c r="AL271" s="239">
        <v>0</v>
      </c>
      <c r="AM271" s="239">
        <v>-90323</v>
      </c>
      <c r="AN271" s="239">
        <v>-6167763</v>
      </c>
      <c r="AO271" s="239">
        <v>-28988</v>
      </c>
      <c r="AP271" s="239">
        <v>-6196751</v>
      </c>
      <c r="AQ271" s="239">
        <v>16147</v>
      </c>
      <c r="AR271" s="239">
        <v>0</v>
      </c>
      <c r="AS271" s="239">
        <v>16147</v>
      </c>
      <c r="AT271" s="239">
        <v>-45130</v>
      </c>
      <c r="AU271" s="239">
        <v>0</v>
      </c>
      <c r="AV271" s="239">
        <v>-45130</v>
      </c>
      <c r="AW271" s="239">
        <v>-9330</v>
      </c>
      <c r="AX271" s="239">
        <v>0</v>
      </c>
      <c r="AY271" s="239">
        <v>-9330</v>
      </c>
      <c r="AZ271" s="239">
        <v>-1892</v>
      </c>
      <c r="BA271" s="239">
        <v>0</v>
      </c>
      <c r="BB271" s="239">
        <v>-1892</v>
      </c>
      <c r="BC271" s="239">
        <v>0</v>
      </c>
      <c r="BD271" s="239">
        <v>0</v>
      </c>
      <c r="BE271" s="239">
        <v>0</v>
      </c>
      <c r="BF271" s="239">
        <v>-8587759</v>
      </c>
      <c r="BG271" s="239">
        <v>-7398</v>
      </c>
      <c r="BH271" s="239">
        <v>-8595157</v>
      </c>
      <c r="BI271" s="239">
        <v>-104404</v>
      </c>
      <c r="BJ271" s="239">
        <v>0</v>
      </c>
      <c r="BK271" s="239">
        <v>-104404</v>
      </c>
      <c r="BL271" s="239">
        <v>7730</v>
      </c>
      <c r="BM271" s="239">
        <v>0</v>
      </c>
      <c r="BN271" s="239">
        <v>7730</v>
      </c>
      <c r="BO271" s="239">
        <v>-2898437</v>
      </c>
      <c r="BP271" s="239">
        <v>-7280</v>
      </c>
      <c r="BQ271" s="239">
        <v>-2905717</v>
      </c>
      <c r="BR271" s="239">
        <v>1869</v>
      </c>
      <c r="BS271" s="239">
        <v>0</v>
      </c>
      <c r="BT271" s="239">
        <v>1869</v>
      </c>
      <c r="BU271" s="239">
        <v>-2993242</v>
      </c>
      <c r="BV271" s="239">
        <v>-7280</v>
      </c>
      <c r="BW271" s="239">
        <v>-3000522</v>
      </c>
      <c r="BX271" s="239">
        <v>-58854</v>
      </c>
      <c r="BY271" s="239">
        <v>0</v>
      </c>
      <c r="BZ271" s="239">
        <v>-58854</v>
      </c>
      <c r="CA271" s="239">
        <v>2766</v>
      </c>
      <c r="CB271" s="239">
        <v>0</v>
      </c>
      <c r="CC271" s="239">
        <v>2766</v>
      </c>
      <c r="CD271" s="239">
        <v>-137687</v>
      </c>
      <c r="CE271" s="239">
        <v>0</v>
      </c>
      <c r="CF271" s="239">
        <v>-137687</v>
      </c>
      <c r="CG271" s="239">
        <v>-25317</v>
      </c>
      <c r="CH271" s="239">
        <v>0</v>
      </c>
      <c r="CI271" s="239">
        <v>-25317</v>
      </c>
      <c r="CJ271" s="239">
        <v>-592</v>
      </c>
      <c r="CK271" s="239">
        <v>0</v>
      </c>
      <c r="CL271" s="239">
        <v>-592</v>
      </c>
      <c r="CM271" s="239">
        <v>0</v>
      </c>
      <c r="CN271" s="239">
        <v>0</v>
      </c>
      <c r="CO271" s="239">
        <v>0</v>
      </c>
      <c r="CP271" s="239">
        <v>0</v>
      </c>
      <c r="CQ271" s="239">
        <v>0</v>
      </c>
      <c r="CR271" s="239">
        <v>0</v>
      </c>
      <c r="CS271" s="239">
        <v>0</v>
      </c>
      <c r="CT271" s="239">
        <v>0</v>
      </c>
      <c r="CU271" s="239">
        <v>0</v>
      </c>
      <c r="CV271" s="239">
        <v>0</v>
      </c>
      <c r="CW271" s="239">
        <v>0</v>
      </c>
      <c r="CX271" s="239">
        <v>0</v>
      </c>
      <c r="CY271" s="239">
        <v>0</v>
      </c>
      <c r="CZ271" s="239">
        <v>0</v>
      </c>
      <c r="DA271" s="239">
        <v>0</v>
      </c>
      <c r="DB271" s="239">
        <v>0</v>
      </c>
      <c r="DC271" s="239">
        <v>-34510</v>
      </c>
      <c r="DD271" s="239">
        <v>-34510</v>
      </c>
      <c r="DE271" s="239">
        <v>-13876</v>
      </c>
      <c r="DF271" s="239">
        <v>0</v>
      </c>
      <c r="DG271" s="239">
        <v>-13876</v>
      </c>
      <c r="DH271" s="239">
        <v>-34510</v>
      </c>
      <c r="DI271" s="239">
        <v>0</v>
      </c>
      <c r="DJ271" s="239">
        <v>-233560</v>
      </c>
      <c r="DK271" s="239">
        <v>-34510</v>
      </c>
      <c r="DL271" s="239">
        <v>-268070</v>
      </c>
      <c r="DM271" s="239">
        <v>0</v>
      </c>
      <c r="DN271" s="239">
        <v>0</v>
      </c>
      <c r="DO271" s="239">
        <v>0</v>
      </c>
      <c r="DP271" s="239">
        <v>0</v>
      </c>
      <c r="DQ271" s="239">
        <v>0</v>
      </c>
      <c r="DR271" s="239">
        <v>0</v>
      </c>
      <c r="DS271" s="239">
        <v>-93288</v>
      </c>
      <c r="DT271" s="239">
        <v>0</v>
      </c>
      <c r="DU271" s="239">
        <v>-93288</v>
      </c>
      <c r="DV271" s="239">
        <v>-2937</v>
      </c>
      <c r="DW271" s="239">
        <v>0</v>
      </c>
      <c r="DX271" s="239">
        <v>-2937</v>
      </c>
      <c r="DY271" s="239">
        <v>-1224549</v>
      </c>
      <c r="DZ271" s="239">
        <v>0</v>
      </c>
      <c r="EA271" s="239">
        <v>-1224549</v>
      </c>
      <c r="EB271" s="239">
        <v>-17706</v>
      </c>
      <c r="EC271" s="239">
        <v>0</v>
      </c>
      <c r="ED271" s="239">
        <v>-17706</v>
      </c>
      <c r="EE271" s="239">
        <v>0</v>
      </c>
      <c r="EF271" s="239">
        <v>0</v>
      </c>
      <c r="EG271" s="239">
        <v>0</v>
      </c>
      <c r="EH271" s="239">
        <v>0</v>
      </c>
      <c r="EI271" s="239">
        <v>0</v>
      </c>
      <c r="EJ271" s="239">
        <v>0</v>
      </c>
      <c r="EK271" s="239">
        <v>-20778</v>
      </c>
      <c r="EL271" s="239">
        <v>0</v>
      </c>
      <c r="EM271" s="239">
        <v>-20778</v>
      </c>
      <c r="EN271" s="239">
        <v>-1359258</v>
      </c>
      <c r="EO271" s="239">
        <v>0</v>
      </c>
      <c r="EP271" s="239">
        <v>-1359258</v>
      </c>
      <c r="EQ271" s="239">
        <v>0</v>
      </c>
      <c r="ER271" s="239">
        <v>0</v>
      </c>
      <c r="ES271" s="239">
        <v>0</v>
      </c>
      <c r="ET271" s="239">
        <v>0</v>
      </c>
      <c r="EU271" s="239">
        <v>0</v>
      </c>
      <c r="EV271" s="239">
        <v>0</v>
      </c>
      <c r="EW271" s="239">
        <v>0</v>
      </c>
      <c r="EX271" s="239">
        <v>0</v>
      </c>
      <c r="EY271" s="239">
        <v>0</v>
      </c>
      <c r="EZ271" s="239">
        <v>102187785</v>
      </c>
      <c r="FA271" s="239">
        <v>900584</v>
      </c>
      <c r="FB271" s="239">
        <v>103088369</v>
      </c>
      <c r="FC271" s="239">
        <v>199002</v>
      </c>
      <c r="FD271" s="239">
        <v>0</v>
      </c>
      <c r="FE271" s="239">
        <v>199002</v>
      </c>
      <c r="FF271" s="239">
        <v>-8587759</v>
      </c>
      <c r="FG271" s="239">
        <v>-7398</v>
      </c>
      <c r="FH271" s="239">
        <v>-8595157</v>
      </c>
      <c r="FI271" s="239">
        <v>-2993242</v>
      </c>
      <c r="FJ271" s="239">
        <v>-7280</v>
      </c>
      <c r="FK271" s="239">
        <v>-3000522</v>
      </c>
      <c r="FL271" s="239">
        <v>-233560</v>
      </c>
      <c r="FM271" s="239">
        <v>-34510</v>
      </c>
      <c r="FN271" s="239">
        <v>-268070</v>
      </c>
      <c r="FO271" s="239">
        <v>-1359258</v>
      </c>
      <c r="FP271" s="239">
        <v>0</v>
      </c>
      <c r="FQ271" s="239">
        <v>-1359258</v>
      </c>
      <c r="FR271" s="239">
        <v>0</v>
      </c>
      <c r="FS271" s="239">
        <v>0</v>
      </c>
      <c r="FT271" s="239">
        <v>0</v>
      </c>
      <c r="FU271" s="239">
        <v>-12974817</v>
      </c>
      <c r="FV271" s="239">
        <v>-49188</v>
      </c>
      <c r="FW271" s="239">
        <v>-13024005</v>
      </c>
      <c r="FX271" s="239">
        <v>89212968</v>
      </c>
      <c r="FY271" s="239">
        <v>851396</v>
      </c>
      <c r="FZ271" s="239">
        <v>90064364</v>
      </c>
      <c r="GA271" s="214" t="s">
        <v>1296</v>
      </c>
    </row>
    <row r="272" spans="2:183" s="214" customFormat="1" x14ac:dyDescent="0.2">
      <c r="B272" s="610" t="s">
        <v>627</v>
      </c>
      <c r="C272" s="610" t="s">
        <v>626</v>
      </c>
      <c r="D272" s="239">
        <v>0</v>
      </c>
      <c r="E272" s="239">
        <v>0</v>
      </c>
      <c r="F272" s="239">
        <v>0</v>
      </c>
      <c r="G272" s="239">
        <v>1685</v>
      </c>
      <c r="H272" s="239">
        <v>0</v>
      </c>
      <c r="I272" s="239">
        <v>1685</v>
      </c>
      <c r="J272" s="239">
        <v>0</v>
      </c>
      <c r="K272" s="239">
        <v>0</v>
      </c>
      <c r="L272" s="239">
        <v>0</v>
      </c>
      <c r="M272" s="239">
        <v>37797</v>
      </c>
      <c r="N272" s="239">
        <v>0</v>
      </c>
      <c r="O272" s="239">
        <v>37797</v>
      </c>
      <c r="P272" s="239">
        <v>39482</v>
      </c>
      <c r="Q272" s="239">
        <v>0</v>
      </c>
      <c r="R272" s="239">
        <v>39482</v>
      </c>
      <c r="S272" s="239">
        <v>-1333197</v>
      </c>
      <c r="T272" s="239">
        <v>0</v>
      </c>
      <c r="U272" s="239">
        <v>-1333197</v>
      </c>
      <c r="V272" s="239">
        <v>-652</v>
      </c>
      <c r="W272" s="239">
        <v>0</v>
      </c>
      <c r="X272" s="239">
        <v>-652</v>
      </c>
      <c r="Y272" s="239">
        <v>-85788</v>
      </c>
      <c r="Z272" s="239">
        <v>0</v>
      </c>
      <c r="AA272" s="239">
        <v>-85788</v>
      </c>
      <c r="AB272" s="239">
        <v>-63608</v>
      </c>
      <c r="AC272" s="239">
        <v>0</v>
      </c>
      <c r="AD272" s="239">
        <v>-63608</v>
      </c>
      <c r="AE272" s="239">
        <v>-271</v>
      </c>
      <c r="AF272" s="239">
        <v>0</v>
      </c>
      <c r="AG272" s="239">
        <v>-271</v>
      </c>
      <c r="AH272" s="239">
        <v>983501</v>
      </c>
      <c r="AI272" s="239">
        <v>0</v>
      </c>
      <c r="AJ272" s="239">
        <v>983501</v>
      </c>
      <c r="AK272" s="239">
        <v>-3384</v>
      </c>
      <c r="AL272" s="239">
        <v>0</v>
      </c>
      <c r="AM272" s="239">
        <v>-3384</v>
      </c>
      <c r="AN272" s="239">
        <v>-1402649</v>
      </c>
      <c r="AO272" s="239">
        <v>0</v>
      </c>
      <c r="AP272" s="239">
        <v>-1402649</v>
      </c>
      <c r="AQ272" s="239">
        <v>-4413</v>
      </c>
      <c r="AR272" s="239">
        <v>0</v>
      </c>
      <c r="AS272" s="239">
        <v>-4413</v>
      </c>
      <c r="AT272" s="239">
        <v>-5768</v>
      </c>
      <c r="AU272" s="239">
        <v>0</v>
      </c>
      <c r="AV272" s="239">
        <v>-5768</v>
      </c>
      <c r="AW272" s="239">
        <v>0</v>
      </c>
      <c r="AX272" s="239">
        <v>0</v>
      </c>
      <c r="AY272" s="239">
        <v>0</v>
      </c>
      <c r="AZ272" s="239">
        <v>0</v>
      </c>
      <c r="BA272" s="239">
        <v>0</v>
      </c>
      <c r="BB272" s="239">
        <v>0</v>
      </c>
      <c r="BC272" s="239">
        <v>0</v>
      </c>
      <c r="BD272" s="239">
        <v>0</v>
      </c>
      <c r="BE272" s="239">
        <v>0</v>
      </c>
      <c r="BF272" s="239">
        <v>-1851698</v>
      </c>
      <c r="BG272" s="239">
        <v>0</v>
      </c>
      <c r="BH272" s="239">
        <v>-1851698</v>
      </c>
      <c r="BI272" s="239">
        <v>-215825</v>
      </c>
      <c r="BJ272" s="239">
        <v>0</v>
      </c>
      <c r="BK272" s="239">
        <v>-215825</v>
      </c>
      <c r="BL272" s="239">
        <v>-1500</v>
      </c>
      <c r="BM272" s="239">
        <v>0</v>
      </c>
      <c r="BN272" s="239">
        <v>-1500</v>
      </c>
      <c r="BO272" s="239">
        <v>-1182828</v>
      </c>
      <c r="BP272" s="239">
        <v>0</v>
      </c>
      <c r="BQ272" s="239">
        <v>-1182828</v>
      </c>
      <c r="BR272" s="239">
        <v>-83853</v>
      </c>
      <c r="BS272" s="239">
        <v>0</v>
      </c>
      <c r="BT272" s="239">
        <v>-83853</v>
      </c>
      <c r="BU272" s="239">
        <v>-1484006</v>
      </c>
      <c r="BV272" s="239">
        <v>0</v>
      </c>
      <c r="BW272" s="239">
        <v>-1484006</v>
      </c>
      <c r="BX272" s="239">
        <v>-82311</v>
      </c>
      <c r="BY272" s="239">
        <v>0</v>
      </c>
      <c r="BZ272" s="239">
        <v>-82311</v>
      </c>
      <c r="CA272" s="239">
        <v>-4217</v>
      </c>
      <c r="CB272" s="239">
        <v>0</v>
      </c>
      <c r="CC272" s="239">
        <v>-4217</v>
      </c>
      <c r="CD272" s="239">
        <v>-213554</v>
      </c>
      <c r="CE272" s="239">
        <v>0</v>
      </c>
      <c r="CF272" s="239">
        <v>-213554</v>
      </c>
      <c r="CG272" s="239">
        <v>-6021</v>
      </c>
      <c r="CH272" s="239">
        <v>0</v>
      </c>
      <c r="CI272" s="239">
        <v>-6021</v>
      </c>
      <c r="CJ272" s="239">
        <v>-1442</v>
      </c>
      <c r="CK272" s="239">
        <v>0</v>
      </c>
      <c r="CL272" s="239">
        <v>-1442</v>
      </c>
      <c r="CM272" s="239">
        <v>0</v>
      </c>
      <c r="CN272" s="239">
        <v>0</v>
      </c>
      <c r="CO272" s="239">
        <v>0</v>
      </c>
      <c r="CP272" s="239">
        <v>0</v>
      </c>
      <c r="CQ272" s="239">
        <v>0</v>
      </c>
      <c r="CR272" s="239">
        <v>0</v>
      </c>
      <c r="CS272" s="239">
        <v>0</v>
      </c>
      <c r="CT272" s="239">
        <v>0</v>
      </c>
      <c r="CU272" s="239">
        <v>0</v>
      </c>
      <c r="CV272" s="239">
        <v>0</v>
      </c>
      <c r="CW272" s="239">
        <v>0</v>
      </c>
      <c r="CX272" s="239">
        <v>0</v>
      </c>
      <c r="CY272" s="239">
        <v>0</v>
      </c>
      <c r="CZ272" s="239">
        <v>0</v>
      </c>
      <c r="DA272" s="239">
        <v>0</v>
      </c>
      <c r="DB272" s="239">
        <v>0</v>
      </c>
      <c r="DC272" s="239">
        <v>0</v>
      </c>
      <c r="DD272" s="239">
        <v>0</v>
      </c>
      <c r="DE272" s="239">
        <v>0</v>
      </c>
      <c r="DF272" s="239">
        <v>0</v>
      </c>
      <c r="DG272" s="239">
        <v>0</v>
      </c>
      <c r="DH272" s="239">
        <v>0</v>
      </c>
      <c r="DI272" s="239">
        <v>0</v>
      </c>
      <c r="DJ272" s="239">
        <v>-307545</v>
      </c>
      <c r="DK272" s="239">
        <v>0</v>
      </c>
      <c r="DL272" s="239">
        <v>-307545</v>
      </c>
      <c r="DM272" s="239">
        <v>-384860</v>
      </c>
      <c r="DN272" s="239">
        <v>0</v>
      </c>
      <c r="DO272" s="239">
        <v>-384860</v>
      </c>
      <c r="DP272" s="239">
        <v>-12702</v>
      </c>
      <c r="DQ272" s="239">
        <v>0</v>
      </c>
      <c r="DR272" s="239">
        <v>-12702</v>
      </c>
      <c r="DS272" s="239">
        <v>-40736</v>
      </c>
      <c r="DT272" s="239">
        <v>0</v>
      </c>
      <c r="DU272" s="239">
        <v>-40736</v>
      </c>
      <c r="DV272" s="239">
        <v>0</v>
      </c>
      <c r="DW272" s="239">
        <v>0</v>
      </c>
      <c r="DX272" s="239">
        <v>0</v>
      </c>
      <c r="DY272" s="239">
        <v>-612076</v>
      </c>
      <c r="DZ272" s="239">
        <v>0</v>
      </c>
      <c r="EA272" s="239">
        <v>-612076</v>
      </c>
      <c r="EB272" s="239">
        <v>-125390</v>
      </c>
      <c r="EC272" s="239">
        <v>0</v>
      </c>
      <c r="ED272" s="239">
        <v>-125390</v>
      </c>
      <c r="EE272" s="239">
        <v>0</v>
      </c>
      <c r="EF272" s="239">
        <v>0</v>
      </c>
      <c r="EG272" s="239">
        <v>0</v>
      </c>
      <c r="EH272" s="239">
        <v>0</v>
      </c>
      <c r="EI272" s="239">
        <v>0</v>
      </c>
      <c r="EJ272" s="239">
        <v>0</v>
      </c>
      <c r="EK272" s="239">
        <v>-9392</v>
      </c>
      <c r="EL272" s="239">
        <v>0</v>
      </c>
      <c r="EM272" s="239">
        <v>-9392</v>
      </c>
      <c r="EN272" s="239">
        <v>-1185156</v>
      </c>
      <c r="EO272" s="239">
        <v>0</v>
      </c>
      <c r="EP272" s="239">
        <v>-1185156</v>
      </c>
      <c r="EQ272" s="239">
        <v>0</v>
      </c>
      <c r="ER272" s="239">
        <v>0</v>
      </c>
      <c r="ES272" s="239">
        <v>0</v>
      </c>
      <c r="ET272" s="239">
        <v>0</v>
      </c>
      <c r="EU272" s="239">
        <v>0</v>
      </c>
      <c r="EV272" s="239">
        <v>0</v>
      </c>
      <c r="EW272" s="239">
        <v>0</v>
      </c>
      <c r="EX272" s="239">
        <v>0</v>
      </c>
      <c r="EY272" s="239">
        <v>0</v>
      </c>
      <c r="EZ272" s="239">
        <v>41001439</v>
      </c>
      <c r="FA272" s="239">
        <v>0</v>
      </c>
      <c r="FB272" s="239">
        <v>41001439</v>
      </c>
      <c r="FC272" s="239">
        <v>39482</v>
      </c>
      <c r="FD272" s="239">
        <v>0</v>
      </c>
      <c r="FE272" s="239">
        <v>39482</v>
      </c>
      <c r="FF272" s="239">
        <v>-1851698</v>
      </c>
      <c r="FG272" s="239">
        <v>0</v>
      </c>
      <c r="FH272" s="239">
        <v>-1851698</v>
      </c>
      <c r="FI272" s="239">
        <v>-1484006</v>
      </c>
      <c r="FJ272" s="239">
        <v>0</v>
      </c>
      <c r="FK272" s="239">
        <v>-1484006</v>
      </c>
      <c r="FL272" s="239">
        <v>-307545</v>
      </c>
      <c r="FM272" s="239">
        <v>0</v>
      </c>
      <c r="FN272" s="239">
        <v>-307545</v>
      </c>
      <c r="FO272" s="239">
        <v>-1185156</v>
      </c>
      <c r="FP272" s="239">
        <v>0</v>
      </c>
      <c r="FQ272" s="239">
        <v>-1185156</v>
      </c>
      <c r="FR272" s="239">
        <v>0</v>
      </c>
      <c r="FS272" s="239">
        <v>0</v>
      </c>
      <c r="FT272" s="239">
        <v>0</v>
      </c>
      <c r="FU272" s="239">
        <v>-4788923</v>
      </c>
      <c r="FV272" s="239">
        <v>0</v>
      </c>
      <c r="FW272" s="239">
        <v>-4788923</v>
      </c>
      <c r="FX272" s="239">
        <v>36212516</v>
      </c>
      <c r="FY272" s="239">
        <v>0</v>
      </c>
      <c r="FZ272" s="239">
        <v>36212516</v>
      </c>
      <c r="GA272" s="214" t="s">
        <v>1294</v>
      </c>
    </row>
    <row r="273" spans="2:183" s="214" customFormat="1" x14ac:dyDescent="0.2">
      <c r="B273" s="610" t="s">
        <v>629</v>
      </c>
      <c r="C273" s="610" t="s">
        <v>628</v>
      </c>
      <c r="D273" s="239">
        <v>0</v>
      </c>
      <c r="E273" s="239">
        <v>0</v>
      </c>
      <c r="F273" s="239">
        <v>0</v>
      </c>
      <c r="G273" s="239">
        <v>48359</v>
      </c>
      <c r="H273" s="239">
        <v>0</v>
      </c>
      <c r="I273" s="239">
        <v>48359</v>
      </c>
      <c r="J273" s="239">
        <v>0</v>
      </c>
      <c r="K273" s="239">
        <v>0</v>
      </c>
      <c r="L273" s="239">
        <v>0</v>
      </c>
      <c r="M273" s="239">
        <v>1295411</v>
      </c>
      <c r="N273" s="239">
        <v>0</v>
      </c>
      <c r="O273" s="239">
        <v>1295411</v>
      </c>
      <c r="P273" s="239">
        <v>1343770</v>
      </c>
      <c r="Q273" s="239">
        <v>0</v>
      </c>
      <c r="R273" s="239">
        <v>1343770</v>
      </c>
      <c r="S273" s="239">
        <v>-2807635</v>
      </c>
      <c r="T273" s="239">
        <v>0</v>
      </c>
      <c r="U273" s="239">
        <v>-2807635</v>
      </c>
      <c r="V273" s="239">
        <v>-1724</v>
      </c>
      <c r="W273" s="239">
        <v>0</v>
      </c>
      <c r="X273" s="239">
        <v>-1724</v>
      </c>
      <c r="Y273" s="239">
        <v>-61549</v>
      </c>
      <c r="Z273" s="239">
        <v>0</v>
      </c>
      <c r="AA273" s="239">
        <v>-61549</v>
      </c>
      <c r="AB273" s="239">
        <v>-42494</v>
      </c>
      <c r="AC273" s="239">
        <v>0</v>
      </c>
      <c r="AD273" s="239">
        <v>-42494</v>
      </c>
      <c r="AE273" s="239">
        <v>-1212</v>
      </c>
      <c r="AF273" s="239">
        <v>0</v>
      </c>
      <c r="AG273" s="239">
        <v>-1212</v>
      </c>
      <c r="AH273" s="239">
        <v>1332549</v>
      </c>
      <c r="AI273" s="239">
        <v>0</v>
      </c>
      <c r="AJ273" s="239">
        <v>1332549</v>
      </c>
      <c r="AK273" s="239">
        <v>43511</v>
      </c>
      <c r="AL273" s="239">
        <v>0</v>
      </c>
      <c r="AM273" s="239">
        <v>43511</v>
      </c>
      <c r="AN273" s="239">
        <v>-4612139</v>
      </c>
      <c r="AO273" s="239">
        <v>0</v>
      </c>
      <c r="AP273" s="239">
        <v>-4612139</v>
      </c>
      <c r="AQ273" s="239">
        <v>-45859</v>
      </c>
      <c r="AR273" s="239">
        <v>0</v>
      </c>
      <c r="AS273" s="239">
        <v>-45859</v>
      </c>
      <c r="AT273" s="239">
        <v>-35496</v>
      </c>
      <c r="AU273" s="239">
        <v>0</v>
      </c>
      <c r="AV273" s="239">
        <v>-35496</v>
      </c>
      <c r="AW273" s="239">
        <v>0</v>
      </c>
      <c r="AX273" s="239">
        <v>0</v>
      </c>
      <c r="AY273" s="239">
        <v>0</v>
      </c>
      <c r="AZ273" s="239">
        <v>0</v>
      </c>
      <c r="BA273" s="239">
        <v>0</v>
      </c>
      <c r="BB273" s="239">
        <v>0</v>
      </c>
      <c r="BC273" s="239">
        <v>0</v>
      </c>
      <c r="BD273" s="239">
        <v>0</v>
      </c>
      <c r="BE273" s="239">
        <v>0</v>
      </c>
      <c r="BF273" s="239">
        <v>-6186618</v>
      </c>
      <c r="BG273" s="239">
        <v>0</v>
      </c>
      <c r="BH273" s="239">
        <v>-6186618</v>
      </c>
      <c r="BI273" s="239">
        <v>0</v>
      </c>
      <c r="BJ273" s="239">
        <v>0</v>
      </c>
      <c r="BK273" s="239">
        <v>0</v>
      </c>
      <c r="BL273" s="239">
        <v>0</v>
      </c>
      <c r="BM273" s="239">
        <v>0</v>
      </c>
      <c r="BN273" s="239">
        <v>0</v>
      </c>
      <c r="BO273" s="239">
        <v>-945652</v>
      </c>
      <c r="BP273" s="239">
        <v>0</v>
      </c>
      <c r="BQ273" s="239">
        <v>-945652</v>
      </c>
      <c r="BR273" s="239">
        <v>-20428</v>
      </c>
      <c r="BS273" s="239">
        <v>0</v>
      </c>
      <c r="BT273" s="239">
        <v>-20428</v>
      </c>
      <c r="BU273" s="239">
        <v>-966080</v>
      </c>
      <c r="BV273" s="239">
        <v>0</v>
      </c>
      <c r="BW273" s="239">
        <v>-966080</v>
      </c>
      <c r="BX273" s="239">
        <v>-2082</v>
      </c>
      <c r="BY273" s="239">
        <v>0</v>
      </c>
      <c r="BZ273" s="239">
        <v>-2082</v>
      </c>
      <c r="CA273" s="239">
        <v>0</v>
      </c>
      <c r="CB273" s="239">
        <v>0</v>
      </c>
      <c r="CC273" s="239">
        <v>0</v>
      </c>
      <c r="CD273" s="239">
        <v>-115674</v>
      </c>
      <c r="CE273" s="239">
        <v>0</v>
      </c>
      <c r="CF273" s="239">
        <v>-115674</v>
      </c>
      <c r="CG273" s="239">
        <v>12382</v>
      </c>
      <c r="CH273" s="239">
        <v>0</v>
      </c>
      <c r="CI273" s="239">
        <v>12382</v>
      </c>
      <c r="CJ273" s="239">
        <v>0</v>
      </c>
      <c r="CK273" s="239">
        <v>0</v>
      </c>
      <c r="CL273" s="239">
        <v>0</v>
      </c>
      <c r="CM273" s="239">
        <v>0</v>
      </c>
      <c r="CN273" s="239">
        <v>0</v>
      </c>
      <c r="CO273" s="239">
        <v>0</v>
      </c>
      <c r="CP273" s="239">
        <v>0</v>
      </c>
      <c r="CQ273" s="239">
        <v>0</v>
      </c>
      <c r="CR273" s="239">
        <v>0</v>
      </c>
      <c r="CS273" s="239">
        <v>0</v>
      </c>
      <c r="CT273" s="239">
        <v>0</v>
      </c>
      <c r="CU273" s="239">
        <v>0</v>
      </c>
      <c r="CV273" s="239">
        <v>0</v>
      </c>
      <c r="CW273" s="239">
        <v>0</v>
      </c>
      <c r="CX273" s="239">
        <v>0</v>
      </c>
      <c r="CY273" s="239">
        <v>0</v>
      </c>
      <c r="CZ273" s="239">
        <v>0</v>
      </c>
      <c r="DA273" s="239">
        <v>0</v>
      </c>
      <c r="DB273" s="239">
        <v>-24966</v>
      </c>
      <c r="DC273" s="239">
        <v>0</v>
      </c>
      <c r="DD273" s="239">
        <v>-24966</v>
      </c>
      <c r="DE273" s="239">
        <v>-6576</v>
      </c>
      <c r="DF273" s="239">
        <v>0</v>
      </c>
      <c r="DG273" s="239">
        <v>-6576</v>
      </c>
      <c r="DH273" s="239">
        <v>0</v>
      </c>
      <c r="DI273" s="239">
        <v>0</v>
      </c>
      <c r="DJ273" s="239">
        <v>-136916</v>
      </c>
      <c r="DK273" s="239">
        <v>0</v>
      </c>
      <c r="DL273" s="239">
        <v>-136916</v>
      </c>
      <c r="DM273" s="239">
        <v>-54735</v>
      </c>
      <c r="DN273" s="239">
        <v>0</v>
      </c>
      <c r="DO273" s="239">
        <v>-54735</v>
      </c>
      <c r="DP273" s="239">
        <v>2824</v>
      </c>
      <c r="DQ273" s="239">
        <v>0</v>
      </c>
      <c r="DR273" s="239">
        <v>2824</v>
      </c>
      <c r="DS273" s="239">
        <v>-2000</v>
      </c>
      <c r="DT273" s="239">
        <v>0</v>
      </c>
      <c r="DU273" s="239">
        <v>-2000</v>
      </c>
      <c r="DV273" s="239">
        <v>0</v>
      </c>
      <c r="DW273" s="239">
        <v>0</v>
      </c>
      <c r="DX273" s="239">
        <v>0</v>
      </c>
      <c r="DY273" s="239">
        <v>-904353</v>
      </c>
      <c r="DZ273" s="239">
        <v>0</v>
      </c>
      <c r="EA273" s="239">
        <v>-904353</v>
      </c>
      <c r="EB273" s="239">
        <v>-165695</v>
      </c>
      <c r="EC273" s="239">
        <v>0</v>
      </c>
      <c r="ED273" s="239">
        <v>-165695</v>
      </c>
      <c r="EE273" s="239">
        <v>0</v>
      </c>
      <c r="EF273" s="239">
        <v>0</v>
      </c>
      <c r="EG273" s="239">
        <v>0</v>
      </c>
      <c r="EH273" s="239">
        <v>0</v>
      </c>
      <c r="EI273" s="239">
        <v>0</v>
      </c>
      <c r="EJ273" s="239">
        <v>0</v>
      </c>
      <c r="EK273" s="239">
        <v>-4055</v>
      </c>
      <c r="EL273" s="239">
        <v>0</v>
      </c>
      <c r="EM273" s="239">
        <v>-4055</v>
      </c>
      <c r="EN273" s="239">
        <v>-1128014</v>
      </c>
      <c r="EO273" s="239">
        <v>0</v>
      </c>
      <c r="EP273" s="239">
        <v>-1128014</v>
      </c>
      <c r="EQ273" s="239">
        <v>0</v>
      </c>
      <c r="ER273" s="239">
        <v>0</v>
      </c>
      <c r="ES273" s="239">
        <v>0</v>
      </c>
      <c r="ET273" s="239">
        <v>0</v>
      </c>
      <c r="EU273" s="239">
        <v>0</v>
      </c>
      <c r="EV273" s="239">
        <v>0</v>
      </c>
      <c r="EW273" s="239">
        <v>0</v>
      </c>
      <c r="EX273" s="239">
        <v>0</v>
      </c>
      <c r="EY273" s="239">
        <v>0</v>
      </c>
      <c r="EZ273" s="239">
        <v>58406547</v>
      </c>
      <c r="FA273" s="239">
        <v>0</v>
      </c>
      <c r="FB273" s="239">
        <v>58406547</v>
      </c>
      <c r="FC273" s="239">
        <v>1343770</v>
      </c>
      <c r="FD273" s="239">
        <v>0</v>
      </c>
      <c r="FE273" s="239">
        <v>1343770</v>
      </c>
      <c r="FF273" s="239">
        <v>-6186618</v>
      </c>
      <c r="FG273" s="239">
        <v>0</v>
      </c>
      <c r="FH273" s="239">
        <v>-6186618</v>
      </c>
      <c r="FI273" s="239">
        <v>-966080</v>
      </c>
      <c r="FJ273" s="239">
        <v>0</v>
      </c>
      <c r="FK273" s="239">
        <v>-966080</v>
      </c>
      <c r="FL273" s="239">
        <v>-136916</v>
      </c>
      <c r="FM273" s="239">
        <v>0</v>
      </c>
      <c r="FN273" s="239">
        <v>-136916</v>
      </c>
      <c r="FO273" s="239">
        <v>-1128014</v>
      </c>
      <c r="FP273" s="239">
        <v>0</v>
      </c>
      <c r="FQ273" s="239">
        <v>-1128014</v>
      </c>
      <c r="FR273" s="239">
        <v>0</v>
      </c>
      <c r="FS273" s="239">
        <v>0</v>
      </c>
      <c r="FT273" s="239">
        <v>0</v>
      </c>
      <c r="FU273" s="239">
        <v>-7073858</v>
      </c>
      <c r="FV273" s="239">
        <v>0</v>
      </c>
      <c r="FW273" s="239">
        <v>-7073858</v>
      </c>
      <c r="FX273" s="239">
        <v>51332689</v>
      </c>
      <c r="FY273" s="239">
        <v>0</v>
      </c>
      <c r="FZ273" s="239">
        <v>51332689</v>
      </c>
      <c r="GA273" s="214" t="s">
        <v>1295</v>
      </c>
    </row>
    <row r="274" spans="2:183" s="214" customFormat="1" x14ac:dyDescent="0.2">
      <c r="B274" s="610" t="s">
        <v>631</v>
      </c>
      <c r="C274" s="610" t="s">
        <v>630</v>
      </c>
      <c r="D274" s="239">
        <v>0</v>
      </c>
      <c r="E274" s="239">
        <v>0</v>
      </c>
      <c r="F274" s="239">
        <v>0</v>
      </c>
      <c r="G274" s="239">
        <v>99082</v>
      </c>
      <c r="H274" s="239">
        <v>0</v>
      </c>
      <c r="I274" s="239">
        <v>99082</v>
      </c>
      <c r="J274" s="239">
        <v>0</v>
      </c>
      <c r="K274" s="239">
        <v>0</v>
      </c>
      <c r="L274" s="239">
        <v>0</v>
      </c>
      <c r="M274" s="239">
        <v>45411</v>
      </c>
      <c r="N274" s="239">
        <v>0</v>
      </c>
      <c r="O274" s="239">
        <v>45411</v>
      </c>
      <c r="P274" s="239">
        <v>144493</v>
      </c>
      <c r="Q274" s="239">
        <v>0</v>
      </c>
      <c r="R274" s="239">
        <v>144493</v>
      </c>
      <c r="S274" s="239">
        <v>-3414959</v>
      </c>
      <c r="T274" s="239">
        <v>0</v>
      </c>
      <c r="U274" s="239">
        <v>-3414959</v>
      </c>
      <c r="V274" s="239">
        <v>-3897</v>
      </c>
      <c r="W274" s="239">
        <v>0</v>
      </c>
      <c r="X274" s="239">
        <v>-3897</v>
      </c>
      <c r="Y274" s="239">
        <v>-103578</v>
      </c>
      <c r="Z274" s="239">
        <v>0</v>
      </c>
      <c r="AA274" s="239">
        <v>-103578</v>
      </c>
      <c r="AB274" s="239">
        <v>-61191</v>
      </c>
      <c r="AC274" s="239">
        <v>0</v>
      </c>
      <c r="AD274" s="239">
        <v>-61191</v>
      </c>
      <c r="AE274" s="239">
        <v>1001</v>
      </c>
      <c r="AF274" s="239">
        <v>0</v>
      </c>
      <c r="AG274" s="239">
        <v>1001</v>
      </c>
      <c r="AH274" s="239">
        <v>1240961</v>
      </c>
      <c r="AI274" s="239">
        <v>0</v>
      </c>
      <c r="AJ274" s="239">
        <v>1240961</v>
      </c>
      <c r="AK274" s="239">
        <v>-22410</v>
      </c>
      <c r="AL274" s="239">
        <v>0</v>
      </c>
      <c r="AM274" s="239">
        <v>-22410</v>
      </c>
      <c r="AN274" s="239">
        <v>-2803866</v>
      </c>
      <c r="AO274" s="239">
        <v>0</v>
      </c>
      <c r="AP274" s="239">
        <v>-2803866</v>
      </c>
      <c r="AQ274" s="239">
        <v>-6137</v>
      </c>
      <c r="AR274" s="239">
        <v>0</v>
      </c>
      <c r="AS274" s="239">
        <v>-6137</v>
      </c>
      <c r="AT274" s="239">
        <v>-87706</v>
      </c>
      <c r="AU274" s="239">
        <v>0</v>
      </c>
      <c r="AV274" s="239">
        <v>-87706</v>
      </c>
      <c r="AW274" s="239">
        <v>19307</v>
      </c>
      <c r="AX274" s="239">
        <v>0</v>
      </c>
      <c r="AY274" s="239">
        <v>19307</v>
      </c>
      <c r="AZ274" s="239">
        <v>-36307</v>
      </c>
      <c r="BA274" s="239">
        <v>0</v>
      </c>
      <c r="BB274" s="239">
        <v>-36307</v>
      </c>
      <c r="BC274" s="239">
        <v>0</v>
      </c>
      <c r="BD274" s="239">
        <v>0</v>
      </c>
      <c r="BE274" s="239">
        <v>0</v>
      </c>
      <c r="BF274" s="239">
        <v>-5214695</v>
      </c>
      <c r="BG274" s="239">
        <v>0</v>
      </c>
      <c r="BH274" s="239">
        <v>-5214695</v>
      </c>
      <c r="BI274" s="239">
        <v>-299920</v>
      </c>
      <c r="BJ274" s="239">
        <v>0</v>
      </c>
      <c r="BK274" s="239">
        <v>-299920</v>
      </c>
      <c r="BL274" s="239">
        <v>-126587</v>
      </c>
      <c r="BM274" s="239">
        <v>0</v>
      </c>
      <c r="BN274" s="239">
        <v>-126587</v>
      </c>
      <c r="BO274" s="239">
        <v>-1635484</v>
      </c>
      <c r="BP274" s="239">
        <v>0</v>
      </c>
      <c r="BQ274" s="239">
        <v>-1635484</v>
      </c>
      <c r="BR274" s="239">
        <v>-236561</v>
      </c>
      <c r="BS274" s="239">
        <v>0</v>
      </c>
      <c r="BT274" s="239">
        <v>-236561</v>
      </c>
      <c r="BU274" s="239">
        <v>-2298552</v>
      </c>
      <c r="BV274" s="239">
        <v>0</v>
      </c>
      <c r="BW274" s="239">
        <v>-2298552</v>
      </c>
      <c r="BX274" s="239">
        <v>-235251</v>
      </c>
      <c r="BY274" s="239">
        <v>0</v>
      </c>
      <c r="BZ274" s="239">
        <v>-235251</v>
      </c>
      <c r="CA274" s="239">
        <v>5127</v>
      </c>
      <c r="CB274" s="239">
        <v>0</v>
      </c>
      <c r="CC274" s="239">
        <v>5127</v>
      </c>
      <c r="CD274" s="239">
        <v>-152472</v>
      </c>
      <c r="CE274" s="239">
        <v>0</v>
      </c>
      <c r="CF274" s="239">
        <v>-152472</v>
      </c>
      <c r="CG274" s="239">
        <v>-814</v>
      </c>
      <c r="CH274" s="239">
        <v>0</v>
      </c>
      <c r="CI274" s="239">
        <v>-814</v>
      </c>
      <c r="CJ274" s="239">
        <v>-21927</v>
      </c>
      <c r="CK274" s="239">
        <v>0</v>
      </c>
      <c r="CL274" s="239">
        <v>-21927</v>
      </c>
      <c r="CM274" s="239">
        <v>4827</v>
      </c>
      <c r="CN274" s="239">
        <v>0</v>
      </c>
      <c r="CO274" s="239">
        <v>4827</v>
      </c>
      <c r="CP274" s="239">
        <v>-36307</v>
      </c>
      <c r="CQ274" s="239">
        <v>0</v>
      </c>
      <c r="CR274" s="239">
        <v>-36307</v>
      </c>
      <c r="CS274" s="239">
        <v>0</v>
      </c>
      <c r="CT274" s="239">
        <v>0</v>
      </c>
      <c r="CU274" s="239">
        <v>0</v>
      </c>
      <c r="CV274" s="239">
        <v>-9420</v>
      </c>
      <c r="CW274" s="239">
        <v>0</v>
      </c>
      <c r="CX274" s="239">
        <v>-9420</v>
      </c>
      <c r="CY274" s="239">
        <v>0</v>
      </c>
      <c r="CZ274" s="239">
        <v>0</v>
      </c>
      <c r="DA274" s="239">
        <v>0</v>
      </c>
      <c r="DB274" s="239">
        <v>0</v>
      </c>
      <c r="DC274" s="239">
        <v>0</v>
      </c>
      <c r="DD274" s="239">
        <v>0</v>
      </c>
      <c r="DE274" s="239">
        <v>0</v>
      </c>
      <c r="DF274" s="239">
        <v>0</v>
      </c>
      <c r="DG274" s="239">
        <v>0</v>
      </c>
      <c r="DH274" s="239">
        <v>0</v>
      </c>
      <c r="DI274" s="239">
        <v>0</v>
      </c>
      <c r="DJ274" s="239">
        <v>-446237</v>
      </c>
      <c r="DK274" s="239">
        <v>0</v>
      </c>
      <c r="DL274" s="239">
        <v>-446237</v>
      </c>
      <c r="DM274" s="239">
        <v>-63945</v>
      </c>
      <c r="DN274" s="239">
        <v>0</v>
      </c>
      <c r="DO274" s="239">
        <v>-63945</v>
      </c>
      <c r="DP274" s="239">
        <v>4837</v>
      </c>
      <c r="DQ274" s="239">
        <v>0</v>
      </c>
      <c r="DR274" s="239">
        <v>4837</v>
      </c>
      <c r="DS274" s="239">
        <v>-10772</v>
      </c>
      <c r="DT274" s="239">
        <v>0</v>
      </c>
      <c r="DU274" s="239">
        <v>-10772</v>
      </c>
      <c r="DV274" s="239">
        <v>-3295</v>
      </c>
      <c r="DW274" s="239">
        <v>0</v>
      </c>
      <c r="DX274" s="239">
        <v>-3295</v>
      </c>
      <c r="DY274" s="239">
        <v>-667623</v>
      </c>
      <c r="DZ274" s="239">
        <v>0</v>
      </c>
      <c r="EA274" s="239">
        <v>-667623</v>
      </c>
      <c r="EB274" s="239">
        <v>-12529</v>
      </c>
      <c r="EC274" s="239">
        <v>0</v>
      </c>
      <c r="ED274" s="239">
        <v>-12529</v>
      </c>
      <c r="EE274" s="239">
        <v>0</v>
      </c>
      <c r="EF274" s="239">
        <v>0</v>
      </c>
      <c r="EG274" s="239">
        <v>0</v>
      </c>
      <c r="EH274" s="239">
        <v>0</v>
      </c>
      <c r="EI274" s="239">
        <v>0</v>
      </c>
      <c r="EJ274" s="239">
        <v>0</v>
      </c>
      <c r="EK274" s="239">
        <v>-19762</v>
      </c>
      <c r="EL274" s="239">
        <v>0</v>
      </c>
      <c r="EM274" s="239">
        <v>-19762</v>
      </c>
      <c r="EN274" s="239">
        <v>-773089</v>
      </c>
      <c r="EO274" s="239">
        <v>0</v>
      </c>
      <c r="EP274" s="239">
        <v>-773089</v>
      </c>
      <c r="EQ274" s="239">
        <v>-17925</v>
      </c>
      <c r="ER274" s="239">
        <v>0</v>
      </c>
      <c r="ES274" s="239">
        <v>-17925</v>
      </c>
      <c r="ET274" s="239">
        <v>-19592</v>
      </c>
      <c r="EU274" s="239">
        <v>0</v>
      </c>
      <c r="EV274" s="239">
        <v>-19592</v>
      </c>
      <c r="EW274" s="239">
        <v>-37517</v>
      </c>
      <c r="EX274" s="239">
        <v>0</v>
      </c>
      <c r="EY274" s="239">
        <v>-37517</v>
      </c>
      <c r="EZ274" s="239">
        <v>53315443</v>
      </c>
      <c r="FA274" s="239">
        <v>0</v>
      </c>
      <c r="FB274" s="239">
        <v>53315443</v>
      </c>
      <c r="FC274" s="239">
        <v>144493</v>
      </c>
      <c r="FD274" s="239">
        <v>0</v>
      </c>
      <c r="FE274" s="239">
        <v>144493</v>
      </c>
      <c r="FF274" s="239">
        <v>-5214695</v>
      </c>
      <c r="FG274" s="239">
        <v>0</v>
      </c>
      <c r="FH274" s="239">
        <v>-5214695</v>
      </c>
      <c r="FI274" s="239">
        <v>-2298552</v>
      </c>
      <c r="FJ274" s="239">
        <v>0</v>
      </c>
      <c r="FK274" s="239">
        <v>-2298552</v>
      </c>
      <c r="FL274" s="239">
        <v>-446237</v>
      </c>
      <c r="FM274" s="239">
        <v>0</v>
      </c>
      <c r="FN274" s="239">
        <v>-446237</v>
      </c>
      <c r="FO274" s="239">
        <v>-773089</v>
      </c>
      <c r="FP274" s="239">
        <v>0</v>
      </c>
      <c r="FQ274" s="239">
        <v>-773089</v>
      </c>
      <c r="FR274" s="239">
        <v>-37517</v>
      </c>
      <c r="FS274" s="239">
        <v>0</v>
      </c>
      <c r="FT274" s="239">
        <v>-37517</v>
      </c>
      <c r="FU274" s="239">
        <v>-8625597</v>
      </c>
      <c r="FV274" s="239">
        <v>0</v>
      </c>
      <c r="FW274" s="239">
        <v>-8625597</v>
      </c>
      <c r="FX274" s="239">
        <v>44689846</v>
      </c>
      <c r="FY274" s="239">
        <v>0</v>
      </c>
      <c r="FZ274" s="239">
        <v>44689846</v>
      </c>
      <c r="GA274" s="214" t="s">
        <v>1294</v>
      </c>
    </row>
    <row r="275" spans="2:183" s="214" customFormat="1" x14ac:dyDescent="0.2">
      <c r="B275" s="610" t="s">
        <v>633</v>
      </c>
      <c r="C275" s="610" t="s">
        <v>632</v>
      </c>
      <c r="D275" s="239">
        <v>0</v>
      </c>
      <c r="E275" s="239">
        <v>0</v>
      </c>
      <c r="F275" s="239">
        <v>0</v>
      </c>
      <c r="G275" s="239">
        <v>-29089</v>
      </c>
      <c r="H275" s="239">
        <v>0</v>
      </c>
      <c r="I275" s="239">
        <v>-29089</v>
      </c>
      <c r="J275" s="239">
        <v>0</v>
      </c>
      <c r="K275" s="239">
        <v>0</v>
      </c>
      <c r="L275" s="239">
        <v>0</v>
      </c>
      <c r="M275" s="239">
        <v>386855</v>
      </c>
      <c r="N275" s="239">
        <v>0</v>
      </c>
      <c r="O275" s="239">
        <v>386855</v>
      </c>
      <c r="P275" s="239">
        <v>357766</v>
      </c>
      <c r="Q275" s="239">
        <v>0</v>
      </c>
      <c r="R275" s="239">
        <v>357766</v>
      </c>
      <c r="S275" s="239">
        <v>-2842461</v>
      </c>
      <c r="T275" s="239">
        <v>0</v>
      </c>
      <c r="U275" s="239">
        <v>-2842461</v>
      </c>
      <c r="V275" s="239">
        <v>-11330</v>
      </c>
      <c r="W275" s="239">
        <v>0</v>
      </c>
      <c r="X275" s="239">
        <v>-11330</v>
      </c>
      <c r="Y275" s="239">
        <v>-114486</v>
      </c>
      <c r="Z275" s="239">
        <v>0</v>
      </c>
      <c r="AA275" s="239">
        <v>-114486</v>
      </c>
      <c r="AB275" s="239">
        <v>-59108</v>
      </c>
      <c r="AC275" s="239">
        <v>0</v>
      </c>
      <c r="AD275" s="239">
        <v>-59108</v>
      </c>
      <c r="AE275" s="239">
        <v>542</v>
      </c>
      <c r="AF275" s="239">
        <v>0</v>
      </c>
      <c r="AG275" s="239">
        <v>542</v>
      </c>
      <c r="AH275" s="239">
        <v>3142707</v>
      </c>
      <c r="AI275" s="239">
        <v>0</v>
      </c>
      <c r="AJ275" s="239">
        <v>3142707</v>
      </c>
      <c r="AK275" s="239">
        <v>22352</v>
      </c>
      <c r="AL275" s="239">
        <v>0</v>
      </c>
      <c r="AM275" s="239">
        <v>22352</v>
      </c>
      <c r="AN275" s="239">
        <v>-6480782</v>
      </c>
      <c r="AO275" s="239">
        <v>0</v>
      </c>
      <c r="AP275" s="239">
        <v>-6480782</v>
      </c>
      <c r="AQ275" s="239">
        <v>-22709</v>
      </c>
      <c r="AR275" s="239">
        <v>0</v>
      </c>
      <c r="AS275" s="239">
        <v>-22709</v>
      </c>
      <c r="AT275" s="239">
        <v>-75409</v>
      </c>
      <c r="AU275" s="239">
        <v>0</v>
      </c>
      <c r="AV275" s="239">
        <v>-75409</v>
      </c>
      <c r="AW275" s="239">
        <v>0</v>
      </c>
      <c r="AX275" s="239">
        <v>0</v>
      </c>
      <c r="AY275" s="239">
        <v>0</v>
      </c>
      <c r="AZ275" s="239">
        <v>-9848</v>
      </c>
      <c r="BA275" s="239">
        <v>0</v>
      </c>
      <c r="BB275" s="239">
        <v>-9848</v>
      </c>
      <c r="BC275" s="239">
        <v>0</v>
      </c>
      <c r="BD275" s="239">
        <v>0</v>
      </c>
      <c r="BE275" s="239">
        <v>0</v>
      </c>
      <c r="BF275" s="239">
        <v>-6380636</v>
      </c>
      <c r="BG275" s="239">
        <v>0</v>
      </c>
      <c r="BH275" s="239">
        <v>-6380636</v>
      </c>
      <c r="BI275" s="239">
        <v>-238404</v>
      </c>
      <c r="BJ275" s="239">
        <v>0</v>
      </c>
      <c r="BK275" s="239">
        <v>-238404</v>
      </c>
      <c r="BL275" s="239">
        <v>-427793</v>
      </c>
      <c r="BM275" s="239">
        <v>0</v>
      </c>
      <c r="BN275" s="239">
        <v>-427793</v>
      </c>
      <c r="BO275" s="239">
        <v>-4999480</v>
      </c>
      <c r="BP275" s="239">
        <v>0</v>
      </c>
      <c r="BQ275" s="239">
        <v>-4999480</v>
      </c>
      <c r="BR275" s="239">
        <v>-146994</v>
      </c>
      <c r="BS275" s="239">
        <v>0</v>
      </c>
      <c r="BT275" s="239">
        <v>-146994</v>
      </c>
      <c r="BU275" s="239">
        <v>-5812671</v>
      </c>
      <c r="BV275" s="239">
        <v>0</v>
      </c>
      <c r="BW275" s="239">
        <v>-5812671</v>
      </c>
      <c r="BX275" s="239">
        <v>-203143</v>
      </c>
      <c r="BY275" s="239">
        <v>0</v>
      </c>
      <c r="BZ275" s="239">
        <v>-203143</v>
      </c>
      <c r="CA275" s="239">
        <v>15934</v>
      </c>
      <c r="CB275" s="239">
        <v>0</v>
      </c>
      <c r="CC275" s="239">
        <v>15934</v>
      </c>
      <c r="CD275" s="239">
        <v>-78105</v>
      </c>
      <c r="CE275" s="239">
        <v>0</v>
      </c>
      <c r="CF275" s="239">
        <v>-78105</v>
      </c>
      <c r="CG275" s="239">
        <v>0</v>
      </c>
      <c r="CH275" s="239">
        <v>0</v>
      </c>
      <c r="CI275" s="239">
        <v>0</v>
      </c>
      <c r="CJ275" s="239">
        <v>-18852</v>
      </c>
      <c r="CK275" s="239">
        <v>0</v>
      </c>
      <c r="CL275" s="239">
        <v>-18852</v>
      </c>
      <c r="CM275" s="239">
        <v>0</v>
      </c>
      <c r="CN275" s="239">
        <v>0</v>
      </c>
      <c r="CO275" s="239">
        <v>0</v>
      </c>
      <c r="CP275" s="239">
        <v>-7136</v>
      </c>
      <c r="CQ275" s="239">
        <v>0</v>
      </c>
      <c r="CR275" s="239">
        <v>-7136</v>
      </c>
      <c r="CS275" s="239">
        <v>0</v>
      </c>
      <c r="CT275" s="239">
        <v>0</v>
      </c>
      <c r="CU275" s="239">
        <v>0</v>
      </c>
      <c r="CV275" s="239">
        <v>0</v>
      </c>
      <c r="CW275" s="239">
        <v>0</v>
      </c>
      <c r="CX275" s="239">
        <v>0</v>
      </c>
      <c r="CY275" s="239">
        <v>0</v>
      </c>
      <c r="CZ275" s="239">
        <v>0</v>
      </c>
      <c r="DA275" s="239">
        <v>0</v>
      </c>
      <c r="DB275" s="239">
        <v>0</v>
      </c>
      <c r="DC275" s="239">
        <v>0</v>
      </c>
      <c r="DD275" s="239">
        <v>0</v>
      </c>
      <c r="DE275" s="239">
        <v>0</v>
      </c>
      <c r="DF275" s="239">
        <v>0</v>
      </c>
      <c r="DG275" s="239">
        <v>0</v>
      </c>
      <c r="DH275" s="239">
        <v>0</v>
      </c>
      <c r="DI275" s="239">
        <v>0</v>
      </c>
      <c r="DJ275" s="239">
        <v>-291302</v>
      </c>
      <c r="DK275" s="239">
        <v>0</v>
      </c>
      <c r="DL275" s="239">
        <v>-291302</v>
      </c>
      <c r="DM275" s="239">
        <v>0</v>
      </c>
      <c r="DN275" s="239">
        <v>0</v>
      </c>
      <c r="DO275" s="239">
        <v>0</v>
      </c>
      <c r="DP275" s="239">
        <v>0</v>
      </c>
      <c r="DQ275" s="239">
        <v>0</v>
      </c>
      <c r="DR275" s="239">
        <v>0</v>
      </c>
      <c r="DS275" s="239">
        <v>-2776</v>
      </c>
      <c r="DT275" s="239">
        <v>0</v>
      </c>
      <c r="DU275" s="239">
        <v>-2776</v>
      </c>
      <c r="DV275" s="239">
        <v>0</v>
      </c>
      <c r="DW275" s="239">
        <v>0</v>
      </c>
      <c r="DX275" s="239">
        <v>0</v>
      </c>
      <c r="DY275" s="239">
        <v>-721445</v>
      </c>
      <c r="DZ275" s="239">
        <v>0</v>
      </c>
      <c r="EA275" s="239">
        <v>-721445</v>
      </c>
      <c r="EB275" s="239">
        <v>-44010</v>
      </c>
      <c r="EC275" s="239">
        <v>0</v>
      </c>
      <c r="ED275" s="239">
        <v>-44010</v>
      </c>
      <c r="EE275" s="239">
        <v>0</v>
      </c>
      <c r="EF275" s="239">
        <v>0</v>
      </c>
      <c r="EG275" s="239">
        <v>0</v>
      </c>
      <c r="EH275" s="239">
        <v>0</v>
      </c>
      <c r="EI275" s="239">
        <v>0</v>
      </c>
      <c r="EJ275" s="239">
        <v>0</v>
      </c>
      <c r="EK275" s="239">
        <v>0</v>
      </c>
      <c r="EL275" s="239">
        <v>0</v>
      </c>
      <c r="EM275" s="239">
        <v>0</v>
      </c>
      <c r="EN275" s="239">
        <v>-768231</v>
      </c>
      <c r="EO275" s="239">
        <v>0</v>
      </c>
      <c r="EP275" s="239">
        <v>-768231</v>
      </c>
      <c r="EQ275" s="239">
        <v>0</v>
      </c>
      <c r="ER275" s="239">
        <v>0</v>
      </c>
      <c r="ES275" s="239">
        <v>0</v>
      </c>
      <c r="ET275" s="239">
        <v>0</v>
      </c>
      <c r="EU275" s="239">
        <v>0</v>
      </c>
      <c r="EV275" s="239">
        <v>0</v>
      </c>
      <c r="EW275" s="239">
        <v>0</v>
      </c>
      <c r="EX275" s="239">
        <v>0</v>
      </c>
      <c r="EY275" s="239">
        <v>0</v>
      </c>
      <c r="EZ275" s="239">
        <v>123469326</v>
      </c>
      <c r="FA275" s="239">
        <v>0</v>
      </c>
      <c r="FB275" s="239">
        <v>123469326</v>
      </c>
      <c r="FC275" s="239">
        <v>357766</v>
      </c>
      <c r="FD275" s="239">
        <v>0</v>
      </c>
      <c r="FE275" s="239">
        <v>357766</v>
      </c>
      <c r="FF275" s="239">
        <v>-6380636</v>
      </c>
      <c r="FG275" s="239">
        <v>0</v>
      </c>
      <c r="FH275" s="239">
        <v>-6380636</v>
      </c>
      <c r="FI275" s="239">
        <v>-5812671</v>
      </c>
      <c r="FJ275" s="239">
        <v>0</v>
      </c>
      <c r="FK275" s="239">
        <v>-5812671</v>
      </c>
      <c r="FL275" s="239">
        <v>-291302</v>
      </c>
      <c r="FM275" s="239">
        <v>0</v>
      </c>
      <c r="FN275" s="239">
        <v>-291302</v>
      </c>
      <c r="FO275" s="239">
        <v>-768231</v>
      </c>
      <c r="FP275" s="239">
        <v>0</v>
      </c>
      <c r="FQ275" s="239">
        <v>-768231</v>
      </c>
      <c r="FR275" s="239">
        <v>0</v>
      </c>
      <c r="FS275" s="239">
        <v>0</v>
      </c>
      <c r="FT275" s="239">
        <v>0</v>
      </c>
      <c r="FU275" s="239">
        <v>-12895074</v>
      </c>
      <c r="FV275" s="239">
        <v>0</v>
      </c>
      <c r="FW275" s="239">
        <v>-12895074</v>
      </c>
      <c r="FX275" s="239">
        <v>110574252</v>
      </c>
      <c r="FY275" s="239">
        <v>0</v>
      </c>
      <c r="FZ275" s="239">
        <v>110574252</v>
      </c>
      <c r="GA275" s="214" t="s">
        <v>748</v>
      </c>
    </row>
    <row r="276" spans="2:183" s="214" customFormat="1" x14ac:dyDescent="0.2">
      <c r="B276" s="610" t="s">
        <v>635</v>
      </c>
      <c r="C276" s="610" t="s">
        <v>634</v>
      </c>
      <c r="D276" s="239">
        <v>0</v>
      </c>
      <c r="E276" s="239">
        <v>0</v>
      </c>
      <c r="F276" s="239">
        <v>0</v>
      </c>
      <c r="G276" s="239">
        <v>25932</v>
      </c>
      <c r="H276" s="239">
        <v>0</v>
      </c>
      <c r="I276" s="239">
        <v>25932</v>
      </c>
      <c r="J276" s="239">
        <v>0</v>
      </c>
      <c r="K276" s="239">
        <v>0</v>
      </c>
      <c r="L276" s="239">
        <v>0</v>
      </c>
      <c r="M276" s="239">
        <v>74276</v>
      </c>
      <c r="N276" s="239">
        <v>0</v>
      </c>
      <c r="O276" s="239">
        <v>74276</v>
      </c>
      <c r="P276" s="239">
        <v>100208</v>
      </c>
      <c r="Q276" s="239">
        <v>0</v>
      </c>
      <c r="R276" s="239">
        <v>100208</v>
      </c>
      <c r="S276" s="239">
        <v>-6109105</v>
      </c>
      <c r="T276" s="239">
        <v>0</v>
      </c>
      <c r="U276" s="239">
        <v>-6109105</v>
      </c>
      <c r="V276" s="239">
        <v>0</v>
      </c>
      <c r="W276" s="239">
        <v>0</v>
      </c>
      <c r="X276" s="239">
        <v>0</v>
      </c>
      <c r="Y276" s="239">
        <v>-227239</v>
      </c>
      <c r="Z276" s="239">
        <v>0</v>
      </c>
      <c r="AA276" s="239">
        <v>-227239</v>
      </c>
      <c r="AB276" s="239">
        <v>-176020</v>
      </c>
      <c r="AC276" s="239">
        <v>0</v>
      </c>
      <c r="AD276" s="239">
        <v>-176020</v>
      </c>
      <c r="AE276" s="239">
        <v>-11000</v>
      </c>
      <c r="AF276" s="239">
        <v>0</v>
      </c>
      <c r="AG276" s="239">
        <v>-11000</v>
      </c>
      <c r="AH276" s="239">
        <v>1592588</v>
      </c>
      <c r="AI276" s="239">
        <v>0</v>
      </c>
      <c r="AJ276" s="239">
        <v>1592588</v>
      </c>
      <c r="AK276" s="239">
        <v>-27741</v>
      </c>
      <c r="AL276" s="239">
        <v>0</v>
      </c>
      <c r="AM276" s="239">
        <v>-27741</v>
      </c>
      <c r="AN276" s="239">
        <v>-3169292</v>
      </c>
      <c r="AO276" s="239">
        <v>0</v>
      </c>
      <c r="AP276" s="239">
        <v>-3169292</v>
      </c>
      <c r="AQ276" s="239">
        <v>7011</v>
      </c>
      <c r="AR276" s="239">
        <v>0</v>
      </c>
      <c r="AS276" s="239">
        <v>7011</v>
      </c>
      <c r="AT276" s="239">
        <v>-157346</v>
      </c>
      <c r="AU276" s="239">
        <v>0</v>
      </c>
      <c r="AV276" s="239">
        <v>-157346</v>
      </c>
      <c r="AW276" s="239">
        <v>-45486</v>
      </c>
      <c r="AX276" s="239">
        <v>0</v>
      </c>
      <c r="AY276" s="239">
        <v>-45486</v>
      </c>
      <c r="AZ276" s="239">
        <v>0</v>
      </c>
      <c r="BA276" s="239">
        <v>0</v>
      </c>
      <c r="BB276" s="239">
        <v>0</v>
      </c>
      <c r="BC276" s="239">
        <v>0</v>
      </c>
      <c r="BD276" s="239">
        <v>0</v>
      </c>
      <c r="BE276" s="239">
        <v>0</v>
      </c>
      <c r="BF276" s="239">
        <v>-8136610</v>
      </c>
      <c r="BG276" s="239">
        <v>0</v>
      </c>
      <c r="BH276" s="239">
        <v>-8136610</v>
      </c>
      <c r="BI276" s="239">
        <v>-2347</v>
      </c>
      <c r="BJ276" s="239">
        <v>0</v>
      </c>
      <c r="BK276" s="239">
        <v>-2347</v>
      </c>
      <c r="BL276" s="239">
        <v>2195</v>
      </c>
      <c r="BM276" s="239">
        <v>0</v>
      </c>
      <c r="BN276" s="239">
        <v>2195</v>
      </c>
      <c r="BO276" s="239">
        <v>-2323314</v>
      </c>
      <c r="BP276" s="239">
        <v>0</v>
      </c>
      <c r="BQ276" s="239">
        <v>-2323314</v>
      </c>
      <c r="BR276" s="239">
        <v>16892</v>
      </c>
      <c r="BS276" s="239">
        <v>0</v>
      </c>
      <c r="BT276" s="239">
        <v>16892</v>
      </c>
      <c r="BU276" s="239">
        <v>-2306574</v>
      </c>
      <c r="BV276" s="239">
        <v>0</v>
      </c>
      <c r="BW276" s="239">
        <v>-2306574</v>
      </c>
      <c r="BX276" s="239">
        <v>-26419</v>
      </c>
      <c r="BY276" s="239">
        <v>0</v>
      </c>
      <c r="BZ276" s="239">
        <v>-26419</v>
      </c>
      <c r="CA276" s="239">
        <v>3041</v>
      </c>
      <c r="CB276" s="239">
        <v>0</v>
      </c>
      <c r="CC276" s="239">
        <v>3041</v>
      </c>
      <c r="CD276" s="239">
        <v>-35632</v>
      </c>
      <c r="CE276" s="239">
        <v>0</v>
      </c>
      <c r="CF276" s="239">
        <v>-35632</v>
      </c>
      <c r="CG276" s="239">
        <v>0</v>
      </c>
      <c r="CH276" s="239">
        <v>0</v>
      </c>
      <c r="CI276" s="239">
        <v>0</v>
      </c>
      <c r="CJ276" s="239">
        <v>-2592</v>
      </c>
      <c r="CK276" s="239">
        <v>0</v>
      </c>
      <c r="CL276" s="239">
        <v>-2592</v>
      </c>
      <c r="CM276" s="239">
        <v>0</v>
      </c>
      <c r="CN276" s="239">
        <v>0</v>
      </c>
      <c r="CO276" s="239">
        <v>0</v>
      </c>
      <c r="CP276" s="239">
        <v>0</v>
      </c>
      <c r="CQ276" s="239">
        <v>0</v>
      </c>
      <c r="CR276" s="239">
        <v>0</v>
      </c>
      <c r="CS276" s="239">
        <v>0</v>
      </c>
      <c r="CT276" s="239">
        <v>0</v>
      </c>
      <c r="CU276" s="239">
        <v>0</v>
      </c>
      <c r="CV276" s="239">
        <v>0</v>
      </c>
      <c r="CW276" s="239">
        <v>0</v>
      </c>
      <c r="CX276" s="239">
        <v>0</v>
      </c>
      <c r="CY276" s="239">
        <v>0</v>
      </c>
      <c r="CZ276" s="239">
        <v>0</v>
      </c>
      <c r="DA276" s="239">
        <v>0</v>
      </c>
      <c r="DB276" s="239">
        <v>0</v>
      </c>
      <c r="DC276" s="239">
        <v>0</v>
      </c>
      <c r="DD276" s="239">
        <v>0</v>
      </c>
      <c r="DE276" s="239">
        <v>0</v>
      </c>
      <c r="DF276" s="239">
        <v>0</v>
      </c>
      <c r="DG276" s="239">
        <v>0</v>
      </c>
      <c r="DH276" s="239">
        <v>0</v>
      </c>
      <c r="DI276" s="239">
        <v>0</v>
      </c>
      <c r="DJ276" s="239">
        <v>-61602</v>
      </c>
      <c r="DK276" s="239">
        <v>0</v>
      </c>
      <c r="DL276" s="239">
        <v>-61602</v>
      </c>
      <c r="DM276" s="239">
        <v>-7065</v>
      </c>
      <c r="DN276" s="239">
        <v>0</v>
      </c>
      <c r="DO276" s="239">
        <v>-7065</v>
      </c>
      <c r="DP276" s="239">
        <v>0</v>
      </c>
      <c r="DQ276" s="239">
        <v>0</v>
      </c>
      <c r="DR276" s="239">
        <v>0</v>
      </c>
      <c r="DS276" s="239">
        <v>-58105</v>
      </c>
      <c r="DT276" s="239">
        <v>0</v>
      </c>
      <c r="DU276" s="239">
        <v>-58105</v>
      </c>
      <c r="DV276" s="239">
        <v>-7741</v>
      </c>
      <c r="DW276" s="239">
        <v>0</v>
      </c>
      <c r="DX276" s="239">
        <v>-7741</v>
      </c>
      <c r="DY276" s="239">
        <v>-952701</v>
      </c>
      <c r="DZ276" s="239">
        <v>0</v>
      </c>
      <c r="EA276" s="239">
        <v>-952701</v>
      </c>
      <c r="EB276" s="239">
        <v>-39798</v>
      </c>
      <c r="EC276" s="239">
        <v>0</v>
      </c>
      <c r="ED276" s="239">
        <v>-39798</v>
      </c>
      <c r="EE276" s="239">
        <v>0</v>
      </c>
      <c r="EF276" s="239">
        <v>0</v>
      </c>
      <c r="EG276" s="239">
        <v>0</v>
      </c>
      <c r="EH276" s="239">
        <v>0</v>
      </c>
      <c r="EI276" s="239">
        <v>0</v>
      </c>
      <c r="EJ276" s="239">
        <v>0</v>
      </c>
      <c r="EK276" s="239">
        <v>0</v>
      </c>
      <c r="EL276" s="239">
        <v>0</v>
      </c>
      <c r="EM276" s="239">
        <v>0</v>
      </c>
      <c r="EN276" s="239">
        <v>-1065410</v>
      </c>
      <c r="EO276" s="239">
        <v>0</v>
      </c>
      <c r="EP276" s="239">
        <v>-1065410</v>
      </c>
      <c r="EQ276" s="239">
        <v>0</v>
      </c>
      <c r="ER276" s="239">
        <v>0</v>
      </c>
      <c r="ES276" s="239">
        <v>0</v>
      </c>
      <c r="ET276" s="239">
        <v>0</v>
      </c>
      <c r="EU276" s="239">
        <v>0</v>
      </c>
      <c r="EV276" s="239">
        <v>0</v>
      </c>
      <c r="EW276" s="239">
        <v>0</v>
      </c>
      <c r="EX276" s="239">
        <v>0</v>
      </c>
      <c r="EY276" s="239">
        <v>0</v>
      </c>
      <c r="EZ276" s="239">
        <v>70446051</v>
      </c>
      <c r="FA276" s="239">
        <v>0</v>
      </c>
      <c r="FB276" s="239">
        <v>70446051</v>
      </c>
      <c r="FC276" s="239">
        <v>100208</v>
      </c>
      <c r="FD276" s="239">
        <v>0</v>
      </c>
      <c r="FE276" s="239">
        <v>100208</v>
      </c>
      <c r="FF276" s="239">
        <v>-8136610</v>
      </c>
      <c r="FG276" s="239">
        <v>0</v>
      </c>
      <c r="FH276" s="239">
        <v>-8136610</v>
      </c>
      <c r="FI276" s="239">
        <v>-2306574</v>
      </c>
      <c r="FJ276" s="239">
        <v>0</v>
      </c>
      <c r="FK276" s="239">
        <v>-2306574</v>
      </c>
      <c r="FL276" s="239">
        <v>-61602</v>
      </c>
      <c r="FM276" s="239">
        <v>0</v>
      </c>
      <c r="FN276" s="239">
        <v>-61602</v>
      </c>
      <c r="FO276" s="239">
        <v>-1065410</v>
      </c>
      <c r="FP276" s="239">
        <v>0</v>
      </c>
      <c r="FQ276" s="239">
        <v>-1065410</v>
      </c>
      <c r="FR276" s="239">
        <v>0</v>
      </c>
      <c r="FS276" s="239">
        <v>0</v>
      </c>
      <c r="FT276" s="239">
        <v>0</v>
      </c>
      <c r="FU276" s="239">
        <v>-11469988</v>
      </c>
      <c r="FV276" s="239">
        <v>0</v>
      </c>
      <c r="FW276" s="239">
        <v>-11469988</v>
      </c>
      <c r="FX276" s="239">
        <v>58976063</v>
      </c>
      <c r="FY276" s="239">
        <v>0</v>
      </c>
      <c r="FZ276" s="239">
        <v>58976063</v>
      </c>
      <c r="GA276" s="214" t="s">
        <v>1296</v>
      </c>
    </row>
    <row r="277" spans="2:183" s="214" customFormat="1" x14ac:dyDescent="0.2">
      <c r="B277" s="610" t="s">
        <v>637</v>
      </c>
      <c r="C277" s="610" t="s">
        <v>636</v>
      </c>
      <c r="D277" s="239">
        <v>0</v>
      </c>
      <c r="E277" s="239">
        <v>0</v>
      </c>
      <c r="F277" s="239">
        <v>0</v>
      </c>
      <c r="G277" s="239">
        <v>5113</v>
      </c>
      <c r="H277" s="239">
        <v>0</v>
      </c>
      <c r="I277" s="239">
        <v>5113</v>
      </c>
      <c r="J277" s="239">
        <v>0</v>
      </c>
      <c r="K277" s="239">
        <v>0</v>
      </c>
      <c r="L277" s="239">
        <v>0</v>
      </c>
      <c r="M277" s="239">
        <v>41361</v>
      </c>
      <c r="N277" s="239">
        <v>0</v>
      </c>
      <c r="O277" s="239">
        <v>41361</v>
      </c>
      <c r="P277" s="239">
        <v>46474</v>
      </c>
      <c r="Q277" s="239">
        <v>0</v>
      </c>
      <c r="R277" s="239">
        <v>46474</v>
      </c>
      <c r="S277" s="239">
        <v>-1216930</v>
      </c>
      <c r="T277" s="239">
        <v>0</v>
      </c>
      <c r="U277" s="239">
        <v>-1216930</v>
      </c>
      <c r="V277" s="239">
        <v>0</v>
      </c>
      <c r="W277" s="239">
        <v>0</v>
      </c>
      <c r="X277" s="239">
        <v>0</v>
      </c>
      <c r="Y277" s="239">
        <v>-53172</v>
      </c>
      <c r="Z277" s="239">
        <v>0</v>
      </c>
      <c r="AA277" s="239">
        <v>-53172</v>
      </c>
      <c r="AB277" s="239">
        <v>-21844</v>
      </c>
      <c r="AC277" s="239">
        <v>0</v>
      </c>
      <c r="AD277" s="239">
        <v>-21844</v>
      </c>
      <c r="AE277" s="239">
        <v>0</v>
      </c>
      <c r="AF277" s="239">
        <v>0</v>
      </c>
      <c r="AG277" s="239">
        <v>0</v>
      </c>
      <c r="AH277" s="239">
        <v>922199</v>
      </c>
      <c r="AI277" s="239">
        <v>0</v>
      </c>
      <c r="AJ277" s="239">
        <v>922199</v>
      </c>
      <c r="AK277" s="239">
        <v>-12736</v>
      </c>
      <c r="AL277" s="239">
        <v>0</v>
      </c>
      <c r="AM277" s="239">
        <v>-12736</v>
      </c>
      <c r="AN277" s="239">
        <v>-1234308</v>
      </c>
      <c r="AO277" s="239">
        <v>0</v>
      </c>
      <c r="AP277" s="239">
        <v>-1234308</v>
      </c>
      <c r="AQ277" s="239">
        <v>-70551</v>
      </c>
      <c r="AR277" s="239">
        <v>0</v>
      </c>
      <c r="AS277" s="239">
        <v>-70551</v>
      </c>
      <c r="AT277" s="239">
        <v>-35187</v>
      </c>
      <c r="AU277" s="239">
        <v>0</v>
      </c>
      <c r="AV277" s="239">
        <v>-35187</v>
      </c>
      <c r="AW277" s="239">
        <v>-418</v>
      </c>
      <c r="AX277" s="239">
        <v>0</v>
      </c>
      <c r="AY277" s="239">
        <v>-418</v>
      </c>
      <c r="AZ277" s="239">
        <v>0</v>
      </c>
      <c r="BA277" s="239">
        <v>0</v>
      </c>
      <c r="BB277" s="239">
        <v>0</v>
      </c>
      <c r="BC277" s="239">
        <v>0</v>
      </c>
      <c r="BD277" s="239">
        <v>0</v>
      </c>
      <c r="BE277" s="239">
        <v>0</v>
      </c>
      <c r="BF277" s="239">
        <v>-1701103</v>
      </c>
      <c r="BG277" s="239">
        <v>0</v>
      </c>
      <c r="BH277" s="239">
        <v>-1701103</v>
      </c>
      <c r="BI277" s="239">
        <v>0</v>
      </c>
      <c r="BJ277" s="239">
        <v>0</v>
      </c>
      <c r="BK277" s="239">
        <v>0</v>
      </c>
      <c r="BL277" s="239">
        <v>3499</v>
      </c>
      <c r="BM277" s="239">
        <v>0</v>
      </c>
      <c r="BN277" s="239">
        <v>3499</v>
      </c>
      <c r="BO277" s="239">
        <v>-1012174</v>
      </c>
      <c r="BP277" s="239">
        <v>0</v>
      </c>
      <c r="BQ277" s="239">
        <v>-1012174</v>
      </c>
      <c r="BR277" s="239">
        <v>36539</v>
      </c>
      <c r="BS277" s="239">
        <v>0</v>
      </c>
      <c r="BT277" s="239">
        <v>36539</v>
      </c>
      <c r="BU277" s="239">
        <v>-972136</v>
      </c>
      <c r="BV277" s="239">
        <v>0</v>
      </c>
      <c r="BW277" s="239">
        <v>-972136</v>
      </c>
      <c r="BX277" s="239">
        <v>-24321</v>
      </c>
      <c r="BY277" s="239">
        <v>0</v>
      </c>
      <c r="BZ277" s="239">
        <v>-24321</v>
      </c>
      <c r="CA277" s="239">
        <v>-590</v>
      </c>
      <c r="CB277" s="239">
        <v>0</v>
      </c>
      <c r="CC277" s="239">
        <v>-590</v>
      </c>
      <c r="CD277" s="239">
        <v>-2040</v>
      </c>
      <c r="CE277" s="239">
        <v>0</v>
      </c>
      <c r="CF277" s="239">
        <v>-2040</v>
      </c>
      <c r="CG277" s="239">
        <v>0</v>
      </c>
      <c r="CH277" s="239">
        <v>0</v>
      </c>
      <c r="CI277" s="239">
        <v>0</v>
      </c>
      <c r="CJ277" s="239">
        <v>-3218</v>
      </c>
      <c r="CK277" s="239">
        <v>0</v>
      </c>
      <c r="CL277" s="239">
        <v>-3218</v>
      </c>
      <c r="CM277" s="239">
        <v>-52</v>
      </c>
      <c r="CN277" s="239">
        <v>0</v>
      </c>
      <c r="CO277" s="239">
        <v>-52</v>
      </c>
      <c r="CP277" s="239">
        <v>0</v>
      </c>
      <c r="CQ277" s="239">
        <v>0</v>
      </c>
      <c r="CR277" s="239">
        <v>0</v>
      </c>
      <c r="CS277" s="239">
        <v>0</v>
      </c>
      <c r="CT277" s="239">
        <v>0</v>
      </c>
      <c r="CU277" s="239">
        <v>0</v>
      </c>
      <c r="CV277" s="239">
        <v>0</v>
      </c>
      <c r="CW277" s="239">
        <v>0</v>
      </c>
      <c r="CX277" s="239">
        <v>0</v>
      </c>
      <c r="CY277" s="239">
        <v>0</v>
      </c>
      <c r="CZ277" s="239">
        <v>0</v>
      </c>
      <c r="DA277" s="239">
        <v>0</v>
      </c>
      <c r="DB277" s="239">
        <v>0</v>
      </c>
      <c r="DC277" s="239">
        <v>0</v>
      </c>
      <c r="DD277" s="239">
        <v>0</v>
      </c>
      <c r="DE277" s="239">
        <v>0</v>
      </c>
      <c r="DF277" s="239">
        <v>0</v>
      </c>
      <c r="DG277" s="239">
        <v>0</v>
      </c>
      <c r="DH277" s="239">
        <v>0</v>
      </c>
      <c r="DI277" s="239">
        <v>0</v>
      </c>
      <c r="DJ277" s="239">
        <v>-30221</v>
      </c>
      <c r="DK277" s="239">
        <v>0</v>
      </c>
      <c r="DL277" s="239">
        <v>-30221</v>
      </c>
      <c r="DM277" s="239">
        <v>0</v>
      </c>
      <c r="DN277" s="239">
        <v>0</v>
      </c>
      <c r="DO277" s="239">
        <v>0</v>
      </c>
      <c r="DP277" s="239">
        <v>0</v>
      </c>
      <c r="DQ277" s="239">
        <v>0</v>
      </c>
      <c r="DR277" s="239">
        <v>0</v>
      </c>
      <c r="DS277" s="239">
        <v>-68389</v>
      </c>
      <c r="DT277" s="239">
        <v>0</v>
      </c>
      <c r="DU277" s="239">
        <v>-68389</v>
      </c>
      <c r="DV277" s="239">
        <v>0</v>
      </c>
      <c r="DW277" s="239">
        <v>0</v>
      </c>
      <c r="DX277" s="239">
        <v>0</v>
      </c>
      <c r="DY277" s="239">
        <v>-273713</v>
      </c>
      <c r="DZ277" s="239">
        <v>0</v>
      </c>
      <c r="EA277" s="239">
        <v>-273713</v>
      </c>
      <c r="EB277" s="239">
        <v>-18150</v>
      </c>
      <c r="EC277" s="239">
        <v>0</v>
      </c>
      <c r="ED277" s="239">
        <v>-18150</v>
      </c>
      <c r="EE277" s="239">
        <v>0</v>
      </c>
      <c r="EF277" s="239">
        <v>0</v>
      </c>
      <c r="EG277" s="239">
        <v>0</v>
      </c>
      <c r="EH277" s="239">
        <v>0</v>
      </c>
      <c r="EI277" s="239">
        <v>0</v>
      </c>
      <c r="EJ277" s="239">
        <v>0</v>
      </c>
      <c r="EK277" s="239">
        <v>-10</v>
      </c>
      <c r="EL277" s="239">
        <v>0</v>
      </c>
      <c r="EM277" s="239">
        <v>-10</v>
      </c>
      <c r="EN277" s="239">
        <v>-360262</v>
      </c>
      <c r="EO277" s="239">
        <v>0</v>
      </c>
      <c r="EP277" s="239">
        <v>-360262</v>
      </c>
      <c r="EQ277" s="239">
        <v>0</v>
      </c>
      <c r="ER277" s="239">
        <v>0</v>
      </c>
      <c r="ES277" s="239">
        <v>0</v>
      </c>
      <c r="ET277" s="239">
        <v>0</v>
      </c>
      <c r="EU277" s="239">
        <v>0</v>
      </c>
      <c r="EV277" s="239">
        <v>0</v>
      </c>
      <c r="EW277" s="239">
        <v>0</v>
      </c>
      <c r="EX277" s="239">
        <v>0</v>
      </c>
      <c r="EY277" s="239">
        <v>0</v>
      </c>
      <c r="EZ277" s="239">
        <v>37312863</v>
      </c>
      <c r="FA277" s="239">
        <v>0</v>
      </c>
      <c r="FB277" s="239">
        <v>37312863</v>
      </c>
      <c r="FC277" s="239">
        <v>46474</v>
      </c>
      <c r="FD277" s="239">
        <v>0</v>
      </c>
      <c r="FE277" s="239">
        <v>46474</v>
      </c>
      <c r="FF277" s="239">
        <v>-1701103</v>
      </c>
      <c r="FG277" s="239">
        <v>0</v>
      </c>
      <c r="FH277" s="239">
        <v>-1701103</v>
      </c>
      <c r="FI277" s="239">
        <v>-972136</v>
      </c>
      <c r="FJ277" s="239">
        <v>0</v>
      </c>
      <c r="FK277" s="239">
        <v>-972136</v>
      </c>
      <c r="FL277" s="239">
        <v>-30221</v>
      </c>
      <c r="FM277" s="239">
        <v>0</v>
      </c>
      <c r="FN277" s="239">
        <v>-30221</v>
      </c>
      <c r="FO277" s="239">
        <v>-360262</v>
      </c>
      <c r="FP277" s="239">
        <v>0</v>
      </c>
      <c r="FQ277" s="239">
        <v>-360262</v>
      </c>
      <c r="FR277" s="239">
        <v>0</v>
      </c>
      <c r="FS277" s="239">
        <v>0</v>
      </c>
      <c r="FT277" s="239">
        <v>0</v>
      </c>
      <c r="FU277" s="239">
        <v>-3017248</v>
      </c>
      <c r="FV277" s="239">
        <v>0</v>
      </c>
      <c r="FW277" s="239">
        <v>-3017248</v>
      </c>
      <c r="FX277" s="239">
        <v>34295615</v>
      </c>
      <c r="FY277" s="239">
        <v>0</v>
      </c>
      <c r="FZ277" s="239">
        <v>34295615</v>
      </c>
      <c r="GA277" s="214" t="s">
        <v>1294</v>
      </c>
    </row>
    <row r="278" spans="2:183" s="214" customFormat="1" x14ac:dyDescent="0.2">
      <c r="B278" s="610" t="s">
        <v>639</v>
      </c>
      <c r="C278" s="610" t="s">
        <v>638</v>
      </c>
      <c r="D278" s="239">
        <v>0</v>
      </c>
      <c r="E278" s="239">
        <v>0</v>
      </c>
      <c r="F278" s="239">
        <v>0</v>
      </c>
      <c r="G278" s="239">
        <v>-1242</v>
      </c>
      <c r="H278" s="239">
        <v>0</v>
      </c>
      <c r="I278" s="239">
        <v>-1242</v>
      </c>
      <c r="J278" s="239">
        <v>0</v>
      </c>
      <c r="K278" s="239">
        <v>0</v>
      </c>
      <c r="L278" s="239">
        <v>0</v>
      </c>
      <c r="M278" s="239">
        <v>9876</v>
      </c>
      <c r="N278" s="239">
        <v>0</v>
      </c>
      <c r="O278" s="239">
        <v>9876</v>
      </c>
      <c r="P278" s="239">
        <v>8634</v>
      </c>
      <c r="Q278" s="239">
        <v>0</v>
      </c>
      <c r="R278" s="239">
        <v>8634</v>
      </c>
      <c r="S278" s="239">
        <v>-2127294</v>
      </c>
      <c r="T278" s="239">
        <v>0</v>
      </c>
      <c r="U278" s="239">
        <v>-2127294</v>
      </c>
      <c r="V278" s="239">
        <v>-2868</v>
      </c>
      <c r="W278" s="239">
        <v>0</v>
      </c>
      <c r="X278" s="239">
        <v>-2868</v>
      </c>
      <c r="Y278" s="239">
        <v>-44820</v>
      </c>
      <c r="Z278" s="239">
        <v>0</v>
      </c>
      <c r="AA278" s="239">
        <v>-44820</v>
      </c>
      <c r="AB278" s="239">
        <v>-844</v>
      </c>
      <c r="AC278" s="239">
        <v>0</v>
      </c>
      <c r="AD278" s="239">
        <v>-844</v>
      </c>
      <c r="AE278" s="239">
        <v>0</v>
      </c>
      <c r="AF278" s="239">
        <v>0</v>
      </c>
      <c r="AG278" s="239">
        <v>0</v>
      </c>
      <c r="AH278" s="239">
        <v>531358</v>
      </c>
      <c r="AI278" s="239">
        <v>0</v>
      </c>
      <c r="AJ278" s="239">
        <v>531358</v>
      </c>
      <c r="AK278" s="239">
        <v>-3315</v>
      </c>
      <c r="AL278" s="239">
        <v>0</v>
      </c>
      <c r="AM278" s="239">
        <v>-3315</v>
      </c>
      <c r="AN278" s="239">
        <v>-2666294</v>
      </c>
      <c r="AO278" s="239">
        <v>0</v>
      </c>
      <c r="AP278" s="239">
        <v>-2666294</v>
      </c>
      <c r="AQ278" s="239">
        <v>-447.06</v>
      </c>
      <c r="AR278" s="239">
        <v>0</v>
      </c>
      <c r="AS278" s="239">
        <v>-447.06</v>
      </c>
      <c r="AT278" s="239">
        <v>-34255</v>
      </c>
      <c r="AU278" s="239">
        <v>0</v>
      </c>
      <c r="AV278" s="239">
        <v>-34255</v>
      </c>
      <c r="AW278" s="239">
        <v>0</v>
      </c>
      <c r="AX278" s="239">
        <v>0</v>
      </c>
      <c r="AY278" s="239">
        <v>0</v>
      </c>
      <c r="AZ278" s="239">
        <v>-14482</v>
      </c>
      <c r="BA278" s="239">
        <v>0</v>
      </c>
      <c r="BB278" s="239">
        <v>-14482</v>
      </c>
      <c r="BC278" s="239">
        <v>0</v>
      </c>
      <c r="BD278" s="239">
        <v>0</v>
      </c>
      <c r="BE278" s="239">
        <v>0</v>
      </c>
      <c r="BF278" s="239">
        <v>-4359549</v>
      </c>
      <c r="BG278" s="239">
        <v>0</v>
      </c>
      <c r="BH278" s="239">
        <v>-4359549</v>
      </c>
      <c r="BI278" s="239">
        <v>-16235</v>
      </c>
      <c r="BJ278" s="239">
        <v>0</v>
      </c>
      <c r="BK278" s="239">
        <v>-16235</v>
      </c>
      <c r="BL278" s="239">
        <v>318</v>
      </c>
      <c r="BM278" s="239">
        <v>0</v>
      </c>
      <c r="BN278" s="239">
        <v>318</v>
      </c>
      <c r="BO278" s="239">
        <v>-650592</v>
      </c>
      <c r="BP278" s="239">
        <v>0</v>
      </c>
      <c r="BQ278" s="239">
        <v>-650592</v>
      </c>
      <c r="BR278" s="239">
        <v>-18729</v>
      </c>
      <c r="BS278" s="239">
        <v>0</v>
      </c>
      <c r="BT278" s="239">
        <v>-18729</v>
      </c>
      <c r="BU278" s="239">
        <v>-685238</v>
      </c>
      <c r="BV278" s="239">
        <v>0</v>
      </c>
      <c r="BW278" s="239">
        <v>-685238</v>
      </c>
      <c r="BX278" s="239">
        <v>-47553</v>
      </c>
      <c r="BY278" s="239">
        <v>0</v>
      </c>
      <c r="BZ278" s="239">
        <v>-47553</v>
      </c>
      <c r="CA278" s="239">
        <v>-58</v>
      </c>
      <c r="CB278" s="239">
        <v>0</v>
      </c>
      <c r="CC278" s="239">
        <v>-58</v>
      </c>
      <c r="CD278" s="239">
        <v>-12865</v>
      </c>
      <c r="CE278" s="239">
        <v>0</v>
      </c>
      <c r="CF278" s="239">
        <v>-12865</v>
      </c>
      <c r="CG278" s="239">
        <v>0</v>
      </c>
      <c r="CH278" s="239">
        <v>0</v>
      </c>
      <c r="CI278" s="239">
        <v>0</v>
      </c>
      <c r="CJ278" s="239">
        <v>-688</v>
      </c>
      <c r="CK278" s="239">
        <v>0</v>
      </c>
      <c r="CL278" s="239">
        <v>-688</v>
      </c>
      <c r="CM278" s="239">
        <v>0</v>
      </c>
      <c r="CN278" s="239">
        <v>0</v>
      </c>
      <c r="CO278" s="239">
        <v>0</v>
      </c>
      <c r="CP278" s="239">
        <v>-14482</v>
      </c>
      <c r="CQ278" s="239">
        <v>0</v>
      </c>
      <c r="CR278" s="239">
        <v>-14482</v>
      </c>
      <c r="CS278" s="239">
        <v>0</v>
      </c>
      <c r="CT278" s="239">
        <v>0</v>
      </c>
      <c r="CU278" s="239">
        <v>0</v>
      </c>
      <c r="CV278" s="239">
        <v>-5280</v>
      </c>
      <c r="CW278" s="239">
        <v>0</v>
      </c>
      <c r="CX278" s="239">
        <v>-5280</v>
      </c>
      <c r="CY278" s="239">
        <v>0</v>
      </c>
      <c r="CZ278" s="239">
        <v>0</v>
      </c>
      <c r="DA278" s="239">
        <v>0</v>
      </c>
      <c r="DB278" s="239">
        <v>0</v>
      </c>
      <c r="DC278" s="239">
        <v>0</v>
      </c>
      <c r="DD278" s="239">
        <v>0</v>
      </c>
      <c r="DE278" s="239">
        <v>0</v>
      </c>
      <c r="DF278" s="239">
        <v>0</v>
      </c>
      <c r="DG278" s="239">
        <v>0</v>
      </c>
      <c r="DH278" s="239">
        <v>0</v>
      </c>
      <c r="DI278" s="239">
        <v>0</v>
      </c>
      <c r="DJ278" s="239">
        <v>-80926</v>
      </c>
      <c r="DK278" s="239">
        <v>0</v>
      </c>
      <c r="DL278" s="239">
        <v>-80926</v>
      </c>
      <c r="DM278" s="239">
        <v>0</v>
      </c>
      <c r="DN278" s="239">
        <v>0</v>
      </c>
      <c r="DO278" s="239">
        <v>0</v>
      </c>
      <c r="DP278" s="239">
        <v>0</v>
      </c>
      <c r="DQ278" s="239">
        <v>0</v>
      </c>
      <c r="DR278" s="239">
        <v>0</v>
      </c>
      <c r="DS278" s="239">
        <v>0</v>
      </c>
      <c r="DT278" s="239">
        <v>0</v>
      </c>
      <c r="DU278" s="239">
        <v>0</v>
      </c>
      <c r="DV278" s="239">
        <v>0</v>
      </c>
      <c r="DW278" s="239">
        <v>0</v>
      </c>
      <c r="DX278" s="239">
        <v>0</v>
      </c>
      <c r="DY278" s="239">
        <v>-443371</v>
      </c>
      <c r="DZ278" s="239">
        <v>0</v>
      </c>
      <c r="EA278" s="239">
        <v>-443371</v>
      </c>
      <c r="EB278" s="239">
        <v>-9651</v>
      </c>
      <c r="EC278" s="239">
        <v>0</v>
      </c>
      <c r="ED278" s="239">
        <v>-9651</v>
      </c>
      <c r="EE278" s="239">
        <v>0</v>
      </c>
      <c r="EF278" s="239">
        <v>0</v>
      </c>
      <c r="EG278" s="239">
        <v>0</v>
      </c>
      <c r="EH278" s="239">
        <v>0</v>
      </c>
      <c r="EI278" s="239">
        <v>0</v>
      </c>
      <c r="EJ278" s="239">
        <v>0</v>
      </c>
      <c r="EK278" s="239">
        <v>-7511</v>
      </c>
      <c r="EL278" s="239">
        <v>0</v>
      </c>
      <c r="EM278" s="239">
        <v>-7511</v>
      </c>
      <c r="EN278" s="239">
        <v>-460533</v>
      </c>
      <c r="EO278" s="239">
        <v>0</v>
      </c>
      <c r="EP278" s="239">
        <v>-460533</v>
      </c>
      <c r="EQ278" s="239">
        <v>0</v>
      </c>
      <c r="ER278" s="239">
        <v>0</v>
      </c>
      <c r="ES278" s="239">
        <v>0</v>
      </c>
      <c r="ET278" s="239">
        <v>2721.03</v>
      </c>
      <c r="EU278" s="239">
        <v>0</v>
      </c>
      <c r="EV278" s="239">
        <v>2721.03</v>
      </c>
      <c r="EW278" s="239">
        <v>2721</v>
      </c>
      <c r="EX278" s="239">
        <v>0</v>
      </c>
      <c r="EY278" s="239">
        <v>2721</v>
      </c>
      <c r="EZ278" s="239">
        <v>25576142</v>
      </c>
      <c r="FA278" s="239">
        <v>0</v>
      </c>
      <c r="FB278" s="239">
        <v>25576142</v>
      </c>
      <c r="FC278" s="239">
        <v>8634</v>
      </c>
      <c r="FD278" s="239">
        <v>0</v>
      </c>
      <c r="FE278" s="239">
        <v>8634</v>
      </c>
      <c r="FF278" s="239">
        <v>-4359549</v>
      </c>
      <c r="FG278" s="239">
        <v>0</v>
      </c>
      <c r="FH278" s="239">
        <v>-4359549</v>
      </c>
      <c r="FI278" s="239">
        <v>-685238</v>
      </c>
      <c r="FJ278" s="239">
        <v>0</v>
      </c>
      <c r="FK278" s="239">
        <v>-685238</v>
      </c>
      <c r="FL278" s="239">
        <v>-80926</v>
      </c>
      <c r="FM278" s="239">
        <v>0</v>
      </c>
      <c r="FN278" s="239">
        <v>-80926</v>
      </c>
      <c r="FO278" s="239">
        <v>-460533</v>
      </c>
      <c r="FP278" s="239">
        <v>0</v>
      </c>
      <c r="FQ278" s="239">
        <v>-460533</v>
      </c>
      <c r="FR278" s="239">
        <v>2721</v>
      </c>
      <c r="FS278" s="239">
        <v>0</v>
      </c>
      <c r="FT278" s="239">
        <v>2721</v>
      </c>
      <c r="FU278" s="239">
        <v>-5574891</v>
      </c>
      <c r="FV278" s="239">
        <v>0</v>
      </c>
      <c r="FW278" s="239">
        <v>-5574891</v>
      </c>
      <c r="FX278" s="239">
        <v>20001251</v>
      </c>
      <c r="FY278" s="239">
        <v>0</v>
      </c>
      <c r="FZ278" s="239">
        <v>20001251</v>
      </c>
      <c r="GA278" s="214" t="s">
        <v>1294</v>
      </c>
    </row>
    <row r="279" spans="2:183" s="214" customFormat="1" x14ac:dyDescent="0.2">
      <c r="B279" s="610" t="s">
        <v>641</v>
      </c>
      <c r="C279" s="610" t="s">
        <v>640</v>
      </c>
      <c r="D279" s="239">
        <v>0</v>
      </c>
      <c r="E279" s="239">
        <v>0</v>
      </c>
      <c r="F279" s="239">
        <v>0</v>
      </c>
      <c r="G279" s="239">
        <v>-311861</v>
      </c>
      <c r="H279" s="239">
        <v>0</v>
      </c>
      <c r="I279" s="239">
        <v>-311861</v>
      </c>
      <c r="J279" s="239">
        <v>0</v>
      </c>
      <c r="K279" s="239">
        <v>0</v>
      </c>
      <c r="L279" s="239">
        <v>0</v>
      </c>
      <c r="M279" s="239">
        <v>134552</v>
      </c>
      <c r="N279" s="239">
        <v>0</v>
      </c>
      <c r="O279" s="239">
        <v>134552</v>
      </c>
      <c r="P279" s="239">
        <v>-177309</v>
      </c>
      <c r="Q279" s="239">
        <v>0</v>
      </c>
      <c r="R279" s="239">
        <v>-177309</v>
      </c>
      <c r="S279" s="239">
        <v>-2490305</v>
      </c>
      <c r="T279" s="239">
        <v>0</v>
      </c>
      <c r="U279" s="239">
        <v>-2490305</v>
      </c>
      <c r="V279" s="239">
        <v>-8339</v>
      </c>
      <c r="W279" s="239">
        <v>0</v>
      </c>
      <c r="X279" s="239">
        <v>-8339</v>
      </c>
      <c r="Y279" s="239">
        <v>-171461</v>
      </c>
      <c r="Z279" s="239">
        <v>0</v>
      </c>
      <c r="AA279" s="239">
        <v>-171461</v>
      </c>
      <c r="AB279" s="239">
        <v>0</v>
      </c>
      <c r="AC279" s="239">
        <v>0</v>
      </c>
      <c r="AD279" s="239">
        <v>0</v>
      </c>
      <c r="AE279" s="239">
        <v>-26499</v>
      </c>
      <c r="AF279" s="239">
        <v>0</v>
      </c>
      <c r="AG279" s="239">
        <v>-26499</v>
      </c>
      <c r="AH279" s="239">
        <v>1063794</v>
      </c>
      <c r="AI279" s="239">
        <v>0</v>
      </c>
      <c r="AJ279" s="239">
        <v>1063794</v>
      </c>
      <c r="AK279" s="239">
        <v>42595</v>
      </c>
      <c r="AL279" s="239">
        <v>0</v>
      </c>
      <c r="AM279" s="239">
        <v>42595</v>
      </c>
      <c r="AN279" s="239">
        <v>-3609747</v>
      </c>
      <c r="AO279" s="239">
        <v>0</v>
      </c>
      <c r="AP279" s="239">
        <v>-3609747</v>
      </c>
      <c r="AQ279" s="239">
        <v>-47564</v>
      </c>
      <c r="AR279" s="239">
        <v>0</v>
      </c>
      <c r="AS279" s="239">
        <v>-47564</v>
      </c>
      <c r="AT279" s="239">
        <v>-55494</v>
      </c>
      <c r="AU279" s="239">
        <v>0</v>
      </c>
      <c r="AV279" s="239">
        <v>-55494</v>
      </c>
      <c r="AW279" s="239">
        <v>0</v>
      </c>
      <c r="AX279" s="239">
        <v>0</v>
      </c>
      <c r="AY279" s="239">
        <v>0</v>
      </c>
      <c r="AZ279" s="239">
        <v>-33827</v>
      </c>
      <c r="BA279" s="239">
        <v>0</v>
      </c>
      <c r="BB279" s="239">
        <v>-33827</v>
      </c>
      <c r="BC279" s="239">
        <v>-327</v>
      </c>
      <c r="BD279" s="239">
        <v>0</v>
      </c>
      <c r="BE279" s="239">
        <v>-327</v>
      </c>
      <c r="BF279" s="239">
        <v>-5302336</v>
      </c>
      <c r="BG279" s="239">
        <v>0</v>
      </c>
      <c r="BH279" s="239">
        <v>-5302336</v>
      </c>
      <c r="BI279" s="239">
        <v>-27069</v>
      </c>
      <c r="BJ279" s="239">
        <v>0</v>
      </c>
      <c r="BK279" s="239">
        <v>-27069</v>
      </c>
      <c r="BL279" s="239">
        <v>3484</v>
      </c>
      <c r="BM279" s="239">
        <v>0</v>
      </c>
      <c r="BN279" s="239">
        <v>3484</v>
      </c>
      <c r="BO279" s="239">
        <v>-1429198</v>
      </c>
      <c r="BP279" s="239">
        <v>0</v>
      </c>
      <c r="BQ279" s="239">
        <v>-1429198</v>
      </c>
      <c r="BR279" s="239">
        <v>-26576</v>
      </c>
      <c r="BS279" s="239">
        <v>0</v>
      </c>
      <c r="BT279" s="239">
        <v>-26576</v>
      </c>
      <c r="BU279" s="239">
        <v>-1479359</v>
      </c>
      <c r="BV279" s="239">
        <v>0</v>
      </c>
      <c r="BW279" s="239">
        <v>-1479359</v>
      </c>
      <c r="BX279" s="239">
        <v>-193882</v>
      </c>
      <c r="BY279" s="239">
        <v>0</v>
      </c>
      <c r="BZ279" s="239">
        <v>-193882</v>
      </c>
      <c r="CA279" s="239">
        <v>-21068</v>
      </c>
      <c r="CB279" s="239">
        <v>0</v>
      </c>
      <c r="CC279" s="239">
        <v>-21068</v>
      </c>
      <c r="CD279" s="239">
        <v>-54940</v>
      </c>
      <c r="CE279" s="239">
        <v>0</v>
      </c>
      <c r="CF279" s="239">
        <v>-54940</v>
      </c>
      <c r="CG279" s="239">
        <v>-405</v>
      </c>
      <c r="CH279" s="239">
        <v>0</v>
      </c>
      <c r="CI279" s="239">
        <v>-405</v>
      </c>
      <c r="CJ279" s="239">
        <v>-2391</v>
      </c>
      <c r="CK279" s="239">
        <v>0</v>
      </c>
      <c r="CL279" s="239">
        <v>-2391</v>
      </c>
      <c r="CM279" s="239">
        <v>0</v>
      </c>
      <c r="CN279" s="239">
        <v>0</v>
      </c>
      <c r="CO279" s="239">
        <v>0</v>
      </c>
      <c r="CP279" s="239">
        <v>-6508</v>
      </c>
      <c r="CQ279" s="239">
        <v>0</v>
      </c>
      <c r="CR279" s="239">
        <v>-6508</v>
      </c>
      <c r="CS279" s="239">
        <v>220</v>
      </c>
      <c r="CT279" s="239">
        <v>0</v>
      </c>
      <c r="CU279" s="239">
        <v>220</v>
      </c>
      <c r="CV279" s="239">
        <v>-4560</v>
      </c>
      <c r="CW279" s="239">
        <v>0</v>
      </c>
      <c r="CX279" s="239">
        <v>-4560</v>
      </c>
      <c r="CY279" s="239">
        <v>3231</v>
      </c>
      <c r="CZ279" s="239">
        <v>0</v>
      </c>
      <c r="DA279" s="239">
        <v>3231</v>
      </c>
      <c r="DB279" s="239">
        <v>0</v>
      </c>
      <c r="DC279" s="239">
        <v>0</v>
      </c>
      <c r="DD279" s="239">
        <v>0</v>
      </c>
      <c r="DE279" s="239">
        <v>0</v>
      </c>
      <c r="DF279" s="239">
        <v>0</v>
      </c>
      <c r="DG279" s="239">
        <v>0</v>
      </c>
      <c r="DH279" s="239">
        <v>0</v>
      </c>
      <c r="DI279" s="239">
        <v>0</v>
      </c>
      <c r="DJ279" s="239">
        <v>-280303</v>
      </c>
      <c r="DK279" s="239">
        <v>0</v>
      </c>
      <c r="DL279" s="239">
        <v>-280303</v>
      </c>
      <c r="DM279" s="239">
        <v>-6744</v>
      </c>
      <c r="DN279" s="239">
        <v>0</v>
      </c>
      <c r="DO279" s="239">
        <v>-6744</v>
      </c>
      <c r="DP279" s="239">
        <v>4262</v>
      </c>
      <c r="DQ279" s="239">
        <v>0</v>
      </c>
      <c r="DR279" s="239">
        <v>4262</v>
      </c>
      <c r="DS279" s="239">
        <v>0</v>
      </c>
      <c r="DT279" s="239">
        <v>0</v>
      </c>
      <c r="DU279" s="239">
        <v>0</v>
      </c>
      <c r="DV279" s="239">
        <v>0</v>
      </c>
      <c r="DW279" s="239">
        <v>0</v>
      </c>
      <c r="DX279" s="239">
        <v>0</v>
      </c>
      <c r="DY279" s="239">
        <v>-600370</v>
      </c>
      <c r="DZ279" s="239">
        <v>0</v>
      </c>
      <c r="EA279" s="239">
        <v>-600370</v>
      </c>
      <c r="EB279" s="239">
        <v>-13666</v>
      </c>
      <c r="EC279" s="239">
        <v>0</v>
      </c>
      <c r="ED279" s="239">
        <v>-13666</v>
      </c>
      <c r="EE279" s="239">
        <v>0</v>
      </c>
      <c r="EF279" s="239">
        <v>0</v>
      </c>
      <c r="EG279" s="239">
        <v>0</v>
      </c>
      <c r="EH279" s="239">
        <v>0</v>
      </c>
      <c r="EI279" s="239">
        <v>0</v>
      </c>
      <c r="EJ279" s="239">
        <v>0</v>
      </c>
      <c r="EK279" s="239">
        <v>-20183</v>
      </c>
      <c r="EL279" s="239">
        <v>0</v>
      </c>
      <c r="EM279" s="239">
        <v>-20183</v>
      </c>
      <c r="EN279" s="239">
        <v>-636701</v>
      </c>
      <c r="EO279" s="239">
        <v>0</v>
      </c>
      <c r="EP279" s="239">
        <v>-636701</v>
      </c>
      <c r="EQ279" s="239">
        <v>0</v>
      </c>
      <c r="ER279" s="239">
        <v>0</v>
      </c>
      <c r="ES279" s="239">
        <v>0</v>
      </c>
      <c r="ET279" s="239">
        <v>0</v>
      </c>
      <c r="EU279" s="239">
        <v>0</v>
      </c>
      <c r="EV279" s="239">
        <v>0</v>
      </c>
      <c r="EW279" s="239">
        <v>0</v>
      </c>
      <c r="EX279" s="239">
        <v>0</v>
      </c>
      <c r="EY279" s="239">
        <v>0</v>
      </c>
      <c r="EZ279" s="239">
        <v>46484834</v>
      </c>
      <c r="FA279" s="239">
        <v>0</v>
      </c>
      <c r="FB279" s="239">
        <v>46484834</v>
      </c>
      <c r="FC279" s="239">
        <v>-177309</v>
      </c>
      <c r="FD279" s="239">
        <v>0</v>
      </c>
      <c r="FE279" s="239">
        <v>-177309</v>
      </c>
      <c r="FF279" s="239">
        <v>-5302336</v>
      </c>
      <c r="FG279" s="239">
        <v>0</v>
      </c>
      <c r="FH279" s="239">
        <v>-5302336</v>
      </c>
      <c r="FI279" s="239">
        <v>-1479359</v>
      </c>
      <c r="FJ279" s="239">
        <v>0</v>
      </c>
      <c r="FK279" s="239">
        <v>-1479359</v>
      </c>
      <c r="FL279" s="239">
        <v>-280303</v>
      </c>
      <c r="FM279" s="239">
        <v>0</v>
      </c>
      <c r="FN279" s="239">
        <v>-280303</v>
      </c>
      <c r="FO279" s="239">
        <v>-636701</v>
      </c>
      <c r="FP279" s="239">
        <v>0</v>
      </c>
      <c r="FQ279" s="239">
        <v>-636701</v>
      </c>
      <c r="FR279" s="239">
        <v>0</v>
      </c>
      <c r="FS279" s="239">
        <v>0</v>
      </c>
      <c r="FT279" s="239">
        <v>0</v>
      </c>
      <c r="FU279" s="239">
        <v>-7876008</v>
      </c>
      <c r="FV279" s="239">
        <v>0</v>
      </c>
      <c r="FW279" s="239">
        <v>-7876008</v>
      </c>
      <c r="FX279" s="239">
        <v>38608826</v>
      </c>
      <c r="FY279" s="239">
        <v>0</v>
      </c>
      <c r="FZ279" s="239">
        <v>38608826</v>
      </c>
      <c r="GA279" s="214" t="s">
        <v>1294</v>
      </c>
    </row>
    <row r="280" spans="2:183" s="214" customFormat="1" x14ac:dyDescent="0.2">
      <c r="B280" s="610" t="s">
        <v>643</v>
      </c>
      <c r="C280" s="610" t="s">
        <v>642</v>
      </c>
      <c r="D280" s="239">
        <v>0</v>
      </c>
      <c r="E280" s="239">
        <v>0</v>
      </c>
      <c r="F280" s="239">
        <v>0</v>
      </c>
      <c r="G280" s="239">
        <v>-291361</v>
      </c>
      <c r="H280" s="239">
        <v>0</v>
      </c>
      <c r="I280" s="239">
        <v>-291361</v>
      </c>
      <c r="J280" s="239">
        <v>0</v>
      </c>
      <c r="K280" s="239">
        <v>0</v>
      </c>
      <c r="L280" s="239">
        <v>0</v>
      </c>
      <c r="M280" s="239">
        <v>134311</v>
      </c>
      <c r="N280" s="239">
        <v>0</v>
      </c>
      <c r="O280" s="239">
        <v>134311</v>
      </c>
      <c r="P280" s="239">
        <v>-157050</v>
      </c>
      <c r="Q280" s="239">
        <v>0</v>
      </c>
      <c r="R280" s="239">
        <v>-157050</v>
      </c>
      <c r="S280" s="239">
        <v>-3825418</v>
      </c>
      <c r="T280" s="239">
        <v>0</v>
      </c>
      <c r="U280" s="239">
        <v>-3825418</v>
      </c>
      <c r="V280" s="239">
        <v>-16593</v>
      </c>
      <c r="W280" s="239">
        <v>0</v>
      </c>
      <c r="X280" s="239">
        <v>-16593</v>
      </c>
      <c r="Y280" s="239">
        <v>-44468</v>
      </c>
      <c r="Z280" s="239">
        <v>0</v>
      </c>
      <c r="AA280" s="239">
        <v>-44468</v>
      </c>
      <c r="AB280" s="239">
        <v>0</v>
      </c>
      <c r="AC280" s="239">
        <v>0</v>
      </c>
      <c r="AD280" s="239">
        <v>0</v>
      </c>
      <c r="AE280" s="239">
        <v>0</v>
      </c>
      <c r="AF280" s="239">
        <v>0</v>
      </c>
      <c r="AG280" s="239">
        <v>0</v>
      </c>
      <c r="AH280" s="239">
        <v>821618</v>
      </c>
      <c r="AI280" s="239">
        <v>0</v>
      </c>
      <c r="AJ280" s="239">
        <v>821618</v>
      </c>
      <c r="AK280" s="239">
        <v>-11494</v>
      </c>
      <c r="AL280" s="239">
        <v>0</v>
      </c>
      <c r="AM280" s="239">
        <v>-11494</v>
      </c>
      <c r="AN280" s="239">
        <v>-2354547</v>
      </c>
      <c r="AO280" s="239">
        <v>0</v>
      </c>
      <c r="AP280" s="239">
        <v>-2354547</v>
      </c>
      <c r="AQ280" s="239">
        <v>-33447</v>
      </c>
      <c r="AR280" s="239">
        <v>0</v>
      </c>
      <c r="AS280" s="239">
        <v>-33447</v>
      </c>
      <c r="AT280" s="239">
        <v>-76182</v>
      </c>
      <c r="AU280" s="239">
        <v>0</v>
      </c>
      <c r="AV280" s="239">
        <v>-76182</v>
      </c>
      <c r="AW280" s="239">
        <v>0</v>
      </c>
      <c r="AX280" s="239">
        <v>0</v>
      </c>
      <c r="AY280" s="239">
        <v>0</v>
      </c>
      <c r="AZ280" s="239">
        <v>-52162</v>
      </c>
      <c r="BA280" s="239">
        <v>0</v>
      </c>
      <c r="BB280" s="239">
        <v>-52162</v>
      </c>
      <c r="BC280" s="239">
        <v>4259</v>
      </c>
      <c r="BD280" s="239">
        <v>0</v>
      </c>
      <c r="BE280" s="239">
        <v>4259</v>
      </c>
      <c r="BF280" s="239">
        <v>-5571841</v>
      </c>
      <c r="BG280" s="239">
        <v>0</v>
      </c>
      <c r="BH280" s="239">
        <v>-5571841</v>
      </c>
      <c r="BI280" s="239">
        <v>-1403</v>
      </c>
      <c r="BJ280" s="239">
        <v>0</v>
      </c>
      <c r="BK280" s="239">
        <v>-1403</v>
      </c>
      <c r="BL280" s="239">
        <v>-297</v>
      </c>
      <c r="BM280" s="239">
        <v>0</v>
      </c>
      <c r="BN280" s="239">
        <v>-297</v>
      </c>
      <c r="BO280" s="239">
        <v>-794167</v>
      </c>
      <c r="BP280" s="239">
        <v>0</v>
      </c>
      <c r="BQ280" s="239">
        <v>-794167</v>
      </c>
      <c r="BR280" s="239">
        <v>45731</v>
      </c>
      <c r="BS280" s="239">
        <v>0</v>
      </c>
      <c r="BT280" s="239">
        <v>45731</v>
      </c>
      <c r="BU280" s="239">
        <v>-750136</v>
      </c>
      <c r="BV280" s="239">
        <v>0</v>
      </c>
      <c r="BW280" s="239">
        <v>-750136</v>
      </c>
      <c r="BX280" s="239">
        <v>-84268</v>
      </c>
      <c r="BY280" s="239">
        <v>0</v>
      </c>
      <c r="BZ280" s="239">
        <v>-84268</v>
      </c>
      <c r="CA280" s="239">
        <v>-798</v>
      </c>
      <c r="CB280" s="239">
        <v>0</v>
      </c>
      <c r="CC280" s="239">
        <v>-798</v>
      </c>
      <c r="CD280" s="239">
        <v>-37605</v>
      </c>
      <c r="CE280" s="239">
        <v>0</v>
      </c>
      <c r="CF280" s="239">
        <v>-37605</v>
      </c>
      <c r="CG280" s="239">
        <v>0</v>
      </c>
      <c r="CH280" s="239">
        <v>0</v>
      </c>
      <c r="CI280" s="239">
        <v>0</v>
      </c>
      <c r="CJ280" s="239">
        <v>-7319</v>
      </c>
      <c r="CK280" s="239">
        <v>0</v>
      </c>
      <c r="CL280" s="239">
        <v>-7319</v>
      </c>
      <c r="CM280" s="239">
        <v>-255</v>
      </c>
      <c r="CN280" s="239">
        <v>0</v>
      </c>
      <c r="CO280" s="239">
        <v>-255</v>
      </c>
      <c r="CP280" s="239">
        <v>-23006</v>
      </c>
      <c r="CQ280" s="239">
        <v>0</v>
      </c>
      <c r="CR280" s="239">
        <v>-23006</v>
      </c>
      <c r="CS280" s="239">
        <v>4073</v>
      </c>
      <c r="CT280" s="239">
        <v>0</v>
      </c>
      <c r="CU280" s="239">
        <v>4073</v>
      </c>
      <c r="CV280" s="239">
        <v>-2043</v>
      </c>
      <c r="CW280" s="239">
        <v>0</v>
      </c>
      <c r="CX280" s="239">
        <v>-2043</v>
      </c>
      <c r="CY280" s="239">
        <v>0</v>
      </c>
      <c r="CZ280" s="239">
        <v>0</v>
      </c>
      <c r="DA280" s="239">
        <v>0</v>
      </c>
      <c r="DB280" s="239">
        <v>0</v>
      </c>
      <c r="DC280" s="239">
        <v>0</v>
      </c>
      <c r="DD280" s="239">
        <v>0</v>
      </c>
      <c r="DE280" s="239">
        <v>0</v>
      </c>
      <c r="DF280" s="239">
        <v>0</v>
      </c>
      <c r="DG280" s="239">
        <v>0</v>
      </c>
      <c r="DH280" s="239">
        <v>0</v>
      </c>
      <c r="DI280" s="239">
        <v>0</v>
      </c>
      <c r="DJ280" s="239">
        <v>-151221</v>
      </c>
      <c r="DK280" s="239">
        <v>0</v>
      </c>
      <c r="DL280" s="239">
        <v>-151221</v>
      </c>
      <c r="DM280" s="239">
        <v>0</v>
      </c>
      <c r="DN280" s="239">
        <v>0</v>
      </c>
      <c r="DO280" s="239">
        <v>0</v>
      </c>
      <c r="DP280" s="239">
        <v>0</v>
      </c>
      <c r="DQ280" s="239">
        <v>0</v>
      </c>
      <c r="DR280" s="239">
        <v>0</v>
      </c>
      <c r="DS280" s="239">
        <v>-765</v>
      </c>
      <c r="DT280" s="239">
        <v>0</v>
      </c>
      <c r="DU280" s="239">
        <v>-765</v>
      </c>
      <c r="DV280" s="239">
        <v>0</v>
      </c>
      <c r="DW280" s="239">
        <v>0</v>
      </c>
      <c r="DX280" s="239">
        <v>0</v>
      </c>
      <c r="DY280" s="239">
        <v>-840547</v>
      </c>
      <c r="DZ280" s="239">
        <v>0</v>
      </c>
      <c r="EA280" s="239">
        <v>-840547</v>
      </c>
      <c r="EB280" s="239">
        <v>-10398</v>
      </c>
      <c r="EC280" s="239">
        <v>0</v>
      </c>
      <c r="ED280" s="239">
        <v>-10398</v>
      </c>
      <c r="EE280" s="239">
        <v>0</v>
      </c>
      <c r="EF280" s="239">
        <v>0</v>
      </c>
      <c r="EG280" s="239">
        <v>0</v>
      </c>
      <c r="EH280" s="239">
        <v>0</v>
      </c>
      <c r="EI280" s="239">
        <v>0</v>
      </c>
      <c r="EJ280" s="239">
        <v>0</v>
      </c>
      <c r="EK280" s="239">
        <v>-36177</v>
      </c>
      <c r="EL280" s="239">
        <v>0</v>
      </c>
      <c r="EM280" s="239">
        <v>-36177</v>
      </c>
      <c r="EN280" s="239">
        <v>-887887</v>
      </c>
      <c r="EO280" s="239">
        <v>0</v>
      </c>
      <c r="EP280" s="239">
        <v>-887887</v>
      </c>
      <c r="EQ280" s="239">
        <v>0</v>
      </c>
      <c r="ER280" s="239">
        <v>0</v>
      </c>
      <c r="ES280" s="239">
        <v>0</v>
      </c>
      <c r="ET280" s="239">
        <v>0</v>
      </c>
      <c r="EU280" s="239">
        <v>0</v>
      </c>
      <c r="EV280" s="239">
        <v>0</v>
      </c>
      <c r="EW280" s="239">
        <v>0</v>
      </c>
      <c r="EX280" s="239">
        <v>0</v>
      </c>
      <c r="EY280" s="239">
        <v>0</v>
      </c>
      <c r="EZ280" s="239">
        <v>39212950</v>
      </c>
      <c r="FA280" s="239">
        <v>0</v>
      </c>
      <c r="FB280" s="239">
        <v>39212950</v>
      </c>
      <c r="FC280" s="239">
        <v>-157050</v>
      </c>
      <c r="FD280" s="239">
        <v>0</v>
      </c>
      <c r="FE280" s="239">
        <v>-157050</v>
      </c>
      <c r="FF280" s="239">
        <v>-5571841</v>
      </c>
      <c r="FG280" s="239">
        <v>0</v>
      </c>
      <c r="FH280" s="239">
        <v>-5571841</v>
      </c>
      <c r="FI280" s="239">
        <v>-750136</v>
      </c>
      <c r="FJ280" s="239">
        <v>0</v>
      </c>
      <c r="FK280" s="239">
        <v>-750136</v>
      </c>
      <c r="FL280" s="239">
        <v>-151221</v>
      </c>
      <c r="FM280" s="239">
        <v>0</v>
      </c>
      <c r="FN280" s="239">
        <v>-151221</v>
      </c>
      <c r="FO280" s="239">
        <v>-887887</v>
      </c>
      <c r="FP280" s="239">
        <v>0</v>
      </c>
      <c r="FQ280" s="239">
        <v>-887887</v>
      </c>
      <c r="FR280" s="239">
        <v>0</v>
      </c>
      <c r="FS280" s="239">
        <v>0</v>
      </c>
      <c r="FT280" s="239">
        <v>0</v>
      </c>
      <c r="FU280" s="239">
        <v>-7518135</v>
      </c>
      <c r="FV280" s="239">
        <v>0</v>
      </c>
      <c r="FW280" s="239">
        <v>-7518135</v>
      </c>
      <c r="FX280" s="239">
        <v>31694815</v>
      </c>
      <c r="FY280" s="239">
        <v>0</v>
      </c>
      <c r="FZ280" s="239">
        <v>31694815</v>
      </c>
      <c r="GA280" s="214" t="s">
        <v>1294</v>
      </c>
    </row>
    <row r="281" spans="2:183" s="214" customFormat="1" x14ac:dyDescent="0.2">
      <c r="B281" s="610" t="s">
        <v>645</v>
      </c>
      <c r="C281" s="610" t="s">
        <v>644</v>
      </c>
      <c r="D281" s="239">
        <v>0</v>
      </c>
      <c r="E281" s="239">
        <v>0</v>
      </c>
      <c r="F281" s="239">
        <v>0</v>
      </c>
      <c r="G281" s="239">
        <v>-152055</v>
      </c>
      <c r="H281" s="239">
        <v>0</v>
      </c>
      <c r="I281" s="239">
        <v>-152055</v>
      </c>
      <c r="J281" s="239">
        <v>0</v>
      </c>
      <c r="K281" s="239">
        <v>0</v>
      </c>
      <c r="L281" s="239">
        <v>0</v>
      </c>
      <c r="M281" s="239">
        <v>78600</v>
      </c>
      <c r="N281" s="239">
        <v>0</v>
      </c>
      <c r="O281" s="239">
        <v>78600</v>
      </c>
      <c r="P281" s="239">
        <v>-73455</v>
      </c>
      <c r="Q281" s="239">
        <v>0</v>
      </c>
      <c r="R281" s="239">
        <v>-73455</v>
      </c>
      <c r="S281" s="239">
        <v>-2867960</v>
      </c>
      <c r="T281" s="239">
        <v>0</v>
      </c>
      <c r="U281" s="239">
        <v>-2867960</v>
      </c>
      <c r="V281" s="239">
        <v>-13814</v>
      </c>
      <c r="W281" s="239">
        <v>0</v>
      </c>
      <c r="X281" s="239">
        <v>-13814</v>
      </c>
      <c r="Y281" s="239">
        <v>-148608</v>
      </c>
      <c r="Z281" s="239">
        <v>0</v>
      </c>
      <c r="AA281" s="239">
        <v>-148608</v>
      </c>
      <c r="AB281" s="239">
        <v>-54301</v>
      </c>
      <c r="AC281" s="239">
        <v>0</v>
      </c>
      <c r="AD281" s="239">
        <v>-54301</v>
      </c>
      <c r="AE281" s="239">
        <v>-149</v>
      </c>
      <c r="AF281" s="239">
        <v>0</v>
      </c>
      <c r="AG281" s="239">
        <v>-149</v>
      </c>
      <c r="AH281" s="239">
        <v>2022982</v>
      </c>
      <c r="AI281" s="239">
        <v>0</v>
      </c>
      <c r="AJ281" s="239">
        <v>2022982</v>
      </c>
      <c r="AK281" s="239">
        <v>18426</v>
      </c>
      <c r="AL281" s="239">
        <v>0</v>
      </c>
      <c r="AM281" s="239">
        <v>18426</v>
      </c>
      <c r="AN281" s="239">
        <v>-4517648</v>
      </c>
      <c r="AO281" s="239">
        <v>0</v>
      </c>
      <c r="AP281" s="239">
        <v>-4517648</v>
      </c>
      <c r="AQ281" s="239">
        <v>82969</v>
      </c>
      <c r="AR281" s="239">
        <v>0</v>
      </c>
      <c r="AS281" s="239">
        <v>82969</v>
      </c>
      <c r="AT281" s="239">
        <v>-32558</v>
      </c>
      <c r="AU281" s="239">
        <v>0</v>
      </c>
      <c r="AV281" s="239">
        <v>-32558</v>
      </c>
      <c r="AW281" s="239">
        <v>0</v>
      </c>
      <c r="AX281" s="239">
        <v>0</v>
      </c>
      <c r="AY281" s="239">
        <v>0</v>
      </c>
      <c r="AZ281" s="239">
        <v>-5228</v>
      </c>
      <c r="BA281" s="239">
        <v>0</v>
      </c>
      <c r="BB281" s="239">
        <v>-5228</v>
      </c>
      <c r="BC281" s="239">
        <v>3782</v>
      </c>
      <c r="BD281" s="239">
        <v>0</v>
      </c>
      <c r="BE281" s="239">
        <v>3782</v>
      </c>
      <c r="BF281" s="239">
        <v>-5443843</v>
      </c>
      <c r="BG281" s="239">
        <v>0</v>
      </c>
      <c r="BH281" s="239">
        <v>-5443843</v>
      </c>
      <c r="BI281" s="239">
        <v>-66338</v>
      </c>
      <c r="BJ281" s="239">
        <v>0</v>
      </c>
      <c r="BK281" s="239">
        <v>-66338</v>
      </c>
      <c r="BL281" s="239">
        <v>-53592</v>
      </c>
      <c r="BM281" s="239">
        <v>0</v>
      </c>
      <c r="BN281" s="239">
        <v>-53592</v>
      </c>
      <c r="BO281" s="239">
        <v>-2497543</v>
      </c>
      <c r="BP281" s="239">
        <v>0</v>
      </c>
      <c r="BQ281" s="239">
        <v>-2497543</v>
      </c>
      <c r="BR281" s="239">
        <v>-210916</v>
      </c>
      <c r="BS281" s="239">
        <v>0</v>
      </c>
      <c r="BT281" s="239">
        <v>-210916</v>
      </c>
      <c r="BU281" s="239">
        <v>-2828389</v>
      </c>
      <c r="BV281" s="239">
        <v>0</v>
      </c>
      <c r="BW281" s="239">
        <v>-2828389</v>
      </c>
      <c r="BX281" s="239">
        <v>-322432</v>
      </c>
      <c r="BY281" s="239">
        <v>0</v>
      </c>
      <c r="BZ281" s="239">
        <v>-322432</v>
      </c>
      <c r="CA281" s="239">
        <v>11875</v>
      </c>
      <c r="CB281" s="239">
        <v>0</v>
      </c>
      <c r="CC281" s="239">
        <v>11875</v>
      </c>
      <c r="CD281" s="239">
        <v>-68320</v>
      </c>
      <c r="CE281" s="239">
        <v>0</v>
      </c>
      <c r="CF281" s="239">
        <v>-68320</v>
      </c>
      <c r="CG281" s="239">
        <v>-93161</v>
      </c>
      <c r="CH281" s="239">
        <v>0</v>
      </c>
      <c r="CI281" s="239">
        <v>-93161</v>
      </c>
      <c r="CJ281" s="239">
        <v>-4932</v>
      </c>
      <c r="CK281" s="239">
        <v>0</v>
      </c>
      <c r="CL281" s="239">
        <v>-4932</v>
      </c>
      <c r="CM281" s="239">
        <v>0</v>
      </c>
      <c r="CN281" s="239">
        <v>0</v>
      </c>
      <c r="CO281" s="239">
        <v>0</v>
      </c>
      <c r="CP281" s="239">
        <v>-5228</v>
      </c>
      <c r="CQ281" s="239">
        <v>0</v>
      </c>
      <c r="CR281" s="239">
        <v>-5228</v>
      </c>
      <c r="CS281" s="239">
        <v>3782</v>
      </c>
      <c r="CT281" s="239">
        <v>0</v>
      </c>
      <c r="CU281" s="239">
        <v>3782</v>
      </c>
      <c r="CV281" s="239">
        <v>0</v>
      </c>
      <c r="CW281" s="239">
        <v>0</v>
      </c>
      <c r="CX281" s="239">
        <v>0</v>
      </c>
      <c r="CY281" s="239">
        <v>0</v>
      </c>
      <c r="CZ281" s="239">
        <v>0</v>
      </c>
      <c r="DA281" s="239">
        <v>0</v>
      </c>
      <c r="DB281" s="239">
        <v>-2762</v>
      </c>
      <c r="DC281" s="239">
        <v>0</v>
      </c>
      <c r="DD281" s="239">
        <v>-2762</v>
      </c>
      <c r="DE281" s="239">
        <v>0</v>
      </c>
      <c r="DF281" s="239">
        <v>0</v>
      </c>
      <c r="DG281" s="239">
        <v>0</v>
      </c>
      <c r="DH281" s="239">
        <v>0</v>
      </c>
      <c r="DI281" s="239">
        <v>0</v>
      </c>
      <c r="DJ281" s="239">
        <v>-481178</v>
      </c>
      <c r="DK281" s="239">
        <v>0</v>
      </c>
      <c r="DL281" s="239">
        <v>-481178</v>
      </c>
      <c r="DM281" s="239">
        <v>-27015</v>
      </c>
      <c r="DN281" s="239">
        <v>0</v>
      </c>
      <c r="DO281" s="239">
        <v>-27015</v>
      </c>
      <c r="DP281" s="239">
        <v>15</v>
      </c>
      <c r="DQ281" s="239">
        <v>0</v>
      </c>
      <c r="DR281" s="239">
        <v>15</v>
      </c>
      <c r="DS281" s="239">
        <v>-35917</v>
      </c>
      <c r="DT281" s="239">
        <v>0</v>
      </c>
      <c r="DU281" s="239">
        <v>-35917</v>
      </c>
      <c r="DV281" s="239">
        <v>-573</v>
      </c>
      <c r="DW281" s="239">
        <v>0</v>
      </c>
      <c r="DX281" s="239">
        <v>-573</v>
      </c>
      <c r="DY281" s="239">
        <v>-445259</v>
      </c>
      <c r="DZ281" s="239">
        <v>0</v>
      </c>
      <c r="EA281" s="239">
        <v>-445259</v>
      </c>
      <c r="EB281" s="239">
        <v>-40071</v>
      </c>
      <c r="EC281" s="239">
        <v>0</v>
      </c>
      <c r="ED281" s="239">
        <v>-40071</v>
      </c>
      <c r="EE281" s="239">
        <v>0</v>
      </c>
      <c r="EF281" s="239">
        <v>0</v>
      </c>
      <c r="EG281" s="239">
        <v>0</v>
      </c>
      <c r="EH281" s="239">
        <v>0</v>
      </c>
      <c r="EI281" s="239">
        <v>0</v>
      </c>
      <c r="EJ281" s="239">
        <v>0</v>
      </c>
      <c r="EK281" s="239">
        <v>-11362</v>
      </c>
      <c r="EL281" s="239">
        <v>0</v>
      </c>
      <c r="EM281" s="239">
        <v>-11362</v>
      </c>
      <c r="EN281" s="239">
        <v>-560182</v>
      </c>
      <c r="EO281" s="239">
        <v>0</v>
      </c>
      <c r="EP281" s="239">
        <v>-560182</v>
      </c>
      <c r="EQ281" s="239">
        <v>0</v>
      </c>
      <c r="ER281" s="239">
        <v>0</v>
      </c>
      <c r="ES281" s="239">
        <v>0</v>
      </c>
      <c r="ET281" s="239">
        <v>0</v>
      </c>
      <c r="EU281" s="239">
        <v>0</v>
      </c>
      <c r="EV281" s="239">
        <v>0</v>
      </c>
      <c r="EW281" s="239">
        <v>0</v>
      </c>
      <c r="EX281" s="239">
        <v>0</v>
      </c>
      <c r="EY281" s="239">
        <v>0</v>
      </c>
      <c r="EZ281" s="239">
        <v>82725280</v>
      </c>
      <c r="FA281" s="239">
        <v>0</v>
      </c>
      <c r="FB281" s="239">
        <v>82725280</v>
      </c>
      <c r="FC281" s="239">
        <v>-73455</v>
      </c>
      <c r="FD281" s="239">
        <v>0</v>
      </c>
      <c r="FE281" s="239">
        <v>-73455</v>
      </c>
      <c r="FF281" s="239">
        <v>-5443843</v>
      </c>
      <c r="FG281" s="239">
        <v>0</v>
      </c>
      <c r="FH281" s="239">
        <v>-5443843</v>
      </c>
      <c r="FI281" s="239">
        <v>-2828389</v>
      </c>
      <c r="FJ281" s="239">
        <v>0</v>
      </c>
      <c r="FK281" s="239">
        <v>-2828389</v>
      </c>
      <c r="FL281" s="239">
        <v>-481178</v>
      </c>
      <c r="FM281" s="239">
        <v>0</v>
      </c>
      <c r="FN281" s="239">
        <v>-481178</v>
      </c>
      <c r="FO281" s="239">
        <v>-560182</v>
      </c>
      <c r="FP281" s="239">
        <v>0</v>
      </c>
      <c r="FQ281" s="239">
        <v>-560182</v>
      </c>
      <c r="FR281" s="239">
        <v>0</v>
      </c>
      <c r="FS281" s="239">
        <v>0</v>
      </c>
      <c r="FT281" s="239">
        <v>0</v>
      </c>
      <c r="FU281" s="239">
        <v>-9387047</v>
      </c>
      <c r="FV281" s="239">
        <v>0</v>
      </c>
      <c r="FW281" s="239">
        <v>-9387047</v>
      </c>
      <c r="FX281" s="239">
        <v>73338233</v>
      </c>
      <c r="FY281" s="239">
        <v>0</v>
      </c>
      <c r="FZ281" s="239">
        <v>73338233</v>
      </c>
      <c r="GA281" s="214" t="s">
        <v>748</v>
      </c>
    </row>
    <row r="282" spans="2:183" s="214" customFormat="1" x14ac:dyDescent="0.2">
      <c r="B282" s="610" t="s">
        <v>647</v>
      </c>
      <c r="C282" s="610" t="s">
        <v>646</v>
      </c>
      <c r="D282" s="239">
        <v>0</v>
      </c>
      <c r="E282" s="239">
        <v>0</v>
      </c>
      <c r="F282" s="239">
        <v>0</v>
      </c>
      <c r="G282" s="239">
        <v>47009</v>
      </c>
      <c r="H282" s="239">
        <v>0</v>
      </c>
      <c r="I282" s="239">
        <v>47009</v>
      </c>
      <c r="J282" s="239">
        <v>0</v>
      </c>
      <c r="K282" s="239">
        <v>0</v>
      </c>
      <c r="L282" s="239">
        <v>0</v>
      </c>
      <c r="M282" s="239">
        <v>16117</v>
      </c>
      <c r="N282" s="239">
        <v>0</v>
      </c>
      <c r="O282" s="239">
        <v>16117</v>
      </c>
      <c r="P282" s="239">
        <v>63126</v>
      </c>
      <c r="Q282" s="239">
        <v>0</v>
      </c>
      <c r="R282" s="239">
        <v>63126</v>
      </c>
      <c r="S282" s="239">
        <v>-4485015</v>
      </c>
      <c r="T282" s="239">
        <v>0</v>
      </c>
      <c r="U282" s="239">
        <v>-4485015</v>
      </c>
      <c r="V282" s="239">
        <v>-11116</v>
      </c>
      <c r="W282" s="239">
        <v>0</v>
      </c>
      <c r="X282" s="239">
        <v>-11116</v>
      </c>
      <c r="Y282" s="239">
        <v>-52552</v>
      </c>
      <c r="Z282" s="239">
        <v>0</v>
      </c>
      <c r="AA282" s="239">
        <v>-52552</v>
      </c>
      <c r="AB282" s="239">
        <v>-41130</v>
      </c>
      <c r="AC282" s="239">
        <v>0</v>
      </c>
      <c r="AD282" s="239">
        <v>-41130</v>
      </c>
      <c r="AE282" s="239">
        <v>3902</v>
      </c>
      <c r="AF282" s="239">
        <v>0</v>
      </c>
      <c r="AG282" s="239">
        <v>3902</v>
      </c>
      <c r="AH282" s="239">
        <v>673837</v>
      </c>
      <c r="AI282" s="239">
        <v>0</v>
      </c>
      <c r="AJ282" s="239">
        <v>673837</v>
      </c>
      <c r="AK282" s="239">
        <v>16174</v>
      </c>
      <c r="AL282" s="239">
        <v>0</v>
      </c>
      <c r="AM282" s="239">
        <v>16174</v>
      </c>
      <c r="AN282" s="239">
        <v>-2146643</v>
      </c>
      <c r="AO282" s="239">
        <v>0</v>
      </c>
      <c r="AP282" s="239">
        <v>-2146643</v>
      </c>
      <c r="AQ282" s="239">
        <v>56</v>
      </c>
      <c r="AR282" s="239">
        <v>0</v>
      </c>
      <c r="AS282" s="239">
        <v>56</v>
      </c>
      <c r="AT282" s="239">
        <v>-132613</v>
      </c>
      <c r="AU282" s="239">
        <v>0</v>
      </c>
      <c r="AV282" s="239">
        <v>-132613</v>
      </c>
      <c r="AW282" s="239">
        <v>0</v>
      </c>
      <c r="AX282" s="239">
        <v>0</v>
      </c>
      <c r="AY282" s="239">
        <v>0</v>
      </c>
      <c r="AZ282" s="239">
        <v>-44530</v>
      </c>
      <c r="BA282" s="239">
        <v>0</v>
      </c>
      <c r="BB282" s="239">
        <v>-44530</v>
      </c>
      <c r="BC282" s="239">
        <v>0</v>
      </c>
      <c r="BD282" s="239">
        <v>0</v>
      </c>
      <c r="BE282" s="239">
        <v>0</v>
      </c>
      <c r="BF282" s="239">
        <v>-6171286</v>
      </c>
      <c r="BG282" s="239">
        <v>0</v>
      </c>
      <c r="BH282" s="239">
        <v>-6171286</v>
      </c>
      <c r="BI282" s="239">
        <v>-4353</v>
      </c>
      <c r="BJ282" s="239">
        <v>0</v>
      </c>
      <c r="BK282" s="239">
        <v>-4353</v>
      </c>
      <c r="BL282" s="239">
        <v>0</v>
      </c>
      <c r="BM282" s="239">
        <v>0</v>
      </c>
      <c r="BN282" s="239">
        <v>0</v>
      </c>
      <c r="BO282" s="239">
        <v>-669710</v>
      </c>
      <c r="BP282" s="239">
        <v>0</v>
      </c>
      <c r="BQ282" s="239">
        <v>-669710</v>
      </c>
      <c r="BR282" s="239">
        <v>-28660</v>
      </c>
      <c r="BS282" s="239">
        <v>0</v>
      </c>
      <c r="BT282" s="239">
        <v>-28660</v>
      </c>
      <c r="BU282" s="239">
        <v>-702723</v>
      </c>
      <c r="BV282" s="239">
        <v>0</v>
      </c>
      <c r="BW282" s="239">
        <v>-702723</v>
      </c>
      <c r="BX282" s="239">
        <v>-32153</v>
      </c>
      <c r="BY282" s="239">
        <v>0</v>
      </c>
      <c r="BZ282" s="239">
        <v>-32153</v>
      </c>
      <c r="CA282" s="239">
        <v>28</v>
      </c>
      <c r="CB282" s="239">
        <v>0</v>
      </c>
      <c r="CC282" s="239">
        <v>28</v>
      </c>
      <c r="CD282" s="239">
        <v>-579</v>
      </c>
      <c r="CE282" s="239">
        <v>0</v>
      </c>
      <c r="CF282" s="239">
        <v>-579</v>
      </c>
      <c r="CG282" s="239">
        <v>0</v>
      </c>
      <c r="CH282" s="239">
        <v>0</v>
      </c>
      <c r="CI282" s="239">
        <v>0</v>
      </c>
      <c r="CJ282" s="239">
        <v>0</v>
      </c>
      <c r="CK282" s="239">
        <v>0</v>
      </c>
      <c r="CL282" s="239">
        <v>0</v>
      </c>
      <c r="CM282" s="239">
        <v>0</v>
      </c>
      <c r="CN282" s="239">
        <v>0</v>
      </c>
      <c r="CO282" s="239">
        <v>0</v>
      </c>
      <c r="CP282" s="239">
        <v>-44530</v>
      </c>
      <c r="CQ282" s="239">
        <v>0</v>
      </c>
      <c r="CR282" s="239">
        <v>-44530</v>
      </c>
      <c r="CS282" s="239">
        <v>0</v>
      </c>
      <c r="CT282" s="239">
        <v>0</v>
      </c>
      <c r="CU282" s="239">
        <v>0</v>
      </c>
      <c r="CV282" s="239">
        <v>0</v>
      </c>
      <c r="CW282" s="239">
        <v>0</v>
      </c>
      <c r="CX282" s="239">
        <v>0</v>
      </c>
      <c r="CY282" s="239">
        <v>0</v>
      </c>
      <c r="CZ282" s="239">
        <v>0</v>
      </c>
      <c r="DA282" s="239">
        <v>0</v>
      </c>
      <c r="DB282" s="239">
        <v>0</v>
      </c>
      <c r="DC282" s="239">
        <v>0</v>
      </c>
      <c r="DD282" s="239">
        <v>0</v>
      </c>
      <c r="DE282" s="239">
        <v>0</v>
      </c>
      <c r="DF282" s="239">
        <v>0</v>
      </c>
      <c r="DG282" s="239">
        <v>0</v>
      </c>
      <c r="DH282" s="239">
        <v>0</v>
      </c>
      <c r="DI282" s="239">
        <v>0</v>
      </c>
      <c r="DJ282" s="239">
        <v>-77234</v>
      </c>
      <c r="DK282" s="239">
        <v>0</v>
      </c>
      <c r="DL282" s="239">
        <v>-77234</v>
      </c>
      <c r="DM282" s="239">
        <v>0</v>
      </c>
      <c r="DN282" s="239">
        <v>0</v>
      </c>
      <c r="DO282" s="239">
        <v>0</v>
      </c>
      <c r="DP282" s="239">
        <v>0</v>
      </c>
      <c r="DQ282" s="239">
        <v>0</v>
      </c>
      <c r="DR282" s="239">
        <v>0</v>
      </c>
      <c r="DS282" s="239">
        <v>-12229</v>
      </c>
      <c r="DT282" s="239">
        <v>0</v>
      </c>
      <c r="DU282" s="239">
        <v>-12229</v>
      </c>
      <c r="DV282" s="239">
        <v>0</v>
      </c>
      <c r="DW282" s="239">
        <v>0</v>
      </c>
      <c r="DX282" s="239">
        <v>0</v>
      </c>
      <c r="DY282" s="239">
        <v>-730144</v>
      </c>
      <c r="DZ282" s="239">
        <v>0</v>
      </c>
      <c r="EA282" s="239">
        <v>-730144</v>
      </c>
      <c r="EB282" s="239">
        <v>-8576</v>
      </c>
      <c r="EC282" s="239">
        <v>0</v>
      </c>
      <c r="ED282" s="239">
        <v>-8576</v>
      </c>
      <c r="EE282" s="239">
        <v>0</v>
      </c>
      <c r="EF282" s="239">
        <v>0</v>
      </c>
      <c r="EG282" s="239">
        <v>0</v>
      </c>
      <c r="EH282" s="239">
        <v>0</v>
      </c>
      <c r="EI282" s="239">
        <v>0</v>
      </c>
      <c r="EJ282" s="239">
        <v>0</v>
      </c>
      <c r="EK282" s="239">
        <v>-16081</v>
      </c>
      <c r="EL282" s="239">
        <v>0</v>
      </c>
      <c r="EM282" s="239">
        <v>-16081</v>
      </c>
      <c r="EN282" s="239">
        <v>-767030</v>
      </c>
      <c r="EO282" s="239">
        <v>0</v>
      </c>
      <c r="EP282" s="239">
        <v>-767030</v>
      </c>
      <c r="EQ282" s="239">
        <v>0</v>
      </c>
      <c r="ER282" s="239">
        <v>0</v>
      </c>
      <c r="ES282" s="239">
        <v>0</v>
      </c>
      <c r="ET282" s="239">
        <v>0</v>
      </c>
      <c r="EU282" s="239">
        <v>0</v>
      </c>
      <c r="EV282" s="239">
        <v>0</v>
      </c>
      <c r="EW282" s="239">
        <v>0</v>
      </c>
      <c r="EX282" s="239">
        <v>0</v>
      </c>
      <c r="EY282" s="239">
        <v>0</v>
      </c>
      <c r="EZ282" s="239">
        <v>33938012</v>
      </c>
      <c r="FA282" s="239">
        <v>0</v>
      </c>
      <c r="FB282" s="239">
        <v>33938012</v>
      </c>
      <c r="FC282" s="239">
        <v>63126</v>
      </c>
      <c r="FD282" s="239">
        <v>0</v>
      </c>
      <c r="FE282" s="239">
        <v>63126</v>
      </c>
      <c r="FF282" s="239">
        <v>-6171286</v>
      </c>
      <c r="FG282" s="239">
        <v>0</v>
      </c>
      <c r="FH282" s="239">
        <v>-6171286</v>
      </c>
      <c r="FI282" s="239">
        <v>-702723</v>
      </c>
      <c r="FJ282" s="239">
        <v>0</v>
      </c>
      <c r="FK282" s="239">
        <v>-702723</v>
      </c>
      <c r="FL282" s="239">
        <v>-77234</v>
      </c>
      <c r="FM282" s="239">
        <v>0</v>
      </c>
      <c r="FN282" s="239">
        <v>-77234</v>
      </c>
      <c r="FO282" s="239">
        <v>-767030</v>
      </c>
      <c r="FP282" s="239">
        <v>0</v>
      </c>
      <c r="FQ282" s="239">
        <v>-767030</v>
      </c>
      <c r="FR282" s="239">
        <v>0</v>
      </c>
      <c r="FS282" s="239">
        <v>0</v>
      </c>
      <c r="FT282" s="239">
        <v>0</v>
      </c>
      <c r="FU282" s="239">
        <v>-7655147</v>
      </c>
      <c r="FV282" s="239">
        <v>0</v>
      </c>
      <c r="FW282" s="239">
        <v>-7655147</v>
      </c>
      <c r="FX282" s="239">
        <v>26282865</v>
      </c>
      <c r="FY282" s="239">
        <v>0</v>
      </c>
      <c r="FZ282" s="239">
        <v>26282865</v>
      </c>
      <c r="GA282" s="214" t="s">
        <v>1294</v>
      </c>
    </row>
    <row r="283" spans="2:183" s="214" customFormat="1" x14ac:dyDescent="0.2">
      <c r="B283" s="610" t="s">
        <v>649</v>
      </c>
      <c r="C283" s="610" t="s">
        <v>648</v>
      </c>
      <c r="D283" s="239">
        <v>0</v>
      </c>
      <c r="E283" s="239">
        <v>0</v>
      </c>
      <c r="F283" s="239">
        <v>0</v>
      </c>
      <c r="G283" s="239">
        <v>-397849</v>
      </c>
      <c r="H283" s="239">
        <v>0</v>
      </c>
      <c r="I283" s="239">
        <v>-397849</v>
      </c>
      <c r="J283" s="239">
        <v>0</v>
      </c>
      <c r="K283" s="239">
        <v>0</v>
      </c>
      <c r="L283" s="239">
        <v>0</v>
      </c>
      <c r="M283" s="239">
        <v>164051</v>
      </c>
      <c r="N283" s="239">
        <v>0</v>
      </c>
      <c r="O283" s="239">
        <v>164051</v>
      </c>
      <c r="P283" s="239">
        <v>-233798</v>
      </c>
      <c r="Q283" s="239">
        <v>0</v>
      </c>
      <c r="R283" s="239">
        <v>-233798</v>
      </c>
      <c r="S283" s="239">
        <v>-2582791</v>
      </c>
      <c r="T283" s="239">
        <v>0</v>
      </c>
      <c r="U283" s="239">
        <v>-2582791</v>
      </c>
      <c r="V283" s="239">
        <v>-19907</v>
      </c>
      <c r="W283" s="239">
        <v>0</v>
      </c>
      <c r="X283" s="239">
        <v>-19907</v>
      </c>
      <c r="Y283" s="239">
        <v>-107797</v>
      </c>
      <c r="Z283" s="239">
        <v>0</v>
      </c>
      <c r="AA283" s="239">
        <v>-107797</v>
      </c>
      <c r="AB283" s="239">
        <v>-107083</v>
      </c>
      <c r="AC283" s="239">
        <v>0</v>
      </c>
      <c r="AD283" s="239">
        <v>-107083</v>
      </c>
      <c r="AE283" s="239">
        <v>-714</v>
      </c>
      <c r="AF283" s="239">
        <v>0</v>
      </c>
      <c r="AG283" s="239">
        <v>-714</v>
      </c>
      <c r="AH283" s="239">
        <v>1313214</v>
      </c>
      <c r="AI283" s="239">
        <v>0</v>
      </c>
      <c r="AJ283" s="239">
        <v>1313214</v>
      </c>
      <c r="AK283" s="239">
        <v>4512</v>
      </c>
      <c r="AL283" s="239">
        <v>0</v>
      </c>
      <c r="AM283" s="239">
        <v>4512</v>
      </c>
      <c r="AN283" s="239">
        <v>-2698584</v>
      </c>
      <c r="AO283" s="239">
        <v>0</v>
      </c>
      <c r="AP283" s="239">
        <v>-2698584</v>
      </c>
      <c r="AQ283" s="239">
        <v>-116604</v>
      </c>
      <c r="AR283" s="239">
        <v>0</v>
      </c>
      <c r="AS283" s="239">
        <v>-116604</v>
      </c>
      <c r="AT283" s="239">
        <v>-77592</v>
      </c>
      <c r="AU283" s="239">
        <v>0</v>
      </c>
      <c r="AV283" s="239">
        <v>-77592</v>
      </c>
      <c r="AW283" s="239">
        <v>0</v>
      </c>
      <c r="AX283" s="239">
        <v>0</v>
      </c>
      <c r="AY283" s="239">
        <v>0</v>
      </c>
      <c r="AZ283" s="239">
        <v>-35798</v>
      </c>
      <c r="BA283" s="239">
        <v>0</v>
      </c>
      <c r="BB283" s="239">
        <v>-35798</v>
      </c>
      <c r="BC283" s="239">
        <v>-3758</v>
      </c>
      <c r="BD283" s="239">
        <v>0</v>
      </c>
      <c r="BE283" s="239">
        <v>-3758</v>
      </c>
      <c r="BF283" s="239">
        <v>-4305198</v>
      </c>
      <c r="BG283" s="239">
        <v>0</v>
      </c>
      <c r="BH283" s="239">
        <v>-4305198</v>
      </c>
      <c r="BI283" s="239">
        <v>-3734</v>
      </c>
      <c r="BJ283" s="239">
        <v>0</v>
      </c>
      <c r="BK283" s="239">
        <v>-3734</v>
      </c>
      <c r="BL283" s="239">
        <v>-19031</v>
      </c>
      <c r="BM283" s="239">
        <v>0</v>
      </c>
      <c r="BN283" s="239">
        <v>-19031</v>
      </c>
      <c r="BO283" s="239">
        <v>-1334629</v>
      </c>
      <c r="BP283" s="239">
        <v>0</v>
      </c>
      <c r="BQ283" s="239">
        <v>-1334629</v>
      </c>
      <c r="BR283" s="239">
        <v>-71241</v>
      </c>
      <c r="BS283" s="239">
        <v>0</v>
      </c>
      <c r="BT283" s="239">
        <v>-71241</v>
      </c>
      <c r="BU283" s="239">
        <v>-1428635</v>
      </c>
      <c r="BV283" s="239">
        <v>0</v>
      </c>
      <c r="BW283" s="239">
        <v>-1428635</v>
      </c>
      <c r="BX283" s="239">
        <v>-169559</v>
      </c>
      <c r="BY283" s="239">
        <v>0</v>
      </c>
      <c r="BZ283" s="239">
        <v>-169559</v>
      </c>
      <c r="CA283" s="239">
        <v>-644</v>
      </c>
      <c r="CB283" s="239">
        <v>0</v>
      </c>
      <c r="CC283" s="239">
        <v>-644</v>
      </c>
      <c r="CD283" s="239">
        <v>-115584</v>
      </c>
      <c r="CE283" s="239">
        <v>0</v>
      </c>
      <c r="CF283" s="239">
        <v>-115584</v>
      </c>
      <c r="CG283" s="239">
        <v>-50346</v>
      </c>
      <c r="CH283" s="239">
        <v>0</v>
      </c>
      <c r="CI283" s="239">
        <v>-50346</v>
      </c>
      <c r="CJ283" s="239">
        <v>-19398</v>
      </c>
      <c r="CK283" s="239">
        <v>0</v>
      </c>
      <c r="CL283" s="239">
        <v>-19398</v>
      </c>
      <c r="CM283" s="239">
        <v>0</v>
      </c>
      <c r="CN283" s="239">
        <v>0</v>
      </c>
      <c r="CO283" s="239">
        <v>0</v>
      </c>
      <c r="CP283" s="239">
        <v>-45770</v>
      </c>
      <c r="CQ283" s="239">
        <v>0</v>
      </c>
      <c r="CR283" s="239">
        <v>-45770</v>
      </c>
      <c r="CS283" s="239">
        <v>-9580</v>
      </c>
      <c r="CT283" s="239">
        <v>0</v>
      </c>
      <c r="CU283" s="239">
        <v>-9580</v>
      </c>
      <c r="CV283" s="239">
        <v>-35077</v>
      </c>
      <c r="CW283" s="239">
        <v>0</v>
      </c>
      <c r="CX283" s="239">
        <v>-35077</v>
      </c>
      <c r="CY283" s="239">
        <v>-3758</v>
      </c>
      <c r="CZ283" s="239">
        <v>0</v>
      </c>
      <c r="DA283" s="239">
        <v>-3758</v>
      </c>
      <c r="DB283" s="239">
        <v>0</v>
      </c>
      <c r="DC283" s="239">
        <v>0</v>
      </c>
      <c r="DD283" s="239">
        <v>0</v>
      </c>
      <c r="DE283" s="239">
        <v>0</v>
      </c>
      <c r="DF283" s="239">
        <v>0</v>
      </c>
      <c r="DG283" s="239">
        <v>0</v>
      </c>
      <c r="DH283" s="239">
        <v>0</v>
      </c>
      <c r="DI283" s="239">
        <v>0</v>
      </c>
      <c r="DJ283" s="239">
        <v>-449716</v>
      </c>
      <c r="DK283" s="239">
        <v>0</v>
      </c>
      <c r="DL283" s="239">
        <v>-449716</v>
      </c>
      <c r="DM283" s="239">
        <v>0</v>
      </c>
      <c r="DN283" s="239">
        <v>0</v>
      </c>
      <c r="DO283" s="239">
        <v>0</v>
      </c>
      <c r="DP283" s="239">
        <v>0</v>
      </c>
      <c r="DQ283" s="239">
        <v>0</v>
      </c>
      <c r="DR283" s="239">
        <v>0</v>
      </c>
      <c r="DS283" s="239">
        <v>-24158</v>
      </c>
      <c r="DT283" s="239">
        <v>0</v>
      </c>
      <c r="DU283" s="239">
        <v>-24158</v>
      </c>
      <c r="DV283" s="239">
        <v>-6121</v>
      </c>
      <c r="DW283" s="239">
        <v>0</v>
      </c>
      <c r="DX283" s="239">
        <v>-6121</v>
      </c>
      <c r="DY283" s="239">
        <v>-422073</v>
      </c>
      <c r="DZ283" s="239">
        <v>0</v>
      </c>
      <c r="EA283" s="239">
        <v>-422073</v>
      </c>
      <c r="EB283" s="239">
        <v>-30048</v>
      </c>
      <c r="EC283" s="239">
        <v>0</v>
      </c>
      <c r="ED283" s="239">
        <v>-30048</v>
      </c>
      <c r="EE283" s="239">
        <v>0</v>
      </c>
      <c r="EF283" s="239">
        <v>0</v>
      </c>
      <c r="EG283" s="239">
        <v>0</v>
      </c>
      <c r="EH283" s="239">
        <v>-568</v>
      </c>
      <c r="EI283" s="239">
        <v>0</v>
      </c>
      <c r="EJ283" s="239">
        <v>-568</v>
      </c>
      <c r="EK283" s="239">
        <v>0</v>
      </c>
      <c r="EL283" s="239">
        <v>0</v>
      </c>
      <c r="EM283" s="239">
        <v>0</v>
      </c>
      <c r="EN283" s="239">
        <v>-482968</v>
      </c>
      <c r="EO283" s="239">
        <v>0</v>
      </c>
      <c r="EP283" s="239">
        <v>-482968</v>
      </c>
      <c r="EQ283" s="239">
        <v>0</v>
      </c>
      <c r="ER283" s="239">
        <v>0</v>
      </c>
      <c r="ES283" s="239">
        <v>0</v>
      </c>
      <c r="ET283" s="239">
        <v>0</v>
      </c>
      <c r="EU283" s="239">
        <v>0</v>
      </c>
      <c r="EV283" s="239">
        <v>0</v>
      </c>
      <c r="EW283" s="239">
        <v>0</v>
      </c>
      <c r="EX283" s="239">
        <v>0</v>
      </c>
      <c r="EY283" s="239">
        <v>0</v>
      </c>
      <c r="EZ283" s="239">
        <v>55901681</v>
      </c>
      <c r="FA283" s="239">
        <v>0</v>
      </c>
      <c r="FB283" s="239">
        <v>55901681</v>
      </c>
      <c r="FC283" s="239">
        <v>-233798</v>
      </c>
      <c r="FD283" s="239">
        <v>0</v>
      </c>
      <c r="FE283" s="239">
        <v>-233798</v>
      </c>
      <c r="FF283" s="239">
        <v>-4305198</v>
      </c>
      <c r="FG283" s="239">
        <v>0</v>
      </c>
      <c r="FH283" s="239">
        <v>-4305198</v>
      </c>
      <c r="FI283" s="239">
        <v>-1428635</v>
      </c>
      <c r="FJ283" s="239">
        <v>0</v>
      </c>
      <c r="FK283" s="239">
        <v>-1428635</v>
      </c>
      <c r="FL283" s="239">
        <v>-449716</v>
      </c>
      <c r="FM283" s="239">
        <v>0</v>
      </c>
      <c r="FN283" s="239">
        <v>-449716</v>
      </c>
      <c r="FO283" s="239">
        <v>-482968</v>
      </c>
      <c r="FP283" s="239">
        <v>0</v>
      </c>
      <c r="FQ283" s="239">
        <v>-482968</v>
      </c>
      <c r="FR283" s="239">
        <v>0</v>
      </c>
      <c r="FS283" s="239">
        <v>0</v>
      </c>
      <c r="FT283" s="239">
        <v>0</v>
      </c>
      <c r="FU283" s="239">
        <v>-6900315</v>
      </c>
      <c r="FV283" s="239">
        <v>0</v>
      </c>
      <c r="FW283" s="239">
        <v>-6900315</v>
      </c>
      <c r="FX283" s="239">
        <v>49001366</v>
      </c>
      <c r="FY283" s="239">
        <v>0</v>
      </c>
      <c r="FZ283" s="239">
        <v>49001366</v>
      </c>
      <c r="GA283" s="214" t="s">
        <v>1294</v>
      </c>
    </row>
    <row r="284" spans="2:183" s="214" customFormat="1" x14ac:dyDescent="0.2">
      <c r="B284" s="610" t="s">
        <v>651</v>
      </c>
      <c r="C284" s="610" t="s">
        <v>650</v>
      </c>
      <c r="D284" s="239">
        <v>0</v>
      </c>
      <c r="E284" s="239">
        <v>0</v>
      </c>
      <c r="F284" s="239">
        <v>0</v>
      </c>
      <c r="G284" s="239">
        <v>-18176</v>
      </c>
      <c r="H284" s="239">
        <v>0</v>
      </c>
      <c r="I284" s="239">
        <v>-18176</v>
      </c>
      <c r="J284" s="239">
        <v>0</v>
      </c>
      <c r="K284" s="239">
        <v>0</v>
      </c>
      <c r="L284" s="239">
        <v>0</v>
      </c>
      <c r="M284" s="239">
        <v>-626118</v>
      </c>
      <c r="N284" s="239">
        <v>0</v>
      </c>
      <c r="O284" s="239">
        <v>-626118</v>
      </c>
      <c r="P284" s="239">
        <v>-644294</v>
      </c>
      <c r="Q284" s="239">
        <v>0</v>
      </c>
      <c r="R284" s="239">
        <v>-644294</v>
      </c>
      <c r="S284" s="239">
        <v>-1839724</v>
      </c>
      <c r="T284" s="239">
        <v>0</v>
      </c>
      <c r="U284" s="239">
        <v>-1839724</v>
      </c>
      <c r="V284" s="239">
        <v>0</v>
      </c>
      <c r="W284" s="239">
        <v>0</v>
      </c>
      <c r="X284" s="239">
        <v>0</v>
      </c>
      <c r="Y284" s="239">
        <v>-151613</v>
      </c>
      <c r="Z284" s="239">
        <v>0</v>
      </c>
      <c r="AA284" s="239">
        <v>-151613</v>
      </c>
      <c r="AB284" s="239">
        <v>-22202</v>
      </c>
      <c r="AC284" s="239">
        <v>0</v>
      </c>
      <c r="AD284" s="239">
        <v>-22202</v>
      </c>
      <c r="AE284" s="239">
        <v>0</v>
      </c>
      <c r="AF284" s="239">
        <v>0</v>
      </c>
      <c r="AG284" s="239">
        <v>0</v>
      </c>
      <c r="AH284" s="239">
        <v>994791</v>
      </c>
      <c r="AI284" s="239">
        <v>0</v>
      </c>
      <c r="AJ284" s="239">
        <v>994791</v>
      </c>
      <c r="AK284" s="239">
        <v>-88617</v>
      </c>
      <c r="AL284" s="239">
        <v>0</v>
      </c>
      <c r="AM284" s="239">
        <v>-88617</v>
      </c>
      <c r="AN284" s="239">
        <v>-1164507</v>
      </c>
      <c r="AO284" s="239">
        <v>0</v>
      </c>
      <c r="AP284" s="239">
        <v>-1164507</v>
      </c>
      <c r="AQ284" s="239">
        <v>4681</v>
      </c>
      <c r="AR284" s="239">
        <v>0</v>
      </c>
      <c r="AS284" s="239">
        <v>4681</v>
      </c>
      <c r="AT284" s="239">
        <v>-34687</v>
      </c>
      <c r="AU284" s="239">
        <v>0</v>
      </c>
      <c r="AV284" s="239">
        <v>-34687</v>
      </c>
      <c r="AW284" s="239">
        <v>0</v>
      </c>
      <c r="AX284" s="239">
        <v>0</v>
      </c>
      <c r="AY284" s="239">
        <v>0</v>
      </c>
      <c r="AZ284" s="239">
        <v>-9416</v>
      </c>
      <c r="BA284" s="239">
        <v>0</v>
      </c>
      <c r="BB284" s="239">
        <v>-9416</v>
      </c>
      <c r="BC284" s="239">
        <v>188</v>
      </c>
      <c r="BD284" s="239">
        <v>0</v>
      </c>
      <c r="BE284" s="239">
        <v>188</v>
      </c>
      <c r="BF284" s="239">
        <v>-2288904</v>
      </c>
      <c r="BG284" s="239">
        <v>0</v>
      </c>
      <c r="BH284" s="239">
        <v>-2288904</v>
      </c>
      <c r="BI284" s="239">
        <v>-5178</v>
      </c>
      <c r="BJ284" s="239">
        <v>0</v>
      </c>
      <c r="BK284" s="239">
        <v>-5178</v>
      </c>
      <c r="BL284" s="239">
        <v>-14658</v>
      </c>
      <c r="BM284" s="239">
        <v>0</v>
      </c>
      <c r="BN284" s="239">
        <v>-14658</v>
      </c>
      <c r="BO284" s="239">
        <v>-1336107</v>
      </c>
      <c r="BP284" s="239">
        <v>0</v>
      </c>
      <c r="BQ284" s="239">
        <v>-1336107</v>
      </c>
      <c r="BR284" s="239">
        <v>-121204</v>
      </c>
      <c r="BS284" s="239">
        <v>0</v>
      </c>
      <c r="BT284" s="239">
        <v>-121204</v>
      </c>
      <c r="BU284" s="239">
        <v>-1477147</v>
      </c>
      <c r="BV284" s="239">
        <v>0</v>
      </c>
      <c r="BW284" s="239">
        <v>-1477147</v>
      </c>
      <c r="BX284" s="239">
        <v>-43880</v>
      </c>
      <c r="BY284" s="239">
        <v>0</v>
      </c>
      <c r="BZ284" s="239">
        <v>-43880</v>
      </c>
      <c r="CA284" s="239">
        <v>945</v>
      </c>
      <c r="CB284" s="239">
        <v>0</v>
      </c>
      <c r="CC284" s="239">
        <v>945</v>
      </c>
      <c r="CD284" s="239">
        <v>-8918</v>
      </c>
      <c r="CE284" s="239">
        <v>0</v>
      </c>
      <c r="CF284" s="239">
        <v>-8918</v>
      </c>
      <c r="CG284" s="239">
        <v>0</v>
      </c>
      <c r="CH284" s="239">
        <v>0</v>
      </c>
      <c r="CI284" s="239">
        <v>0</v>
      </c>
      <c r="CJ284" s="239">
        <v>-375</v>
      </c>
      <c r="CK284" s="239">
        <v>0</v>
      </c>
      <c r="CL284" s="239">
        <v>-375</v>
      </c>
      <c r="CM284" s="239">
        <v>0</v>
      </c>
      <c r="CN284" s="239">
        <v>0</v>
      </c>
      <c r="CO284" s="239">
        <v>0</v>
      </c>
      <c r="CP284" s="239">
        <v>-9624</v>
      </c>
      <c r="CQ284" s="239">
        <v>0</v>
      </c>
      <c r="CR284" s="239">
        <v>-9624</v>
      </c>
      <c r="CS284" s="239">
        <v>-511</v>
      </c>
      <c r="CT284" s="239">
        <v>0</v>
      </c>
      <c r="CU284" s="239">
        <v>-511</v>
      </c>
      <c r="CV284" s="239">
        <v>0</v>
      </c>
      <c r="CW284" s="239">
        <v>0</v>
      </c>
      <c r="CX284" s="239">
        <v>0</v>
      </c>
      <c r="CY284" s="239">
        <v>0</v>
      </c>
      <c r="CZ284" s="239">
        <v>0</v>
      </c>
      <c r="DA284" s="239">
        <v>0</v>
      </c>
      <c r="DB284" s="239">
        <v>0</v>
      </c>
      <c r="DC284" s="239">
        <v>0</v>
      </c>
      <c r="DD284" s="239">
        <v>0</v>
      </c>
      <c r="DE284" s="239">
        <v>0</v>
      </c>
      <c r="DF284" s="239">
        <v>0</v>
      </c>
      <c r="DG284" s="239">
        <v>0</v>
      </c>
      <c r="DH284" s="239">
        <v>0</v>
      </c>
      <c r="DI284" s="239">
        <v>0</v>
      </c>
      <c r="DJ284" s="239">
        <v>-62363</v>
      </c>
      <c r="DK284" s="239">
        <v>0</v>
      </c>
      <c r="DL284" s="239">
        <v>-62363</v>
      </c>
      <c r="DM284" s="239">
        <v>0</v>
      </c>
      <c r="DN284" s="239">
        <v>0</v>
      </c>
      <c r="DO284" s="239">
        <v>0</v>
      </c>
      <c r="DP284" s="239">
        <v>0</v>
      </c>
      <c r="DQ284" s="239">
        <v>0</v>
      </c>
      <c r="DR284" s="239">
        <v>0</v>
      </c>
      <c r="DS284" s="239">
        <v>-21137</v>
      </c>
      <c r="DT284" s="239">
        <v>0</v>
      </c>
      <c r="DU284" s="239">
        <v>-21137</v>
      </c>
      <c r="DV284" s="239">
        <v>-4772</v>
      </c>
      <c r="DW284" s="239">
        <v>0</v>
      </c>
      <c r="DX284" s="239">
        <v>-4772</v>
      </c>
      <c r="DY284" s="239">
        <v>-306398</v>
      </c>
      <c r="DZ284" s="239">
        <v>0</v>
      </c>
      <c r="EA284" s="239">
        <v>-306398</v>
      </c>
      <c r="EB284" s="239">
        <v>-20217</v>
      </c>
      <c r="EC284" s="239">
        <v>0</v>
      </c>
      <c r="ED284" s="239">
        <v>-20217</v>
      </c>
      <c r="EE284" s="239">
        <v>0</v>
      </c>
      <c r="EF284" s="239">
        <v>0</v>
      </c>
      <c r="EG284" s="239">
        <v>0</v>
      </c>
      <c r="EH284" s="239">
        <v>0</v>
      </c>
      <c r="EI284" s="239">
        <v>0</v>
      </c>
      <c r="EJ284" s="239">
        <v>0</v>
      </c>
      <c r="EK284" s="239">
        <v>-4914</v>
      </c>
      <c r="EL284" s="239">
        <v>0</v>
      </c>
      <c r="EM284" s="239">
        <v>-4914</v>
      </c>
      <c r="EN284" s="239">
        <v>-357438</v>
      </c>
      <c r="EO284" s="239">
        <v>0</v>
      </c>
      <c r="EP284" s="239">
        <v>-357438</v>
      </c>
      <c r="EQ284" s="239">
        <v>0</v>
      </c>
      <c r="ER284" s="239">
        <v>0</v>
      </c>
      <c r="ES284" s="239">
        <v>0</v>
      </c>
      <c r="ET284" s="239">
        <v>0</v>
      </c>
      <c r="EU284" s="239">
        <v>0</v>
      </c>
      <c r="EV284" s="239">
        <v>0</v>
      </c>
      <c r="EW284" s="239">
        <v>0</v>
      </c>
      <c r="EX284" s="239">
        <v>0</v>
      </c>
      <c r="EY284" s="239">
        <v>0</v>
      </c>
      <c r="EZ284" s="239">
        <v>32513296</v>
      </c>
      <c r="FA284" s="239">
        <v>0</v>
      </c>
      <c r="FB284" s="239">
        <v>32513296</v>
      </c>
      <c r="FC284" s="239">
        <v>-644294</v>
      </c>
      <c r="FD284" s="239">
        <v>0</v>
      </c>
      <c r="FE284" s="239">
        <v>-644294</v>
      </c>
      <c r="FF284" s="239">
        <v>-2288904</v>
      </c>
      <c r="FG284" s="239">
        <v>0</v>
      </c>
      <c r="FH284" s="239">
        <v>-2288904</v>
      </c>
      <c r="FI284" s="239">
        <v>-1477147</v>
      </c>
      <c r="FJ284" s="239">
        <v>0</v>
      </c>
      <c r="FK284" s="239">
        <v>-1477147</v>
      </c>
      <c r="FL284" s="239">
        <v>-62363</v>
      </c>
      <c r="FM284" s="239">
        <v>0</v>
      </c>
      <c r="FN284" s="239">
        <v>-62363</v>
      </c>
      <c r="FO284" s="239">
        <v>-357438</v>
      </c>
      <c r="FP284" s="239">
        <v>0</v>
      </c>
      <c r="FQ284" s="239">
        <v>-357438</v>
      </c>
      <c r="FR284" s="239">
        <v>0</v>
      </c>
      <c r="FS284" s="239">
        <v>0</v>
      </c>
      <c r="FT284" s="239">
        <v>0</v>
      </c>
      <c r="FU284" s="239">
        <v>-4830146</v>
      </c>
      <c r="FV284" s="239">
        <v>0</v>
      </c>
      <c r="FW284" s="239">
        <v>-4830146</v>
      </c>
      <c r="FX284" s="239">
        <v>27683150</v>
      </c>
      <c r="FY284" s="239">
        <v>0</v>
      </c>
      <c r="FZ284" s="239">
        <v>27683150</v>
      </c>
      <c r="GA284" s="214" t="s">
        <v>1294</v>
      </c>
    </row>
    <row r="285" spans="2:183" s="214" customFormat="1" x14ac:dyDescent="0.2">
      <c r="B285" s="610" t="s">
        <v>653</v>
      </c>
      <c r="C285" s="610" t="s">
        <v>652</v>
      </c>
      <c r="D285" s="239">
        <v>0</v>
      </c>
      <c r="E285" s="239">
        <v>0</v>
      </c>
      <c r="F285" s="239">
        <v>0</v>
      </c>
      <c r="G285" s="239">
        <v>-119025</v>
      </c>
      <c r="H285" s="239">
        <v>0</v>
      </c>
      <c r="I285" s="239">
        <v>-119025</v>
      </c>
      <c r="J285" s="239">
        <v>0</v>
      </c>
      <c r="K285" s="239">
        <v>0</v>
      </c>
      <c r="L285" s="239">
        <v>0</v>
      </c>
      <c r="M285" s="239">
        <v>5952</v>
      </c>
      <c r="N285" s="239">
        <v>0</v>
      </c>
      <c r="O285" s="239">
        <v>5952</v>
      </c>
      <c r="P285" s="239">
        <v>-113073</v>
      </c>
      <c r="Q285" s="239">
        <v>0</v>
      </c>
      <c r="R285" s="239">
        <v>-113073</v>
      </c>
      <c r="S285" s="239">
        <v>-3886328</v>
      </c>
      <c r="T285" s="239">
        <v>0</v>
      </c>
      <c r="U285" s="239">
        <v>-3886328</v>
      </c>
      <c r="V285" s="239">
        <v>5404</v>
      </c>
      <c r="W285" s="239">
        <v>0</v>
      </c>
      <c r="X285" s="239">
        <v>5404</v>
      </c>
      <c r="Y285" s="239">
        <v>-128938</v>
      </c>
      <c r="Z285" s="239">
        <v>0</v>
      </c>
      <c r="AA285" s="239">
        <v>-128938</v>
      </c>
      <c r="AB285" s="239">
        <v>0</v>
      </c>
      <c r="AC285" s="239">
        <v>0</v>
      </c>
      <c r="AD285" s="239">
        <v>0</v>
      </c>
      <c r="AE285" s="239">
        <v>0</v>
      </c>
      <c r="AF285" s="239">
        <v>0</v>
      </c>
      <c r="AG285" s="239">
        <v>0</v>
      </c>
      <c r="AH285" s="239">
        <v>937896</v>
      </c>
      <c r="AI285" s="239">
        <v>0</v>
      </c>
      <c r="AJ285" s="239">
        <v>937896</v>
      </c>
      <c r="AK285" s="239">
        <v>-36565</v>
      </c>
      <c r="AL285" s="239">
        <v>0</v>
      </c>
      <c r="AM285" s="239">
        <v>-36565</v>
      </c>
      <c r="AN285" s="239">
        <v>-3773240</v>
      </c>
      <c r="AO285" s="239">
        <v>0</v>
      </c>
      <c r="AP285" s="239">
        <v>-3773240</v>
      </c>
      <c r="AQ285" s="239">
        <v>-113411</v>
      </c>
      <c r="AR285" s="239">
        <v>0</v>
      </c>
      <c r="AS285" s="239">
        <v>-113411</v>
      </c>
      <c r="AT285" s="239">
        <v>-39036</v>
      </c>
      <c r="AU285" s="239">
        <v>0</v>
      </c>
      <c r="AV285" s="239">
        <v>-39036</v>
      </c>
      <c r="AW285" s="239">
        <v>-2079</v>
      </c>
      <c r="AX285" s="239">
        <v>0</v>
      </c>
      <c r="AY285" s="239">
        <v>-2079</v>
      </c>
      <c r="AZ285" s="239">
        <v>-5066</v>
      </c>
      <c r="BA285" s="239">
        <v>0</v>
      </c>
      <c r="BB285" s="239">
        <v>-5066</v>
      </c>
      <c r="BC285" s="239">
        <v>0</v>
      </c>
      <c r="BD285" s="239">
        <v>0</v>
      </c>
      <c r="BE285" s="239">
        <v>0</v>
      </c>
      <c r="BF285" s="239">
        <v>-7046767</v>
      </c>
      <c r="BG285" s="239">
        <v>0</v>
      </c>
      <c r="BH285" s="239">
        <v>-7046767</v>
      </c>
      <c r="BI285" s="239">
        <v>0</v>
      </c>
      <c r="BJ285" s="239">
        <v>0</v>
      </c>
      <c r="BK285" s="239">
        <v>0</v>
      </c>
      <c r="BL285" s="239">
        <v>83527</v>
      </c>
      <c r="BM285" s="239">
        <v>0</v>
      </c>
      <c r="BN285" s="239">
        <v>83527</v>
      </c>
      <c r="BO285" s="239">
        <v>-1526463</v>
      </c>
      <c r="BP285" s="239">
        <v>0</v>
      </c>
      <c r="BQ285" s="239">
        <v>-1526463</v>
      </c>
      <c r="BR285" s="239">
        <v>33798</v>
      </c>
      <c r="BS285" s="239">
        <v>0</v>
      </c>
      <c r="BT285" s="239">
        <v>33798</v>
      </c>
      <c r="BU285" s="239">
        <v>-1409138</v>
      </c>
      <c r="BV285" s="239">
        <v>0</v>
      </c>
      <c r="BW285" s="239">
        <v>-1409138</v>
      </c>
      <c r="BX285" s="239">
        <v>-149559</v>
      </c>
      <c r="BY285" s="239">
        <v>0</v>
      </c>
      <c r="BZ285" s="239">
        <v>-149559</v>
      </c>
      <c r="CA285" s="239">
        <v>0</v>
      </c>
      <c r="CB285" s="239">
        <v>0</v>
      </c>
      <c r="CC285" s="239">
        <v>0</v>
      </c>
      <c r="CD285" s="239">
        <v>-39488</v>
      </c>
      <c r="CE285" s="239">
        <v>0</v>
      </c>
      <c r="CF285" s="239">
        <v>-39488</v>
      </c>
      <c r="CG285" s="239">
        <v>-5337</v>
      </c>
      <c r="CH285" s="239">
        <v>0</v>
      </c>
      <c r="CI285" s="239">
        <v>-5337</v>
      </c>
      <c r="CJ285" s="239">
        <v>0</v>
      </c>
      <c r="CK285" s="239">
        <v>0</v>
      </c>
      <c r="CL285" s="239">
        <v>0</v>
      </c>
      <c r="CM285" s="239">
        <v>0</v>
      </c>
      <c r="CN285" s="239">
        <v>0</v>
      </c>
      <c r="CO285" s="239">
        <v>0</v>
      </c>
      <c r="CP285" s="239">
        <v>-752</v>
      </c>
      <c r="CQ285" s="239">
        <v>0</v>
      </c>
      <c r="CR285" s="239">
        <v>-752</v>
      </c>
      <c r="CS285" s="239">
        <v>0</v>
      </c>
      <c r="CT285" s="239">
        <v>0</v>
      </c>
      <c r="CU285" s="239">
        <v>0</v>
      </c>
      <c r="CV285" s="239">
        <v>0</v>
      </c>
      <c r="CW285" s="239">
        <v>0</v>
      </c>
      <c r="CX285" s="239">
        <v>0</v>
      </c>
      <c r="CY285" s="239">
        <v>0</v>
      </c>
      <c r="CZ285" s="239">
        <v>0</v>
      </c>
      <c r="DA285" s="239">
        <v>0</v>
      </c>
      <c r="DB285" s="239">
        <v>0</v>
      </c>
      <c r="DC285" s="239">
        <v>0</v>
      </c>
      <c r="DD285" s="239">
        <v>0</v>
      </c>
      <c r="DE285" s="239">
        <v>0</v>
      </c>
      <c r="DF285" s="239">
        <v>0</v>
      </c>
      <c r="DG285" s="239">
        <v>0</v>
      </c>
      <c r="DH285" s="239">
        <v>0</v>
      </c>
      <c r="DI285" s="239">
        <v>0</v>
      </c>
      <c r="DJ285" s="239">
        <v>-195136</v>
      </c>
      <c r="DK285" s="239">
        <v>0</v>
      </c>
      <c r="DL285" s="239">
        <v>-195136</v>
      </c>
      <c r="DM285" s="239">
        <v>-22705</v>
      </c>
      <c r="DN285" s="239">
        <v>0</v>
      </c>
      <c r="DO285" s="239">
        <v>-22705</v>
      </c>
      <c r="DP285" s="239">
        <v>0</v>
      </c>
      <c r="DQ285" s="239">
        <v>0</v>
      </c>
      <c r="DR285" s="239">
        <v>0</v>
      </c>
      <c r="DS285" s="239">
        <v>-22024</v>
      </c>
      <c r="DT285" s="239">
        <v>0</v>
      </c>
      <c r="DU285" s="239">
        <v>-22024</v>
      </c>
      <c r="DV285" s="239">
        <v>357</v>
      </c>
      <c r="DW285" s="239">
        <v>0</v>
      </c>
      <c r="DX285" s="239">
        <v>357</v>
      </c>
      <c r="DY285" s="239">
        <v>-834089</v>
      </c>
      <c r="DZ285" s="239">
        <v>0</v>
      </c>
      <c r="EA285" s="239">
        <v>-834089</v>
      </c>
      <c r="EB285" s="239">
        <v>12985</v>
      </c>
      <c r="EC285" s="239">
        <v>0</v>
      </c>
      <c r="ED285" s="239">
        <v>12985</v>
      </c>
      <c r="EE285" s="239">
        <v>0</v>
      </c>
      <c r="EF285" s="239">
        <v>0</v>
      </c>
      <c r="EG285" s="239">
        <v>0</v>
      </c>
      <c r="EH285" s="239">
        <v>0</v>
      </c>
      <c r="EI285" s="239">
        <v>0</v>
      </c>
      <c r="EJ285" s="239">
        <v>0</v>
      </c>
      <c r="EK285" s="239">
        <v>-15941</v>
      </c>
      <c r="EL285" s="239">
        <v>0</v>
      </c>
      <c r="EM285" s="239">
        <v>-15941</v>
      </c>
      <c r="EN285" s="239">
        <v>-881417</v>
      </c>
      <c r="EO285" s="239">
        <v>0</v>
      </c>
      <c r="EP285" s="239">
        <v>-881417</v>
      </c>
      <c r="EQ285" s="239">
        <v>0</v>
      </c>
      <c r="ER285" s="239">
        <v>0</v>
      </c>
      <c r="ES285" s="239">
        <v>0</v>
      </c>
      <c r="ET285" s="239">
        <v>0</v>
      </c>
      <c r="EU285" s="239">
        <v>0</v>
      </c>
      <c r="EV285" s="239">
        <v>0</v>
      </c>
      <c r="EW285" s="239">
        <v>0</v>
      </c>
      <c r="EX285" s="239">
        <v>0</v>
      </c>
      <c r="EY285" s="239">
        <v>0</v>
      </c>
      <c r="EZ285" s="239">
        <v>41485907</v>
      </c>
      <c r="FA285" s="239">
        <v>0</v>
      </c>
      <c r="FB285" s="239">
        <v>41485907</v>
      </c>
      <c r="FC285" s="239">
        <v>-113073</v>
      </c>
      <c r="FD285" s="239">
        <v>0</v>
      </c>
      <c r="FE285" s="239">
        <v>-113073</v>
      </c>
      <c r="FF285" s="239">
        <v>-7046767</v>
      </c>
      <c r="FG285" s="239">
        <v>0</v>
      </c>
      <c r="FH285" s="239">
        <v>-7046767</v>
      </c>
      <c r="FI285" s="239">
        <v>-1409138</v>
      </c>
      <c r="FJ285" s="239">
        <v>0</v>
      </c>
      <c r="FK285" s="239">
        <v>-1409138</v>
      </c>
      <c r="FL285" s="239">
        <v>-195136</v>
      </c>
      <c r="FM285" s="239">
        <v>0</v>
      </c>
      <c r="FN285" s="239">
        <v>-195136</v>
      </c>
      <c r="FO285" s="239">
        <v>-881417</v>
      </c>
      <c r="FP285" s="239">
        <v>0</v>
      </c>
      <c r="FQ285" s="239">
        <v>-881417</v>
      </c>
      <c r="FR285" s="239">
        <v>0</v>
      </c>
      <c r="FS285" s="239">
        <v>0</v>
      </c>
      <c r="FT285" s="239">
        <v>0</v>
      </c>
      <c r="FU285" s="239">
        <v>-9645531</v>
      </c>
      <c r="FV285" s="239">
        <v>0</v>
      </c>
      <c r="FW285" s="239">
        <v>-9645531</v>
      </c>
      <c r="FX285" s="239">
        <v>31840376</v>
      </c>
      <c r="FY285" s="239">
        <v>0</v>
      </c>
      <c r="FZ285" s="239">
        <v>31840376</v>
      </c>
      <c r="GA285" s="214" t="s">
        <v>1294</v>
      </c>
    </row>
    <row r="286" spans="2:183" s="214" customFormat="1" x14ac:dyDescent="0.2">
      <c r="B286" s="610" t="s">
        <v>655</v>
      </c>
      <c r="C286" s="610" t="s">
        <v>654</v>
      </c>
      <c r="D286" s="239">
        <v>0</v>
      </c>
      <c r="E286" s="239">
        <v>0</v>
      </c>
      <c r="F286" s="239">
        <v>0</v>
      </c>
      <c r="G286" s="239">
        <v>13242</v>
      </c>
      <c r="H286" s="239">
        <v>0</v>
      </c>
      <c r="I286" s="239">
        <v>13242</v>
      </c>
      <c r="J286" s="239">
        <v>0</v>
      </c>
      <c r="K286" s="239">
        <v>0</v>
      </c>
      <c r="L286" s="239">
        <v>0</v>
      </c>
      <c r="M286" s="239">
        <v>33905</v>
      </c>
      <c r="N286" s="239">
        <v>0</v>
      </c>
      <c r="O286" s="239">
        <v>33905</v>
      </c>
      <c r="P286" s="239">
        <v>47147</v>
      </c>
      <c r="Q286" s="239">
        <v>0</v>
      </c>
      <c r="R286" s="239">
        <v>47147</v>
      </c>
      <c r="S286" s="239">
        <v>-954303</v>
      </c>
      <c r="T286" s="239">
        <v>0</v>
      </c>
      <c r="U286" s="239">
        <v>-954303</v>
      </c>
      <c r="V286" s="239">
        <v>0</v>
      </c>
      <c r="W286" s="239">
        <v>0</v>
      </c>
      <c r="X286" s="239">
        <v>0</v>
      </c>
      <c r="Y286" s="239">
        <v>-94913</v>
      </c>
      <c r="Z286" s="239">
        <v>0</v>
      </c>
      <c r="AA286" s="239">
        <v>-94913</v>
      </c>
      <c r="AB286" s="239">
        <v>-62377</v>
      </c>
      <c r="AC286" s="239">
        <v>0</v>
      </c>
      <c r="AD286" s="239">
        <v>-62377</v>
      </c>
      <c r="AE286" s="239">
        <v>0</v>
      </c>
      <c r="AF286" s="239">
        <v>0</v>
      </c>
      <c r="AG286" s="239">
        <v>0</v>
      </c>
      <c r="AH286" s="239">
        <v>780651</v>
      </c>
      <c r="AI286" s="239">
        <v>0</v>
      </c>
      <c r="AJ286" s="239">
        <v>780651</v>
      </c>
      <c r="AK286" s="239">
        <v>-5705</v>
      </c>
      <c r="AL286" s="239">
        <v>0</v>
      </c>
      <c r="AM286" s="239">
        <v>-5705</v>
      </c>
      <c r="AN286" s="239">
        <v>-2363780</v>
      </c>
      <c r="AO286" s="239">
        <v>0</v>
      </c>
      <c r="AP286" s="239">
        <v>-2363780</v>
      </c>
      <c r="AQ286" s="239">
        <v>-51783</v>
      </c>
      <c r="AR286" s="239">
        <v>0</v>
      </c>
      <c r="AS286" s="239">
        <v>-51783</v>
      </c>
      <c r="AT286" s="239">
        <v>-28235</v>
      </c>
      <c r="AU286" s="239">
        <v>0</v>
      </c>
      <c r="AV286" s="239">
        <v>-28235</v>
      </c>
      <c r="AW286" s="239">
        <v>0</v>
      </c>
      <c r="AX286" s="239">
        <v>0</v>
      </c>
      <c r="AY286" s="239">
        <v>0</v>
      </c>
      <c r="AZ286" s="239">
        <v>-1849</v>
      </c>
      <c r="BA286" s="239">
        <v>0</v>
      </c>
      <c r="BB286" s="239">
        <v>-1849</v>
      </c>
      <c r="BC286" s="239">
        <v>0</v>
      </c>
      <c r="BD286" s="239">
        <v>0</v>
      </c>
      <c r="BE286" s="239">
        <v>0</v>
      </c>
      <c r="BF286" s="239">
        <v>-2719917</v>
      </c>
      <c r="BG286" s="239">
        <v>0</v>
      </c>
      <c r="BH286" s="239">
        <v>-2719917</v>
      </c>
      <c r="BI286" s="239">
        <v>-12073</v>
      </c>
      <c r="BJ286" s="239">
        <v>0</v>
      </c>
      <c r="BK286" s="239">
        <v>-12073</v>
      </c>
      <c r="BL286" s="239">
        <v>1916</v>
      </c>
      <c r="BM286" s="239">
        <v>0</v>
      </c>
      <c r="BN286" s="239">
        <v>1916</v>
      </c>
      <c r="BO286" s="239">
        <v>-855680</v>
      </c>
      <c r="BP286" s="239">
        <v>0</v>
      </c>
      <c r="BQ286" s="239">
        <v>-855680</v>
      </c>
      <c r="BR286" s="239">
        <v>14436</v>
      </c>
      <c r="BS286" s="239">
        <v>0</v>
      </c>
      <c r="BT286" s="239">
        <v>14436</v>
      </c>
      <c r="BU286" s="239">
        <v>-851401</v>
      </c>
      <c r="BV286" s="239">
        <v>0</v>
      </c>
      <c r="BW286" s="239">
        <v>-851401</v>
      </c>
      <c r="BX286" s="239">
        <v>-129044</v>
      </c>
      <c r="BY286" s="239">
        <v>0</v>
      </c>
      <c r="BZ286" s="239">
        <v>-129044</v>
      </c>
      <c r="CA286" s="239">
        <v>184</v>
      </c>
      <c r="CB286" s="239">
        <v>0</v>
      </c>
      <c r="CC286" s="239">
        <v>184</v>
      </c>
      <c r="CD286" s="239">
        <v>-147009</v>
      </c>
      <c r="CE286" s="239">
        <v>0</v>
      </c>
      <c r="CF286" s="239">
        <v>-147009</v>
      </c>
      <c r="CG286" s="239">
        <v>0</v>
      </c>
      <c r="CH286" s="239">
        <v>0</v>
      </c>
      <c r="CI286" s="239">
        <v>0</v>
      </c>
      <c r="CJ286" s="239">
        <v>-7012</v>
      </c>
      <c r="CK286" s="239">
        <v>0</v>
      </c>
      <c r="CL286" s="239">
        <v>-7012</v>
      </c>
      <c r="CM286" s="239">
        <v>0</v>
      </c>
      <c r="CN286" s="239">
        <v>0</v>
      </c>
      <c r="CO286" s="239">
        <v>0</v>
      </c>
      <c r="CP286" s="239">
        <v>-1849</v>
      </c>
      <c r="CQ286" s="239">
        <v>0</v>
      </c>
      <c r="CR286" s="239">
        <v>-1849</v>
      </c>
      <c r="CS286" s="239">
        <v>0</v>
      </c>
      <c r="CT286" s="239">
        <v>0</v>
      </c>
      <c r="CU286" s="239">
        <v>0</v>
      </c>
      <c r="CV286" s="239">
        <v>0</v>
      </c>
      <c r="CW286" s="239">
        <v>0</v>
      </c>
      <c r="CX286" s="239">
        <v>0</v>
      </c>
      <c r="CY286" s="239">
        <v>0</v>
      </c>
      <c r="CZ286" s="239">
        <v>0</v>
      </c>
      <c r="DA286" s="239">
        <v>0</v>
      </c>
      <c r="DB286" s="239">
        <v>0</v>
      </c>
      <c r="DC286" s="239">
        <v>0</v>
      </c>
      <c r="DD286" s="239">
        <v>0</v>
      </c>
      <c r="DE286" s="239">
        <v>0</v>
      </c>
      <c r="DF286" s="239">
        <v>0</v>
      </c>
      <c r="DG286" s="239">
        <v>0</v>
      </c>
      <c r="DH286" s="239">
        <v>0</v>
      </c>
      <c r="DI286" s="239">
        <v>0</v>
      </c>
      <c r="DJ286" s="239">
        <v>-284730</v>
      </c>
      <c r="DK286" s="239">
        <v>0</v>
      </c>
      <c r="DL286" s="239">
        <v>-284730</v>
      </c>
      <c r="DM286" s="239">
        <v>0</v>
      </c>
      <c r="DN286" s="239">
        <v>0</v>
      </c>
      <c r="DO286" s="239">
        <v>0</v>
      </c>
      <c r="DP286" s="239">
        <v>0</v>
      </c>
      <c r="DQ286" s="239">
        <v>0</v>
      </c>
      <c r="DR286" s="239">
        <v>0</v>
      </c>
      <c r="DS286" s="239">
        <v>-3669</v>
      </c>
      <c r="DT286" s="239">
        <v>0</v>
      </c>
      <c r="DU286" s="239">
        <v>-3669</v>
      </c>
      <c r="DV286" s="239">
        <v>-2302</v>
      </c>
      <c r="DW286" s="239">
        <v>0</v>
      </c>
      <c r="DX286" s="239">
        <v>-2302</v>
      </c>
      <c r="DY286" s="239">
        <v>-529641</v>
      </c>
      <c r="DZ286" s="239">
        <v>0</v>
      </c>
      <c r="EA286" s="239">
        <v>-529641</v>
      </c>
      <c r="EB286" s="239">
        <v>5650</v>
      </c>
      <c r="EC286" s="239">
        <v>0</v>
      </c>
      <c r="ED286" s="239">
        <v>5650</v>
      </c>
      <c r="EE286" s="239">
        <v>0</v>
      </c>
      <c r="EF286" s="239">
        <v>0</v>
      </c>
      <c r="EG286" s="239">
        <v>0</v>
      </c>
      <c r="EH286" s="239">
        <v>0</v>
      </c>
      <c r="EI286" s="239">
        <v>0</v>
      </c>
      <c r="EJ286" s="239">
        <v>0</v>
      </c>
      <c r="EK286" s="239">
        <v>-9642</v>
      </c>
      <c r="EL286" s="239">
        <v>0</v>
      </c>
      <c r="EM286" s="239">
        <v>-9642</v>
      </c>
      <c r="EN286" s="239">
        <v>-539604</v>
      </c>
      <c r="EO286" s="239">
        <v>0</v>
      </c>
      <c r="EP286" s="239">
        <v>-539604</v>
      </c>
      <c r="EQ286" s="239">
        <v>0</v>
      </c>
      <c r="ER286" s="239">
        <v>0</v>
      </c>
      <c r="ES286" s="239">
        <v>0</v>
      </c>
      <c r="ET286" s="239">
        <v>0</v>
      </c>
      <c r="EU286" s="239">
        <v>0</v>
      </c>
      <c r="EV286" s="239">
        <v>0</v>
      </c>
      <c r="EW286" s="239">
        <v>0</v>
      </c>
      <c r="EX286" s="239">
        <v>0</v>
      </c>
      <c r="EY286" s="239">
        <v>0</v>
      </c>
      <c r="EZ286" s="239">
        <v>32756791</v>
      </c>
      <c r="FA286" s="239">
        <v>0</v>
      </c>
      <c r="FB286" s="239">
        <v>32756791</v>
      </c>
      <c r="FC286" s="239">
        <v>47147</v>
      </c>
      <c r="FD286" s="239">
        <v>0</v>
      </c>
      <c r="FE286" s="239">
        <v>47147</v>
      </c>
      <c r="FF286" s="239">
        <v>-2719917</v>
      </c>
      <c r="FG286" s="239">
        <v>0</v>
      </c>
      <c r="FH286" s="239">
        <v>-2719917</v>
      </c>
      <c r="FI286" s="239">
        <v>-851401</v>
      </c>
      <c r="FJ286" s="239">
        <v>0</v>
      </c>
      <c r="FK286" s="239">
        <v>-851401</v>
      </c>
      <c r="FL286" s="239">
        <v>-284730</v>
      </c>
      <c r="FM286" s="239">
        <v>0</v>
      </c>
      <c r="FN286" s="239">
        <v>-284730</v>
      </c>
      <c r="FO286" s="239">
        <v>-539604</v>
      </c>
      <c r="FP286" s="239">
        <v>0</v>
      </c>
      <c r="FQ286" s="239">
        <v>-539604</v>
      </c>
      <c r="FR286" s="239">
        <v>0</v>
      </c>
      <c r="FS286" s="239">
        <v>0</v>
      </c>
      <c r="FT286" s="239">
        <v>0</v>
      </c>
      <c r="FU286" s="239">
        <v>-4348505</v>
      </c>
      <c r="FV286" s="239">
        <v>0</v>
      </c>
      <c r="FW286" s="239">
        <v>-4348505</v>
      </c>
      <c r="FX286" s="239">
        <v>28408286</v>
      </c>
      <c r="FY286" s="239">
        <v>0</v>
      </c>
      <c r="FZ286" s="239">
        <v>28408286</v>
      </c>
      <c r="GA286" s="214" t="s">
        <v>1294</v>
      </c>
    </row>
    <row r="287" spans="2:183" s="214" customFormat="1" x14ac:dyDescent="0.2">
      <c r="B287" s="610" t="s">
        <v>657</v>
      </c>
      <c r="C287" s="610" t="s">
        <v>656</v>
      </c>
      <c r="D287" s="239">
        <v>0</v>
      </c>
      <c r="E287" s="239">
        <v>0</v>
      </c>
      <c r="F287" s="239">
        <v>0</v>
      </c>
      <c r="G287" s="239">
        <v>33893</v>
      </c>
      <c r="H287" s="239">
        <v>0</v>
      </c>
      <c r="I287" s="239">
        <v>33893</v>
      </c>
      <c r="J287" s="239">
        <v>0</v>
      </c>
      <c r="K287" s="239">
        <v>0</v>
      </c>
      <c r="L287" s="239">
        <v>0</v>
      </c>
      <c r="M287" s="239">
        <v>418420</v>
      </c>
      <c r="N287" s="239">
        <v>0</v>
      </c>
      <c r="O287" s="239">
        <v>418420</v>
      </c>
      <c r="P287" s="239">
        <v>452313</v>
      </c>
      <c r="Q287" s="239">
        <v>0</v>
      </c>
      <c r="R287" s="239">
        <v>452313</v>
      </c>
      <c r="S287" s="239">
        <v>-2261137</v>
      </c>
      <c r="T287" s="239">
        <v>0</v>
      </c>
      <c r="U287" s="239">
        <v>-2261137</v>
      </c>
      <c r="V287" s="239">
        <v>-12082</v>
      </c>
      <c r="W287" s="239">
        <v>0</v>
      </c>
      <c r="X287" s="239">
        <v>-12082</v>
      </c>
      <c r="Y287" s="239">
        <v>-74387</v>
      </c>
      <c r="Z287" s="239">
        <v>0</v>
      </c>
      <c r="AA287" s="239">
        <v>-74387</v>
      </c>
      <c r="AB287" s="239">
        <v>-403</v>
      </c>
      <c r="AC287" s="239">
        <v>0</v>
      </c>
      <c r="AD287" s="239">
        <v>-403</v>
      </c>
      <c r="AE287" s="239">
        <v>0</v>
      </c>
      <c r="AF287" s="239">
        <v>0</v>
      </c>
      <c r="AG287" s="239">
        <v>0</v>
      </c>
      <c r="AH287" s="239">
        <v>3207892</v>
      </c>
      <c r="AI287" s="239">
        <v>0</v>
      </c>
      <c r="AJ287" s="239">
        <v>3207892</v>
      </c>
      <c r="AK287" s="239">
        <v>263802</v>
      </c>
      <c r="AL287" s="239">
        <v>0</v>
      </c>
      <c r="AM287" s="239">
        <v>263802</v>
      </c>
      <c r="AN287" s="239">
        <v>-3953907</v>
      </c>
      <c r="AO287" s="239">
        <v>0</v>
      </c>
      <c r="AP287" s="239">
        <v>-3953907</v>
      </c>
      <c r="AQ287" s="239">
        <v>-300065</v>
      </c>
      <c r="AR287" s="239">
        <v>0</v>
      </c>
      <c r="AS287" s="239">
        <v>-300065</v>
      </c>
      <c r="AT287" s="239">
        <v>-34658</v>
      </c>
      <c r="AU287" s="239">
        <v>0</v>
      </c>
      <c r="AV287" s="239">
        <v>-34658</v>
      </c>
      <c r="AW287" s="239">
        <v>0</v>
      </c>
      <c r="AX287" s="239">
        <v>0</v>
      </c>
      <c r="AY287" s="239">
        <v>0</v>
      </c>
      <c r="AZ287" s="239">
        <v>0</v>
      </c>
      <c r="BA287" s="239">
        <v>0</v>
      </c>
      <c r="BB287" s="239">
        <v>0</v>
      </c>
      <c r="BC287" s="239">
        <v>0</v>
      </c>
      <c r="BD287" s="239">
        <v>0</v>
      </c>
      <c r="BE287" s="239">
        <v>0</v>
      </c>
      <c r="BF287" s="239">
        <v>-3152460</v>
      </c>
      <c r="BG287" s="239">
        <v>0</v>
      </c>
      <c r="BH287" s="239">
        <v>-3152460</v>
      </c>
      <c r="BI287" s="239">
        <v>-73719</v>
      </c>
      <c r="BJ287" s="239">
        <v>0</v>
      </c>
      <c r="BK287" s="239">
        <v>-73719</v>
      </c>
      <c r="BL287" s="239">
        <v>-82177</v>
      </c>
      <c r="BM287" s="239">
        <v>0</v>
      </c>
      <c r="BN287" s="239">
        <v>-82177</v>
      </c>
      <c r="BO287" s="239">
        <v>-10864462</v>
      </c>
      <c r="BP287" s="239">
        <v>0</v>
      </c>
      <c r="BQ287" s="239">
        <v>-10864462</v>
      </c>
      <c r="BR287" s="239">
        <v>472342</v>
      </c>
      <c r="BS287" s="239">
        <v>0</v>
      </c>
      <c r="BT287" s="239">
        <v>472342</v>
      </c>
      <c r="BU287" s="239">
        <v>-10548016</v>
      </c>
      <c r="BV287" s="239">
        <v>0</v>
      </c>
      <c r="BW287" s="239">
        <v>-10548016</v>
      </c>
      <c r="BX287" s="239">
        <v>-45506</v>
      </c>
      <c r="BY287" s="239">
        <v>0</v>
      </c>
      <c r="BZ287" s="239">
        <v>-45506</v>
      </c>
      <c r="CA287" s="239">
        <v>11</v>
      </c>
      <c r="CB287" s="239">
        <v>0</v>
      </c>
      <c r="CC287" s="239">
        <v>11</v>
      </c>
      <c r="CD287" s="239">
        <v>-29625</v>
      </c>
      <c r="CE287" s="239">
        <v>0</v>
      </c>
      <c r="CF287" s="239">
        <v>-29625</v>
      </c>
      <c r="CG287" s="239">
        <v>-29441</v>
      </c>
      <c r="CH287" s="239">
        <v>0</v>
      </c>
      <c r="CI287" s="239">
        <v>-29441</v>
      </c>
      <c r="CJ287" s="239">
        <v>-934</v>
      </c>
      <c r="CK287" s="239">
        <v>0</v>
      </c>
      <c r="CL287" s="239">
        <v>-934</v>
      </c>
      <c r="CM287" s="239">
        <v>0</v>
      </c>
      <c r="CN287" s="239">
        <v>0</v>
      </c>
      <c r="CO287" s="239">
        <v>0</v>
      </c>
      <c r="CP287" s="239">
        <v>0</v>
      </c>
      <c r="CQ287" s="239">
        <v>0</v>
      </c>
      <c r="CR287" s="239">
        <v>0</v>
      </c>
      <c r="CS287" s="239">
        <v>0</v>
      </c>
      <c r="CT287" s="239">
        <v>0</v>
      </c>
      <c r="CU287" s="239">
        <v>0</v>
      </c>
      <c r="CV287" s="239">
        <v>0</v>
      </c>
      <c r="CW287" s="239">
        <v>0</v>
      </c>
      <c r="CX287" s="239">
        <v>0</v>
      </c>
      <c r="CY287" s="239">
        <v>0</v>
      </c>
      <c r="CZ287" s="239">
        <v>0</v>
      </c>
      <c r="DA287" s="239">
        <v>0</v>
      </c>
      <c r="DB287" s="239">
        <v>0</v>
      </c>
      <c r="DC287" s="239">
        <v>0</v>
      </c>
      <c r="DD287" s="239">
        <v>0</v>
      </c>
      <c r="DE287" s="239">
        <v>0</v>
      </c>
      <c r="DF287" s="239">
        <v>0</v>
      </c>
      <c r="DG287" s="239">
        <v>0</v>
      </c>
      <c r="DH287" s="239">
        <v>0</v>
      </c>
      <c r="DI287" s="239">
        <v>0</v>
      </c>
      <c r="DJ287" s="239">
        <v>-105495</v>
      </c>
      <c r="DK287" s="239">
        <v>0</v>
      </c>
      <c r="DL287" s="239">
        <v>-105495</v>
      </c>
      <c r="DM287" s="239">
        <v>0</v>
      </c>
      <c r="DN287" s="239">
        <v>0</v>
      </c>
      <c r="DO287" s="239">
        <v>0</v>
      </c>
      <c r="DP287" s="239">
        <v>0</v>
      </c>
      <c r="DQ287" s="239">
        <v>0</v>
      </c>
      <c r="DR287" s="239">
        <v>0</v>
      </c>
      <c r="DS287" s="239">
        <v>-1882</v>
      </c>
      <c r="DT287" s="239">
        <v>0</v>
      </c>
      <c r="DU287" s="239">
        <v>-1882</v>
      </c>
      <c r="DV287" s="239">
        <v>0</v>
      </c>
      <c r="DW287" s="239">
        <v>0</v>
      </c>
      <c r="DX287" s="239">
        <v>0</v>
      </c>
      <c r="DY287" s="239">
        <v>-403145</v>
      </c>
      <c r="DZ287" s="239">
        <v>0</v>
      </c>
      <c r="EA287" s="239">
        <v>-403145</v>
      </c>
      <c r="EB287" s="239">
        <v>-12398</v>
      </c>
      <c r="EC287" s="239">
        <v>0</v>
      </c>
      <c r="ED287" s="239">
        <v>-12398</v>
      </c>
      <c r="EE287" s="239">
        <v>0</v>
      </c>
      <c r="EF287" s="239">
        <v>0</v>
      </c>
      <c r="EG287" s="239">
        <v>0</v>
      </c>
      <c r="EH287" s="239">
        <v>0</v>
      </c>
      <c r="EI287" s="239">
        <v>0</v>
      </c>
      <c r="EJ287" s="239">
        <v>0</v>
      </c>
      <c r="EK287" s="239">
        <v>-14741</v>
      </c>
      <c r="EL287" s="239">
        <v>0</v>
      </c>
      <c r="EM287" s="239">
        <v>-14741</v>
      </c>
      <c r="EN287" s="239">
        <v>-432166</v>
      </c>
      <c r="EO287" s="239">
        <v>0</v>
      </c>
      <c r="EP287" s="239">
        <v>-432166</v>
      </c>
      <c r="EQ287" s="239">
        <v>0</v>
      </c>
      <c r="ER287" s="239">
        <v>0</v>
      </c>
      <c r="ES287" s="239">
        <v>0</v>
      </c>
      <c r="ET287" s="239">
        <v>0</v>
      </c>
      <c r="EU287" s="239">
        <v>0</v>
      </c>
      <c r="EV287" s="239">
        <v>0</v>
      </c>
      <c r="EW287" s="239">
        <v>0</v>
      </c>
      <c r="EX287" s="239">
        <v>0</v>
      </c>
      <c r="EY287" s="239">
        <v>0</v>
      </c>
      <c r="EZ287" s="239">
        <v>119917531</v>
      </c>
      <c r="FA287" s="239">
        <v>0</v>
      </c>
      <c r="FB287" s="239">
        <v>119917531</v>
      </c>
      <c r="FC287" s="239">
        <v>452313</v>
      </c>
      <c r="FD287" s="239">
        <v>0</v>
      </c>
      <c r="FE287" s="239">
        <v>452313</v>
      </c>
      <c r="FF287" s="239">
        <v>-3152460</v>
      </c>
      <c r="FG287" s="239">
        <v>0</v>
      </c>
      <c r="FH287" s="239">
        <v>-3152460</v>
      </c>
      <c r="FI287" s="239">
        <v>-10548016</v>
      </c>
      <c r="FJ287" s="239">
        <v>0</v>
      </c>
      <c r="FK287" s="239">
        <v>-10548016</v>
      </c>
      <c r="FL287" s="239">
        <v>-105495</v>
      </c>
      <c r="FM287" s="239">
        <v>0</v>
      </c>
      <c r="FN287" s="239">
        <v>-105495</v>
      </c>
      <c r="FO287" s="239">
        <v>-432166</v>
      </c>
      <c r="FP287" s="239">
        <v>0</v>
      </c>
      <c r="FQ287" s="239">
        <v>-432166</v>
      </c>
      <c r="FR287" s="239">
        <v>0</v>
      </c>
      <c r="FS287" s="239">
        <v>0</v>
      </c>
      <c r="FT287" s="239">
        <v>0</v>
      </c>
      <c r="FU287" s="239">
        <v>-13785824</v>
      </c>
      <c r="FV287" s="239">
        <v>0</v>
      </c>
      <c r="FW287" s="239">
        <v>-13785824</v>
      </c>
      <c r="FX287" s="239">
        <v>106131707</v>
      </c>
      <c r="FY287" s="239">
        <v>0</v>
      </c>
      <c r="FZ287" s="239">
        <v>106131707</v>
      </c>
      <c r="GA287" s="214" t="s">
        <v>748</v>
      </c>
    </row>
    <row r="288" spans="2:183" s="214" customFormat="1" x14ac:dyDescent="0.2">
      <c r="B288" s="610" t="s">
        <v>659</v>
      </c>
      <c r="C288" s="610" t="s">
        <v>658</v>
      </c>
      <c r="D288" s="239">
        <v>0</v>
      </c>
      <c r="E288" s="239">
        <v>0</v>
      </c>
      <c r="F288" s="239">
        <v>0</v>
      </c>
      <c r="G288" s="239">
        <v>51680</v>
      </c>
      <c r="H288" s="239">
        <v>0</v>
      </c>
      <c r="I288" s="239">
        <v>51680</v>
      </c>
      <c r="J288" s="239">
        <v>0</v>
      </c>
      <c r="K288" s="239">
        <v>0</v>
      </c>
      <c r="L288" s="239">
        <v>0</v>
      </c>
      <c r="M288" s="239">
        <v>0</v>
      </c>
      <c r="N288" s="239">
        <v>0</v>
      </c>
      <c r="O288" s="239">
        <v>0</v>
      </c>
      <c r="P288" s="239">
        <v>51680</v>
      </c>
      <c r="Q288" s="239">
        <v>0</v>
      </c>
      <c r="R288" s="239">
        <v>51680</v>
      </c>
      <c r="S288" s="239">
        <v>-1784863</v>
      </c>
      <c r="T288" s="239">
        <v>0</v>
      </c>
      <c r="U288" s="239">
        <v>-1784863</v>
      </c>
      <c r="V288" s="239">
        <v>0</v>
      </c>
      <c r="W288" s="239">
        <v>0</v>
      </c>
      <c r="X288" s="239">
        <v>0</v>
      </c>
      <c r="Y288" s="239">
        <v>-71382</v>
      </c>
      <c r="Z288" s="239">
        <v>0</v>
      </c>
      <c r="AA288" s="239">
        <v>-71382</v>
      </c>
      <c r="AB288" s="239">
        <v>-40265</v>
      </c>
      <c r="AC288" s="239">
        <v>0</v>
      </c>
      <c r="AD288" s="239">
        <v>-40265</v>
      </c>
      <c r="AE288" s="239">
        <v>0</v>
      </c>
      <c r="AF288" s="239">
        <v>0</v>
      </c>
      <c r="AG288" s="239">
        <v>0</v>
      </c>
      <c r="AH288" s="239">
        <v>1576013</v>
      </c>
      <c r="AI288" s="239">
        <v>0</v>
      </c>
      <c r="AJ288" s="239">
        <v>1576013</v>
      </c>
      <c r="AK288" s="239">
        <v>3155</v>
      </c>
      <c r="AL288" s="239">
        <v>0</v>
      </c>
      <c r="AM288" s="239">
        <v>3155</v>
      </c>
      <c r="AN288" s="239">
        <v>-4732755</v>
      </c>
      <c r="AO288" s="239">
        <v>0</v>
      </c>
      <c r="AP288" s="239">
        <v>-4732755</v>
      </c>
      <c r="AQ288" s="239">
        <v>-8995</v>
      </c>
      <c r="AR288" s="239">
        <v>0</v>
      </c>
      <c r="AS288" s="239">
        <v>-8995</v>
      </c>
      <c r="AT288" s="239">
        <v>-83937</v>
      </c>
      <c r="AU288" s="239">
        <v>0</v>
      </c>
      <c r="AV288" s="239">
        <v>-83937</v>
      </c>
      <c r="AW288" s="239">
        <v>0</v>
      </c>
      <c r="AX288" s="239">
        <v>0</v>
      </c>
      <c r="AY288" s="239">
        <v>0</v>
      </c>
      <c r="AZ288" s="239">
        <v>-9034</v>
      </c>
      <c r="BA288" s="239">
        <v>0</v>
      </c>
      <c r="BB288" s="239">
        <v>-9034</v>
      </c>
      <c r="BC288" s="239">
        <v>0</v>
      </c>
      <c r="BD288" s="239">
        <v>0</v>
      </c>
      <c r="BE288" s="239">
        <v>0</v>
      </c>
      <c r="BF288" s="239">
        <v>-5111798</v>
      </c>
      <c r="BG288" s="239">
        <v>0</v>
      </c>
      <c r="BH288" s="239">
        <v>-5111798</v>
      </c>
      <c r="BI288" s="239">
        <v>-291075</v>
      </c>
      <c r="BJ288" s="239">
        <v>0</v>
      </c>
      <c r="BK288" s="239">
        <v>-291075</v>
      </c>
      <c r="BL288" s="239">
        <v>-120072</v>
      </c>
      <c r="BM288" s="239">
        <v>0</v>
      </c>
      <c r="BN288" s="239">
        <v>-120072</v>
      </c>
      <c r="BO288" s="239">
        <v>-3302373</v>
      </c>
      <c r="BP288" s="239">
        <v>0</v>
      </c>
      <c r="BQ288" s="239">
        <v>-3302373</v>
      </c>
      <c r="BR288" s="239">
        <v>174469</v>
      </c>
      <c r="BS288" s="239">
        <v>0</v>
      </c>
      <c r="BT288" s="239">
        <v>174469</v>
      </c>
      <c r="BU288" s="239">
        <v>-3539051</v>
      </c>
      <c r="BV288" s="239">
        <v>0</v>
      </c>
      <c r="BW288" s="239">
        <v>-3539051</v>
      </c>
      <c r="BX288" s="239">
        <v>-133135</v>
      </c>
      <c r="BY288" s="239">
        <v>0</v>
      </c>
      <c r="BZ288" s="239">
        <v>-133135</v>
      </c>
      <c r="CA288" s="239">
        <v>-72</v>
      </c>
      <c r="CB288" s="239">
        <v>0</v>
      </c>
      <c r="CC288" s="239">
        <v>-72</v>
      </c>
      <c r="CD288" s="239">
        <v>-28472</v>
      </c>
      <c r="CE288" s="239">
        <v>0</v>
      </c>
      <c r="CF288" s="239">
        <v>-28472</v>
      </c>
      <c r="CG288" s="239">
        <v>0</v>
      </c>
      <c r="CH288" s="239">
        <v>0</v>
      </c>
      <c r="CI288" s="239">
        <v>0</v>
      </c>
      <c r="CJ288" s="239">
        <v>-16918</v>
      </c>
      <c r="CK288" s="239">
        <v>0</v>
      </c>
      <c r="CL288" s="239">
        <v>-16918</v>
      </c>
      <c r="CM288" s="239">
        <v>0</v>
      </c>
      <c r="CN288" s="239">
        <v>0</v>
      </c>
      <c r="CO288" s="239">
        <v>0</v>
      </c>
      <c r="CP288" s="239">
        <v>-1368</v>
      </c>
      <c r="CQ288" s="239">
        <v>0</v>
      </c>
      <c r="CR288" s="239">
        <v>-1368</v>
      </c>
      <c r="CS288" s="239">
        <v>0</v>
      </c>
      <c r="CT288" s="239">
        <v>0</v>
      </c>
      <c r="CU288" s="239">
        <v>0</v>
      </c>
      <c r="CV288" s="239">
        <v>-17624</v>
      </c>
      <c r="CW288" s="239">
        <v>0</v>
      </c>
      <c r="CX288" s="239">
        <v>-17624</v>
      </c>
      <c r="CY288" s="239">
        <v>0</v>
      </c>
      <c r="CZ288" s="239">
        <v>0</v>
      </c>
      <c r="DA288" s="239">
        <v>0</v>
      </c>
      <c r="DB288" s="239">
        <v>0</v>
      </c>
      <c r="DC288" s="239">
        <v>0</v>
      </c>
      <c r="DD288" s="239">
        <v>0</v>
      </c>
      <c r="DE288" s="239">
        <v>0</v>
      </c>
      <c r="DF288" s="239">
        <v>0</v>
      </c>
      <c r="DG288" s="239">
        <v>0</v>
      </c>
      <c r="DH288" s="239">
        <v>0</v>
      </c>
      <c r="DI288" s="239">
        <v>0</v>
      </c>
      <c r="DJ288" s="239">
        <v>-197589</v>
      </c>
      <c r="DK288" s="239">
        <v>0</v>
      </c>
      <c r="DL288" s="239">
        <v>-197589</v>
      </c>
      <c r="DM288" s="239">
        <v>-14323</v>
      </c>
      <c r="DN288" s="239">
        <v>0</v>
      </c>
      <c r="DO288" s="239">
        <v>-14323</v>
      </c>
      <c r="DP288" s="239">
        <v>1459</v>
      </c>
      <c r="DQ288" s="239">
        <v>0</v>
      </c>
      <c r="DR288" s="239">
        <v>1459</v>
      </c>
      <c r="DS288" s="239">
        <v>-18622</v>
      </c>
      <c r="DT288" s="239">
        <v>0</v>
      </c>
      <c r="DU288" s="239">
        <v>-18622</v>
      </c>
      <c r="DV288" s="239">
        <v>-1058</v>
      </c>
      <c r="DW288" s="239">
        <v>0</v>
      </c>
      <c r="DX288" s="239">
        <v>-1058</v>
      </c>
      <c r="DY288" s="239">
        <v>-577714</v>
      </c>
      <c r="DZ288" s="239">
        <v>0</v>
      </c>
      <c r="EA288" s="239">
        <v>-577714</v>
      </c>
      <c r="EB288" s="239">
        <v>1555</v>
      </c>
      <c r="EC288" s="239">
        <v>0</v>
      </c>
      <c r="ED288" s="239">
        <v>1555</v>
      </c>
      <c r="EE288" s="239">
        <v>0</v>
      </c>
      <c r="EF288" s="239">
        <v>0</v>
      </c>
      <c r="EG288" s="239">
        <v>0</v>
      </c>
      <c r="EH288" s="239">
        <v>352</v>
      </c>
      <c r="EI288" s="239">
        <v>0</v>
      </c>
      <c r="EJ288" s="239">
        <v>352</v>
      </c>
      <c r="EK288" s="239">
        <v>0</v>
      </c>
      <c r="EL288" s="239">
        <v>0</v>
      </c>
      <c r="EM288" s="239">
        <v>0</v>
      </c>
      <c r="EN288" s="239">
        <v>-608351</v>
      </c>
      <c r="EO288" s="239">
        <v>0</v>
      </c>
      <c r="EP288" s="239">
        <v>-608351</v>
      </c>
      <c r="EQ288" s="239">
        <v>0</v>
      </c>
      <c r="ER288" s="239">
        <v>0</v>
      </c>
      <c r="ES288" s="239">
        <v>0</v>
      </c>
      <c r="ET288" s="239">
        <v>0</v>
      </c>
      <c r="EU288" s="239">
        <v>0</v>
      </c>
      <c r="EV288" s="239">
        <v>0</v>
      </c>
      <c r="EW288" s="239">
        <v>0</v>
      </c>
      <c r="EX288" s="239">
        <v>0</v>
      </c>
      <c r="EY288" s="239">
        <v>0</v>
      </c>
      <c r="EZ288" s="239">
        <v>64448192</v>
      </c>
      <c r="FA288" s="239">
        <v>0</v>
      </c>
      <c r="FB288" s="239">
        <v>64448192</v>
      </c>
      <c r="FC288" s="239">
        <v>51680</v>
      </c>
      <c r="FD288" s="239">
        <v>0</v>
      </c>
      <c r="FE288" s="239">
        <v>51680</v>
      </c>
      <c r="FF288" s="239">
        <v>-5111798</v>
      </c>
      <c r="FG288" s="239">
        <v>0</v>
      </c>
      <c r="FH288" s="239">
        <v>-5111798</v>
      </c>
      <c r="FI288" s="239">
        <v>-3539051</v>
      </c>
      <c r="FJ288" s="239">
        <v>0</v>
      </c>
      <c r="FK288" s="239">
        <v>-3539051</v>
      </c>
      <c r="FL288" s="239">
        <v>-197589</v>
      </c>
      <c r="FM288" s="239">
        <v>0</v>
      </c>
      <c r="FN288" s="239">
        <v>-197589</v>
      </c>
      <c r="FO288" s="239">
        <v>-608351</v>
      </c>
      <c r="FP288" s="239">
        <v>0</v>
      </c>
      <c r="FQ288" s="239">
        <v>-608351</v>
      </c>
      <c r="FR288" s="239">
        <v>0</v>
      </c>
      <c r="FS288" s="239">
        <v>0</v>
      </c>
      <c r="FT288" s="239">
        <v>0</v>
      </c>
      <c r="FU288" s="239">
        <v>-9405109</v>
      </c>
      <c r="FV288" s="239">
        <v>0</v>
      </c>
      <c r="FW288" s="239">
        <v>-9405109</v>
      </c>
      <c r="FX288" s="239">
        <v>55043083</v>
      </c>
      <c r="FY288" s="239">
        <v>0</v>
      </c>
      <c r="FZ288" s="239">
        <v>55043083</v>
      </c>
      <c r="GA288" s="214" t="s">
        <v>1294</v>
      </c>
    </row>
    <row r="289" spans="2:183" s="214" customFormat="1" x14ac:dyDescent="0.2">
      <c r="B289" s="610" t="s">
        <v>661</v>
      </c>
      <c r="C289" s="610" t="s">
        <v>660</v>
      </c>
      <c r="D289" s="239">
        <v>0</v>
      </c>
      <c r="E289" s="239">
        <v>0</v>
      </c>
      <c r="F289" s="239">
        <v>0</v>
      </c>
      <c r="G289" s="239">
        <v>-140701</v>
      </c>
      <c r="H289" s="239">
        <v>0</v>
      </c>
      <c r="I289" s="239">
        <v>-140701</v>
      </c>
      <c r="J289" s="239">
        <v>0</v>
      </c>
      <c r="K289" s="239">
        <v>0</v>
      </c>
      <c r="L289" s="239">
        <v>0</v>
      </c>
      <c r="M289" s="239">
        <v>-107400</v>
      </c>
      <c r="N289" s="239">
        <v>0</v>
      </c>
      <c r="O289" s="239">
        <v>-107400</v>
      </c>
      <c r="P289" s="239">
        <v>-248101</v>
      </c>
      <c r="Q289" s="239">
        <v>0</v>
      </c>
      <c r="R289" s="239">
        <v>-248101</v>
      </c>
      <c r="S289" s="239">
        <v>-4295959</v>
      </c>
      <c r="T289" s="239">
        <v>0</v>
      </c>
      <c r="U289" s="239">
        <v>-4295959</v>
      </c>
      <c r="V289" s="239">
        <v>-148273</v>
      </c>
      <c r="W289" s="239">
        <v>0</v>
      </c>
      <c r="X289" s="239">
        <v>-148273</v>
      </c>
      <c r="Y289" s="239">
        <v>-70932</v>
      </c>
      <c r="Z289" s="239">
        <v>0</v>
      </c>
      <c r="AA289" s="239">
        <v>-70932</v>
      </c>
      <c r="AB289" s="239">
        <v>-51634</v>
      </c>
      <c r="AC289" s="239">
        <v>0</v>
      </c>
      <c r="AD289" s="239">
        <v>-51634</v>
      </c>
      <c r="AE289" s="239">
        <v>-181</v>
      </c>
      <c r="AF289" s="239">
        <v>0</v>
      </c>
      <c r="AG289" s="239">
        <v>-181</v>
      </c>
      <c r="AH289" s="239">
        <v>1011712</v>
      </c>
      <c r="AI289" s="239">
        <v>0</v>
      </c>
      <c r="AJ289" s="239">
        <v>1011712</v>
      </c>
      <c r="AK289" s="239">
        <v>-11161</v>
      </c>
      <c r="AL289" s="239">
        <v>0</v>
      </c>
      <c r="AM289" s="239">
        <v>-11161</v>
      </c>
      <c r="AN289" s="239">
        <v>-3514629</v>
      </c>
      <c r="AO289" s="239">
        <v>0</v>
      </c>
      <c r="AP289" s="239">
        <v>-3514629</v>
      </c>
      <c r="AQ289" s="239">
        <v>-54617</v>
      </c>
      <c r="AR289" s="239">
        <v>0</v>
      </c>
      <c r="AS289" s="239">
        <v>-54617</v>
      </c>
      <c r="AT289" s="239">
        <v>-137284</v>
      </c>
      <c r="AU289" s="239">
        <v>0</v>
      </c>
      <c r="AV289" s="239">
        <v>-137284</v>
      </c>
      <c r="AW289" s="239">
        <v>39972</v>
      </c>
      <c r="AX289" s="239">
        <v>0</v>
      </c>
      <c r="AY289" s="239">
        <v>39972</v>
      </c>
      <c r="AZ289" s="239">
        <v>0</v>
      </c>
      <c r="BA289" s="239">
        <v>0</v>
      </c>
      <c r="BB289" s="239">
        <v>0</v>
      </c>
      <c r="BC289" s="239">
        <v>0</v>
      </c>
      <c r="BD289" s="239">
        <v>0</v>
      </c>
      <c r="BE289" s="239">
        <v>0</v>
      </c>
      <c r="BF289" s="239">
        <v>-7032898</v>
      </c>
      <c r="BG289" s="239">
        <v>0</v>
      </c>
      <c r="BH289" s="239">
        <v>-7032898</v>
      </c>
      <c r="BI289" s="239">
        <v>-11774</v>
      </c>
      <c r="BJ289" s="239">
        <v>0</v>
      </c>
      <c r="BK289" s="239">
        <v>-11774</v>
      </c>
      <c r="BL289" s="239">
        <v>-44518</v>
      </c>
      <c r="BM289" s="239">
        <v>0</v>
      </c>
      <c r="BN289" s="239">
        <v>-44518</v>
      </c>
      <c r="BO289" s="239">
        <v>-1165637</v>
      </c>
      <c r="BP289" s="239">
        <v>0</v>
      </c>
      <c r="BQ289" s="239">
        <v>-1165637</v>
      </c>
      <c r="BR289" s="239">
        <v>-123268</v>
      </c>
      <c r="BS289" s="239">
        <v>0</v>
      </c>
      <c r="BT289" s="239">
        <v>-123268</v>
      </c>
      <c r="BU289" s="239">
        <v>-1345197</v>
      </c>
      <c r="BV289" s="239">
        <v>0</v>
      </c>
      <c r="BW289" s="239">
        <v>-1345197</v>
      </c>
      <c r="BX289" s="239">
        <v>-67976</v>
      </c>
      <c r="BY289" s="239">
        <v>0</v>
      </c>
      <c r="BZ289" s="239">
        <v>-67976</v>
      </c>
      <c r="CA289" s="239">
        <v>-974</v>
      </c>
      <c r="CB289" s="239">
        <v>0</v>
      </c>
      <c r="CC289" s="239">
        <v>-974</v>
      </c>
      <c r="CD289" s="239">
        <v>-321225</v>
      </c>
      <c r="CE289" s="239">
        <v>0</v>
      </c>
      <c r="CF289" s="239">
        <v>-321225</v>
      </c>
      <c r="CG289" s="239">
        <v>-248</v>
      </c>
      <c r="CH289" s="239">
        <v>0</v>
      </c>
      <c r="CI289" s="239">
        <v>-248</v>
      </c>
      <c r="CJ289" s="239">
        <v>-4952</v>
      </c>
      <c r="CK289" s="239">
        <v>0</v>
      </c>
      <c r="CL289" s="239">
        <v>-4952</v>
      </c>
      <c r="CM289" s="239">
        <v>0</v>
      </c>
      <c r="CN289" s="239">
        <v>0</v>
      </c>
      <c r="CO289" s="239">
        <v>0</v>
      </c>
      <c r="CP289" s="239">
        <v>0</v>
      </c>
      <c r="CQ289" s="239">
        <v>0</v>
      </c>
      <c r="CR289" s="239">
        <v>0</v>
      </c>
      <c r="CS289" s="239">
        <v>0</v>
      </c>
      <c r="CT289" s="239">
        <v>0</v>
      </c>
      <c r="CU289" s="239">
        <v>0</v>
      </c>
      <c r="CV289" s="239">
        <v>0</v>
      </c>
      <c r="CW289" s="239">
        <v>0</v>
      </c>
      <c r="CX289" s="239">
        <v>0</v>
      </c>
      <c r="CY289" s="239">
        <v>0</v>
      </c>
      <c r="CZ289" s="239">
        <v>0</v>
      </c>
      <c r="DA289" s="239">
        <v>0</v>
      </c>
      <c r="DB289" s="239">
        <v>0</v>
      </c>
      <c r="DC289" s="239">
        <v>0</v>
      </c>
      <c r="DD289" s="239">
        <v>0</v>
      </c>
      <c r="DE289" s="239">
        <v>0</v>
      </c>
      <c r="DF289" s="239">
        <v>0</v>
      </c>
      <c r="DG289" s="239">
        <v>0</v>
      </c>
      <c r="DH289" s="239">
        <v>0</v>
      </c>
      <c r="DI289" s="239">
        <v>0</v>
      </c>
      <c r="DJ289" s="239">
        <v>-395375</v>
      </c>
      <c r="DK289" s="239">
        <v>0</v>
      </c>
      <c r="DL289" s="239">
        <v>-395375</v>
      </c>
      <c r="DM289" s="239">
        <v>-59000</v>
      </c>
      <c r="DN289" s="239">
        <v>0</v>
      </c>
      <c r="DO289" s="239">
        <v>-59000</v>
      </c>
      <c r="DP289" s="239">
        <v>-886</v>
      </c>
      <c r="DQ289" s="239">
        <v>0</v>
      </c>
      <c r="DR289" s="239">
        <v>-886</v>
      </c>
      <c r="DS289" s="239">
        <v>-56309</v>
      </c>
      <c r="DT289" s="239">
        <v>0</v>
      </c>
      <c r="DU289" s="239">
        <v>-56309</v>
      </c>
      <c r="DV289" s="239">
        <v>-8065</v>
      </c>
      <c r="DW289" s="239">
        <v>0</v>
      </c>
      <c r="DX289" s="239">
        <v>-8065</v>
      </c>
      <c r="DY289" s="239">
        <v>-932256</v>
      </c>
      <c r="DZ289" s="239">
        <v>0</v>
      </c>
      <c r="EA289" s="239">
        <v>-932256</v>
      </c>
      <c r="EB289" s="239">
        <v>-123887</v>
      </c>
      <c r="EC289" s="239">
        <v>0</v>
      </c>
      <c r="ED289" s="239">
        <v>-123887</v>
      </c>
      <c r="EE289" s="239">
        <v>0</v>
      </c>
      <c r="EF289" s="239">
        <v>0</v>
      </c>
      <c r="EG289" s="239">
        <v>0</v>
      </c>
      <c r="EH289" s="239">
        <v>0</v>
      </c>
      <c r="EI289" s="239">
        <v>0</v>
      </c>
      <c r="EJ289" s="239">
        <v>0</v>
      </c>
      <c r="EK289" s="239">
        <v>-17427</v>
      </c>
      <c r="EL289" s="239">
        <v>0</v>
      </c>
      <c r="EM289" s="239">
        <v>-17427</v>
      </c>
      <c r="EN289" s="239">
        <v>-1197830</v>
      </c>
      <c r="EO289" s="239">
        <v>0</v>
      </c>
      <c r="EP289" s="239">
        <v>-1197830</v>
      </c>
      <c r="EQ289" s="239">
        <v>0</v>
      </c>
      <c r="ER289" s="239">
        <v>0</v>
      </c>
      <c r="ES289" s="239">
        <v>0</v>
      </c>
      <c r="ET289" s="239">
        <v>0</v>
      </c>
      <c r="EU289" s="239">
        <v>0</v>
      </c>
      <c r="EV289" s="239">
        <v>0</v>
      </c>
      <c r="EW289" s="239">
        <v>0</v>
      </c>
      <c r="EX289" s="239">
        <v>0</v>
      </c>
      <c r="EY289" s="239">
        <v>0</v>
      </c>
      <c r="EZ289" s="239">
        <v>46529650</v>
      </c>
      <c r="FA289" s="239">
        <v>0</v>
      </c>
      <c r="FB289" s="239">
        <v>46529650</v>
      </c>
      <c r="FC289" s="239">
        <v>-248101</v>
      </c>
      <c r="FD289" s="239">
        <v>0</v>
      </c>
      <c r="FE289" s="239">
        <v>-248101</v>
      </c>
      <c r="FF289" s="239">
        <v>-7032898</v>
      </c>
      <c r="FG289" s="239">
        <v>0</v>
      </c>
      <c r="FH289" s="239">
        <v>-7032898</v>
      </c>
      <c r="FI289" s="239">
        <v>-1345197</v>
      </c>
      <c r="FJ289" s="239">
        <v>0</v>
      </c>
      <c r="FK289" s="239">
        <v>-1345197</v>
      </c>
      <c r="FL289" s="239">
        <v>-395375</v>
      </c>
      <c r="FM289" s="239">
        <v>0</v>
      </c>
      <c r="FN289" s="239">
        <v>-395375</v>
      </c>
      <c r="FO289" s="239">
        <v>-1197830</v>
      </c>
      <c r="FP289" s="239">
        <v>0</v>
      </c>
      <c r="FQ289" s="239">
        <v>-1197830</v>
      </c>
      <c r="FR289" s="239">
        <v>0</v>
      </c>
      <c r="FS289" s="239">
        <v>0</v>
      </c>
      <c r="FT289" s="239">
        <v>0</v>
      </c>
      <c r="FU289" s="239">
        <v>-10219401</v>
      </c>
      <c r="FV289" s="239">
        <v>0</v>
      </c>
      <c r="FW289" s="239">
        <v>-10219401</v>
      </c>
      <c r="FX289" s="239">
        <v>36310249</v>
      </c>
      <c r="FY289" s="239">
        <v>0</v>
      </c>
      <c r="FZ289" s="239">
        <v>36310249</v>
      </c>
      <c r="GA289" s="214" t="s">
        <v>748</v>
      </c>
    </row>
    <row r="290" spans="2:183" s="214" customFormat="1" x14ac:dyDescent="0.2">
      <c r="B290" s="610" t="s">
        <v>663</v>
      </c>
      <c r="C290" s="610" t="s">
        <v>662</v>
      </c>
      <c r="D290" s="239">
        <v>0</v>
      </c>
      <c r="E290" s="239">
        <v>0</v>
      </c>
      <c r="F290" s="239">
        <v>0</v>
      </c>
      <c r="G290" s="239">
        <v>-215134</v>
      </c>
      <c r="H290" s="239">
        <v>0</v>
      </c>
      <c r="I290" s="239">
        <v>-215134</v>
      </c>
      <c r="J290" s="239">
        <v>0</v>
      </c>
      <c r="K290" s="239">
        <v>0</v>
      </c>
      <c r="L290" s="239">
        <v>0</v>
      </c>
      <c r="M290" s="239">
        <v>32145</v>
      </c>
      <c r="N290" s="239">
        <v>0</v>
      </c>
      <c r="O290" s="239">
        <v>32145</v>
      </c>
      <c r="P290" s="239">
        <v>-182989</v>
      </c>
      <c r="Q290" s="239">
        <v>0</v>
      </c>
      <c r="R290" s="239">
        <v>-182989</v>
      </c>
      <c r="S290" s="239">
        <v>-2945118</v>
      </c>
      <c r="T290" s="239">
        <v>0</v>
      </c>
      <c r="U290" s="239">
        <v>-2945118</v>
      </c>
      <c r="V290" s="239">
        <v>-5140</v>
      </c>
      <c r="W290" s="239">
        <v>0</v>
      </c>
      <c r="X290" s="239">
        <v>-5140</v>
      </c>
      <c r="Y290" s="239">
        <v>-163955</v>
      </c>
      <c r="Z290" s="239">
        <v>0</v>
      </c>
      <c r="AA290" s="239">
        <v>-163955</v>
      </c>
      <c r="AB290" s="239">
        <v>-163452</v>
      </c>
      <c r="AC290" s="239">
        <v>0</v>
      </c>
      <c r="AD290" s="239">
        <v>-163452</v>
      </c>
      <c r="AE290" s="239">
        <v>-503</v>
      </c>
      <c r="AF290" s="239">
        <v>0</v>
      </c>
      <c r="AG290" s="239">
        <v>-503</v>
      </c>
      <c r="AH290" s="239">
        <v>271204</v>
      </c>
      <c r="AI290" s="239">
        <v>0</v>
      </c>
      <c r="AJ290" s="239">
        <v>271204</v>
      </c>
      <c r="AK290" s="239">
        <v>-4063</v>
      </c>
      <c r="AL290" s="239">
        <v>0</v>
      </c>
      <c r="AM290" s="239">
        <v>-4063</v>
      </c>
      <c r="AN290" s="239">
        <v>-1267172</v>
      </c>
      <c r="AO290" s="239">
        <v>0</v>
      </c>
      <c r="AP290" s="239">
        <v>-1267172</v>
      </c>
      <c r="AQ290" s="239">
        <v>-323002</v>
      </c>
      <c r="AR290" s="239">
        <v>0</v>
      </c>
      <c r="AS290" s="239">
        <v>-323002</v>
      </c>
      <c r="AT290" s="239">
        <v>-30623</v>
      </c>
      <c r="AU290" s="239">
        <v>0</v>
      </c>
      <c r="AV290" s="239">
        <v>-30623</v>
      </c>
      <c r="AW290" s="239">
        <v>23</v>
      </c>
      <c r="AX290" s="239">
        <v>0</v>
      </c>
      <c r="AY290" s="239">
        <v>23</v>
      </c>
      <c r="AZ290" s="239">
        <v>-61521</v>
      </c>
      <c r="BA290" s="239">
        <v>0</v>
      </c>
      <c r="BB290" s="239">
        <v>-61521</v>
      </c>
      <c r="BC290" s="239">
        <v>0</v>
      </c>
      <c r="BD290" s="239">
        <v>0</v>
      </c>
      <c r="BE290" s="239">
        <v>0</v>
      </c>
      <c r="BF290" s="239">
        <v>-4524227</v>
      </c>
      <c r="BG290" s="239">
        <v>0</v>
      </c>
      <c r="BH290" s="239">
        <v>-4524227</v>
      </c>
      <c r="BI290" s="239">
        <v>-2649</v>
      </c>
      <c r="BJ290" s="239">
        <v>0</v>
      </c>
      <c r="BK290" s="239">
        <v>-2649</v>
      </c>
      <c r="BL290" s="239">
        <v>-1516</v>
      </c>
      <c r="BM290" s="239">
        <v>0</v>
      </c>
      <c r="BN290" s="239">
        <v>-1516</v>
      </c>
      <c r="BO290" s="239">
        <v>-330211</v>
      </c>
      <c r="BP290" s="239">
        <v>0</v>
      </c>
      <c r="BQ290" s="239">
        <v>-330211</v>
      </c>
      <c r="BR290" s="239">
        <v>-6348</v>
      </c>
      <c r="BS290" s="239">
        <v>0</v>
      </c>
      <c r="BT290" s="239">
        <v>-6348</v>
      </c>
      <c r="BU290" s="239">
        <v>-340724</v>
      </c>
      <c r="BV290" s="239">
        <v>0</v>
      </c>
      <c r="BW290" s="239">
        <v>-340724</v>
      </c>
      <c r="BX290" s="239">
        <v>-74261</v>
      </c>
      <c r="BY290" s="239">
        <v>0</v>
      </c>
      <c r="BZ290" s="239">
        <v>-74261</v>
      </c>
      <c r="CA290" s="239">
        <v>57</v>
      </c>
      <c r="CB290" s="239">
        <v>0</v>
      </c>
      <c r="CC290" s="239">
        <v>57</v>
      </c>
      <c r="CD290" s="239">
        <v>-20582</v>
      </c>
      <c r="CE290" s="239">
        <v>0</v>
      </c>
      <c r="CF290" s="239">
        <v>-20582</v>
      </c>
      <c r="CG290" s="239">
        <v>0</v>
      </c>
      <c r="CH290" s="239">
        <v>0</v>
      </c>
      <c r="CI290" s="239">
        <v>0</v>
      </c>
      <c r="CJ290" s="239">
        <v>-3479</v>
      </c>
      <c r="CK290" s="239">
        <v>0</v>
      </c>
      <c r="CL290" s="239">
        <v>-3479</v>
      </c>
      <c r="CM290" s="239">
        <v>6</v>
      </c>
      <c r="CN290" s="239">
        <v>0</v>
      </c>
      <c r="CO290" s="239">
        <v>6</v>
      </c>
      <c r="CP290" s="239">
        <v>-14878</v>
      </c>
      <c r="CQ290" s="239">
        <v>0</v>
      </c>
      <c r="CR290" s="239">
        <v>-14878</v>
      </c>
      <c r="CS290" s="239">
        <v>0</v>
      </c>
      <c r="CT290" s="239">
        <v>0</v>
      </c>
      <c r="CU290" s="239">
        <v>0</v>
      </c>
      <c r="CV290" s="239">
        <v>-3242</v>
      </c>
      <c r="CW290" s="239">
        <v>0</v>
      </c>
      <c r="CX290" s="239">
        <v>-3242</v>
      </c>
      <c r="CY290" s="239">
        <v>0</v>
      </c>
      <c r="CZ290" s="239">
        <v>0</v>
      </c>
      <c r="DA290" s="239">
        <v>0</v>
      </c>
      <c r="DB290" s="239">
        <v>-300</v>
      </c>
      <c r="DC290" s="239">
        <v>0</v>
      </c>
      <c r="DD290" s="239">
        <v>-300</v>
      </c>
      <c r="DE290" s="239">
        <v>0</v>
      </c>
      <c r="DF290" s="239">
        <v>0</v>
      </c>
      <c r="DG290" s="239">
        <v>0</v>
      </c>
      <c r="DH290" s="239">
        <v>0</v>
      </c>
      <c r="DI290" s="239">
        <v>0</v>
      </c>
      <c r="DJ290" s="239">
        <v>-116679</v>
      </c>
      <c r="DK290" s="239">
        <v>0</v>
      </c>
      <c r="DL290" s="239">
        <v>-116679</v>
      </c>
      <c r="DM290" s="239">
        <v>-3977</v>
      </c>
      <c r="DN290" s="239">
        <v>0</v>
      </c>
      <c r="DO290" s="239">
        <v>-3977</v>
      </c>
      <c r="DP290" s="239">
        <v>-1103</v>
      </c>
      <c r="DQ290" s="239">
        <v>0</v>
      </c>
      <c r="DR290" s="239">
        <v>-1103</v>
      </c>
      <c r="DS290" s="239">
        <v>-9914</v>
      </c>
      <c r="DT290" s="239">
        <v>0</v>
      </c>
      <c r="DU290" s="239">
        <v>-9914</v>
      </c>
      <c r="DV290" s="239">
        <v>-452</v>
      </c>
      <c r="DW290" s="239">
        <v>0</v>
      </c>
      <c r="DX290" s="239">
        <v>-452</v>
      </c>
      <c r="DY290" s="239">
        <v>-321380</v>
      </c>
      <c r="DZ290" s="239">
        <v>0</v>
      </c>
      <c r="EA290" s="239">
        <v>-321380</v>
      </c>
      <c r="EB290" s="239">
        <v>-4455</v>
      </c>
      <c r="EC290" s="239">
        <v>0</v>
      </c>
      <c r="ED290" s="239">
        <v>-4455</v>
      </c>
      <c r="EE290" s="239">
        <v>0</v>
      </c>
      <c r="EF290" s="239">
        <v>0</v>
      </c>
      <c r="EG290" s="239">
        <v>0</v>
      </c>
      <c r="EH290" s="239">
        <v>0</v>
      </c>
      <c r="EI290" s="239">
        <v>0</v>
      </c>
      <c r="EJ290" s="239">
        <v>0</v>
      </c>
      <c r="EK290" s="239">
        <v>-8569</v>
      </c>
      <c r="EL290" s="239">
        <v>0</v>
      </c>
      <c r="EM290" s="239">
        <v>-8569</v>
      </c>
      <c r="EN290" s="239">
        <v>-349850</v>
      </c>
      <c r="EO290" s="239">
        <v>0</v>
      </c>
      <c r="EP290" s="239">
        <v>-349850</v>
      </c>
      <c r="EQ290" s="239">
        <v>0</v>
      </c>
      <c r="ER290" s="239">
        <v>0</v>
      </c>
      <c r="ES290" s="239">
        <v>0</v>
      </c>
      <c r="ET290" s="239">
        <v>12118</v>
      </c>
      <c r="EU290" s="239">
        <v>0</v>
      </c>
      <c r="EV290" s="239">
        <v>12118</v>
      </c>
      <c r="EW290" s="239">
        <v>12118</v>
      </c>
      <c r="EX290" s="239">
        <v>0</v>
      </c>
      <c r="EY290" s="239">
        <v>12118</v>
      </c>
      <c r="EZ290" s="239">
        <v>15783428</v>
      </c>
      <c r="FA290" s="239">
        <v>0</v>
      </c>
      <c r="FB290" s="239">
        <v>15783428</v>
      </c>
      <c r="FC290" s="239">
        <v>-182989</v>
      </c>
      <c r="FD290" s="239">
        <v>0</v>
      </c>
      <c r="FE290" s="239">
        <v>-182989</v>
      </c>
      <c r="FF290" s="239">
        <v>-4524227</v>
      </c>
      <c r="FG290" s="239">
        <v>0</v>
      </c>
      <c r="FH290" s="239">
        <v>-4524227</v>
      </c>
      <c r="FI290" s="239">
        <v>-340724</v>
      </c>
      <c r="FJ290" s="239">
        <v>0</v>
      </c>
      <c r="FK290" s="239">
        <v>-340724</v>
      </c>
      <c r="FL290" s="239">
        <v>-116679</v>
      </c>
      <c r="FM290" s="239">
        <v>0</v>
      </c>
      <c r="FN290" s="239">
        <v>-116679</v>
      </c>
      <c r="FO290" s="239">
        <v>-349850</v>
      </c>
      <c r="FP290" s="239">
        <v>0</v>
      </c>
      <c r="FQ290" s="239">
        <v>-349850</v>
      </c>
      <c r="FR290" s="239">
        <v>12118</v>
      </c>
      <c r="FS290" s="239">
        <v>0</v>
      </c>
      <c r="FT290" s="239">
        <v>12118</v>
      </c>
      <c r="FU290" s="239">
        <v>-5502351</v>
      </c>
      <c r="FV290" s="239">
        <v>0</v>
      </c>
      <c r="FW290" s="239">
        <v>-5502351</v>
      </c>
      <c r="FX290" s="239">
        <v>10281077</v>
      </c>
      <c r="FY290" s="239">
        <v>0</v>
      </c>
      <c r="FZ290" s="239">
        <v>10281077</v>
      </c>
      <c r="GA290" s="214" t="s">
        <v>1294</v>
      </c>
    </row>
    <row r="291" spans="2:183" s="214" customFormat="1" x14ac:dyDescent="0.2">
      <c r="B291" s="610" t="s">
        <v>665</v>
      </c>
      <c r="C291" s="610" t="s">
        <v>664</v>
      </c>
      <c r="D291" s="239">
        <v>0</v>
      </c>
      <c r="E291" s="239">
        <v>0</v>
      </c>
      <c r="F291" s="239">
        <v>0</v>
      </c>
      <c r="G291" s="239">
        <v>290141.40999999997</v>
      </c>
      <c r="H291" s="239">
        <v>0</v>
      </c>
      <c r="I291" s="239">
        <v>290141.40999999997</v>
      </c>
      <c r="J291" s="239">
        <v>0</v>
      </c>
      <c r="K291" s="239">
        <v>0</v>
      </c>
      <c r="L291" s="239">
        <v>0</v>
      </c>
      <c r="M291" s="239">
        <v>-331132.62</v>
      </c>
      <c r="N291" s="239">
        <v>0</v>
      </c>
      <c r="O291" s="239">
        <v>-331132.62</v>
      </c>
      <c r="P291" s="239">
        <v>-40991</v>
      </c>
      <c r="Q291" s="239">
        <v>0</v>
      </c>
      <c r="R291" s="239">
        <v>-40991</v>
      </c>
      <c r="S291" s="239">
        <v>-6571847</v>
      </c>
      <c r="T291" s="239">
        <v>0</v>
      </c>
      <c r="U291" s="239">
        <v>-6571847</v>
      </c>
      <c r="V291" s="239">
        <v>0</v>
      </c>
      <c r="W291" s="239">
        <v>0</v>
      </c>
      <c r="X291" s="239">
        <v>0</v>
      </c>
      <c r="Y291" s="239">
        <v>-366780</v>
      </c>
      <c r="Z291" s="239">
        <v>0</v>
      </c>
      <c r="AA291" s="239">
        <v>-366780</v>
      </c>
      <c r="AB291" s="239">
        <v>-292732</v>
      </c>
      <c r="AC291" s="239">
        <v>0</v>
      </c>
      <c r="AD291" s="239">
        <v>-292732</v>
      </c>
      <c r="AE291" s="239">
        <v>0</v>
      </c>
      <c r="AF291" s="239">
        <v>0</v>
      </c>
      <c r="AG291" s="239">
        <v>0</v>
      </c>
      <c r="AH291" s="239">
        <v>9981754</v>
      </c>
      <c r="AI291" s="239">
        <v>0</v>
      </c>
      <c r="AJ291" s="239">
        <v>9981754</v>
      </c>
      <c r="AK291" s="239">
        <v>-62318</v>
      </c>
      <c r="AL291" s="239">
        <v>0</v>
      </c>
      <c r="AM291" s="239">
        <v>-62318</v>
      </c>
      <c r="AN291" s="239">
        <v>-13545808</v>
      </c>
      <c r="AO291" s="239">
        <v>0</v>
      </c>
      <c r="AP291" s="239">
        <v>-13545808</v>
      </c>
      <c r="AQ291" s="239">
        <v>-674900</v>
      </c>
      <c r="AR291" s="239">
        <v>0</v>
      </c>
      <c r="AS291" s="239">
        <v>-674900</v>
      </c>
      <c r="AT291" s="239">
        <v>0</v>
      </c>
      <c r="AU291" s="239">
        <v>0</v>
      </c>
      <c r="AV291" s="239">
        <v>0</v>
      </c>
      <c r="AW291" s="239">
        <v>0</v>
      </c>
      <c r="AX291" s="239">
        <v>0</v>
      </c>
      <c r="AY291" s="239">
        <v>0</v>
      </c>
      <c r="AZ291" s="239">
        <v>0</v>
      </c>
      <c r="BA291" s="239">
        <v>0</v>
      </c>
      <c r="BB291" s="239">
        <v>0</v>
      </c>
      <c r="BC291" s="239">
        <v>0</v>
      </c>
      <c r="BD291" s="239">
        <v>0</v>
      </c>
      <c r="BE291" s="239">
        <v>0</v>
      </c>
      <c r="BF291" s="239">
        <v>-11239899</v>
      </c>
      <c r="BG291" s="239">
        <v>0</v>
      </c>
      <c r="BH291" s="239">
        <v>-11239899</v>
      </c>
      <c r="BI291" s="239">
        <v>-6789</v>
      </c>
      <c r="BJ291" s="239">
        <v>0</v>
      </c>
      <c r="BK291" s="239">
        <v>-6789</v>
      </c>
      <c r="BL291" s="239">
        <v>-323410</v>
      </c>
      <c r="BM291" s="239">
        <v>0</v>
      </c>
      <c r="BN291" s="239">
        <v>-323410</v>
      </c>
      <c r="BO291" s="239">
        <v>-11645159</v>
      </c>
      <c r="BP291" s="239">
        <v>0</v>
      </c>
      <c r="BQ291" s="239">
        <v>-11645159</v>
      </c>
      <c r="BR291" s="239">
        <v>-2315355</v>
      </c>
      <c r="BS291" s="239">
        <v>0</v>
      </c>
      <c r="BT291" s="239">
        <v>-2315355</v>
      </c>
      <c r="BU291" s="239">
        <v>-14290713</v>
      </c>
      <c r="BV291" s="239">
        <v>0</v>
      </c>
      <c r="BW291" s="239">
        <v>-14290713</v>
      </c>
      <c r="BX291" s="239">
        <v>-570838</v>
      </c>
      <c r="BY291" s="239">
        <v>0</v>
      </c>
      <c r="BZ291" s="239">
        <v>-570838</v>
      </c>
      <c r="CA291" s="239">
        <v>-4826</v>
      </c>
      <c r="CB291" s="239">
        <v>0</v>
      </c>
      <c r="CC291" s="239">
        <v>-4826</v>
      </c>
      <c r="CD291" s="239">
        <v>-345924</v>
      </c>
      <c r="CE291" s="239">
        <v>0</v>
      </c>
      <c r="CF291" s="239">
        <v>-345924</v>
      </c>
      <c r="CG291" s="239">
        <v>-29226</v>
      </c>
      <c r="CH291" s="239">
        <v>0</v>
      </c>
      <c r="CI291" s="239">
        <v>-29226</v>
      </c>
      <c r="CJ291" s="239">
        <v>0</v>
      </c>
      <c r="CK291" s="239">
        <v>0</v>
      </c>
      <c r="CL291" s="239">
        <v>0</v>
      </c>
      <c r="CM291" s="239">
        <v>0</v>
      </c>
      <c r="CN291" s="239">
        <v>0</v>
      </c>
      <c r="CO291" s="239">
        <v>0</v>
      </c>
      <c r="CP291" s="239">
        <v>0</v>
      </c>
      <c r="CQ291" s="239">
        <v>0</v>
      </c>
      <c r="CR291" s="239">
        <v>0</v>
      </c>
      <c r="CS291" s="239">
        <v>0</v>
      </c>
      <c r="CT291" s="239">
        <v>0</v>
      </c>
      <c r="CU291" s="239">
        <v>0</v>
      </c>
      <c r="CV291" s="239">
        <v>0</v>
      </c>
      <c r="CW291" s="239">
        <v>0</v>
      </c>
      <c r="CX291" s="239">
        <v>0</v>
      </c>
      <c r="CY291" s="239">
        <v>0</v>
      </c>
      <c r="CZ291" s="239">
        <v>0</v>
      </c>
      <c r="DA291" s="239">
        <v>0</v>
      </c>
      <c r="DB291" s="239">
        <v>0</v>
      </c>
      <c r="DC291" s="239">
        <v>0</v>
      </c>
      <c r="DD291" s="239">
        <v>0</v>
      </c>
      <c r="DE291" s="239">
        <v>0</v>
      </c>
      <c r="DF291" s="239">
        <v>0</v>
      </c>
      <c r="DG291" s="239">
        <v>0</v>
      </c>
      <c r="DH291" s="239">
        <v>0</v>
      </c>
      <c r="DI291" s="239">
        <v>0</v>
      </c>
      <c r="DJ291" s="239">
        <v>-950814</v>
      </c>
      <c r="DK291" s="239">
        <v>0</v>
      </c>
      <c r="DL291" s="239">
        <v>-950814</v>
      </c>
      <c r="DM291" s="239">
        <v>-6455</v>
      </c>
      <c r="DN291" s="239">
        <v>0</v>
      </c>
      <c r="DO291" s="239">
        <v>-6455</v>
      </c>
      <c r="DP291" s="239">
        <v>0</v>
      </c>
      <c r="DQ291" s="239">
        <v>0</v>
      </c>
      <c r="DR291" s="239">
        <v>0</v>
      </c>
      <c r="DS291" s="239">
        <v>-25698</v>
      </c>
      <c r="DT291" s="239">
        <v>0</v>
      </c>
      <c r="DU291" s="239">
        <v>-25698</v>
      </c>
      <c r="DV291" s="239">
        <v>0</v>
      </c>
      <c r="DW291" s="239">
        <v>0</v>
      </c>
      <c r="DX291" s="239">
        <v>0</v>
      </c>
      <c r="DY291" s="239">
        <v>-2721094</v>
      </c>
      <c r="DZ291" s="239">
        <v>0</v>
      </c>
      <c r="EA291" s="239">
        <v>-2721094</v>
      </c>
      <c r="EB291" s="239">
        <v>-55893</v>
      </c>
      <c r="EC291" s="239">
        <v>0</v>
      </c>
      <c r="ED291" s="239">
        <v>-55893</v>
      </c>
      <c r="EE291" s="239">
        <v>0</v>
      </c>
      <c r="EF291" s="239">
        <v>0</v>
      </c>
      <c r="EG291" s="239">
        <v>0</v>
      </c>
      <c r="EH291" s="239">
        <v>0</v>
      </c>
      <c r="EI291" s="239">
        <v>0</v>
      </c>
      <c r="EJ291" s="239">
        <v>0</v>
      </c>
      <c r="EK291" s="239">
        <v>-129604</v>
      </c>
      <c r="EL291" s="239">
        <v>0</v>
      </c>
      <c r="EM291" s="239">
        <v>-129604</v>
      </c>
      <c r="EN291" s="239">
        <v>-2938744</v>
      </c>
      <c r="EO291" s="239">
        <v>0</v>
      </c>
      <c r="EP291" s="239">
        <v>-2938744</v>
      </c>
      <c r="EQ291" s="239">
        <v>0</v>
      </c>
      <c r="ER291" s="239">
        <v>0</v>
      </c>
      <c r="ES291" s="239">
        <v>0</v>
      </c>
      <c r="ET291" s="239">
        <v>0</v>
      </c>
      <c r="EU291" s="239">
        <v>0</v>
      </c>
      <c r="EV291" s="239">
        <v>0</v>
      </c>
      <c r="EW291" s="239">
        <v>0</v>
      </c>
      <c r="EX291" s="239">
        <v>0</v>
      </c>
      <c r="EY291" s="239">
        <v>0</v>
      </c>
      <c r="EZ291" s="239">
        <v>399370314</v>
      </c>
      <c r="FA291" s="239">
        <v>0</v>
      </c>
      <c r="FB291" s="239">
        <v>399370314</v>
      </c>
      <c r="FC291" s="239">
        <v>-40991</v>
      </c>
      <c r="FD291" s="239">
        <v>0</v>
      </c>
      <c r="FE291" s="239">
        <v>-40991</v>
      </c>
      <c r="FF291" s="239">
        <v>-11239899</v>
      </c>
      <c r="FG291" s="239">
        <v>0</v>
      </c>
      <c r="FH291" s="239">
        <v>-11239899</v>
      </c>
      <c r="FI291" s="239">
        <v>-14290713</v>
      </c>
      <c r="FJ291" s="239">
        <v>0</v>
      </c>
      <c r="FK291" s="239">
        <v>-14290713</v>
      </c>
      <c r="FL291" s="239">
        <v>-950814</v>
      </c>
      <c r="FM291" s="239">
        <v>0</v>
      </c>
      <c r="FN291" s="239">
        <v>-950814</v>
      </c>
      <c r="FO291" s="239">
        <v>-2938744</v>
      </c>
      <c r="FP291" s="239">
        <v>0</v>
      </c>
      <c r="FQ291" s="239">
        <v>-2938744</v>
      </c>
      <c r="FR291" s="239">
        <v>0</v>
      </c>
      <c r="FS291" s="239">
        <v>0</v>
      </c>
      <c r="FT291" s="239">
        <v>0</v>
      </c>
      <c r="FU291" s="239">
        <v>-29461161</v>
      </c>
      <c r="FV291" s="239">
        <v>0</v>
      </c>
      <c r="FW291" s="239">
        <v>-29461161</v>
      </c>
      <c r="FX291" s="239">
        <v>369909153</v>
      </c>
      <c r="FY291" s="239">
        <v>0</v>
      </c>
      <c r="FZ291" s="239">
        <v>369909153</v>
      </c>
      <c r="GA291" s="214" t="s">
        <v>1297</v>
      </c>
    </row>
    <row r="292" spans="2:183" s="214" customFormat="1" x14ac:dyDescent="0.2">
      <c r="B292" s="610" t="s">
        <v>667</v>
      </c>
      <c r="C292" s="610" t="s">
        <v>666</v>
      </c>
      <c r="D292" s="239">
        <v>0</v>
      </c>
      <c r="E292" s="239">
        <v>0</v>
      </c>
      <c r="F292" s="239">
        <v>0</v>
      </c>
      <c r="G292" s="239">
        <v>81010</v>
      </c>
      <c r="H292" s="239">
        <v>0</v>
      </c>
      <c r="I292" s="239">
        <v>81010</v>
      </c>
      <c r="J292" s="239">
        <v>0</v>
      </c>
      <c r="K292" s="239">
        <v>0</v>
      </c>
      <c r="L292" s="239">
        <v>0</v>
      </c>
      <c r="M292" s="239">
        <v>654945</v>
      </c>
      <c r="N292" s="239">
        <v>0</v>
      </c>
      <c r="O292" s="239">
        <v>654945</v>
      </c>
      <c r="P292" s="239">
        <v>735955</v>
      </c>
      <c r="Q292" s="239">
        <v>0</v>
      </c>
      <c r="R292" s="239">
        <v>735955</v>
      </c>
      <c r="S292" s="239">
        <v>-4442332</v>
      </c>
      <c r="T292" s="239">
        <v>0</v>
      </c>
      <c r="U292" s="239">
        <v>-4442332</v>
      </c>
      <c r="V292" s="239">
        <v>0</v>
      </c>
      <c r="W292" s="239">
        <v>0</v>
      </c>
      <c r="X292" s="239">
        <v>0</v>
      </c>
      <c r="Y292" s="239">
        <v>-194638</v>
      </c>
      <c r="Z292" s="239">
        <v>0</v>
      </c>
      <c r="AA292" s="239">
        <v>-194638</v>
      </c>
      <c r="AB292" s="239">
        <v>-120340</v>
      </c>
      <c r="AC292" s="239">
        <v>0</v>
      </c>
      <c r="AD292" s="239">
        <v>-120340</v>
      </c>
      <c r="AE292" s="239">
        <v>0</v>
      </c>
      <c r="AF292" s="239">
        <v>0</v>
      </c>
      <c r="AG292" s="239">
        <v>0</v>
      </c>
      <c r="AH292" s="239">
        <v>4520760</v>
      </c>
      <c r="AI292" s="239">
        <v>0</v>
      </c>
      <c r="AJ292" s="239">
        <v>4520760</v>
      </c>
      <c r="AK292" s="239">
        <v>-77228</v>
      </c>
      <c r="AL292" s="239">
        <v>0</v>
      </c>
      <c r="AM292" s="239">
        <v>-77228</v>
      </c>
      <c r="AN292" s="239">
        <v>-4824687</v>
      </c>
      <c r="AO292" s="239">
        <v>0</v>
      </c>
      <c r="AP292" s="239">
        <v>-4824687</v>
      </c>
      <c r="AQ292" s="239">
        <v>-59602</v>
      </c>
      <c r="AR292" s="239">
        <v>0</v>
      </c>
      <c r="AS292" s="239">
        <v>-59602</v>
      </c>
      <c r="AT292" s="239">
        <v>-62118</v>
      </c>
      <c r="AU292" s="239">
        <v>0</v>
      </c>
      <c r="AV292" s="239">
        <v>-62118</v>
      </c>
      <c r="AW292" s="239">
        <v>0</v>
      </c>
      <c r="AX292" s="239">
        <v>0</v>
      </c>
      <c r="AY292" s="239">
        <v>0</v>
      </c>
      <c r="AZ292" s="239">
        <v>-505</v>
      </c>
      <c r="BA292" s="239">
        <v>0</v>
      </c>
      <c r="BB292" s="239">
        <v>-505</v>
      </c>
      <c r="BC292" s="239">
        <v>0</v>
      </c>
      <c r="BD292" s="239">
        <v>0</v>
      </c>
      <c r="BE292" s="239">
        <v>0</v>
      </c>
      <c r="BF292" s="239">
        <v>-5140350</v>
      </c>
      <c r="BG292" s="239">
        <v>0</v>
      </c>
      <c r="BH292" s="239">
        <v>-5140350</v>
      </c>
      <c r="BI292" s="239">
        <v>0</v>
      </c>
      <c r="BJ292" s="239">
        <v>0</v>
      </c>
      <c r="BK292" s="239">
        <v>0</v>
      </c>
      <c r="BL292" s="239">
        <v>-2271</v>
      </c>
      <c r="BM292" s="239">
        <v>0</v>
      </c>
      <c r="BN292" s="239">
        <v>-2271</v>
      </c>
      <c r="BO292" s="239">
        <v>-7293646</v>
      </c>
      <c r="BP292" s="239">
        <v>0</v>
      </c>
      <c r="BQ292" s="239">
        <v>-7293646</v>
      </c>
      <c r="BR292" s="239">
        <v>-61358</v>
      </c>
      <c r="BS292" s="239">
        <v>0</v>
      </c>
      <c r="BT292" s="239">
        <v>-61358</v>
      </c>
      <c r="BU292" s="239">
        <v>-7357275</v>
      </c>
      <c r="BV292" s="239">
        <v>0</v>
      </c>
      <c r="BW292" s="239">
        <v>-7357275</v>
      </c>
      <c r="BX292" s="239">
        <v>-144545</v>
      </c>
      <c r="BY292" s="239">
        <v>0</v>
      </c>
      <c r="BZ292" s="239">
        <v>-144545</v>
      </c>
      <c r="CA292" s="239">
        <v>-7487</v>
      </c>
      <c r="CB292" s="239">
        <v>0</v>
      </c>
      <c r="CC292" s="239">
        <v>-7487</v>
      </c>
      <c r="CD292" s="239">
        <v>-305287</v>
      </c>
      <c r="CE292" s="239">
        <v>0</v>
      </c>
      <c r="CF292" s="239">
        <v>-305287</v>
      </c>
      <c r="CG292" s="239">
        <v>-14720</v>
      </c>
      <c r="CH292" s="239">
        <v>0</v>
      </c>
      <c r="CI292" s="239">
        <v>-14720</v>
      </c>
      <c r="CJ292" s="239">
        <v>-11167</v>
      </c>
      <c r="CK292" s="239">
        <v>0</v>
      </c>
      <c r="CL292" s="239">
        <v>-11167</v>
      </c>
      <c r="CM292" s="239">
        <v>0</v>
      </c>
      <c r="CN292" s="239">
        <v>0</v>
      </c>
      <c r="CO292" s="239">
        <v>0</v>
      </c>
      <c r="CP292" s="239">
        <v>-505</v>
      </c>
      <c r="CQ292" s="239">
        <v>0</v>
      </c>
      <c r="CR292" s="239">
        <v>-505</v>
      </c>
      <c r="CS292" s="239">
        <v>0</v>
      </c>
      <c r="CT292" s="239">
        <v>0</v>
      </c>
      <c r="CU292" s="239">
        <v>0</v>
      </c>
      <c r="CV292" s="239">
        <v>0</v>
      </c>
      <c r="CW292" s="239">
        <v>0</v>
      </c>
      <c r="CX292" s="239">
        <v>0</v>
      </c>
      <c r="CY292" s="239">
        <v>0</v>
      </c>
      <c r="CZ292" s="239">
        <v>0</v>
      </c>
      <c r="DA292" s="239">
        <v>0</v>
      </c>
      <c r="DB292" s="239">
        <v>0</v>
      </c>
      <c r="DC292" s="239">
        <v>0</v>
      </c>
      <c r="DD292" s="239">
        <v>0</v>
      </c>
      <c r="DE292" s="239">
        <v>-3774</v>
      </c>
      <c r="DF292" s="239">
        <v>0</v>
      </c>
      <c r="DG292" s="239">
        <v>-3774</v>
      </c>
      <c r="DH292" s="239">
        <v>0</v>
      </c>
      <c r="DI292" s="239">
        <v>0</v>
      </c>
      <c r="DJ292" s="239">
        <v>-487485</v>
      </c>
      <c r="DK292" s="239">
        <v>0</v>
      </c>
      <c r="DL292" s="239">
        <v>-487485</v>
      </c>
      <c r="DM292" s="239">
        <v>-2035</v>
      </c>
      <c r="DN292" s="239">
        <v>0</v>
      </c>
      <c r="DO292" s="239">
        <v>-2035</v>
      </c>
      <c r="DP292" s="239">
        <v>1638</v>
      </c>
      <c r="DQ292" s="239">
        <v>0</v>
      </c>
      <c r="DR292" s="239">
        <v>1638</v>
      </c>
      <c r="DS292" s="239">
        <v>-78371</v>
      </c>
      <c r="DT292" s="239">
        <v>0</v>
      </c>
      <c r="DU292" s="239">
        <v>-78371</v>
      </c>
      <c r="DV292" s="239">
        <v>-8916</v>
      </c>
      <c r="DW292" s="239">
        <v>0</v>
      </c>
      <c r="DX292" s="239">
        <v>-8916</v>
      </c>
      <c r="DY292" s="239">
        <v>-1482781</v>
      </c>
      <c r="DZ292" s="239">
        <v>0</v>
      </c>
      <c r="EA292" s="239">
        <v>-1482781</v>
      </c>
      <c r="EB292" s="239">
        <v>-90033</v>
      </c>
      <c r="EC292" s="239">
        <v>0</v>
      </c>
      <c r="ED292" s="239">
        <v>-90033</v>
      </c>
      <c r="EE292" s="239">
        <v>0</v>
      </c>
      <c r="EF292" s="239">
        <v>0</v>
      </c>
      <c r="EG292" s="239">
        <v>0</v>
      </c>
      <c r="EH292" s="239">
        <v>0</v>
      </c>
      <c r="EI292" s="239">
        <v>0</v>
      </c>
      <c r="EJ292" s="239">
        <v>0</v>
      </c>
      <c r="EK292" s="239">
        <v>-5831</v>
      </c>
      <c r="EL292" s="239">
        <v>0</v>
      </c>
      <c r="EM292" s="239">
        <v>-5831</v>
      </c>
      <c r="EN292" s="239">
        <v>-1666329</v>
      </c>
      <c r="EO292" s="239">
        <v>0</v>
      </c>
      <c r="EP292" s="239">
        <v>-1666329</v>
      </c>
      <c r="EQ292" s="239">
        <v>0</v>
      </c>
      <c r="ER292" s="239">
        <v>0</v>
      </c>
      <c r="ES292" s="239">
        <v>0</v>
      </c>
      <c r="ET292" s="239">
        <v>0</v>
      </c>
      <c r="EU292" s="239">
        <v>0</v>
      </c>
      <c r="EV292" s="239">
        <v>0</v>
      </c>
      <c r="EW292" s="239">
        <v>0</v>
      </c>
      <c r="EX292" s="239">
        <v>0</v>
      </c>
      <c r="EY292" s="239">
        <v>0</v>
      </c>
      <c r="EZ292" s="239">
        <v>178670564</v>
      </c>
      <c r="FA292" s="239">
        <v>0</v>
      </c>
      <c r="FB292" s="239">
        <v>178670564</v>
      </c>
      <c r="FC292" s="239">
        <v>735955</v>
      </c>
      <c r="FD292" s="239">
        <v>0</v>
      </c>
      <c r="FE292" s="239">
        <v>735955</v>
      </c>
      <c r="FF292" s="239">
        <v>-5140350</v>
      </c>
      <c r="FG292" s="239">
        <v>0</v>
      </c>
      <c r="FH292" s="239">
        <v>-5140350</v>
      </c>
      <c r="FI292" s="239">
        <v>-7357275</v>
      </c>
      <c r="FJ292" s="239">
        <v>0</v>
      </c>
      <c r="FK292" s="239">
        <v>-7357275</v>
      </c>
      <c r="FL292" s="239">
        <v>-487485</v>
      </c>
      <c r="FM292" s="239">
        <v>0</v>
      </c>
      <c r="FN292" s="239">
        <v>-487485</v>
      </c>
      <c r="FO292" s="239">
        <v>-1666329</v>
      </c>
      <c r="FP292" s="239">
        <v>0</v>
      </c>
      <c r="FQ292" s="239">
        <v>-1666329</v>
      </c>
      <c r="FR292" s="239">
        <v>0</v>
      </c>
      <c r="FS292" s="239">
        <v>0</v>
      </c>
      <c r="FT292" s="239">
        <v>0</v>
      </c>
      <c r="FU292" s="239">
        <v>-13915484</v>
      </c>
      <c r="FV292" s="239">
        <v>0</v>
      </c>
      <c r="FW292" s="239">
        <v>-13915484</v>
      </c>
      <c r="FX292" s="239">
        <v>164755080</v>
      </c>
      <c r="FY292" s="239">
        <v>0</v>
      </c>
      <c r="FZ292" s="239">
        <v>164755080</v>
      </c>
      <c r="GA292" s="214" t="s">
        <v>1296</v>
      </c>
    </row>
    <row r="293" spans="2:183" s="214" customFormat="1" x14ac:dyDescent="0.2">
      <c r="B293" s="610" t="s">
        <v>669</v>
      </c>
      <c r="C293" s="610" t="s">
        <v>668</v>
      </c>
      <c r="D293" s="239">
        <v>0</v>
      </c>
      <c r="E293" s="239">
        <v>0</v>
      </c>
      <c r="F293" s="239">
        <v>0</v>
      </c>
      <c r="G293" s="239">
        <v>8421</v>
      </c>
      <c r="H293" s="239">
        <v>0</v>
      </c>
      <c r="I293" s="239">
        <v>8421</v>
      </c>
      <c r="J293" s="239">
        <v>0</v>
      </c>
      <c r="K293" s="239">
        <v>0</v>
      </c>
      <c r="L293" s="239">
        <v>0</v>
      </c>
      <c r="M293" s="239">
        <v>46717</v>
      </c>
      <c r="N293" s="239">
        <v>0</v>
      </c>
      <c r="O293" s="239">
        <v>46717</v>
      </c>
      <c r="P293" s="239">
        <v>55138</v>
      </c>
      <c r="Q293" s="239">
        <v>0</v>
      </c>
      <c r="R293" s="239">
        <v>55138</v>
      </c>
      <c r="S293" s="239">
        <v>-2399681</v>
      </c>
      <c r="T293" s="239">
        <v>0</v>
      </c>
      <c r="U293" s="239">
        <v>-2399681</v>
      </c>
      <c r="V293" s="239">
        <v>-2738</v>
      </c>
      <c r="W293" s="239">
        <v>0</v>
      </c>
      <c r="X293" s="239">
        <v>-2738</v>
      </c>
      <c r="Y293" s="239">
        <v>-166516</v>
      </c>
      <c r="Z293" s="239">
        <v>0</v>
      </c>
      <c r="AA293" s="239">
        <v>-166516</v>
      </c>
      <c r="AB293" s="239">
        <v>-166516</v>
      </c>
      <c r="AC293" s="239">
        <v>0</v>
      </c>
      <c r="AD293" s="239">
        <v>-166516</v>
      </c>
      <c r="AE293" s="239">
        <v>0</v>
      </c>
      <c r="AF293" s="239">
        <v>0</v>
      </c>
      <c r="AG293" s="239">
        <v>0</v>
      </c>
      <c r="AH293" s="239">
        <v>1443266</v>
      </c>
      <c r="AI293" s="239">
        <v>0</v>
      </c>
      <c r="AJ293" s="239">
        <v>1443266</v>
      </c>
      <c r="AK293" s="239">
        <v>1427</v>
      </c>
      <c r="AL293" s="239">
        <v>0</v>
      </c>
      <c r="AM293" s="239">
        <v>1427</v>
      </c>
      <c r="AN293" s="239">
        <v>-4219183</v>
      </c>
      <c r="AO293" s="239">
        <v>0</v>
      </c>
      <c r="AP293" s="239">
        <v>-4219183</v>
      </c>
      <c r="AQ293" s="239">
        <v>-346949</v>
      </c>
      <c r="AR293" s="239">
        <v>0</v>
      </c>
      <c r="AS293" s="239">
        <v>-346949</v>
      </c>
      <c r="AT293" s="239">
        <v>-20509</v>
      </c>
      <c r="AU293" s="239">
        <v>0</v>
      </c>
      <c r="AV293" s="239">
        <v>-20509</v>
      </c>
      <c r="AW293" s="239">
        <v>0</v>
      </c>
      <c r="AX293" s="239">
        <v>0</v>
      </c>
      <c r="AY293" s="239">
        <v>0</v>
      </c>
      <c r="AZ293" s="239">
        <v>-8073</v>
      </c>
      <c r="BA293" s="239">
        <v>0</v>
      </c>
      <c r="BB293" s="239">
        <v>-8073</v>
      </c>
      <c r="BC293" s="239">
        <v>4345</v>
      </c>
      <c r="BD293" s="239">
        <v>0</v>
      </c>
      <c r="BE293" s="239">
        <v>4345</v>
      </c>
      <c r="BF293" s="239">
        <v>-5711873</v>
      </c>
      <c r="BG293" s="239">
        <v>0</v>
      </c>
      <c r="BH293" s="239">
        <v>-5711873</v>
      </c>
      <c r="BI293" s="239">
        <v>-7765</v>
      </c>
      <c r="BJ293" s="239">
        <v>0</v>
      </c>
      <c r="BK293" s="239">
        <v>-7765</v>
      </c>
      <c r="BL293" s="239">
        <v>0</v>
      </c>
      <c r="BM293" s="239">
        <v>0</v>
      </c>
      <c r="BN293" s="239">
        <v>0</v>
      </c>
      <c r="BO293" s="239">
        <v>-1334170</v>
      </c>
      <c r="BP293" s="239">
        <v>0</v>
      </c>
      <c r="BQ293" s="239">
        <v>-1334170</v>
      </c>
      <c r="BR293" s="239">
        <v>228244</v>
      </c>
      <c r="BS293" s="239">
        <v>0</v>
      </c>
      <c r="BT293" s="239">
        <v>228244</v>
      </c>
      <c r="BU293" s="239">
        <v>-1113691</v>
      </c>
      <c r="BV293" s="239">
        <v>0</v>
      </c>
      <c r="BW293" s="239">
        <v>-1113691</v>
      </c>
      <c r="BX293" s="239">
        <v>-23339</v>
      </c>
      <c r="BY293" s="239">
        <v>0</v>
      </c>
      <c r="BZ293" s="239">
        <v>-23339</v>
      </c>
      <c r="CA293" s="239">
        <v>98</v>
      </c>
      <c r="CB293" s="239">
        <v>0</v>
      </c>
      <c r="CC293" s="239">
        <v>98</v>
      </c>
      <c r="CD293" s="239">
        <v>-12742</v>
      </c>
      <c r="CE293" s="239">
        <v>0</v>
      </c>
      <c r="CF293" s="239">
        <v>-12742</v>
      </c>
      <c r="CG293" s="239">
        <v>0</v>
      </c>
      <c r="CH293" s="239">
        <v>0</v>
      </c>
      <c r="CI293" s="239">
        <v>0</v>
      </c>
      <c r="CJ293" s="239">
        <v>-759</v>
      </c>
      <c r="CK293" s="239">
        <v>0</v>
      </c>
      <c r="CL293" s="239">
        <v>-759</v>
      </c>
      <c r="CM293" s="239">
        <v>0</v>
      </c>
      <c r="CN293" s="239">
        <v>0</v>
      </c>
      <c r="CO293" s="239">
        <v>0</v>
      </c>
      <c r="CP293" s="239">
        <v>-4265</v>
      </c>
      <c r="CQ293" s="239">
        <v>0</v>
      </c>
      <c r="CR293" s="239">
        <v>-4265</v>
      </c>
      <c r="CS293" s="239">
        <v>4345</v>
      </c>
      <c r="CT293" s="239">
        <v>0</v>
      </c>
      <c r="CU293" s="239">
        <v>4345</v>
      </c>
      <c r="CV293" s="239">
        <v>-17022</v>
      </c>
      <c r="CW293" s="239">
        <v>0</v>
      </c>
      <c r="CX293" s="239">
        <v>-17022</v>
      </c>
      <c r="CY293" s="239">
        <v>11756</v>
      </c>
      <c r="CZ293" s="239">
        <v>0</v>
      </c>
      <c r="DA293" s="239">
        <v>11756</v>
      </c>
      <c r="DB293" s="239">
        <v>0</v>
      </c>
      <c r="DC293" s="239">
        <v>0</v>
      </c>
      <c r="DD293" s="239">
        <v>0</v>
      </c>
      <c r="DE293" s="239">
        <v>0</v>
      </c>
      <c r="DF293" s="239">
        <v>0</v>
      </c>
      <c r="DG293" s="239">
        <v>0</v>
      </c>
      <c r="DH293" s="239">
        <v>0</v>
      </c>
      <c r="DI293" s="239">
        <v>0</v>
      </c>
      <c r="DJ293" s="239">
        <v>-41928</v>
      </c>
      <c r="DK293" s="239">
        <v>0</v>
      </c>
      <c r="DL293" s="239">
        <v>-41928</v>
      </c>
      <c r="DM293" s="239">
        <v>0</v>
      </c>
      <c r="DN293" s="239">
        <v>0</v>
      </c>
      <c r="DO293" s="239">
        <v>0</v>
      </c>
      <c r="DP293" s="239">
        <v>0</v>
      </c>
      <c r="DQ293" s="239">
        <v>0</v>
      </c>
      <c r="DR293" s="239">
        <v>0</v>
      </c>
      <c r="DS293" s="239">
        <v>-31078</v>
      </c>
      <c r="DT293" s="239">
        <v>0</v>
      </c>
      <c r="DU293" s="239">
        <v>-31078</v>
      </c>
      <c r="DV293" s="239">
        <v>-1562</v>
      </c>
      <c r="DW293" s="239">
        <v>0</v>
      </c>
      <c r="DX293" s="239">
        <v>-1562</v>
      </c>
      <c r="DY293" s="239">
        <v>-976538</v>
      </c>
      <c r="DZ293" s="239">
        <v>0</v>
      </c>
      <c r="EA293" s="239">
        <v>-976538</v>
      </c>
      <c r="EB293" s="239">
        <v>-10179</v>
      </c>
      <c r="EC293" s="239">
        <v>0</v>
      </c>
      <c r="ED293" s="239">
        <v>-10179</v>
      </c>
      <c r="EE293" s="239">
        <v>0</v>
      </c>
      <c r="EF293" s="239">
        <v>0</v>
      </c>
      <c r="EG293" s="239">
        <v>0</v>
      </c>
      <c r="EH293" s="239">
        <v>0</v>
      </c>
      <c r="EI293" s="239">
        <v>0</v>
      </c>
      <c r="EJ293" s="239">
        <v>0</v>
      </c>
      <c r="EK293" s="239">
        <v>-6850</v>
      </c>
      <c r="EL293" s="239">
        <v>0</v>
      </c>
      <c r="EM293" s="239">
        <v>-6850</v>
      </c>
      <c r="EN293" s="239">
        <v>-1026207</v>
      </c>
      <c r="EO293" s="239">
        <v>0</v>
      </c>
      <c r="EP293" s="239">
        <v>-1026207</v>
      </c>
      <c r="EQ293" s="239">
        <v>0</v>
      </c>
      <c r="ER293" s="239">
        <v>0</v>
      </c>
      <c r="ES293" s="239">
        <v>0</v>
      </c>
      <c r="ET293" s="239">
        <v>0</v>
      </c>
      <c r="EU293" s="239">
        <v>0</v>
      </c>
      <c r="EV293" s="239">
        <v>0</v>
      </c>
      <c r="EW293" s="239">
        <v>0</v>
      </c>
      <c r="EX293" s="239">
        <v>0</v>
      </c>
      <c r="EY293" s="239">
        <v>0</v>
      </c>
      <c r="EZ293" s="239">
        <v>61051340</v>
      </c>
      <c r="FA293" s="239">
        <v>0</v>
      </c>
      <c r="FB293" s="239">
        <v>61051340</v>
      </c>
      <c r="FC293" s="239">
        <v>55138</v>
      </c>
      <c r="FD293" s="239">
        <v>0</v>
      </c>
      <c r="FE293" s="239">
        <v>55138</v>
      </c>
      <c r="FF293" s="239">
        <v>-5711873</v>
      </c>
      <c r="FG293" s="239">
        <v>0</v>
      </c>
      <c r="FH293" s="239">
        <v>-5711873</v>
      </c>
      <c r="FI293" s="239">
        <v>-1113691</v>
      </c>
      <c r="FJ293" s="239">
        <v>0</v>
      </c>
      <c r="FK293" s="239">
        <v>-1113691</v>
      </c>
      <c r="FL293" s="239">
        <v>-41928</v>
      </c>
      <c r="FM293" s="239">
        <v>0</v>
      </c>
      <c r="FN293" s="239">
        <v>-41928</v>
      </c>
      <c r="FO293" s="239">
        <v>-1026207</v>
      </c>
      <c r="FP293" s="239">
        <v>0</v>
      </c>
      <c r="FQ293" s="239">
        <v>-1026207</v>
      </c>
      <c r="FR293" s="239">
        <v>0</v>
      </c>
      <c r="FS293" s="239">
        <v>0</v>
      </c>
      <c r="FT293" s="239">
        <v>0</v>
      </c>
      <c r="FU293" s="239">
        <v>-7838561</v>
      </c>
      <c r="FV293" s="239">
        <v>0</v>
      </c>
      <c r="FW293" s="239">
        <v>-7838561</v>
      </c>
      <c r="FX293" s="239">
        <v>53212779</v>
      </c>
      <c r="FY293" s="239">
        <v>0</v>
      </c>
      <c r="FZ293" s="239">
        <v>53212779</v>
      </c>
      <c r="GA293" s="214" t="s">
        <v>1294</v>
      </c>
    </row>
    <row r="294" spans="2:183" s="214" customFormat="1" x14ac:dyDescent="0.2">
      <c r="B294" s="610" t="s">
        <v>671</v>
      </c>
      <c r="C294" s="610" t="s">
        <v>670</v>
      </c>
      <c r="D294" s="239">
        <v>0</v>
      </c>
      <c r="E294" s="239">
        <v>0</v>
      </c>
      <c r="F294" s="239">
        <v>0</v>
      </c>
      <c r="G294" s="239">
        <v>125479</v>
      </c>
      <c r="H294" s="239">
        <v>0</v>
      </c>
      <c r="I294" s="239">
        <v>125479</v>
      </c>
      <c r="J294" s="239">
        <v>0</v>
      </c>
      <c r="K294" s="239">
        <v>0</v>
      </c>
      <c r="L294" s="239">
        <v>0</v>
      </c>
      <c r="M294" s="239">
        <v>32874</v>
      </c>
      <c r="N294" s="239">
        <v>0</v>
      </c>
      <c r="O294" s="239">
        <v>32874</v>
      </c>
      <c r="P294" s="239">
        <v>158353</v>
      </c>
      <c r="Q294" s="239">
        <v>0</v>
      </c>
      <c r="R294" s="239">
        <v>158353</v>
      </c>
      <c r="S294" s="239">
        <v>-1951767</v>
      </c>
      <c r="T294" s="239">
        <v>0</v>
      </c>
      <c r="U294" s="239">
        <v>-1951767</v>
      </c>
      <c r="V294" s="239">
        <v>-8480</v>
      </c>
      <c r="W294" s="239">
        <v>0</v>
      </c>
      <c r="X294" s="239">
        <v>-8480</v>
      </c>
      <c r="Y294" s="239">
        <v>-348977</v>
      </c>
      <c r="Z294" s="239">
        <v>0</v>
      </c>
      <c r="AA294" s="239">
        <v>-348977</v>
      </c>
      <c r="AB294" s="239">
        <v>-191118</v>
      </c>
      <c r="AC294" s="239">
        <v>0</v>
      </c>
      <c r="AD294" s="239">
        <v>-191118</v>
      </c>
      <c r="AE294" s="239">
        <v>-6629</v>
      </c>
      <c r="AF294" s="239">
        <v>0</v>
      </c>
      <c r="AG294" s="239">
        <v>-6629</v>
      </c>
      <c r="AH294" s="239">
        <v>1161941</v>
      </c>
      <c r="AI294" s="239">
        <v>0</v>
      </c>
      <c r="AJ294" s="239">
        <v>1161941</v>
      </c>
      <c r="AK294" s="239">
        <v>-1476</v>
      </c>
      <c r="AL294" s="239">
        <v>0</v>
      </c>
      <c r="AM294" s="239">
        <v>-1476</v>
      </c>
      <c r="AN294" s="239">
        <v>-1939745</v>
      </c>
      <c r="AO294" s="239">
        <v>0</v>
      </c>
      <c r="AP294" s="239">
        <v>-1939745</v>
      </c>
      <c r="AQ294" s="239">
        <v>-24173</v>
      </c>
      <c r="AR294" s="239">
        <v>0</v>
      </c>
      <c r="AS294" s="239">
        <v>-24173</v>
      </c>
      <c r="AT294" s="239">
        <v>-54526</v>
      </c>
      <c r="AU294" s="239">
        <v>0</v>
      </c>
      <c r="AV294" s="239">
        <v>-54526</v>
      </c>
      <c r="AW294" s="239">
        <v>0</v>
      </c>
      <c r="AX294" s="239">
        <v>0</v>
      </c>
      <c r="AY294" s="239">
        <v>0</v>
      </c>
      <c r="AZ294" s="239">
        <v>-47883</v>
      </c>
      <c r="BA294" s="239">
        <v>0</v>
      </c>
      <c r="BB294" s="239">
        <v>-47883</v>
      </c>
      <c r="BC294" s="239">
        <v>0</v>
      </c>
      <c r="BD294" s="239">
        <v>0</v>
      </c>
      <c r="BE294" s="239">
        <v>0</v>
      </c>
      <c r="BF294" s="239">
        <v>-3206606</v>
      </c>
      <c r="BG294" s="239">
        <v>0</v>
      </c>
      <c r="BH294" s="239">
        <v>-3206606</v>
      </c>
      <c r="BI294" s="239">
        <v>-96322</v>
      </c>
      <c r="BJ294" s="239">
        <v>0</v>
      </c>
      <c r="BK294" s="239">
        <v>-96322</v>
      </c>
      <c r="BL294" s="239">
        <v>833</v>
      </c>
      <c r="BM294" s="239">
        <v>0</v>
      </c>
      <c r="BN294" s="239">
        <v>833</v>
      </c>
      <c r="BO294" s="239">
        <v>-1362433</v>
      </c>
      <c r="BP294" s="239">
        <v>0</v>
      </c>
      <c r="BQ294" s="239">
        <v>-1362433</v>
      </c>
      <c r="BR294" s="239">
        <v>471583</v>
      </c>
      <c r="BS294" s="239">
        <v>0</v>
      </c>
      <c r="BT294" s="239">
        <v>471583</v>
      </c>
      <c r="BU294" s="239">
        <v>-986339</v>
      </c>
      <c r="BV294" s="239">
        <v>0</v>
      </c>
      <c r="BW294" s="239">
        <v>-986339</v>
      </c>
      <c r="BX294" s="239">
        <v>-45998</v>
      </c>
      <c r="BY294" s="239">
        <v>0</v>
      </c>
      <c r="BZ294" s="239">
        <v>-45998</v>
      </c>
      <c r="CA294" s="239">
        <v>1323</v>
      </c>
      <c r="CB294" s="239">
        <v>0</v>
      </c>
      <c r="CC294" s="239">
        <v>1323</v>
      </c>
      <c r="CD294" s="239">
        <v>-123620</v>
      </c>
      <c r="CE294" s="239">
        <v>0</v>
      </c>
      <c r="CF294" s="239">
        <v>-123620</v>
      </c>
      <c r="CG294" s="239">
        <v>-1502</v>
      </c>
      <c r="CH294" s="239">
        <v>0</v>
      </c>
      <c r="CI294" s="239">
        <v>-1502</v>
      </c>
      <c r="CJ294" s="239">
        <v>-168</v>
      </c>
      <c r="CK294" s="239">
        <v>0</v>
      </c>
      <c r="CL294" s="239">
        <v>-168</v>
      </c>
      <c r="CM294" s="239">
        <v>0</v>
      </c>
      <c r="CN294" s="239">
        <v>0</v>
      </c>
      <c r="CO294" s="239">
        <v>0</v>
      </c>
      <c r="CP294" s="239">
        <v>-44133</v>
      </c>
      <c r="CQ294" s="239">
        <v>0</v>
      </c>
      <c r="CR294" s="239">
        <v>-44133</v>
      </c>
      <c r="CS294" s="239">
        <v>-74</v>
      </c>
      <c r="CT294" s="239">
        <v>0</v>
      </c>
      <c r="CU294" s="239">
        <v>-74</v>
      </c>
      <c r="CV294" s="239">
        <v>-111812</v>
      </c>
      <c r="CW294" s="239">
        <v>0</v>
      </c>
      <c r="CX294" s="239">
        <v>-111812</v>
      </c>
      <c r="CY294" s="239">
        <v>0</v>
      </c>
      <c r="CZ294" s="239">
        <v>0</v>
      </c>
      <c r="DA294" s="239">
        <v>0</v>
      </c>
      <c r="DB294" s="239">
        <v>-32100</v>
      </c>
      <c r="DC294" s="239">
        <v>0</v>
      </c>
      <c r="DD294" s="239">
        <v>-32100</v>
      </c>
      <c r="DE294" s="239">
        <v>0</v>
      </c>
      <c r="DF294" s="239">
        <v>0</v>
      </c>
      <c r="DG294" s="239">
        <v>0</v>
      </c>
      <c r="DH294" s="239">
        <v>0</v>
      </c>
      <c r="DI294" s="239">
        <v>0</v>
      </c>
      <c r="DJ294" s="239">
        <v>-358084</v>
      </c>
      <c r="DK294" s="239">
        <v>0</v>
      </c>
      <c r="DL294" s="239">
        <v>-358084</v>
      </c>
      <c r="DM294" s="239">
        <v>-3245</v>
      </c>
      <c r="DN294" s="239">
        <v>0</v>
      </c>
      <c r="DO294" s="239">
        <v>-3245</v>
      </c>
      <c r="DP294" s="239">
        <v>0</v>
      </c>
      <c r="DQ294" s="239">
        <v>0</v>
      </c>
      <c r="DR294" s="239">
        <v>0</v>
      </c>
      <c r="DS294" s="239">
        <v>-13093</v>
      </c>
      <c r="DT294" s="239">
        <v>0</v>
      </c>
      <c r="DU294" s="239">
        <v>-13093</v>
      </c>
      <c r="DV294" s="239">
        <v>0</v>
      </c>
      <c r="DW294" s="239">
        <v>0</v>
      </c>
      <c r="DX294" s="239">
        <v>0</v>
      </c>
      <c r="DY294" s="239">
        <v>-434206</v>
      </c>
      <c r="DZ294" s="239">
        <v>0</v>
      </c>
      <c r="EA294" s="239">
        <v>-434206</v>
      </c>
      <c r="EB294" s="239">
        <v>-5626</v>
      </c>
      <c r="EC294" s="239">
        <v>0</v>
      </c>
      <c r="ED294" s="239">
        <v>-5626</v>
      </c>
      <c r="EE294" s="239">
        <v>0</v>
      </c>
      <c r="EF294" s="239">
        <v>0</v>
      </c>
      <c r="EG294" s="239">
        <v>0</v>
      </c>
      <c r="EH294" s="239">
        <v>0</v>
      </c>
      <c r="EI294" s="239">
        <v>0</v>
      </c>
      <c r="EJ294" s="239">
        <v>0</v>
      </c>
      <c r="EK294" s="239">
        <v>-16495</v>
      </c>
      <c r="EL294" s="239">
        <v>0</v>
      </c>
      <c r="EM294" s="239">
        <v>-16495</v>
      </c>
      <c r="EN294" s="239">
        <v>-472665</v>
      </c>
      <c r="EO294" s="239">
        <v>0</v>
      </c>
      <c r="EP294" s="239">
        <v>-472665</v>
      </c>
      <c r="EQ294" s="239">
        <v>0</v>
      </c>
      <c r="ER294" s="239">
        <v>0</v>
      </c>
      <c r="ES294" s="239">
        <v>0</v>
      </c>
      <c r="ET294" s="239">
        <v>0</v>
      </c>
      <c r="EU294" s="239">
        <v>0</v>
      </c>
      <c r="EV294" s="239">
        <v>0</v>
      </c>
      <c r="EW294" s="239">
        <v>0</v>
      </c>
      <c r="EX294" s="239">
        <v>0</v>
      </c>
      <c r="EY294" s="239">
        <v>0</v>
      </c>
      <c r="EZ294" s="239">
        <v>48797658</v>
      </c>
      <c r="FA294" s="239">
        <v>0</v>
      </c>
      <c r="FB294" s="239">
        <v>48797658</v>
      </c>
      <c r="FC294" s="239">
        <v>158353</v>
      </c>
      <c r="FD294" s="239">
        <v>0</v>
      </c>
      <c r="FE294" s="239">
        <v>158353</v>
      </c>
      <c r="FF294" s="239">
        <v>-3206606</v>
      </c>
      <c r="FG294" s="239">
        <v>0</v>
      </c>
      <c r="FH294" s="239">
        <v>-3206606</v>
      </c>
      <c r="FI294" s="239">
        <v>-986339</v>
      </c>
      <c r="FJ294" s="239">
        <v>0</v>
      </c>
      <c r="FK294" s="239">
        <v>-986339</v>
      </c>
      <c r="FL294" s="239">
        <v>-358084</v>
      </c>
      <c r="FM294" s="239">
        <v>0</v>
      </c>
      <c r="FN294" s="239">
        <v>-358084</v>
      </c>
      <c r="FO294" s="239">
        <v>-472665</v>
      </c>
      <c r="FP294" s="239">
        <v>0</v>
      </c>
      <c r="FQ294" s="239">
        <v>-472665</v>
      </c>
      <c r="FR294" s="239">
        <v>0</v>
      </c>
      <c r="FS294" s="239">
        <v>0</v>
      </c>
      <c r="FT294" s="239">
        <v>0</v>
      </c>
      <c r="FU294" s="239">
        <v>-4865341</v>
      </c>
      <c r="FV294" s="239">
        <v>0</v>
      </c>
      <c r="FW294" s="239">
        <v>-4865341</v>
      </c>
      <c r="FX294" s="239">
        <v>43932317</v>
      </c>
      <c r="FY294" s="239">
        <v>0</v>
      </c>
      <c r="FZ294" s="239">
        <v>43932317</v>
      </c>
      <c r="GA294" s="214" t="s">
        <v>1294</v>
      </c>
    </row>
    <row r="295" spans="2:183" s="214" customFormat="1" x14ac:dyDescent="0.2">
      <c r="B295" s="610" t="s">
        <v>673</v>
      </c>
      <c r="C295" s="610" t="s">
        <v>672</v>
      </c>
      <c r="D295" s="239">
        <v>0</v>
      </c>
      <c r="E295" s="239">
        <v>0</v>
      </c>
      <c r="F295" s="239">
        <v>0</v>
      </c>
      <c r="G295" s="239">
        <v>18238</v>
      </c>
      <c r="H295" s="239">
        <v>0</v>
      </c>
      <c r="I295" s="239">
        <v>18238</v>
      </c>
      <c r="J295" s="239">
        <v>0</v>
      </c>
      <c r="K295" s="239">
        <v>0</v>
      </c>
      <c r="L295" s="239">
        <v>0</v>
      </c>
      <c r="M295" s="239">
        <v>494640</v>
      </c>
      <c r="N295" s="239">
        <v>-24</v>
      </c>
      <c r="O295" s="239">
        <v>494616</v>
      </c>
      <c r="P295" s="239">
        <v>512878</v>
      </c>
      <c r="Q295" s="239">
        <v>-24</v>
      </c>
      <c r="R295" s="239">
        <v>512854</v>
      </c>
      <c r="S295" s="239">
        <v>-1686740</v>
      </c>
      <c r="T295" s="239">
        <v>-27232</v>
      </c>
      <c r="U295" s="239">
        <v>-1713972</v>
      </c>
      <c r="V295" s="239">
        <v>-2267</v>
      </c>
      <c r="W295" s="239">
        <v>0</v>
      </c>
      <c r="X295" s="239">
        <v>-2267</v>
      </c>
      <c r="Y295" s="239">
        <v>-85394</v>
      </c>
      <c r="Z295" s="239">
        <v>86</v>
      </c>
      <c r="AA295" s="239">
        <v>-85308</v>
      </c>
      <c r="AB295" s="239">
        <v>-55378</v>
      </c>
      <c r="AC295" s="239">
        <v>4</v>
      </c>
      <c r="AD295" s="239">
        <v>-55374</v>
      </c>
      <c r="AE295" s="239">
        <v>0</v>
      </c>
      <c r="AF295" s="239">
        <v>0</v>
      </c>
      <c r="AG295" s="239">
        <v>0</v>
      </c>
      <c r="AH295" s="239">
        <v>1616779</v>
      </c>
      <c r="AI295" s="239">
        <v>46041</v>
      </c>
      <c r="AJ295" s="239">
        <v>1662820</v>
      </c>
      <c r="AK295" s="239">
        <v>-89613</v>
      </c>
      <c r="AL295" s="239">
        <v>889</v>
      </c>
      <c r="AM295" s="239">
        <v>-88724</v>
      </c>
      <c r="AN295" s="239">
        <v>-6792501</v>
      </c>
      <c r="AO295" s="239">
        <v>-83218</v>
      </c>
      <c r="AP295" s="239">
        <v>-6875719</v>
      </c>
      <c r="AQ295" s="239">
        <v>106262</v>
      </c>
      <c r="AR295" s="239">
        <v>0</v>
      </c>
      <c r="AS295" s="239">
        <v>106262</v>
      </c>
      <c r="AT295" s="239">
        <v>-86468</v>
      </c>
      <c r="AU295" s="239">
        <v>0</v>
      </c>
      <c r="AV295" s="239">
        <v>-86468</v>
      </c>
      <c r="AW295" s="239">
        <v>0</v>
      </c>
      <c r="AX295" s="239">
        <v>0</v>
      </c>
      <c r="AY295" s="239">
        <v>0</v>
      </c>
      <c r="AZ295" s="239">
        <v>-38637</v>
      </c>
      <c r="BA295" s="239">
        <v>0</v>
      </c>
      <c r="BB295" s="239">
        <v>-38637</v>
      </c>
      <c r="BC295" s="239">
        <v>-1431</v>
      </c>
      <c r="BD295" s="239">
        <v>0</v>
      </c>
      <c r="BE295" s="239">
        <v>-1431</v>
      </c>
      <c r="BF295" s="239">
        <v>-7057743</v>
      </c>
      <c r="BG295" s="239">
        <v>-63434</v>
      </c>
      <c r="BH295" s="239">
        <v>-7121177</v>
      </c>
      <c r="BI295" s="239">
        <v>0</v>
      </c>
      <c r="BJ295" s="239">
        <v>0</v>
      </c>
      <c r="BK295" s="239">
        <v>0</v>
      </c>
      <c r="BL295" s="239">
        <v>19</v>
      </c>
      <c r="BM295" s="239">
        <v>0</v>
      </c>
      <c r="BN295" s="239">
        <v>19</v>
      </c>
      <c r="BO295" s="239">
        <v>-1843257</v>
      </c>
      <c r="BP295" s="239">
        <v>-19379</v>
      </c>
      <c r="BQ295" s="239">
        <v>-1862636</v>
      </c>
      <c r="BR295" s="239">
        <v>95976</v>
      </c>
      <c r="BS295" s="239">
        <v>1872</v>
      </c>
      <c r="BT295" s="239">
        <v>97848</v>
      </c>
      <c r="BU295" s="239">
        <v>-1747262</v>
      </c>
      <c r="BV295" s="239">
        <v>-17507</v>
      </c>
      <c r="BW295" s="239">
        <v>-1764769</v>
      </c>
      <c r="BX295" s="239">
        <v>-158970</v>
      </c>
      <c r="BY295" s="239">
        <v>0</v>
      </c>
      <c r="BZ295" s="239">
        <v>-158970</v>
      </c>
      <c r="CA295" s="239">
        <v>8736</v>
      </c>
      <c r="CB295" s="239">
        <v>0</v>
      </c>
      <c r="CC295" s="239">
        <v>8736</v>
      </c>
      <c r="CD295" s="239">
        <v>-8068</v>
      </c>
      <c r="CE295" s="239">
        <v>0</v>
      </c>
      <c r="CF295" s="239">
        <v>-8068</v>
      </c>
      <c r="CG295" s="239">
        <v>234</v>
      </c>
      <c r="CH295" s="239">
        <v>0</v>
      </c>
      <c r="CI295" s="239">
        <v>234</v>
      </c>
      <c r="CJ295" s="239">
        <v>-5404</v>
      </c>
      <c r="CK295" s="239">
        <v>0</v>
      </c>
      <c r="CL295" s="239">
        <v>-5404</v>
      </c>
      <c r="CM295" s="239">
        <v>0</v>
      </c>
      <c r="CN295" s="239">
        <v>0</v>
      </c>
      <c r="CO295" s="239">
        <v>0</v>
      </c>
      <c r="CP295" s="239">
        <v>-14900</v>
      </c>
      <c r="CQ295" s="239">
        <v>0</v>
      </c>
      <c r="CR295" s="239">
        <v>-14900</v>
      </c>
      <c r="CS295" s="239">
        <v>0</v>
      </c>
      <c r="CT295" s="239">
        <v>0</v>
      </c>
      <c r="CU295" s="239">
        <v>0</v>
      </c>
      <c r="CV295" s="239">
        <v>0</v>
      </c>
      <c r="CW295" s="239">
        <v>0</v>
      </c>
      <c r="CX295" s="239">
        <v>0</v>
      </c>
      <c r="CY295" s="239">
        <v>0</v>
      </c>
      <c r="CZ295" s="239">
        <v>0</v>
      </c>
      <c r="DA295" s="239">
        <v>0</v>
      </c>
      <c r="DB295" s="239">
        <v>0</v>
      </c>
      <c r="DC295" s="239">
        <v>-500908</v>
      </c>
      <c r="DD295" s="239">
        <v>-500908</v>
      </c>
      <c r="DE295" s="239">
        <v>0</v>
      </c>
      <c r="DF295" s="239">
        <v>-28418</v>
      </c>
      <c r="DG295" s="239">
        <v>-28418</v>
      </c>
      <c r="DH295" s="239">
        <v>-529326</v>
      </c>
      <c r="DI295" s="239">
        <v>0</v>
      </c>
      <c r="DJ295" s="239">
        <v>-178372</v>
      </c>
      <c r="DK295" s="239">
        <v>-529326</v>
      </c>
      <c r="DL295" s="239">
        <v>-707698</v>
      </c>
      <c r="DM295" s="239">
        <v>0</v>
      </c>
      <c r="DN295" s="239">
        <v>0</v>
      </c>
      <c r="DO295" s="239">
        <v>0</v>
      </c>
      <c r="DP295" s="239">
        <v>0</v>
      </c>
      <c r="DQ295" s="239">
        <v>0</v>
      </c>
      <c r="DR295" s="239">
        <v>0</v>
      </c>
      <c r="DS295" s="239">
        <v>-5875</v>
      </c>
      <c r="DT295" s="239">
        <v>0</v>
      </c>
      <c r="DU295" s="239">
        <v>-5875</v>
      </c>
      <c r="DV295" s="239">
        <v>-1028</v>
      </c>
      <c r="DW295" s="239">
        <v>0</v>
      </c>
      <c r="DX295" s="239">
        <v>-1028</v>
      </c>
      <c r="DY295" s="239">
        <v>-450792</v>
      </c>
      <c r="DZ295" s="239">
        <v>-1500</v>
      </c>
      <c r="EA295" s="239">
        <v>-452292</v>
      </c>
      <c r="EB295" s="239">
        <v>-22106</v>
      </c>
      <c r="EC295" s="239">
        <v>0</v>
      </c>
      <c r="ED295" s="239">
        <v>-22106</v>
      </c>
      <c r="EE295" s="239">
        <v>0</v>
      </c>
      <c r="EF295" s="239">
        <v>0</v>
      </c>
      <c r="EG295" s="239">
        <v>0</v>
      </c>
      <c r="EH295" s="239">
        <v>0</v>
      </c>
      <c r="EI295" s="239">
        <v>0</v>
      </c>
      <c r="EJ295" s="239">
        <v>0</v>
      </c>
      <c r="EK295" s="239">
        <v>-6343</v>
      </c>
      <c r="EL295" s="239">
        <v>0</v>
      </c>
      <c r="EM295" s="239">
        <v>-6343</v>
      </c>
      <c r="EN295" s="239">
        <v>-486144</v>
      </c>
      <c r="EO295" s="239">
        <v>-1500</v>
      </c>
      <c r="EP295" s="239">
        <v>-487644</v>
      </c>
      <c r="EQ295" s="239">
        <v>0</v>
      </c>
      <c r="ER295" s="239">
        <v>0</v>
      </c>
      <c r="ES295" s="239">
        <v>0</v>
      </c>
      <c r="ET295" s="239">
        <v>0</v>
      </c>
      <c r="EU295" s="239">
        <v>0</v>
      </c>
      <c r="EV295" s="239">
        <v>0</v>
      </c>
      <c r="EW295" s="239">
        <v>0</v>
      </c>
      <c r="EX295" s="239">
        <v>0</v>
      </c>
      <c r="EY295" s="239">
        <v>0</v>
      </c>
      <c r="EZ295" s="239">
        <v>60733239</v>
      </c>
      <c r="FA295" s="239">
        <v>2126601</v>
      </c>
      <c r="FB295" s="239">
        <v>62859840</v>
      </c>
      <c r="FC295" s="239">
        <v>512878</v>
      </c>
      <c r="FD295" s="239">
        <v>-24</v>
      </c>
      <c r="FE295" s="239">
        <v>512854</v>
      </c>
      <c r="FF295" s="239">
        <v>-7057743</v>
      </c>
      <c r="FG295" s="239">
        <v>-63434</v>
      </c>
      <c r="FH295" s="239">
        <v>-7121177</v>
      </c>
      <c r="FI295" s="239">
        <v>-1747262</v>
      </c>
      <c r="FJ295" s="239">
        <v>-17507</v>
      </c>
      <c r="FK295" s="239">
        <v>-1764769</v>
      </c>
      <c r="FL295" s="239">
        <v>-178372</v>
      </c>
      <c r="FM295" s="239">
        <v>-529326</v>
      </c>
      <c r="FN295" s="239">
        <v>-707698</v>
      </c>
      <c r="FO295" s="239">
        <v>-486144</v>
      </c>
      <c r="FP295" s="239">
        <v>-1500</v>
      </c>
      <c r="FQ295" s="239">
        <v>-487644</v>
      </c>
      <c r="FR295" s="239">
        <v>0</v>
      </c>
      <c r="FS295" s="239">
        <v>0</v>
      </c>
      <c r="FT295" s="239">
        <v>0</v>
      </c>
      <c r="FU295" s="239">
        <v>-8956643</v>
      </c>
      <c r="FV295" s="239">
        <v>-611791</v>
      </c>
      <c r="FW295" s="239">
        <v>-9568434</v>
      </c>
      <c r="FX295" s="239">
        <v>51776596</v>
      </c>
      <c r="FY295" s="239">
        <v>1514810</v>
      </c>
      <c r="FZ295" s="239">
        <v>53291406</v>
      </c>
      <c r="GA295" s="214" t="s">
        <v>1294</v>
      </c>
    </row>
    <row r="296" spans="2:183" s="214" customFormat="1" x14ac:dyDescent="0.2">
      <c r="B296" s="610" t="s">
        <v>675</v>
      </c>
      <c r="C296" s="610" t="s">
        <v>674</v>
      </c>
      <c r="D296" s="239">
        <v>0</v>
      </c>
      <c r="E296" s="239">
        <v>0</v>
      </c>
      <c r="F296" s="239">
        <v>0</v>
      </c>
      <c r="G296" s="239">
        <v>-1701466</v>
      </c>
      <c r="H296" s="239">
        <v>0</v>
      </c>
      <c r="I296" s="239">
        <v>-1701466</v>
      </c>
      <c r="J296" s="239">
        <v>0</v>
      </c>
      <c r="K296" s="239">
        <v>0</v>
      </c>
      <c r="L296" s="239">
        <v>0</v>
      </c>
      <c r="M296" s="239">
        <v>2455260</v>
      </c>
      <c r="N296" s="239">
        <v>0</v>
      </c>
      <c r="O296" s="239">
        <v>2455260</v>
      </c>
      <c r="P296" s="239">
        <v>753794</v>
      </c>
      <c r="Q296" s="239">
        <v>0</v>
      </c>
      <c r="R296" s="239">
        <v>753794</v>
      </c>
      <c r="S296" s="239">
        <v>-7886335</v>
      </c>
      <c r="T296" s="239">
        <v>0</v>
      </c>
      <c r="U296" s="239">
        <v>-7886335</v>
      </c>
      <c r="V296" s="239">
        <v>-5000</v>
      </c>
      <c r="W296" s="239">
        <v>0</v>
      </c>
      <c r="X296" s="239">
        <v>-5000</v>
      </c>
      <c r="Y296" s="239">
        <v>-161344</v>
      </c>
      <c r="Z296" s="239">
        <v>0</v>
      </c>
      <c r="AA296" s="239">
        <v>-161344</v>
      </c>
      <c r="AB296" s="239">
        <v>-104864</v>
      </c>
      <c r="AC296" s="239">
        <v>0</v>
      </c>
      <c r="AD296" s="239">
        <v>-104864</v>
      </c>
      <c r="AE296" s="239">
        <v>-500</v>
      </c>
      <c r="AF296" s="239">
        <v>0</v>
      </c>
      <c r="AG296" s="239">
        <v>-500</v>
      </c>
      <c r="AH296" s="239">
        <v>3473690</v>
      </c>
      <c r="AI296" s="239">
        <v>0</v>
      </c>
      <c r="AJ296" s="239">
        <v>3473690</v>
      </c>
      <c r="AK296" s="239">
        <v>-212999</v>
      </c>
      <c r="AL296" s="239">
        <v>0</v>
      </c>
      <c r="AM296" s="239">
        <v>-212999</v>
      </c>
      <c r="AN296" s="239">
        <v>-7170354</v>
      </c>
      <c r="AO296" s="239">
        <v>0</v>
      </c>
      <c r="AP296" s="239">
        <v>-7170354</v>
      </c>
      <c r="AQ296" s="239">
        <v>191399</v>
      </c>
      <c r="AR296" s="239">
        <v>0</v>
      </c>
      <c r="AS296" s="239">
        <v>191399</v>
      </c>
      <c r="AT296" s="239">
        <v>-72781</v>
      </c>
      <c r="AU296" s="239">
        <v>0</v>
      </c>
      <c r="AV296" s="239">
        <v>-72781</v>
      </c>
      <c r="AW296" s="239">
        <v>0</v>
      </c>
      <c r="AX296" s="239">
        <v>0</v>
      </c>
      <c r="AY296" s="239">
        <v>0</v>
      </c>
      <c r="AZ296" s="239">
        <v>-9071</v>
      </c>
      <c r="BA296" s="239">
        <v>0</v>
      </c>
      <c r="BB296" s="239">
        <v>-9071</v>
      </c>
      <c r="BC296" s="239">
        <v>0</v>
      </c>
      <c r="BD296" s="239">
        <v>0</v>
      </c>
      <c r="BE296" s="239">
        <v>0</v>
      </c>
      <c r="BF296" s="239">
        <v>-11847795</v>
      </c>
      <c r="BG296" s="239">
        <v>0</v>
      </c>
      <c r="BH296" s="239">
        <v>-11847795</v>
      </c>
      <c r="BI296" s="239">
        <v>-234801</v>
      </c>
      <c r="BJ296" s="239">
        <v>0</v>
      </c>
      <c r="BK296" s="239">
        <v>-234801</v>
      </c>
      <c r="BL296" s="239">
        <v>-33542</v>
      </c>
      <c r="BM296" s="239">
        <v>0</v>
      </c>
      <c r="BN296" s="239">
        <v>-33542</v>
      </c>
      <c r="BO296" s="239">
        <v>-5078912</v>
      </c>
      <c r="BP296" s="239">
        <v>0</v>
      </c>
      <c r="BQ296" s="239">
        <v>-5078912</v>
      </c>
      <c r="BR296" s="239">
        <v>-17978</v>
      </c>
      <c r="BS296" s="239">
        <v>0</v>
      </c>
      <c r="BT296" s="239">
        <v>-17978</v>
      </c>
      <c r="BU296" s="239">
        <v>-5365233</v>
      </c>
      <c r="BV296" s="239">
        <v>0</v>
      </c>
      <c r="BW296" s="239">
        <v>-5365233</v>
      </c>
      <c r="BX296" s="239">
        <v>-790577</v>
      </c>
      <c r="BY296" s="239">
        <v>0</v>
      </c>
      <c r="BZ296" s="239">
        <v>-790577</v>
      </c>
      <c r="CA296" s="239">
        <v>22031</v>
      </c>
      <c r="CB296" s="239">
        <v>0</v>
      </c>
      <c r="CC296" s="239">
        <v>22031</v>
      </c>
      <c r="CD296" s="239">
        <v>-452467</v>
      </c>
      <c r="CE296" s="239">
        <v>0</v>
      </c>
      <c r="CF296" s="239">
        <v>-452467</v>
      </c>
      <c r="CG296" s="239">
        <v>-2032</v>
      </c>
      <c r="CH296" s="239">
        <v>0</v>
      </c>
      <c r="CI296" s="239">
        <v>-2032</v>
      </c>
      <c r="CJ296" s="239">
        <v>-11688</v>
      </c>
      <c r="CK296" s="239">
        <v>0</v>
      </c>
      <c r="CL296" s="239">
        <v>-11688</v>
      </c>
      <c r="CM296" s="239">
        <v>0</v>
      </c>
      <c r="CN296" s="239">
        <v>0</v>
      </c>
      <c r="CO296" s="239">
        <v>0</v>
      </c>
      <c r="CP296" s="239">
        <v>0</v>
      </c>
      <c r="CQ296" s="239">
        <v>0</v>
      </c>
      <c r="CR296" s="239">
        <v>0</v>
      </c>
      <c r="CS296" s="239">
        <v>0</v>
      </c>
      <c r="CT296" s="239">
        <v>0</v>
      </c>
      <c r="CU296" s="239">
        <v>0</v>
      </c>
      <c r="CV296" s="239">
        <v>0</v>
      </c>
      <c r="CW296" s="239">
        <v>0</v>
      </c>
      <c r="CX296" s="239">
        <v>0</v>
      </c>
      <c r="CY296" s="239">
        <v>0</v>
      </c>
      <c r="CZ296" s="239">
        <v>0</v>
      </c>
      <c r="DA296" s="239">
        <v>0</v>
      </c>
      <c r="DB296" s="239">
        <v>0</v>
      </c>
      <c r="DC296" s="239">
        <v>0</v>
      </c>
      <c r="DD296" s="239">
        <v>0</v>
      </c>
      <c r="DE296" s="239">
        <v>0</v>
      </c>
      <c r="DF296" s="239">
        <v>0</v>
      </c>
      <c r="DG296" s="239">
        <v>0</v>
      </c>
      <c r="DH296" s="239">
        <v>0</v>
      </c>
      <c r="DI296" s="239">
        <v>0</v>
      </c>
      <c r="DJ296" s="239">
        <v>-1234733</v>
      </c>
      <c r="DK296" s="239">
        <v>0</v>
      </c>
      <c r="DL296" s="239">
        <v>-1234733</v>
      </c>
      <c r="DM296" s="239">
        <v>0</v>
      </c>
      <c r="DN296" s="239">
        <v>0</v>
      </c>
      <c r="DO296" s="239">
        <v>0</v>
      </c>
      <c r="DP296" s="239">
        <v>0</v>
      </c>
      <c r="DQ296" s="239">
        <v>0</v>
      </c>
      <c r="DR296" s="239">
        <v>0</v>
      </c>
      <c r="DS296" s="239">
        <v>-186111</v>
      </c>
      <c r="DT296" s="239">
        <v>0</v>
      </c>
      <c r="DU296" s="239">
        <v>-186111</v>
      </c>
      <c r="DV296" s="239">
        <v>0</v>
      </c>
      <c r="DW296" s="239">
        <v>0</v>
      </c>
      <c r="DX296" s="239">
        <v>0</v>
      </c>
      <c r="DY296" s="239">
        <v>-1750109</v>
      </c>
      <c r="DZ296" s="239">
        <v>0</v>
      </c>
      <c r="EA296" s="239">
        <v>-1750109</v>
      </c>
      <c r="EB296" s="239">
        <v>-5011</v>
      </c>
      <c r="EC296" s="239">
        <v>0</v>
      </c>
      <c r="ED296" s="239">
        <v>-5011</v>
      </c>
      <c r="EE296" s="239">
        <v>-235</v>
      </c>
      <c r="EF296" s="239">
        <v>0</v>
      </c>
      <c r="EG296" s="239">
        <v>-235</v>
      </c>
      <c r="EH296" s="239">
        <v>0</v>
      </c>
      <c r="EI296" s="239">
        <v>0</v>
      </c>
      <c r="EJ296" s="239">
        <v>0</v>
      </c>
      <c r="EK296" s="239">
        <v>-40350</v>
      </c>
      <c r="EL296" s="239">
        <v>0</v>
      </c>
      <c r="EM296" s="239">
        <v>-40350</v>
      </c>
      <c r="EN296" s="239">
        <v>-1981816</v>
      </c>
      <c r="EO296" s="239">
        <v>0</v>
      </c>
      <c r="EP296" s="239">
        <v>-1981816</v>
      </c>
      <c r="EQ296" s="239">
        <v>0</v>
      </c>
      <c r="ER296" s="239">
        <v>0</v>
      </c>
      <c r="ES296" s="239">
        <v>0</v>
      </c>
      <c r="ET296" s="239">
        <v>0</v>
      </c>
      <c r="EU296" s="239">
        <v>0</v>
      </c>
      <c r="EV296" s="239">
        <v>0</v>
      </c>
      <c r="EW296" s="239">
        <v>0</v>
      </c>
      <c r="EX296" s="239">
        <v>0</v>
      </c>
      <c r="EY296" s="239">
        <v>0</v>
      </c>
      <c r="EZ296" s="239">
        <v>135759482</v>
      </c>
      <c r="FA296" s="239">
        <v>0</v>
      </c>
      <c r="FB296" s="239">
        <v>135759482</v>
      </c>
      <c r="FC296" s="239">
        <v>753794</v>
      </c>
      <c r="FD296" s="239">
        <v>0</v>
      </c>
      <c r="FE296" s="239">
        <v>753794</v>
      </c>
      <c r="FF296" s="239">
        <v>-11847795</v>
      </c>
      <c r="FG296" s="239">
        <v>0</v>
      </c>
      <c r="FH296" s="239">
        <v>-11847795</v>
      </c>
      <c r="FI296" s="239">
        <v>-5365233</v>
      </c>
      <c r="FJ296" s="239">
        <v>0</v>
      </c>
      <c r="FK296" s="239">
        <v>-5365233</v>
      </c>
      <c r="FL296" s="239">
        <v>-1234733</v>
      </c>
      <c r="FM296" s="239">
        <v>0</v>
      </c>
      <c r="FN296" s="239">
        <v>-1234733</v>
      </c>
      <c r="FO296" s="239">
        <v>-1981816</v>
      </c>
      <c r="FP296" s="239">
        <v>0</v>
      </c>
      <c r="FQ296" s="239">
        <v>-1981816</v>
      </c>
      <c r="FR296" s="239">
        <v>0</v>
      </c>
      <c r="FS296" s="239">
        <v>0</v>
      </c>
      <c r="FT296" s="239">
        <v>0</v>
      </c>
      <c r="FU296" s="239">
        <v>-19675783</v>
      </c>
      <c r="FV296" s="239">
        <v>0</v>
      </c>
      <c r="FW296" s="239">
        <v>-19675783</v>
      </c>
      <c r="FX296" s="239">
        <v>116083699</v>
      </c>
      <c r="FY296" s="239">
        <v>0</v>
      </c>
      <c r="FZ296" s="239">
        <v>116083699</v>
      </c>
      <c r="GA296" s="214" t="s">
        <v>1296</v>
      </c>
    </row>
    <row r="297" spans="2:183" s="214" customFormat="1" x14ac:dyDescent="0.2">
      <c r="B297" s="610" t="s">
        <v>677</v>
      </c>
      <c r="C297" s="610" t="s">
        <v>676</v>
      </c>
      <c r="D297" s="239">
        <v>0</v>
      </c>
      <c r="E297" s="239">
        <v>0</v>
      </c>
      <c r="F297" s="239">
        <v>0</v>
      </c>
      <c r="G297" s="239">
        <v>787103</v>
      </c>
      <c r="H297" s="239">
        <v>0</v>
      </c>
      <c r="I297" s="239">
        <v>787103</v>
      </c>
      <c r="J297" s="239">
        <v>0</v>
      </c>
      <c r="K297" s="239">
        <v>0</v>
      </c>
      <c r="L297" s="239">
        <v>0</v>
      </c>
      <c r="M297" s="239">
        <v>132398</v>
      </c>
      <c r="N297" s="239">
        <v>0</v>
      </c>
      <c r="O297" s="239">
        <v>132398</v>
      </c>
      <c r="P297" s="239">
        <v>919501</v>
      </c>
      <c r="Q297" s="239">
        <v>0</v>
      </c>
      <c r="R297" s="239">
        <v>919501</v>
      </c>
      <c r="S297" s="239">
        <v>-5896899</v>
      </c>
      <c r="T297" s="239">
        <v>-804</v>
      </c>
      <c r="U297" s="239">
        <v>-5897703</v>
      </c>
      <c r="V297" s="239">
        <v>-27780</v>
      </c>
      <c r="W297" s="239">
        <v>0</v>
      </c>
      <c r="X297" s="239">
        <v>-27780</v>
      </c>
      <c r="Y297" s="239">
        <v>-300303</v>
      </c>
      <c r="Z297" s="239">
        <v>0</v>
      </c>
      <c r="AA297" s="239">
        <v>-300303</v>
      </c>
      <c r="AB297" s="239">
        <v>-183955</v>
      </c>
      <c r="AC297" s="239">
        <v>0</v>
      </c>
      <c r="AD297" s="239">
        <v>-183955</v>
      </c>
      <c r="AE297" s="239">
        <v>15269</v>
      </c>
      <c r="AF297" s="239">
        <v>0</v>
      </c>
      <c r="AG297" s="239">
        <v>15269</v>
      </c>
      <c r="AH297" s="239">
        <v>1876858</v>
      </c>
      <c r="AI297" s="239">
        <v>0</v>
      </c>
      <c r="AJ297" s="239">
        <v>1876858</v>
      </c>
      <c r="AK297" s="239">
        <v>-19642</v>
      </c>
      <c r="AL297" s="239">
        <v>0</v>
      </c>
      <c r="AM297" s="239">
        <v>-19642</v>
      </c>
      <c r="AN297" s="239">
        <v>-4883295</v>
      </c>
      <c r="AO297" s="239">
        <v>0</v>
      </c>
      <c r="AP297" s="239">
        <v>-4883295</v>
      </c>
      <c r="AQ297" s="239">
        <v>-49888</v>
      </c>
      <c r="AR297" s="239">
        <v>0</v>
      </c>
      <c r="AS297" s="239">
        <v>-49888</v>
      </c>
      <c r="AT297" s="239">
        <v>-38400</v>
      </c>
      <c r="AU297" s="239">
        <v>0</v>
      </c>
      <c r="AV297" s="239">
        <v>-38400</v>
      </c>
      <c r="AW297" s="239">
        <v>0</v>
      </c>
      <c r="AX297" s="239">
        <v>0</v>
      </c>
      <c r="AY297" s="239">
        <v>0</v>
      </c>
      <c r="AZ297" s="239">
        <v>0</v>
      </c>
      <c r="BA297" s="239">
        <v>0</v>
      </c>
      <c r="BB297" s="239">
        <v>0</v>
      </c>
      <c r="BC297" s="239">
        <v>0</v>
      </c>
      <c r="BD297" s="239">
        <v>0</v>
      </c>
      <c r="BE297" s="239">
        <v>0</v>
      </c>
      <c r="BF297" s="239">
        <v>-9311569</v>
      </c>
      <c r="BG297" s="239">
        <v>-804</v>
      </c>
      <c r="BH297" s="239">
        <v>-9312373</v>
      </c>
      <c r="BI297" s="239">
        <v>-66675</v>
      </c>
      <c r="BJ297" s="239">
        <v>0</v>
      </c>
      <c r="BK297" s="239">
        <v>-66675</v>
      </c>
      <c r="BL297" s="239">
        <v>-120210</v>
      </c>
      <c r="BM297" s="239">
        <v>0</v>
      </c>
      <c r="BN297" s="239">
        <v>-120210</v>
      </c>
      <c r="BO297" s="239">
        <v>-2464712</v>
      </c>
      <c r="BP297" s="239">
        <v>-5393</v>
      </c>
      <c r="BQ297" s="239">
        <v>-2470105</v>
      </c>
      <c r="BR297" s="239">
        <v>82247</v>
      </c>
      <c r="BS297" s="239">
        <v>0</v>
      </c>
      <c r="BT297" s="239">
        <v>82247</v>
      </c>
      <c r="BU297" s="239">
        <v>-2569350</v>
      </c>
      <c r="BV297" s="239">
        <v>-5393</v>
      </c>
      <c r="BW297" s="239">
        <v>-2574743</v>
      </c>
      <c r="BX297" s="239">
        <v>-163404</v>
      </c>
      <c r="BY297" s="239">
        <v>0</v>
      </c>
      <c r="BZ297" s="239">
        <v>-163404</v>
      </c>
      <c r="CA297" s="239">
        <v>3732</v>
      </c>
      <c r="CB297" s="239">
        <v>0</v>
      </c>
      <c r="CC297" s="239">
        <v>3732</v>
      </c>
      <c r="CD297" s="239">
        <v>-56077</v>
      </c>
      <c r="CE297" s="239">
        <v>0</v>
      </c>
      <c r="CF297" s="239">
        <v>-56077</v>
      </c>
      <c r="CG297" s="239">
        <v>346</v>
      </c>
      <c r="CH297" s="239">
        <v>0</v>
      </c>
      <c r="CI297" s="239">
        <v>346</v>
      </c>
      <c r="CJ297" s="239">
        <v>-3201</v>
      </c>
      <c r="CK297" s="239">
        <v>0</v>
      </c>
      <c r="CL297" s="239">
        <v>-3201</v>
      </c>
      <c r="CM297" s="239">
        <v>0</v>
      </c>
      <c r="CN297" s="239">
        <v>0</v>
      </c>
      <c r="CO297" s="239">
        <v>0</v>
      </c>
      <c r="CP297" s="239">
        <v>0</v>
      </c>
      <c r="CQ297" s="239">
        <v>0</v>
      </c>
      <c r="CR297" s="239">
        <v>0</v>
      </c>
      <c r="CS297" s="239">
        <v>0</v>
      </c>
      <c r="CT297" s="239">
        <v>0</v>
      </c>
      <c r="CU297" s="239">
        <v>0</v>
      </c>
      <c r="CV297" s="239">
        <v>0</v>
      </c>
      <c r="CW297" s="239">
        <v>0</v>
      </c>
      <c r="CX297" s="239">
        <v>0</v>
      </c>
      <c r="CY297" s="239">
        <v>0</v>
      </c>
      <c r="CZ297" s="239">
        <v>0</v>
      </c>
      <c r="DA297" s="239">
        <v>0</v>
      </c>
      <c r="DB297" s="239">
        <v>0</v>
      </c>
      <c r="DC297" s="239">
        <v>0</v>
      </c>
      <c r="DD297" s="239">
        <v>0</v>
      </c>
      <c r="DE297" s="239">
        <v>0</v>
      </c>
      <c r="DF297" s="239">
        <v>0</v>
      </c>
      <c r="DG297" s="239">
        <v>0</v>
      </c>
      <c r="DH297" s="239">
        <v>0</v>
      </c>
      <c r="DI297" s="239">
        <v>0</v>
      </c>
      <c r="DJ297" s="239">
        <v>-218604</v>
      </c>
      <c r="DK297" s="239">
        <v>0</v>
      </c>
      <c r="DL297" s="239">
        <v>-218604</v>
      </c>
      <c r="DM297" s="239">
        <v>0</v>
      </c>
      <c r="DN297" s="239">
        <v>0</v>
      </c>
      <c r="DO297" s="239">
        <v>0</v>
      </c>
      <c r="DP297" s="239">
        <v>0</v>
      </c>
      <c r="DQ297" s="239">
        <v>0</v>
      </c>
      <c r="DR297" s="239">
        <v>0</v>
      </c>
      <c r="DS297" s="239">
        <v>-62476</v>
      </c>
      <c r="DT297" s="239">
        <v>0</v>
      </c>
      <c r="DU297" s="239">
        <v>-62476</v>
      </c>
      <c r="DV297" s="239">
        <v>1558</v>
      </c>
      <c r="DW297" s="239">
        <v>0</v>
      </c>
      <c r="DX297" s="239">
        <v>1558</v>
      </c>
      <c r="DY297" s="239">
        <v>-958463</v>
      </c>
      <c r="DZ297" s="239">
        <v>0</v>
      </c>
      <c r="EA297" s="239">
        <v>-958463</v>
      </c>
      <c r="EB297" s="239">
        <v>-10811</v>
      </c>
      <c r="EC297" s="239">
        <v>0</v>
      </c>
      <c r="ED297" s="239">
        <v>-10811</v>
      </c>
      <c r="EE297" s="239">
        <v>0</v>
      </c>
      <c r="EF297" s="239">
        <v>0</v>
      </c>
      <c r="EG297" s="239">
        <v>0</v>
      </c>
      <c r="EH297" s="239">
        <v>0</v>
      </c>
      <c r="EI297" s="239">
        <v>0</v>
      </c>
      <c r="EJ297" s="239">
        <v>0</v>
      </c>
      <c r="EK297" s="239">
        <v>0</v>
      </c>
      <c r="EL297" s="239">
        <v>0</v>
      </c>
      <c r="EM297" s="239">
        <v>0</v>
      </c>
      <c r="EN297" s="239">
        <v>-1030192</v>
      </c>
      <c r="EO297" s="239">
        <v>0</v>
      </c>
      <c r="EP297" s="239">
        <v>-1030192</v>
      </c>
      <c r="EQ297" s="239">
        <v>0</v>
      </c>
      <c r="ER297" s="239">
        <v>0</v>
      </c>
      <c r="ES297" s="239">
        <v>0</v>
      </c>
      <c r="ET297" s="239">
        <v>0</v>
      </c>
      <c r="EU297" s="239">
        <v>0</v>
      </c>
      <c r="EV297" s="239">
        <v>0</v>
      </c>
      <c r="EW297" s="239">
        <v>0</v>
      </c>
      <c r="EX297" s="239">
        <v>0</v>
      </c>
      <c r="EY297" s="239">
        <v>0</v>
      </c>
      <c r="EZ297" s="239">
        <v>78771623</v>
      </c>
      <c r="FA297" s="239">
        <v>197494</v>
      </c>
      <c r="FB297" s="239">
        <v>78969117</v>
      </c>
      <c r="FC297" s="239">
        <v>919501</v>
      </c>
      <c r="FD297" s="239">
        <v>0</v>
      </c>
      <c r="FE297" s="239">
        <v>919501</v>
      </c>
      <c r="FF297" s="239">
        <v>-9311569</v>
      </c>
      <c r="FG297" s="239">
        <v>-804</v>
      </c>
      <c r="FH297" s="239">
        <v>-9312373</v>
      </c>
      <c r="FI297" s="239">
        <v>-2569350</v>
      </c>
      <c r="FJ297" s="239">
        <v>-5393</v>
      </c>
      <c r="FK297" s="239">
        <v>-2574743</v>
      </c>
      <c r="FL297" s="239">
        <v>-218604</v>
      </c>
      <c r="FM297" s="239">
        <v>0</v>
      </c>
      <c r="FN297" s="239">
        <v>-218604</v>
      </c>
      <c r="FO297" s="239">
        <v>-1030192</v>
      </c>
      <c r="FP297" s="239">
        <v>0</v>
      </c>
      <c r="FQ297" s="239">
        <v>-1030192</v>
      </c>
      <c r="FR297" s="239">
        <v>0</v>
      </c>
      <c r="FS297" s="239">
        <v>0</v>
      </c>
      <c r="FT297" s="239">
        <v>0</v>
      </c>
      <c r="FU297" s="239">
        <v>-12210214</v>
      </c>
      <c r="FV297" s="239">
        <v>-6197</v>
      </c>
      <c r="FW297" s="239">
        <v>-12216411</v>
      </c>
      <c r="FX297" s="239">
        <v>66561409</v>
      </c>
      <c r="FY297" s="239">
        <v>191297</v>
      </c>
      <c r="FZ297" s="239">
        <v>66752706</v>
      </c>
      <c r="GA297" s="214" t="s">
        <v>1296</v>
      </c>
    </row>
    <row r="298" spans="2:183" s="214" customFormat="1" x14ac:dyDescent="0.2">
      <c r="B298" s="610" t="s">
        <v>679</v>
      </c>
      <c r="C298" s="610" t="s">
        <v>678</v>
      </c>
      <c r="D298" s="239">
        <v>0</v>
      </c>
      <c r="E298" s="239">
        <v>0</v>
      </c>
      <c r="F298" s="239">
        <v>0</v>
      </c>
      <c r="G298" s="239">
        <v>172770</v>
      </c>
      <c r="H298" s="239">
        <v>0</v>
      </c>
      <c r="I298" s="239">
        <v>172770</v>
      </c>
      <c r="J298" s="239">
        <v>0</v>
      </c>
      <c r="K298" s="239">
        <v>0</v>
      </c>
      <c r="L298" s="239">
        <v>0</v>
      </c>
      <c r="M298" s="239">
        <v>141370</v>
      </c>
      <c r="N298" s="239">
        <v>0</v>
      </c>
      <c r="O298" s="239">
        <v>141370</v>
      </c>
      <c r="P298" s="239">
        <v>314140</v>
      </c>
      <c r="Q298" s="239">
        <v>0</v>
      </c>
      <c r="R298" s="239">
        <v>314140</v>
      </c>
      <c r="S298" s="239">
        <v>-5445948</v>
      </c>
      <c r="T298" s="239">
        <v>0</v>
      </c>
      <c r="U298" s="239">
        <v>-5445948</v>
      </c>
      <c r="V298" s="239">
        <v>-1728</v>
      </c>
      <c r="W298" s="239">
        <v>0</v>
      </c>
      <c r="X298" s="239">
        <v>-1728</v>
      </c>
      <c r="Y298" s="239">
        <v>-102013</v>
      </c>
      <c r="Z298" s="239">
        <v>0</v>
      </c>
      <c r="AA298" s="239">
        <v>-102013</v>
      </c>
      <c r="AB298" s="239">
        <v>0</v>
      </c>
      <c r="AC298" s="239">
        <v>0</v>
      </c>
      <c r="AD298" s="239">
        <v>0</v>
      </c>
      <c r="AE298" s="239">
        <v>-43</v>
      </c>
      <c r="AF298" s="239">
        <v>0</v>
      </c>
      <c r="AG298" s="239">
        <v>-43</v>
      </c>
      <c r="AH298" s="239">
        <v>1349579</v>
      </c>
      <c r="AI298" s="239">
        <v>0</v>
      </c>
      <c r="AJ298" s="239">
        <v>1349579</v>
      </c>
      <c r="AK298" s="239">
        <v>-16198</v>
      </c>
      <c r="AL298" s="239">
        <v>0</v>
      </c>
      <c r="AM298" s="239">
        <v>-16198</v>
      </c>
      <c r="AN298" s="239">
        <v>-5116050</v>
      </c>
      <c r="AO298" s="239">
        <v>0</v>
      </c>
      <c r="AP298" s="239">
        <v>-5116050</v>
      </c>
      <c r="AQ298" s="239">
        <v>-14871</v>
      </c>
      <c r="AR298" s="239">
        <v>0</v>
      </c>
      <c r="AS298" s="239">
        <v>-14871</v>
      </c>
      <c r="AT298" s="239">
        <v>-45780</v>
      </c>
      <c r="AU298" s="239">
        <v>0</v>
      </c>
      <c r="AV298" s="239">
        <v>-45780</v>
      </c>
      <c r="AW298" s="239">
        <v>-336</v>
      </c>
      <c r="AX298" s="239">
        <v>0</v>
      </c>
      <c r="AY298" s="239">
        <v>-336</v>
      </c>
      <c r="AZ298" s="239">
        <v>0</v>
      </c>
      <c r="BA298" s="239">
        <v>0</v>
      </c>
      <c r="BB298" s="239">
        <v>0</v>
      </c>
      <c r="BC298" s="239">
        <v>0</v>
      </c>
      <c r="BD298" s="239">
        <v>0</v>
      </c>
      <c r="BE298" s="239">
        <v>0</v>
      </c>
      <c r="BF298" s="239">
        <v>-9391617</v>
      </c>
      <c r="BG298" s="239">
        <v>0</v>
      </c>
      <c r="BH298" s="239">
        <v>-9391617</v>
      </c>
      <c r="BI298" s="239">
        <v>-2503</v>
      </c>
      <c r="BJ298" s="239">
        <v>0</v>
      </c>
      <c r="BK298" s="239">
        <v>-2503</v>
      </c>
      <c r="BL298" s="239">
        <v>-17294</v>
      </c>
      <c r="BM298" s="239">
        <v>0</v>
      </c>
      <c r="BN298" s="239">
        <v>-17294</v>
      </c>
      <c r="BO298" s="239">
        <v>-1526937</v>
      </c>
      <c r="BP298" s="239">
        <v>0</v>
      </c>
      <c r="BQ298" s="239">
        <v>-1526937</v>
      </c>
      <c r="BR298" s="239">
        <v>-7249</v>
      </c>
      <c r="BS298" s="239">
        <v>0</v>
      </c>
      <c r="BT298" s="239">
        <v>-7249</v>
      </c>
      <c r="BU298" s="239">
        <v>-1553983</v>
      </c>
      <c r="BV298" s="239">
        <v>0</v>
      </c>
      <c r="BW298" s="239">
        <v>-1553983</v>
      </c>
      <c r="BX298" s="239">
        <v>-150026</v>
      </c>
      <c r="BY298" s="239">
        <v>0</v>
      </c>
      <c r="BZ298" s="239">
        <v>-150026</v>
      </c>
      <c r="CA298" s="239">
        <v>-384</v>
      </c>
      <c r="CB298" s="239">
        <v>0</v>
      </c>
      <c r="CC298" s="239">
        <v>-384</v>
      </c>
      <c r="CD298" s="239">
        <v>-39708</v>
      </c>
      <c r="CE298" s="239">
        <v>0</v>
      </c>
      <c r="CF298" s="239">
        <v>-39708</v>
      </c>
      <c r="CG298" s="239">
        <v>0</v>
      </c>
      <c r="CH298" s="239">
        <v>0</v>
      </c>
      <c r="CI298" s="239">
        <v>0</v>
      </c>
      <c r="CJ298" s="239">
        <v>-2712</v>
      </c>
      <c r="CK298" s="239">
        <v>0</v>
      </c>
      <c r="CL298" s="239">
        <v>-2712</v>
      </c>
      <c r="CM298" s="239">
        <v>0</v>
      </c>
      <c r="CN298" s="239">
        <v>0</v>
      </c>
      <c r="CO298" s="239">
        <v>0</v>
      </c>
      <c r="CP298" s="239">
        <v>0</v>
      </c>
      <c r="CQ298" s="239">
        <v>0</v>
      </c>
      <c r="CR298" s="239">
        <v>0</v>
      </c>
      <c r="CS298" s="239">
        <v>0</v>
      </c>
      <c r="CT298" s="239">
        <v>0</v>
      </c>
      <c r="CU298" s="239">
        <v>0</v>
      </c>
      <c r="CV298" s="239">
        <v>0</v>
      </c>
      <c r="CW298" s="239">
        <v>0</v>
      </c>
      <c r="CX298" s="239">
        <v>0</v>
      </c>
      <c r="CY298" s="239">
        <v>0</v>
      </c>
      <c r="CZ298" s="239">
        <v>0</v>
      </c>
      <c r="DA298" s="239">
        <v>0</v>
      </c>
      <c r="DB298" s="239">
        <v>0</v>
      </c>
      <c r="DC298" s="239">
        <v>0</v>
      </c>
      <c r="DD298" s="239">
        <v>0</v>
      </c>
      <c r="DE298" s="239">
        <v>0</v>
      </c>
      <c r="DF298" s="239">
        <v>0</v>
      </c>
      <c r="DG298" s="239">
        <v>0</v>
      </c>
      <c r="DH298" s="239">
        <v>0</v>
      </c>
      <c r="DI298" s="239">
        <v>0</v>
      </c>
      <c r="DJ298" s="239">
        <v>-192830</v>
      </c>
      <c r="DK298" s="239">
        <v>0</v>
      </c>
      <c r="DL298" s="239">
        <v>-192830</v>
      </c>
      <c r="DM298" s="239">
        <v>-84455</v>
      </c>
      <c r="DN298" s="239">
        <v>0</v>
      </c>
      <c r="DO298" s="239">
        <v>-84455</v>
      </c>
      <c r="DP298" s="239">
        <v>1508</v>
      </c>
      <c r="DQ298" s="239">
        <v>0</v>
      </c>
      <c r="DR298" s="239">
        <v>1508</v>
      </c>
      <c r="DS298" s="239">
        <v>-5838</v>
      </c>
      <c r="DT298" s="239">
        <v>0</v>
      </c>
      <c r="DU298" s="239">
        <v>-5838</v>
      </c>
      <c r="DV298" s="239">
        <v>-708</v>
      </c>
      <c r="DW298" s="239">
        <v>0</v>
      </c>
      <c r="DX298" s="239">
        <v>-708</v>
      </c>
      <c r="DY298" s="239">
        <v>-1841974</v>
      </c>
      <c r="DZ298" s="239">
        <v>0</v>
      </c>
      <c r="EA298" s="239">
        <v>-1841974</v>
      </c>
      <c r="EB298" s="239">
        <v>-47096</v>
      </c>
      <c r="EC298" s="239">
        <v>0</v>
      </c>
      <c r="ED298" s="239">
        <v>-47096</v>
      </c>
      <c r="EE298" s="239">
        <v>0</v>
      </c>
      <c r="EF298" s="239">
        <v>0</v>
      </c>
      <c r="EG298" s="239">
        <v>0</v>
      </c>
      <c r="EH298" s="239">
        <v>0</v>
      </c>
      <c r="EI298" s="239">
        <v>0</v>
      </c>
      <c r="EJ298" s="239">
        <v>0</v>
      </c>
      <c r="EK298" s="239">
        <v>-12736</v>
      </c>
      <c r="EL298" s="239">
        <v>0</v>
      </c>
      <c r="EM298" s="239">
        <v>-12736</v>
      </c>
      <c r="EN298" s="239">
        <v>-1991299</v>
      </c>
      <c r="EO298" s="239">
        <v>0</v>
      </c>
      <c r="EP298" s="239">
        <v>-1991299</v>
      </c>
      <c r="EQ298" s="239">
        <v>-20</v>
      </c>
      <c r="ER298" s="239">
        <v>0</v>
      </c>
      <c r="ES298" s="239">
        <v>-20</v>
      </c>
      <c r="ET298" s="239">
        <v>-607</v>
      </c>
      <c r="EU298" s="239">
        <v>0</v>
      </c>
      <c r="EV298" s="239">
        <v>-607</v>
      </c>
      <c r="EW298" s="239">
        <v>-627</v>
      </c>
      <c r="EX298" s="239">
        <v>0</v>
      </c>
      <c r="EY298" s="239">
        <v>-627</v>
      </c>
      <c r="EZ298" s="239">
        <v>69165366</v>
      </c>
      <c r="FA298" s="239">
        <v>0</v>
      </c>
      <c r="FB298" s="239">
        <v>69165366</v>
      </c>
      <c r="FC298" s="239">
        <v>314140</v>
      </c>
      <c r="FD298" s="239">
        <v>0</v>
      </c>
      <c r="FE298" s="239">
        <v>314140</v>
      </c>
      <c r="FF298" s="239">
        <v>-9391617</v>
      </c>
      <c r="FG298" s="239">
        <v>0</v>
      </c>
      <c r="FH298" s="239">
        <v>-9391617</v>
      </c>
      <c r="FI298" s="239">
        <v>-1553983</v>
      </c>
      <c r="FJ298" s="239">
        <v>0</v>
      </c>
      <c r="FK298" s="239">
        <v>-1553983</v>
      </c>
      <c r="FL298" s="239">
        <v>-192830</v>
      </c>
      <c r="FM298" s="239">
        <v>0</v>
      </c>
      <c r="FN298" s="239">
        <v>-192830</v>
      </c>
      <c r="FO298" s="239">
        <v>-1991299</v>
      </c>
      <c r="FP298" s="239">
        <v>0</v>
      </c>
      <c r="FQ298" s="239">
        <v>-1991299</v>
      </c>
      <c r="FR298" s="239">
        <v>-627</v>
      </c>
      <c r="FS298" s="239">
        <v>0</v>
      </c>
      <c r="FT298" s="239">
        <v>-627</v>
      </c>
      <c r="FU298" s="239">
        <v>-12816216</v>
      </c>
      <c r="FV298" s="239">
        <v>0</v>
      </c>
      <c r="FW298" s="239">
        <v>-12816216</v>
      </c>
      <c r="FX298" s="239">
        <v>56349150</v>
      </c>
      <c r="FY298" s="239">
        <v>0</v>
      </c>
      <c r="FZ298" s="239">
        <v>56349150</v>
      </c>
      <c r="GA298" s="214" t="s">
        <v>1295</v>
      </c>
    </row>
    <row r="299" spans="2:183" s="214" customFormat="1" x14ac:dyDescent="0.2">
      <c r="B299" s="610" t="s">
        <v>681</v>
      </c>
      <c r="C299" s="610" t="s">
        <v>680</v>
      </c>
      <c r="D299" s="239">
        <v>0</v>
      </c>
      <c r="E299" s="239">
        <v>0</v>
      </c>
      <c r="F299" s="239">
        <v>0</v>
      </c>
      <c r="G299" s="239">
        <v>33255</v>
      </c>
      <c r="H299" s="239">
        <v>0</v>
      </c>
      <c r="I299" s="239">
        <v>33255</v>
      </c>
      <c r="J299" s="239">
        <v>0</v>
      </c>
      <c r="K299" s="239">
        <v>0</v>
      </c>
      <c r="L299" s="239">
        <v>0</v>
      </c>
      <c r="M299" s="239">
        <v>1600354</v>
      </c>
      <c r="N299" s="239">
        <v>0</v>
      </c>
      <c r="O299" s="239">
        <v>1600354</v>
      </c>
      <c r="P299" s="239">
        <v>1633609</v>
      </c>
      <c r="Q299" s="239">
        <v>0</v>
      </c>
      <c r="R299" s="239">
        <v>1633609</v>
      </c>
      <c r="S299" s="239">
        <v>-3926632</v>
      </c>
      <c r="T299" s="239">
        <v>0</v>
      </c>
      <c r="U299" s="239">
        <v>-3926632</v>
      </c>
      <c r="V299" s="239">
        <v>-23094</v>
      </c>
      <c r="W299" s="239">
        <v>0</v>
      </c>
      <c r="X299" s="239">
        <v>-23094</v>
      </c>
      <c r="Y299" s="239">
        <v>-301320</v>
      </c>
      <c r="Z299" s="239">
        <v>0</v>
      </c>
      <c r="AA299" s="239">
        <v>-301320</v>
      </c>
      <c r="AB299" s="239">
        <v>-210458</v>
      </c>
      <c r="AC299" s="239">
        <v>0</v>
      </c>
      <c r="AD299" s="239">
        <v>-210458</v>
      </c>
      <c r="AE299" s="239">
        <v>-2208</v>
      </c>
      <c r="AF299" s="239">
        <v>0</v>
      </c>
      <c r="AG299" s="239">
        <v>-2208</v>
      </c>
      <c r="AH299" s="239">
        <v>2554901</v>
      </c>
      <c r="AI299" s="239">
        <v>0</v>
      </c>
      <c r="AJ299" s="239">
        <v>2554901</v>
      </c>
      <c r="AK299" s="239">
        <v>-62169</v>
      </c>
      <c r="AL299" s="239">
        <v>0</v>
      </c>
      <c r="AM299" s="239">
        <v>-62169</v>
      </c>
      <c r="AN299" s="239">
        <v>-8468387</v>
      </c>
      <c r="AO299" s="239">
        <v>0</v>
      </c>
      <c r="AP299" s="239">
        <v>-8468387</v>
      </c>
      <c r="AQ299" s="239">
        <v>-414409</v>
      </c>
      <c r="AR299" s="239">
        <v>0</v>
      </c>
      <c r="AS299" s="239">
        <v>-414409</v>
      </c>
      <c r="AT299" s="239">
        <v>-30278</v>
      </c>
      <c r="AU299" s="239">
        <v>0</v>
      </c>
      <c r="AV299" s="239">
        <v>-30278</v>
      </c>
      <c r="AW299" s="239">
        <v>0</v>
      </c>
      <c r="AX299" s="239">
        <v>0</v>
      </c>
      <c r="AY299" s="239">
        <v>0</v>
      </c>
      <c r="AZ299" s="239">
        <v>0</v>
      </c>
      <c r="BA299" s="239">
        <v>0</v>
      </c>
      <c r="BB299" s="239">
        <v>0</v>
      </c>
      <c r="BC299" s="239">
        <v>0</v>
      </c>
      <c r="BD299" s="239">
        <v>0</v>
      </c>
      <c r="BE299" s="239">
        <v>0</v>
      </c>
      <c r="BF299" s="239">
        <v>-10648294</v>
      </c>
      <c r="BG299" s="239">
        <v>0</v>
      </c>
      <c r="BH299" s="239">
        <v>-10648294</v>
      </c>
      <c r="BI299" s="239">
        <v>-2059</v>
      </c>
      <c r="BJ299" s="239">
        <v>0</v>
      </c>
      <c r="BK299" s="239">
        <v>-2059</v>
      </c>
      <c r="BL299" s="239">
        <v>7039</v>
      </c>
      <c r="BM299" s="239">
        <v>0</v>
      </c>
      <c r="BN299" s="239">
        <v>7039</v>
      </c>
      <c r="BO299" s="239">
        <v>-3429971</v>
      </c>
      <c r="BP299" s="239">
        <v>0</v>
      </c>
      <c r="BQ299" s="239">
        <v>-3429971</v>
      </c>
      <c r="BR299" s="239">
        <v>1107193</v>
      </c>
      <c r="BS299" s="239">
        <v>0</v>
      </c>
      <c r="BT299" s="239">
        <v>1107193</v>
      </c>
      <c r="BU299" s="239">
        <v>-2317798</v>
      </c>
      <c r="BV299" s="239">
        <v>0</v>
      </c>
      <c r="BW299" s="239">
        <v>-2317798</v>
      </c>
      <c r="BX299" s="239">
        <v>-175294</v>
      </c>
      <c r="BY299" s="239">
        <v>0</v>
      </c>
      <c r="BZ299" s="239">
        <v>-175294</v>
      </c>
      <c r="CA299" s="239">
        <v>-37502</v>
      </c>
      <c r="CB299" s="239">
        <v>0</v>
      </c>
      <c r="CC299" s="239">
        <v>-37502</v>
      </c>
      <c r="CD299" s="239">
        <v>-814913</v>
      </c>
      <c r="CE299" s="239">
        <v>0</v>
      </c>
      <c r="CF299" s="239">
        <v>-814913</v>
      </c>
      <c r="CG299" s="239">
        <v>8801</v>
      </c>
      <c r="CH299" s="239">
        <v>0</v>
      </c>
      <c r="CI299" s="239">
        <v>8801</v>
      </c>
      <c r="CJ299" s="239">
        <v>-1373</v>
      </c>
      <c r="CK299" s="239">
        <v>0</v>
      </c>
      <c r="CL299" s="239">
        <v>-1373</v>
      </c>
      <c r="CM299" s="239">
        <v>0</v>
      </c>
      <c r="CN299" s="239">
        <v>0</v>
      </c>
      <c r="CO299" s="239">
        <v>0</v>
      </c>
      <c r="CP299" s="239">
        <v>0</v>
      </c>
      <c r="CQ299" s="239">
        <v>0</v>
      </c>
      <c r="CR299" s="239">
        <v>0</v>
      </c>
      <c r="CS299" s="239">
        <v>0</v>
      </c>
      <c r="CT299" s="239">
        <v>0</v>
      </c>
      <c r="CU299" s="239">
        <v>0</v>
      </c>
      <c r="CV299" s="239">
        <v>0</v>
      </c>
      <c r="CW299" s="239">
        <v>0</v>
      </c>
      <c r="CX299" s="239">
        <v>0</v>
      </c>
      <c r="CY299" s="239">
        <v>0</v>
      </c>
      <c r="CZ299" s="239">
        <v>0</v>
      </c>
      <c r="DA299" s="239">
        <v>0</v>
      </c>
      <c r="DB299" s="239">
        <v>0</v>
      </c>
      <c r="DC299" s="239">
        <v>0</v>
      </c>
      <c r="DD299" s="239">
        <v>0</v>
      </c>
      <c r="DE299" s="239">
        <v>0</v>
      </c>
      <c r="DF299" s="239">
        <v>0</v>
      </c>
      <c r="DG299" s="239">
        <v>0</v>
      </c>
      <c r="DH299" s="239">
        <v>0</v>
      </c>
      <c r="DI299" s="239">
        <v>0</v>
      </c>
      <c r="DJ299" s="239">
        <v>-1020281</v>
      </c>
      <c r="DK299" s="239">
        <v>0</v>
      </c>
      <c r="DL299" s="239">
        <v>-1020281</v>
      </c>
      <c r="DM299" s="239">
        <v>-9609</v>
      </c>
      <c r="DN299" s="239">
        <v>0</v>
      </c>
      <c r="DO299" s="239">
        <v>-9609</v>
      </c>
      <c r="DP299" s="239">
        <v>0</v>
      </c>
      <c r="DQ299" s="239">
        <v>0</v>
      </c>
      <c r="DR299" s="239">
        <v>0</v>
      </c>
      <c r="DS299" s="239">
        <v>-41989</v>
      </c>
      <c r="DT299" s="239">
        <v>0</v>
      </c>
      <c r="DU299" s="239">
        <v>-41989</v>
      </c>
      <c r="DV299" s="239">
        <v>-8285</v>
      </c>
      <c r="DW299" s="239">
        <v>0</v>
      </c>
      <c r="DX299" s="239">
        <v>-8285</v>
      </c>
      <c r="DY299" s="239">
        <v>-2614382</v>
      </c>
      <c r="DZ299" s="239">
        <v>0</v>
      </c>
      <c r="EA299" s="239">
        <v>-2614382</v>
      </c>
      <c r="EB299" s="239">
        <v>-102899</v>
      </c>
      <c r="EC299" s="239">
        <v>0</v>
      </c>
      <c r="ED299" s="239">
        <v>-102899</v>
      </c>
      <c r="EE299" s="239">
        <v>0</v>
      </c>
      <c r="EF299" s="239">
        <v>0</v>
      </c>
      <c r="EG299" s="239">
        <v>0</v>
      </c>
      <c r="EH299" s="239">
        <v>0</v>
      </c>
      <c r="EI299" s="239">
        <v>0</v>
      </c>
      <c r="EJ299" s="239">
        <v>0</v>
      </c>
      <c r="EK299" s="239">
        <v>-45117</v>
      </c>
      <c r="EL299" s="239">
        <v>0</v>
      </c>
      <c r="EM299" s="239">
        <v>-45117</v>
      </c>
      <c r="EN299" s="239">
        <v>-2822281</v>
      </c>
      <c r="EO299" s="239">
        <v>0</v>
      </c>
      <c r="EP299" s="239">
        <v>-2822281</v>
      </c>
      <c r="EQ299" s="239">
        <v>0</v>
      </c>
      <c r="ER299" s="239">
        <v>0</v>
      </c>
      <c r="ES299" s="239">
        <v>0</v>
      </c>
      <c r="ET299" s="239">
        <v>0</v>
      </c>
      <c r="EU299" s="239">
        <v>0</v>
      </c>
      <c r="EV299" s="239">
        <v>0</v>
      </c>
      <c r="EW299" s="239">
        <v>0</v>
      </c>
      <c r="EX299" s="239">
        <v>0</v>
      </c>
      <c r="EY299" s="239">
        <v>0</v>
      </c>
      <c r="EZ299" s="239">
        <v>113398657</v>
      </c>
      <c r="FA299" s="239">
        <v>0</v>
      </c>
      <c r="FB299" s="239">
        <v>113398657</v>
      </c>
      <c r="FC299" s="239">
        <v>1633609</v>
      </c>
      <c r="FD299" s="239">
        <v>0</v>
      </c>
      <c r="FE299" s="239">
        <v>1633609</v>
      </c>
      <c r="FF299" s="239">
        <v>-10648294</v>
      </c>
      <c r="FG299" s="239">
        <v>0</v>
      </c>
      <c r="FH299" s="239">
        <v>-10648294</v>
      </c>
      <c r="FI299" s="239">
        <v>-2317798</v>
      </c>
      <c r="FJ299" s="239">
        <v>0</v>
      </c>
      <c r="FK299" s="239">
        <v>-2317798</v>
      </c>
      <c r="FL299" s="239">
        <v>-1020281</v>
      </c>
      <c r="FM299" s="239">
        <v>0</v>
      </c>
      <c r="FN299" s="239">
        <v>-1020281</v>
      </c>
      <c r="FO299" s="239">
        <v>-2822281</v>
      </c>
      <c r="FP299" s="239">
        <v>0</v>
      </c>
      <c r="FQ299" s="239">
        <v>-2822281</v>
      </c>
      <c r="FR299" s="239">
        <v>0</v>
      </c>
      <c r="FS299" s="239">
        <v>0</v>
      </c>
      <c r="FT299" s="239">
        <v>0</v>
      </c>
      <c r="FU299" s="239">
        <v>-15175045</v>
      </c>
      <c r="FV299" s="239">
        <v>0</v>
      </c>
      <c r="FW299" s="239">
        <v>-15175045</v>
      </c>
      <c r="FX299" s="239">
        <v>98223612</v>
      </c>
      <c r="FY299" s="239">
        <v>0</v>
      </c>
      <c r="FZ299" s="239">
        <v>98223612</v>
      </c>
      <c r="GA299" s="214" t="s">
        <v>1297</v>
      </c>
    </row>
    <row r="300" spans="2:183" s="214" customFormat="1" x14ac:dyDescent="0.2">
      <c r="B300" s="610" t="s">
        <v>683</v>
      </c>
      <c r="C300" s="610" t="s">
        <v>682</v>
      </c>
      <c r="D300" s="239">
        <v>0</v>
      </c>
      <c r="E300" s="239">
        <v>0</v>
      </c>
      <c r="F300" s="239">
        <v>0</v>
      </c>
      <c r="G300" s="239">
        <v>18862</v>
      </c>
      <c r="H300" s="239">
        <v>0</v>
      </c>
      <c r="I300" s="239">
        <v>18862</v>
      </c>
      <c r="J300" s="239">
        <v>0</v>
      </c>
      <c r="K300" s="239">
        <v>0</v>
      </c>
      <c r="L300" s="239">
        <v>0</v>
      </c>
      <c r="M300" s="239">
        <v>797747</v>
      </c>
      <c r="N300" s="239">
        <v>0</v>
      </c>
      <c r="O300" s="239">
        <v>797747</v>
      </c>
      <c r="P300" s="239">
        <v>816609</v>
      </c>
      <c r="Q300" s="239">
        <v>0</v>
      </c>
      <c r="R300" s="239">
        <v>816609</v>
      </c>
      <c r="S300" s="239">
        <v>-3185998</v>
      </c>
      <c r="T300" s="239">
        <v>0</v>
      </c>
      <c r="U300" s="239">
        <v>-3185998</v>
      </c>
      <c r="V300" s="239">
        <v>0</v>
      </c>
      <c r="W300" s="239">
        <v>0</v>
      </c>
      <c r="X300" s="239">
        <v>0</v>
      </c>
      <c r="Y300" s="239">
        <v>-323008</v>
      </c>
      <c r="Z300" s="239">
        <v>0</v>
      </c>
      <c r="AA300" s="239">
        <v>-323008</v>
      </c>
      <c r="AB300" s="239">
        <v>0</v>
      </c>
      <c r="AC300" s="239">
        <v>0</v>
      </c>
      <c r="AD300" s="239">
        <v>0</v>
      </c>
      <c r="AE300" s="239">
        <v>0</v>
      </c>
      <c r="AF300" s="239">
        <v>0</v>
      </c>
      <c r="AG300" s="239">
        <v>0</v>
      </c>
      <c r="AH300" s="239">
        <v>3005547</v>
      </c>
      <c r="AI300" s="239">
        <v>0</v>
      </c>
      <c r="AJ300" s="239">
        <v>3005547</v>
      </c>
      <c r="AK300" s="239">
        <v>-56463</v>
      </c>
      <c r="AL300" s="239">
        <v>0</v>
      </c>
      <c r="AM300" s="239">
        <v>-56463</v>
      </c>
      <c r="AN300" s="239">
        <v>-3746831</v>
      </c>
      <c r="AO300" s="239">
        <v>0</v>
      </c>
      <c r="AP300" s="239">
        <v>-3746831</v>
      </c>
      <c r="AQ300" s="239">
        <v>462285</v>
      </c>
      <c r="AR300" s="239">
        <v>0</v>
      </c>
      <c r="AS300" s="239">
        <v>462285</v>
      </c>
      <c r="AT300" s="239">
        <v>-77460</v>
      </c>
      <c r="AU300" s="239">
        <v>0</v>
      </c>
      <c r="AV300" s="239">
        <v>-77460</v>
      </c>
      <c r="AW300" s="239">
        <v>-7432</v>
      </c>
      <c r="AX300" s="239">
        <v>0</v>
      </c>
      <c r="AY300" s="239">
        <v>-7432</v>
      </c>
      <c r="AZ300" s="239">
        <v>-1818</v>
      </c>
      <c r="BA300" s="239">
        <v>0</v>
      </c>
      <c r="BB300" s="239">
        <v>-1818</v>
      </c>
      <c r="BC300" s="239">
        <v>0</v>
      </c>
      <c r="BD300" s="239">
        <v>0</v>
      </c>
      <c r="BE300" s="239">
        <v>0</v>
      </c>
      <c r="BF300" s="239">
        <v>-3931178</v>
      </c>
      <c r="BG300" s="239">
        <v>0</v>
      </c>
      <c r="BH300" s="239">
        <v>-3931178</v>
      </c>
      <c r="BI300" s="239">
        <v>-10661</v>
      </c>
      <c r="BJ300" s="239">
        <v>0</v>
      </c>
      <c r="BK300" s="239">
        <v>-10661</v>
      </c>
      <c r="BL300" s="239">
        <v>-57988</v>
      </c>
      <c r="BM300" s="239">
        <v>0</v>
      </c>
      <c r="BN300" s="239">
        <v>-57988</v>
      </c>
      <c r="BO300" s="239">
        <v>-3966746</v>
      </c>
      <c r="BP300" s="239">
        <v>0</v>
      </c>
      <c r="BQ300" s="239">
        <v>-3966746</v>
      </c>
      <c r="BR300" s="239">
        <v>173439</v>
      </c>
      <c r="BS300" s="239">
        <v>0</v>
      </c>
      <c r="BT300" s="239">
        <v>173439</v>
      </c>
      <c r="BU300" s="239">
        <v>-3861956</v>
      </c>
      <c r="BV300" s="239">
        <v>0</v>
      </c>
      <c r="BW300" s="239">
        <v>-3861956</v>
      </c>
      <c r="BX300" s="239">
        <v>-141784</v>
      </c>
      <c r="BY300" s="239">
        <v>0</v>
      </c>
      <c r="BZ300" s="239">
        <v>-141784</v>
      </c>
      <c r="CA300" s="239">
        <v>4071</v>
      </c>
      <c r="CB300" s="239">
        <v>0</v>
      </c>
      <c r="CC300" s="239">
        <v>4071</v>
      </c>
      <c r="CD300" s="239">
        <v>-752012</v>
      </c>
      <c r="CE300" s="239">
        <v>0</v>
      </c>
      <c r="CF300" s="239">
        <v>-752012</v>
      </c>
      <c r="CG300" s="239">
        <v>-540303</v>
      </c>
      <c r="CH300" s="239">
        <v>0</v>
      </c>
      <c r="CI300" s="239">
        <v>-540303</v>
      </c>
      <c r="CJ300" s="239">
        <v>-5226</v>
      </c>
      <c r="CK300" s="239">
        <v>0</v>
      </c>
      <c r="CL300" s="239">
        <v>-5226</v>
      </c>
      <c r="CM300" s="239">
        <v>-1858</v>
      </c>
      <c r="CN300" s="239">
        <v>0</v>
      </c>
      <c r="CO300" s="239">
        <v>-1858</v>
      </c>
      <c r="CP300" s="239">
        <v>-1011</v>
      </c>
      <c r="CQ300" s="239">
        <v>0</v>
      </c>
      <c r="CR300" s="239">
        <v>-1011</v>
      </c>
      <c r="CS300" s="239">
        <v>0</v>
      </c>
      <c r="CT300" s="239">
        <v>0</v>
      </c>
      <c r="CU300" s="239">
        <v>0</v>
      </c>
      <c r="CV300" s="239">
        <v>-3528</v>
      </c>
      <c r="CW300" s="239">
        <v>0</v>
      </c>
      <c r="CX300" s="239">
        <v>-3528</v>
      </c>
      <c r="CY300" s="239">
        <v>0</v>
      </c>
      <c r="CZ300" s="239">
        <v>0</v>
      </c>
      <c r="DA300" s="239">
        <v>0</v>
      </c>
      <c r="DB300" s="239">
        <v>0</v>
      </c>
      <c r="DC300" s="239">
        <v>0</v>
      </c>
      <c r="DD300" s="239">
        <v>0</v>
      </c>
      <c r="DE300" s="239">
        <v>0</v>
      </c>
      <c r="DF300" s="239">
        <v>0</v>
      </c>
      <c r="DG300" s="239">
        <v>0</v>
      </c>
      <c r="DH300" s="239">
        <v>0</v>
      </c>
      <c r="DI300" s="239">
        <v>0</v>
      </c>
      <c r="DJ300" s="239">
        <v>-1441651</v>
      </c>
      <c r="DK300" s="239">
        <v>0</v>
      </c>
      <c r="DL300" s="239">
        <v>-1441651</v>
      </c>
      <c r="DM300" s="239">
        <v>-38018</v>
      </c>
      <c r="DN300" s="239">
        <v>0</v>
      </c>
      <c r="DO300" s="239">
        <v>-38018</v>
      </c>
      <c r="DP300" s="239">
        <v>-14642</v>
      </c>
      <c r="DQ300" s="239">
        <v>0</v>
      </c>
      <c r="DR300" s="239">
        <v>-14642</v>
      </c>
      <c r="DS300" s="239">
        <v>-26421</v>
      </c>
      <c r="DT300" s="239">
        <v>0</v>
      </c>
      <c r="DU300" s="239">
        <v>-26421</v>
      </c>
      <c r="DV300" s="239">
        <v>-4247</v>
      </c>
      <c r="DW300" s="239">
        <v>0</v>
      </c>
      <c r="DX300" s="239">
        <v>-4247</v>
      </c>
      <c r="DY300" s="239">
        <v>-822500</v>
      </c>
      <c r="DZ300" s="239">
        <v>0</v>
      </c>
      <c r="EA300" s="239">
        <v>-822500</v>
      </c>
      <c r="EB300" s="239">
        <v>-10245</v>
      </c>
      <c r="EC300" s="239">
        <v>0</v>
      </c>
      <c r="ED300" s="239">
        <v>-10245</v>
      </c>
      <c r="EE300" s="239">
        <v>0</v>
      </c>
      <c r="EF300" s="239">
        <v>0</v>
      </c>
      <c r="EG300" s="239">
        <v>0</v>
      </c>
      <c r="EH300" s="239">
        <v>-1253</v>
      </c>
      <c r="EI300" s="239">
        <v>0</v>
      </c>
      <c r="EJ300" s="239">
        <v>-1253</v>
      </c>
      <c r="EK300" s="239">
        <v>-12248</v>
      </c>
      <c r="EL300" s="239">
        <v>0</v>
      </c>
      <c r="EM300" s="239">
        <v>-12248</v>
      </c>
      <c r="EN300" s="239">
        <v>-929574</v>
      </c>
      <c r="EO300" s="239">
        <v>0</v>
      </c>
      <c r="EP300" s="239">
        <v>-929574</v>
      </c>
      <c r="EQ300" s="239">
        <v>-4860</v>
      </c>
      <c r="ER300" s="239">
        <v>0</v>
      </c>
      <c r="ES300" s="239">
        <v>-4860</v>
      </c>
      <c r="ET300" s="239">
        <v>-8238</v>
      </c>
      <c r="EU300" s="239">
        <v>0</v>
      </c>
      <c r="EV300" s="239">
        <v>-8238</v>
      </c>
      <c r="EW300" s="239">
        <v>-13098</v>
      </c>
      <c r="EX300" s="239">
        <v>0</v>
      </c>
      <c r="EY300" s="239">
        <v>-13098</v>
      </c>
      <c r="EZ300" s="239">
        <v>119583502</v>
      </c>
      <c r="FA300" s="239">
        <v>0</v>
      </c>
      <c r="FB300" s="239">
        <v>119583502</v>
      </c>
      <c r="FC300" s="239">
        <v>816609</v>
      </c>
      <c r="FD300" s="239">
        <v>0</v>
      </c>
      <c r="FE300" s="239">
        <v>816609</v>
      </c>
      <c r="FF300" s="239">
        <v>-3931178</v>
      </c>
      <c r="FG300" s="239">
        <v>0</v>
      </c>
      <c r="FH300" s="239">
        <v>-3931178</v>
      </c>
      <c r="FI300" s="239">
        <v>-3861956</v>
      </c>
      <c r="FJ300" s="239">
        <v>0</v>
      </c>
      <c r="FK300" s="239">
        <v>-3861956</v>
      </c>
      <c r="FL300" s="239">
        <v>-1441651</v>
      </c>
      <c r="FM300" s="239">
        <v>0</v>
      </c>
      <c r="FN300" s="239">
        <v>-1441651</v>
      </c>
      <c r="FO300" s="239">
        <v>-929574</v>
      </c>
      <c r="FP300" s="239">
        <v>0</v>
      </c>
      <c r="FQ300" s="239">
        <v>-929574</v>
      </c>
      <c r="FR300" s="239">
        <v>-13098</v>
      </c>
      <c r="FS300" s="239">
        <v>0</v>
      </c>
      <c r="FT300" s="239">
        <v>-13098</v>
      </c>
      <c r="FU300" s="239">
        <v>-9360848</v>
      </c>
      <c r="FV300" s="239">
        <v>0</v>
      </c>
      <c r="FW300" s="239">
        <v>-9360848</v>
      </c>
      <c r="FX300" s="239">
        <v>110222654</v>
      </c>
      <c r="FY300" s="239">
        <v>0</v>
      </c>
      <c r="FZ300" s="239">
        <v>110222654</v>
      </c>
      <c r="GA300" s="214" t="s">
        <v>748</v>
      </c>
    </row>
    <row r="301" spans="2:183" s="214" customFormat="1" x14ac:dyDescent="0.2">
      <c r="B301" s="610" t="s">
        <v>685</v>
      </c>
      <c r="C301" s="610" t="s">
        <v>684</v>
      </c>
      <c r="D301" s="239">
        <v>0</v>
      </c>
      <c r="E301" s="239">
        <v>0</v>
      </c>
      <c r="F301" s="239">
        <v>0</v>
      </c>
      <c r="G301" s="239">
        <v>2184</v>
      </c>
      <c r="H301" s="239">
        <v>0</v>
      </c>
      <c r="I301" s="239">
        <v>2184</v>
      </c>
      <c r="J301" s="239">
        <v>0</v>
      </c>
      <c r="K301" s="239">
        <v>0</v>
      </c>
      <c r="L301" s="239">
        <v>0</v>
      </c>
      <c r="M301" s="239">
        <v>463141</v>
      </c>
      <c r="N301" s="239">
        <v>0</v>
      </c>
      <c r="O301" s="239">
        <v>463141</v>
      </c>
      <c r="P301" s="239">
        <v>465325</v>
      </c>
      <c r="Q301" s="239">
        <v>0</v>
      </c>
      <c r="R301" s="239">
        <v>465325</v>
      </c>
      <c r="S301" s="239">
        <v>-2963378</v>
      </c>
      <c r="T301" s="239">
        <v>0</v>
      </c>
      <c r="U301" s="239">
        <v>-2963378</v>
      </c>
      <c r="V301" s="239">
        <v>-20000</v>
      </c>
      <c r="W301" s="239">
        <v>0</v>
      </c>
      <c r="X301" s="239">
        <v>-20000</v>
      </c>
      <c r="Y301" s="239">
        <v>-97715</v>
      </c>
      <c r="Z301" s="239">
        <v>0</v>
      </c>
      <c r="AA301" s="239">
        <v>-97715</v>
      </c>
      <c r="AB301" s="239">
        <v>-75000</v>
      </c>
      <c r="AC301" s="239">
        <v>0</v>
      </c>
      <c r="AD301" s="239">
        <v>-75000</v>
      </c>
      <c r="AE301" s="239">
        <v>-10000</v>
      </c>
      <c r="AF301" s="239">
        <v>0</v>
      </c>
      <c r="AG301" s="239">
        <v>-10000</v>
      </c>
      <c r="AH301" s="239">
        <v>1865314</v>
      </c>
      <c r="AI301" s="239">
        <v>0</v>
      </c>
      <c r="AJ301" s="239">
        <v>1865314</v>
      </c>
      <c r="AK301" s="239">
        <v>-31133</v>
      </c>
      <c r="AL301" s="239">
        <v>0</v>
      </c>
      <c r="AM301" s="239">
        <v>-31133</v>
      </c>
      <c r="AN301" s="239">
        <v>-4073455</v>
      </c>
      <c r="AO301" s="239">
        <v>0</v>
      </c>
      <c r="AP301" s="239">
        <v>-4073455</v>
      </c>
      <c r="AQ301" s="239">
        <v>66129</v>
      </c>
      <c r="AR301" s="239">
        <v>0</v>
      </c>
      <c r="AS301" s="239">
        <v>66129</v>
      </c>
      <c r="AT301" s="239">
        <v>-60841</v>
      </c>
      <c r="AU301" s="239">
        <v>0</v>
      </c>
      <c r="AV301" s="239">
        <v>-60841</v>
      </c>
      <c r="AW301" s="239">
        <v>-94</v>
      </c>
      <c r="AX301" s="239">
        <v>0</v>
      </c>
      <c r="AY301" s="239">
        <v>-94</v>
      </c>
      <c r="AZ301" s="239">
        <v>-8535</v>
      </c>
      <c r="BA301" s="239">
        <v>0</v>
      </c>
      <c r="BB301" s="239">
        <v>-8535</v>
      </c>
      <c r="BC301" s="239">
        <v>0</v>
      </c>
      <c r="BD301" s="239">
        <v>0</v>
      </c>
      <c r="BE301" s="239">
        <v>0</v>
      </c>
      <c r="BF301" s="239">
        <v>-5303708</v>
      </c>
      <c r="BG301" s="239">
        <v>0</v>
      </c>
      <c r="BH301" s="239">
        <v>-5303708</v>
      </c>
      <c r="BI301" s="239">
        <v>-73322</v>
      </c>
      <c r="BJ301" s="239">
        <v>0</v>
      </c>
      <c r="BK301" s="239">
        <v>-73322</v>
      </c>
      <c r="BL301" s="239">
        <v>-14868</v>
      </c>
      <c r="BM301" s="239">
        <v>0</v>
      </c>
      <c r="BN301" s="239">
        <v>-14868</v>
      </c>
      <c r="BO301" s="239">
        <v>-2612322</v>
      </c>
      <c r="BP301" s="239">
        <v>0</v>
      </c>
      <c r="BQ301" s="239">
        <v>-2612322</v>
      </c>
      <c r="BR301" s="239">
        <v>-6034</v>
      </c>
      <c r="BS301" s="239">
        <v>0</v>
      </c>
      <c r="BT301" s="239">
        <v>-6034</v>
      </c>
      <c r="BU301" s="239">
        <v>-2706546</v>
      </c>
      <c r="BV301" s="239">
        <v>0</v>
      </c>
      <c r="BW301" s="239">
        <v>-2706546</v>
      </c>
      <c r="BX301" s="239">
        <v>-6800</v>
      </c>
      <c r="BY301" s="239">
        <v>0</v>
      </c>
      <c r="BZ301" s="239">
        <v>-6800</v>
      </c>
      <c r="CA301" s="239">
        <v>0</v>
      </c>
      <c r="CB301" s="239">
        <v>0</v>
      </c>
      <c r="CC301" s="239">
        <v>0</v>
      </c>
      <c r="CD301" s="239">
        <v>-91409</v>
      </c>
      <c r="CE301" s="239">
        <v>0</v>
      </c>
      <c r="CF301" s="239">
        <v>-91409</v>
      </c>
      <c r="CG301" s="239">
        <v>0</v>
      </c>
      <c r="CH301" s="239">
        <v>0</v>
      </c>
      <c r="CI301" s="239">
        <v>0</v>
      </c>
      <c r="CJ301" s="239">
        <v>0</v>
      </c>
      <c r="CK301" s="239">
        <v>0</v>
      </c>
      <c r="CL301" s="239">
        <v>0</v>
      </c>
      <c r="CM301" s="239">
        <v>0</v>
      </c>
      <c r="CN301" s="239">
        <v>0</v>
      </c>
      <c r="CO301" s="239">
        <v>0</v>
      </c>
      <c r="CP301" s="239">
        <v>-11600</v>
      </c>
      <c r="CQ301" s="239">
        <v>0</v>
      </c>
      <c r="CR301" s="239">
        <v>-11600</v>
      </c>
      <c r="CS301" s="239">
        <v>0</v>
      </c>
      <c r="CT301" s="239">
        <v>0</v>
      </c>
      <c r="CU301" s="239">
        <v>0</v>
      </c>
      <c r="CV301" s="239">
        <v>0</v>
      </c>
      <c r="CW301" s="239">
        <v>0</v>
      </c>
      <c r="CX301" s="239">
        <v>0</v>
      </c>
      <c r="CY301" s="239">
        <v>0</v>
      </c>
      <c r="CZ301" s="239">
        <v>0</v>
      </c>
      <c r="DA301" s="239">
        <v>0</v>
      </c>
      <c r="DB301" s="239">
        <v>0</v>
      </c>
      <c r="DC301" s="239">
        <v>0</v>
      </c>
      <c r="DD301" s="239">
        <v>0</v>
      </c>
      <c r="DE301" s="239">
        <v>0</v>
      </c>
      <c r="DF301" s="239">
        <v>0</v>
      </c>
      <c r="DG301" s="239">
        <v>0</v>
      </c>
      <c r="DH301" s="239">
        <v>0</v>
      </c>
      <c r="DI301" s="239">
        <v>0</v>
      </c>
      <c r="DJ301" s="239">
        <v>-109809</v>
      </c>
      <c r="DK301" s="239">
        <v>0</v>
      </c>
      <c r="DL301" s="239">
        <v>-109809</v>
      </c>
      <c r="DM301" s="239">
        <v>0</v>
      </c>
      <c r="DN301" s="239">
        <v>0</v>
      </c>
      <c r="DO301" s="239">
        <v>0</v>
      </c>
      <c r="DP301" s="239">
        <v>0</v>
      </c>
      <c r="DQ301" s="239">
        <v>0</v>
      </c>
      <c r="DR301" s="239">
        <v>0</v>
      </c>
      <c r="DS301" s="239">
        <v>-44540</v>
      </c>
      <c r="DT301" s="239">
        <v>0</v>
      </c>
      <c r="DU301" s="239">
        <v>-44540</v>
      </c>
      <c r="DV301" s="239">
        <v>-12077</v>
      </c>
      <c r="DW301" s="239">
        <v>0</v>
      </c>
      <c r="DX301" s="239">
        <v>-12077</v>
      </c>
      <c r="DY301" s="239">
        <v>-864638</v>
      </c>
      <c r="DZ301" s="239">
        <v>0</v>
      </c>
      <c r="EA301" s="239">
        <v>-864638</v>
      </c>
      <c r="EB301" s="239">
        <v>-46421</v>
      </c>
      <c r="EC301" s="239">
        <v>0</v>
      </c>
      <c r="ED301" s="239">
        <v>-46421</v>
      </c>
      <c r="EE301" s="239">
        <v>0</v>
      </c>
      <c r="EF301" s="239">
        <v>0</v>
      </c>
      <c r="EG301" s="239">
        <v>0</v>
      </c>
      <c r="EH301" s="239">
        <v>0</v>
      </c>
      <c r="EI301" s="239">
        <v>0</v>
      </c>
      <c r="EJ301" s="239">
        <v>0</v>
      </c>
      <c r="EK301" s="239">
        <v>-10269</v>
      </c>
      <c r="EL301" s="239">
        <v>0</v>
      </c>
      <c r="EM301" s="239">
        <v>-10269</v>
      </c>
      <c r="EN301" s="239">
        <v>-977945</v>
      </c>
      <c r="EO301" s="239">
        <v>0</v>
      </c>
      <c r="EP301" s="239">
        <v>-977945</v>
      </c>
      <c r="EQ301" s="239">
        <v>0</v>
      </c>
      <c r="ER301" s="239">
        <v>0</v>
      </c>
      <c r="ES301" s="239">
        <v>0</v>
      </c>
      <c r="ET301" s="239">
        <v>0</v>
      </c>
      <c r="EU301" s="239">
        <v>0</v>
      </c>
      <c r="EV301" s="239">
        <v>0</v>
      </c>
      <c r="EW301" s="239">
        <v>0</v>
      </c>
      <c r="EX301" s="239">
        <v>0</v>
      </c>
      <c r="EY301" s="239">
        <v>0</v>
      </c>
      <c r="EZ301" s="239">
        <v>76854031</v>
      </c>
      <c r="FA301" s="239">
        <v>0</v>
      </c>
      <c r="FB301" s="239">
        <v>76854031</v>
      </c>
      <c r="FC301" s="239">
        <v>465325</v>
      </c>
      <c r="FD301" s="239">
        <v>0</v>
      </c>
      <c r="FE301" s="239">
        <v>465325</v>
      </c>
      <c r="FF301" s="239">
        <v>-5303708</v>
      </c>
      <c r="FG301" s="239">
        <v>0</v>
      </c>
      <c r="FH301" s="239">
        <v>-5303708</v>
      </c>
      <c r="FI301" s="239">
        <v>-2706546</v>
      </c>
      <c r="FJ301" s="239">
        <v>0</v>
      </c>
      <c r="FK301" s="239">
        <v>-2706546</v>
      </c>
      <c r="FL301" s="239">
        <v>-109809</v>
      </c>
      <c r="FM301" s="239">
        <v>0</v>
      </c>
      <c r="FN301" s="239">
        <v>-109809</v>
      </c>
      <c r="FO301" s="239">
        <v>-977945</v>
      </c>
      <c r="FP301" s="239">
        <v>0</v>
      </c>
      <c r="FQ301" s="239">
        <v>-977945</v>
      </c>
      <c r="FR301" s="239">
        <v>0</v>
      </c>
      <c r="FS301" s="239">
        <v>0</v>
      </c>
      <c r="FT301" s="239">
        <v>0</v>
      </c>
      <c r="FU301" s="239">
        <v>-8632683</v>
      </c>
      <c r="FV301" s="239">
        <v>0</v>
      </c>
      <c r="FW301" s="239">
        <v>-8632683</v>
      </c>
      <c r="FX301" s="239">
        <v>68221348</v>
      </c>
      <c r="FY301" s="239">
        <v>0</v>
      </c>
      <c r="FZ301" s="239">
        <v>68221348</v>
      </c>
      <c r="GA301" s="214" t="s">
        <v>1294</v>
      </c>
    </row>
    <row r="302" spans="2:183" s="214" customFormat="1" x14ac:dyDescent="0.2">
      <c r="B302" s="610" t="s">
        <v>687</v>
      </c>
      <c r="C302" s="610" t="s">
        <v>686</v>
      </c>
      <c r="D302" s="239">
        <v>0</v>
      </c>
      <c r="E302" s="239">
        <v>0</v>
      </c>
      <c r="F302" s="239">
        <v>0</v>
      </c>
      <c r="G302" s="239">
        <v>59192</v>
      </c>
      <c r="H302" s="239">
        <v>0</v>
      </c>
      <c r="I302" s="239">
        <v>59192</v>
      </c>
      <c r="J302" s="239">
        <v>0</v>
      </c>
      <c r="K302" s="239">
        <v>0</v>
      </c>
      <c r="L302" s="239">
        <v>0</v>
      </c>
      <c r="M302" s="239">
        <v>181999</v>
      </c>
      <c r="N302" s="239">
        <v>0</v>
      </c>
      <c r="O302" s="239">
        <v>181999</v>
      </c>
      <c r="P302" s="239">
        <v>241191</v>
      </c>
      <c r="Q302" s="239">
        <v>0</v>
      </c>
      <c r="R302" s="239">
        <v>241191</v>
      </c>
      <c r="S302" s="239">
        <v>-1370203</v>
      </c>
      <c r="T302" s="239">
        <v>0</v>
      </c>
      <c r="U302" s="239">
        <v>-1370203</v>
      </c>
      <c r="V302" s="239">
        <v>-2396</v>
      </c>
      <c r="W302" s="239">
        <v>0</v>
      </c>
      <c r="X302" s="239">
        <v>-2396</v>
      </c>
      <c r="Y302" s="239">
        <v>-182431</v>
      </c>
      <c r="Z302" s="239">
        <v>0</v>
      </c>
      <c r="AA302" s="239">
        <v>-182431</v>
      </c>
      <c r="AB302" s="239">
        <v>-86520</v>
      </c>
      <c r="AC302" s="239">
        <v>0</v>
      </c>
      <c r="AD302" s="239">
        <v>-86520</v>
      </c>
      <c r="AE302" s="239">
        <v>0</v>
      </c>
      <c r="AF302" s="239">
        <v>0</v>
      </c>
      <c r="AG302" s="239">
        <v>0</v>
      </c>
      <c r="AH302" s="239">
        <v>1890645</v>
      </c>
      <c r="AI302" s="239">
        <v>0</v>
      </c>
      <c r="AJ302" s="239">
        <v>1890645</v>
      </c>
      <c r="AK302" s="239">
        <v>-17710</v>
      </c>
      <c r="AL302" s="239">
        <v>0</v>
      </c>
      <c r="AM302" s="239">
        <v>-17710</v>
      </c>
      <c r="AN302" s="239">
        <v>-3116848</v>
      </c>
      <c r="AO302" s="239">
        <v>0</v>
      </c>
      <c r="AP302" s="239">
        <v>-3116848</v>
      </c>
      <c r="AQ302" s="239">
        <v>-319614</v>
      </c>
      <c r="AR302" s="239">
        <v>0</v>
      </c>
      <c r="AS302" s="239">
        <v>-319614</v>
      </c>
      <c r="AT302" s="239">
        <v>0</v>
      </c>
      <c r="AU302" s="239">
        <v>0</v>
      </c>
      <c r="AV302" s="239">
        <v>0</v>
      </c>
      <c r="AW302" s="239">
        <v>0</v>
      </c>
      <c r="AX302" s="239">
        <v>0</v>
      </c>
      <c r="AY302" s="239">
        <v>0</v>
      </c>
      <c r="AZ302" s="239">
        <v>0</v>
      </c>
      <c r="BA302" s="239">
        <v>0</v>
      </c>
      <c r="BB302" s="239">
        <v>0</v>
      </c>
      <c r="BC302" s="239">
        <v>0</v>
      </c>
      <c r="BD302" s="239">
        <v>0</v>
      </c>
      <c r="BE302" s="239">
        <v>0</v>
      </c>
      <c r="BF302" s="239">
        <v>-3116161</v>
      </c>
      <c r="BG302" s="239">
        <v>0</v>
      </c>
      <c r="BH302" s="239">
        <v>-3116161</v>
      </c>
      <c r="BI302" s="239">
        <v>-11100</v>
      </c>
      <c r="BJ302" s="239">
        <v>0</v>
      </c>
      <c r="BK302" s="239">
        <v>-11100</v>
      </c>
      <c r="BL302" s="239">
        <v>-4987</v>
      </c>
      <c r="BM302" s="239">
        <v>0</v>
      </c>
      <c r="BN302" s="239">
        <v>-4987</v>
      </c>
      <c r="BO302" s="239">
        <v>-3493226</v>
      </c>
      <c r="BP302" s="239">
        <v>0</v>
      </c>
      <c r="BQ302" s="239">
        <v>-3493226</v>
      </c>
      <c r="BR302" s="239">
        <v>184263</v>
      </c>
      <c r="BS302" s="239">
        <v>0</v>
      </c>
      <c r="BT302" s="239">
        <v>184263</v>
      </c>
      <c r="BU302" s="239">
        <v>-3325050</v>
      </c>
      <c r="BV302" s="239">
        <v>0</v>
      </c>
      <c r="BW302" s="239">
        <v>-3325050</v>
      </c>
      <c r="BX302" s="239">
        <v>-277984</v>
      </c>
      <c r="BY302" s="239">
        <v>0</v>
      </c>
      <c r="BZ302" s="239">
        <v>-277984</v>
      </c>
      <c r="CA302" s="239">
        <v>4498</v>
      </c>
      <c r="CB302" s="239">
        <v>0</v>
      </c>
      <c r="CC302" s="239">
        <v>4498</v>
      </c>
      <c r="CD302" s="239">
        <v>-100818</v>
      </c>
      <c r="CE302" s="239">
        <v>0</v>
      </c>
      <c r="CF302" s="239">
        <v>-100818</v>
      </c>
      <c r="CG302" s="239">
        <v>6639</v>
      </c>
      <c r="CH302" s="239">
        <v>0</v>
      </c>
      <c r="CI302" s="239">
        <v>6639</v>
      </c>
      <c r="CJ302" s="239">
        <v>0</v>
      </c>
      <c r="CK302" s="239">
        <v>0</v>
      </c>
      <c r="CL302" s="239">
        <v>0</v>
      </c>
      <c r="CM302" s="239">
        <v>0</v>
      </c>
      <c r="CN302" s="239">
        <v>0</v>
      </c>
      <c r="CO302" s="239">
        <v>0</v>
      </c>
      <c r="CP302" s="239">
        <v>0</v>
      </c>
      <c r="CQ302" s="239">
        <v>0</v>
      </c>
      <c r="CR302" s="239">
        <v>0</v>
      </c>
      <c r="CS302" s="239">
        <v>0</v>
      </c>
      <c r="CT302" s="239">
        <v>0</v>
      </c>
      <c r="CU302" s="239">
        <v>0</v>
      </c>
      <c r="CV302" s="239">
        <v>0</v>
      </c>
      <c r="CW302" s="239">
        <v>0</v>
      </c>
      <c r="CX302" s="239">
        <v>0</v>
      </c>
      <c r="CY302" s="239">
        <v>0</v>
      </c>
      <c r="CZ302" s="239">
        <v>0</v>
      </c>
      <c r="DA302" s="239">
        <v>0</v>
      </c>
      <c r="DB302" s="239">
        <v>0</v>
      </c>
      <c r="DC302" s="239">
        <v>0</v>
      </c>
      <c r="DD302" s="239">
        <v>0</v>
      </c>
      <c r="DE302" s="239">
        <v>0</v>
      </c>
      <c r="DF302" s="239">
        <v>0</v>
      </c>
      <c r="DG302" s="239">
        <v>0</v>
      </c>
      <c r="DH302" s="239">
        <v>0</v>
      </c>
      <c r="DI302" s="239">
        <v>0</v>
      </c>
      <c r="DJ302" s="239">
        <v>-367665</v>
      </c>
      <c r="DK302" s="239">
        <v>0</v>
      </c>
      <c r="DL302" s="239">
        <v>-367665</v>
      </c>
      <c r="DM302" s="239">
        <v>0</v>
      </c>
      <c r="DN302" s="239">
        <v>0</v>
      </c>
      <c r="DO302" s="239">
        <v>0</v>
      </c>
      <c r="DP302" s="239">
        <v>0</v>
      </c>
      <c r="DQ302" s="239">
        <v>0</v>
      </c>
      <c r="DR302" s="239">
        <v>0</v>
      </c>
      <c r="DS302" s="239">
        <v>-37959</v>
      </c>
      <c r="DT302" s="239">
        <v>0</v>
      </c>
      <c r="DU302" s="239">
        <v>-37959</v>
      </c>
      <c r="DV302" s="239">
        <v>-1400</v>
      </c>
      <c r="DW302" s="239">
        <v>0</v>
      </c>
      <c r="DX302" s="239">
        <v>-1400</v>
      </c>
      <c r="DY302" s="239">
        <v>-698017</v>
      </c>
      <c r="DZ302" s="239">
        <v>0</v>
      </c>
      <c r="EA302" s="239">
        <v>-698017</v>
      </c>
      <c r="EB302" s="239">
        <v>765</v>
      </c>
      <c r="EC302" s="239">
        <v>0</v>
      </c>
      <c r="ED302" s="239">
        <v>765</v>
      </c>
      <c r="EE302" s="239">
        <v>0</v>
      </c>
      <c r="EF302" s="239">
        <v>0</v>
      </c>
      <c r="EG302" s="239">
        <v>0</v>
      </c>
      <c r="EH302" s="239">
        <v>0</v>
      </c>
      <c r="EI302" s="239">
        <v>0</v>
      </c>
      <c r="EJ302" s="239">
        <v>0</v>
      </c>
      <c r="EK302" s="239">
        <v>-13533</v>
      </c>
      <c r="EL302" s="239">
        <v>0</v>
      </c>
      <c r="EM302" s="239">
        <v>-13533</v>
      </c>
      <c r="EN302" s="239">
        <v>-750144</v>
      </c>
      <c r="EO302" s="239">
        <v>0</v>
      </c>
      <c r="EP302" s="239">
        <v>-750144</v>
      </c>
      <c r="EQ302" s="239">
        <v>0</v>
      </c>
      <c r="ER302" s="239">
        <v>0</v>
      </c>
      <c r="ES302" s="239">
        <v>0</v>
      </c>
      <c r="ET302" s="239">
        <v>0</v>
      </c>
      <c r="EU302" s="239">
        <v>0</v>
      </c>
      <c r="EV302" s="239">
        <v>0</v>
      </c>
      <c r="EW302" s="239">
        <v>0</v>
      </c>
      <c r="EX302" s="239">
        <v>0</v>
      </c>
      <c r="EY302" s="239">
        <v>0</v>
      </c>
      <c r="EZ302" s="239">
        <v>73958683</v>
      </c>
      <c r="FA302" s="239">
        <v>0</v>
      </c>
      <c r="FB302" s="239">
        <v>73958683</v>
      </c>
      <c r="FC302" s="239">
        <v>241191</v>
      </c>
      <c r="FD302" s="239">
        <v>0</v>
      </c>
      <c r="FE302" s="239">
        <v>241191</v>
      </c>
      <c r="FF302" s="239">
        <v>-3116161</v>
      </c>
      <c r="FG302" s="239">
        <v>0</v>
      </c>
      <c r="FH302" s="239">
        <v>-3116161</v>
      </c>
      <c r="FI302" s="239">
        <v>-3325050</v>
      </c>
      <c r="FJ302" s="239">
        <v>0</v>
      </c>
      <c r="FK302" s="239">
        <v>-3325050</v>
      </c>
      <c r="FL302" s="239">
        <v>-367665</v>
      </c>
      <c r="FM302" s="239">
        <v>0</v>
      </c>
      <c r="FN302" s="239">
        <v>-367665</v>
      </c>
      <c r="FO302" s="239">
        <v>-750144</v>
      </c>
      <c r="FP302" s="239">
        <v>0</v>
      </c>
      <c r="FQ302" s="239">
        <v>-750144</v>
      </c>
      <c r="FR302" s="239">
        <v>0</v>
      </c>
      <c r="FS302" s="239">
        <v>0</v>
      </c>
      <c r="FT302" s="239">
        <v>0</v>
      </c>
      <c r="FU302" s="239">
        <v>-7317829</v>
      </c>
      <c r="FV302" s="239">
        <v>0</v>
      </c>
      <c r="FW302" s="239">
        <v>-7317829</v>
      </c>
      <c r="FX302" s="239">
        <v>66640854</v>
      </c>
      <c r="FY302" s="239">
        <v>0</v>
      </c>
      <c r="FZ302" s="239">
        <v>66640854</v>
      </c>
      <c r="GA302" s="214" t="s">
        <v>1294</v>
      </c>
    </row>
    <row r="303" spans="2:183" s="214" customFormat="1" x14ac:dyDescent="0.2">
      <c r="B303" s="610" t="s">
        <v>689</v>
      </c>
      <c r="C303" s="610" t="s">
        <v>688</v>
      </c>
      <c r="D303" s="239">
        <v>0</v>
      </c>
      <c r="E303" s="239">
        <v>0</v>
      </c>
      <c r="F303" s="239">
        <v>0</v>
      </c>
      <c r="G303" s="239">
        <v>33774</v>
      </c>
      <c r="H303" s="239">
        <v>0</v>
      </c>
      <c r="I303" s="239">
        <v>33774</v>
      </c>
      <c r="J303" s="239">
        <v>0</v>
      </c>
      <c r="K303" s="239">
        <v>0</v>
      </c>
      <c r="L303" s="239">
        <v>0</v>
      </c>
      <c r="M303" s="239">
        <v>237700</v>
      </c>
      <c r="N303" s="239">
        <v>0</v>
      </c>
      <c r="O303" s="239">
        <v>237700</v>
      </c>
      <c r="P303" s="239">
        <v>271474</v>
      </c>
      <c r="Q303" s="239">
        <v>0</v>
      </c>
      <c r="R303" s="239">
        <v>271474</v>
      </c>
      <c r="S303" s="239">
        <v>-3285635</v>
      </c>
      <c r="T303" s="239">
        <v>0</v>
      </c>
      <c r="U303" s="239">
        <v>-3285635</v>
      </c>
      <c r="V303" s="239">
        <v>-411</v>
      </c>
      <c r="W303" s="239">
        <v>0</v>
      </c>
      <c r="X303" s="239">
        <v>-411</v>
      </c>
      <c r="Y303" s="239">
        <v>-150814</v>
      </c>
      <c r="Z303" s="239">
        <v>0</v>
      </c>
      <c r="AA303" s="239">
        <v>-150814</v>
      </c>
      <c r="AB303" s="239">
        <v>-150814</v>
      </c>
      <c r="AC303" s="239">
        <v>0</v>
      </c>
      <c r="AD303" s="239">
        <v>-150814</v>
      </c>
      <c r="AE303" s="239">
        <v>0</v>
      </c>
      <c r="AF303" s="239">
        <v>0</v>
      </c>
      <c r="AG303" s="239">
        <v>0</v>
      </c>
      <c r="AH303" s="239">
        <v>710767</v>
      </c>
      <c r="AI303" s="239">
        <v>8389</v>
      </c>
      <c r="AJ303" s="239">
        <v>719156</v>
      </c>
      <c r="AK303" s="239">
        <v>-15568</v>
      </c>
      <c r="AL303" s="239">
        <v>-19</v>
      </c>
      <c r="AM303" s="239">
        <v>-15587</v>
      </c>
      <c r="AN303" s="239">
        <v>-2211821</v>
      </c>
      <c r="AO303" s="239">
        <v>0</v>
      </c>
      <c r="AP303" s="239">
        <v>-2211821</v>
      </c>
      <c r="AQ303" s="239">
        <v>14696</v>
      </c>
      <c r="AR303" s="239">
        <v>0</v>
      </c>
      <c r="AS303" s="239">
        <v>14696</v>
      </c>
      <c r="AT303" s="239">
        <v>-64252</v>
      </c>
      <c r="AU303" s="239">
        <v>0</v>
      </c>
      <c r="AV303" s="239">
        <v>-64252</v>
      </c>
      <c r="AW303" s="239">
        <v>0</v>
      </c>
      <c r="AX303" s="239">
        <v>0</v>
      </c>
      <c r="AY303" s="239">
        <v>0</v>
      </c>
      <c r="AZ303" s="239">
        <v>-18582</v>
      </c>
      <c r="BA303" s="239">
        <v>0</v>
      </c>
      <c r="BB303" s="239">
        <v>-18582</v>
      </c>
      <c r="BC303" s="239">
        <v>-1230</v>
      </c>
      <c r="BD303" s="239">
        <v>0</v>
      </c>
      <c r="BE303" s="239">
        <v>-1230</v>
      </c>
      <c r="BF303" s="239">
        <v>-5022439</v>
      </c>
      <c r="BG303" s="239">
        <v>8370</v>
      </c>
      <c r="BH303" s="239">
        <v>-5014069</v>
      </c>
      <c r="BI303" s="239">
        <v>-1736</v>
      </c>
      <c r="BJ303" s="239">
        <v>0</v>
      </c>
      <c r="BK303" s="239">
        <v>-1736</v>
      </c>
      <c r="BL303" s="239">
        <v>-2863</v>
      </c>
      <c r="BM303" s="239">
        <v>0</v>
      </c>
      <c r="BN303" s="239">
        <v>-2863</v>
      </c>
      <c r="BO303" s="239">
        <v>-994286</v>
      </c>
      <c r="BP303" s="239">
        <v>-5244</v>
      </c>
      <c r="BQ303" s="239">
        <v>-999530</v>
      </c>
      <c r="BR303" s="239">
        <v>99962</v>
      </c>
      <c r="BS303" s="239">
        <v>-2718</v>
      </c>
      <c r="BT303" s="239">
        <v>97244</v>
      </c>
      <c r="BU303" s="239">
        <v>-898923</v>
      </c>
      <c r="BV303" s="239">
        <v>-7962</v>
      </c>
      <c r="BW303" s="239">
        <v>-906885</v>
      </c>
      <c r="BX303" s="239">
        <v>-75378</v>
      </c>
      <c r="BY303" s="239">
        <v>0</v>
      </c>
      <c r="BZ303" s="239">
        <v>-75378</v>
      </c>
      <c r="CA303" s="239">
        <v>8269</v>
      </c>
      <c r="CB303" s="239">
        <v>0</v>
      </c>
      <c r="CC303" s="239">
        <v>8269</v>
      </c>
      <c r="CD303" s="239">
        <v>-5355</v>
      </c>
      <c r="CE303" s="239">
        <v>0</v>
      </c>
      <c r="CF303" s="239">
        <v>-5355</v>
      </c>
      <c r="CG303" s="239">
        <v>-45</v>
      </c>
      <c r="CH303" s="239">
        <v>0</v>
      </c>
      <c r="CI303" s="239">
        <v>-45</v>
      </c>
      <c r="CJ303" s="239">
        <v>-202</v>
      </c>
      <c r="CK303" s="239">
        <v>0</v>
      </c>
      <c r="CL303" s="239">
        <v>-202</v>
      </c>
      <c r="CM303" s="239">
        <v>0</v>
      </c>
      <c r="CN303" s="239">
        <v>0</v>
      </c>
      <c r="CO303" s="239">
        <v>0</v>
      </c>
      <c r="CP303" s="239">
        <v>0</v>
      </c>
      <c r="CQ303" s="239">
        <v>0</v>
      </c>
      <c r="CR303" s="239">
        <v>0</v>
      </c>
      <c r="CS303" s="239">
        <v>0</v>
      </c>
      <c r="CT303" s="239">
        <v>0</v>
      </c>
      <c r="CU303" s="239">
        <v>0</v>
      </c>
      <c r="CV303" s="239">
        <v>0</v>
      </c>
      <c r="CW303" s="239">
        <v>0</v>
      </c>
      <c r="CX303" s="239">
        <v>0</v>
      </c>
      <c r="CY303" s="239">
        <v>0</v>
      </c>
      <c r="CZ303" s="239">
        <v>0</v>
      </c>
      <c r="DA303" s="239">
        <v>0</v>
      </c>
      <c r="DB303" s="239">
        <v>0</v>
      </c>
      <c r="DC303" s="239">
        <v>-132964</v>
      </c>
      <c r="DD303" s="239">
        <v>-132964</v>
      </c>
      <c r="DE303" s="239">
        <v>0</v>
      </c>
      <c r="DF303" s="239">
        <v>-4163</v>
      </c>
      <c r="DG303" s="239">
        <v>-4163</v>
      </c>
      <c r="DH303" s="239">
        <v>-137127</v>
      </c>
      <c r="DI303" s="239">
        <v>0</v>
      </c>
      <c r="DJ303" s="239">
        <v>-72711</v>
      </c>
      <c r="DK303" s="239">
        <v>-137127</v>
      </c>
      <c r="DL303" s="239">
        <v>-209838</v>
      </c>
      <c r="DM303" s="239">
        <v>0</v>
      </c>
      <c r="DN303" s="239">
        <v>0</v>
      </c>
      <c r="DO303" s="239">
        <v>0</v>
      </c>
      <c r="DP303" s="239">
        <v>0</v>
      </c>
      <c r="DQ303" s="239">
        <v>-351</v>
      </c>
      <c r="DR303" s="239">
        <v>-351</v>
      </c>
      <c r="DS303" s="239">
        <v>-11281</v>
      </c>
      <c r="DT303" s="239">
        <v>0</v>
      </c>
      <c r="DU303" s="239">
        <v>-11281</v>
      </c>
      <c r="DV303" s="239">
        <v>0</v>
      </c>
      <c r="DW303" s="239">
        <v>0</v>
      </c>
      <c r="DX303" s="239">
        <v>0</v>
      </c>
      <c r="DY303" s="239">
        <v>-660662</v>
      </c>
      <c r="DZ303" s="239">
        <v>0</v>
      </c>
      <c r="EA303" s="239">
        <v>-660662</v>
      </c>
      <c r="EB303" s="239">
        <v>-1574</v>
      </c>
      <c r="EC303" s="239">
        <v>0</v>
      </c>
      <c r="ED303" s="239">
        <v>-1574</v>
      </c>
      <c r="EE303" s="239">
        <v>0</v>
      </c>
      <c r="EF303" s="239">
        <v>0</v>
      </c>
      <c r="EG303" s="239">
        <v>0</v>
      </c>
      <c r="EH303" s="239">
        <v>-33</v>
      </c>
      <c r="EI303" s="239">
        <v>0</v>
      </c>
      <c r="EJ303" s="239">
        <v>-33</v>
      </c>
      <c r="EK303" s="239">
        <v>-4310</v>
      </c>
      <c r="EL303" s="239">
        <v>0</v>
      </c>
      <c r="EM303" s="239">
        <v>-4310</v>
      </c>
      <c r="EN303" s="239">
        <v>-677860</v>
      </c>
      <c r="EO303" s="239">
        <v>-351</v>
      </c>
      <c r="EP303" s="239">
        <v>-678211</v>
      </c>
      <c r="EQ303" s="239">
        <v>0</v>
      </c>
      <c r="ER303" s="239">
        <v>0</v>
      </c>
      <c r="ES303" s="239">
        <v>0</v>
      </c>
      <c r="ET303" s="239">
        <v>0</v>
      </c>
      <c r="EU303" s="239">
        <v>0</v>
      </c>
      <c r="EV303" s="239">
        <v>0</v>
      </c>
      <c r="EW303" s="239">
        <v>0</v>
      </c>
      <c r="EX303" s="239">
        <v>0</v>
      </c>
      <c r="EY303" s="239">
        <v>0</v>
      </c>
      <c r="EZ303" s="239">
        <v>33007896</v>
      </c>
      <c r="FA303" s="239">
        <v>361358</v>
      </c>
      <c r="FB303" s="239">
        <v>33369254</v>
      </c>
      <c r="FC303" s="239">
        <v>271474</v>
      </c>
      <c r="FD303" s="239">
        <v>0</v>
      </c>
      <c r="FE303" s="239">
        <v>271474</v>
      </c>
      <c r="FF303" s="239">
        <v>-5022439</v>
      </c>
      <c r="FG303" s="239">
        <v>8370</v>
      </c>
      <c r="FH303" s="239">
        <v>-5014069</v>
      </c>
      <c r="FI303" s="239">
        <v>-898923</v>
      </c>
      <c r="FJ303" s="239">
        <v>-7962</v>
      </c>
      <c r="FK303" s="239">
        <v>-906885</v>
      </c>
      <c r="FL303" s="239">
        <v>-72711</v>
      </c>
      <c r="FM303" s="239">
        <v>-137127</v>
      </c>
      <c r="FN303" s="239">
        <v>-209838</v>
      </c>
      <c r="FO303" s="239">
        <v>-677860</v>
      </c>
      <c r="FP303" s="239">
        <v>-351</v>
      </c>
      <c r="FQ303" s="239">
        <v>-678211</v>
      </c>
      <c r="FR303" s="239">
        <v>0</v>
      </c>
      <c r="FS303" s="239">
        <v>0</v>
      </c>
      <c r="FT303" s="239">
        <v>0</v>
      </c>
      <c r="FU303" s="239">
        <v>-6400459</v>
      </c>
      <c r="FV303" s="239">
        <v>-137070</v>
      </c>
      <c r="FW303" s="239">
        <v>-6537529</v>
      </c>
      <c r="FX303" s="239">
        <v>26607437</v>
      </c>
      <c r="FY303" s="239">
        <v>224288</v>
      </c>
      <c r="FZ303" s="239">
        <v>26831725</v>
      </c>
      <c r="GA303" s="214" t="s">
        <v>1294</v>
      </c>
    </row>
    <row r="304" spans="2:183" s="214" customFormat="1" x14ac:dyDescent="0.2">
      <c r="B304" s="610" t="s">
        <v>691</v>
      </c>
      <c r="C304" s="610" t="s">
        <v>690</v>
      </c>
      <c r="D304" s="239">
        <v>0</v>
      </c>
      <c r="E304" s="239">
        <v>0</v>
      </c>
      <c r="F304" s="239">
        <v>0</v>
      </c>
      <c r="G304" s="239">
        <v>-35039</v>
      </c>
      <c r="H304" s="239">
        <v>0</v>
      </c>
      <c r="I304" s="239">
        <v>-35039</v>
      </c>
      <c r="J304" s="239">
        <v>0</v>
      </c>
      <c r="K304" s="239">
        <v>0</v>
      </c>
      <c r="L304" s="239">
        <v>0</v>
      </c>
      <c r="M304" s="239">
        <v>24027</v>
      </c>
      <c r="N304" s="239">
        <v>0</v>
      </c>
      <c r="O304" s="239">
        <v>24027</v>
      </c>
      <c r="P304" s="239">
        <v>-11012</v>
      </c>
      <c r="Q304" s="239">
        <v>0</v>
      </c>
      <c r="R304" s="239">
        <v>-11012</v>
      </c>
      <c r="S304" s="239">
        <v>-2257727</v>
      </c>
      <c r="T304" s="239">
        <v>0</v>
      </c>
      <c r="U304" s="239">
        <v>-2257727</v>
      </c>
      <c r="V304" s="239">
        <v>-15752</v>
      </c>
      <c r="W304" s="239">
        <v>0</v>
      </c>
      <c r="X304" s="239">
        <v>-15752</v>
      </c>
      <c r="Y304" s="239">
        <v>-145819</v>
      </c>
      <c r="Z304" s="239">
        <v>0</v>
      </c>
      <c r="AA304" s="239">
        <v>-145819</v>
      </c>
      <c r="AB304" s="239">
        <v>-86256</v>
      </c>
      <c r="AC304" s="239">
        <v>0</v>
      </c>
      <c r="AD304" s="239">
        <v>-86256</v>
      </c>
      <c r="AE304" s="239">
        <v>0</v>
      </c>
      <c r="AF304" s="239">
        <v>0</v>
      </c>
      <c r="AG304" s="239">
        <v>0</v>
      </c>
      <c r="AH304" s="239">
        <v>1031763</v>
      </c>
      <c r="AI304" s="239">
        <v>0</v>
      </c>
      <c r="AJ304" s="239">
        <v>1031763</v>
      </c>
      <c r="AK304" s="239">
        <v>-12573</v>
      </c>
      <c r="AL304" s="239">
        <v>0</v>
      </c>
      <c r="AM304" s="239">
        <v>-12573</v>
      </c>
      <c r="AN304" s="239">
        <v>-4947320</v>
      </c>
      <c r="AO304" s="239">
        <v>0</v>
      </c>
      <c r="AP304" s="239">
        <v>-4947320</v>
      </c>
      <c r="AQ304" s="239">
        <v>-179312</v>
      </c>
      <c r="AR304" s="239">
        <v>0</v>
      </c>
      <c r="AS304" s="239">
        <v>-179312</v>
      </c>
      <c r="AT304" s="239">
        <v>-44733</v>
      </c>
      <c r="AU304" s="239">
        <v>0</v>
      </c>
      <c r="AV304" s="239">
        <v>-44733</v>
      </c>
      <c r="AW304" s="239">
        <v>0</v>
      </c>
      <c r="AX304" s="239">
        <v>0</v>
      </c>
      <c r="AY304" s="239">
        <v>0</v>
      </c>
      <c r="AZ304" s="239">
        <v>-7050</v>
      </c>
      <c r="BA304" s="239">
        <v>0</v>
      </c>
      <c r="BB304" s="239">
        <v>-7050</v>
      </c>
      <c r="BC304" s="239">
        <v>0</v>
      </c>
      <c r="BD304" s="239">
        <v>0</v>
      </c>
      <c r="BE304" s="239">
        <v>0</v>
      </c>
      <c r="BF304" s="239">
        <v>-6562771</v>
      </c>
      <c r="BG304" s="239">
        <v>0</v>
      </c>
      <c r="BH304" s="239">
        <v>-6562771</v>
      </c>
      <c r="BI304" s="239">
        <v>-5166</v>
      </c>
      <c r="BJ304" s="239">
        <v>0</v>
      </c>
      <c r="BK304" s="239">
        <v>-5166</v>
      </c>
      <c r="BL304" s="239">
        <v>-3865</v>
      </c>
      <c r="BM304" s="239">
        <v>0</v>
      </c>
      <c r="BN304" s="239">
        <v>-3865</v>
      </c>
      <c r="BO304" s="239">
        <v>-1172316</v>
      </c>
      <c r="BP304" s="239">
        <v>0</v>
      </c>
      <c r="BQ304" s="239">
        <v>-1172316</v>
      </c>
      <c r="BR304" s="239">
        <v>-37767</v>
      </c>
      <c r="BS304" s="239">
        <v>0</v>
      </c>
      <c r="BT304" s="239">
        <v>-37767</v>
      </c>
      <c r="BU304" s="239">
        <v>-1219114</v>
      </c>
      <c r="BV304" s="239">
        <v>0</v>
      </c>
      <c r="BW304" s="239">
        <v>-1219114</v>
      </c>
      <c r="BX304" s="239">
        <v>-66292</v>
      </c>
      <c r="BY304" s="239">
        <v>0</v>
      </c>
      <c r="BZ304" s="239">
        <v>-66292</v>
      </c>
      <c r="CA304" s="239">
        <v>0</v>
      </c>
      <c r="CB304" s="239">
        <v>0</v>
      </c>
      <c r="CC304" s="239">
        <v>0</v>
      </c>
      <c r="CD304" s="239">
        <v>-486439</v>
      </c>
      <c r="CE304" s="239">
        <v>0</v>
      </c>
      <c r="CF304" s="239">
        <v>-486439</v>
      </c>
      <c r="CG304" s="239">
        <v>0</v>
      </c>
      <c r="CH304" s="239">
        <v>0</v>
      </c>
      <c r="CI304" s="239">
        <v>0</v>
      </c>
      <c r="CJ304" s="239">
        <v>0</v>
      </c>
      <c r="CK304" s="239">
        <v>0</v>
      </c>
      <c r="CL304" s="239">
        <v>0</v>
      </c>
      <c r="CM304" s="239">
        <v>0</v>
      </c>
      <c r="CN304" s="239">
        <v>0</v>
      </c>
      <c r="CO304" s="239">
        <v>0</v>
      </c>
      <c r="CP304" s="239">
        <v>-4230</v>
      </c>
      <c r="CQ304" s="239">
        <v>0</v>
      </c>
      <c r="CR304" s="239">
        <v>-4230</v>
      </c>
      <c r="CS304" s="239">
        <v>0</v>
      </c>
      <c r="CT304" s="239">
        <v>0</v>
      </c>
      <c r="CU304" s="239">
        <v>0</v>
      </c>
      <c r="CV304" s="239">
        <v>-6643</v>
      </c>
      <c r="CW304" s="239">
        <v>0</v>
      </c>
      <c r="CX304" s="239">
        <v>-6643</v>
      </c>
      <c r="CY304" s="239">
        <v>0</v>
      </c>
      <c r="CZ304" s="239">
        <v>0</v>
      </c>
      <c r="DA304" s="239">
        <v>0</v>
      </c>
      <c r="DB304" s="239">
        <v>0</v>
      </c>
      <c r="DC304" s="239">
        <v>0</v>
      </c>
      <c r="DD304" s="239">
        <v>0</v>
      </c>
      <c r="DE304" s="239">
        <v>0</v>
      </c>
      <c r="DF304" s="239">
        <v>0</v>
      </c>
      <c r="DG304" s="239">
        <v>0</v>
      </c>
      <c r="DH304" s="239">
        <v>0</v>
      </c>
      <c r="DI304" s="239">
        <v>0</v>
      </c>
      <c r="DJ304" s="239">
        <v>-563604</v>
      </c>
      <c r="DK304" s="239">
        <v>0</v>
      </c>
      <c r="DL304" s="239">
        <v>-563604</v>
      </c>
      <c r="DM304" s="239">
        <v>-25987</v>
      </c>
      <c r="DN304" s="239">
        <v>0</v>
      </c>
      <c r="DO304" s="239">
        <v>-25987</v>
      </c>
      <c r="DP304" s="239">
        <v>5956</v>
      </c>
      <c r="DQ304" s="239">
        <v>0</v>
      </c>
      <c r="DR304" s="239">
        <v>5956</v>
      </c>
      <c r="DS304" s="239">
        <v>-24081</v>
      </c>
      <c r="DT304" s="239">
        <v>0</v>
      </c>
      <c r="DU304" s="239">
        <v>-24081</v>
      </c>
      <c r="DV304" s="239">
        <v>-1836</v>
      </c>
      <c r="DW304" s="239">
        <v>0</v>
      </c>
      <c r="DX304" s="239">
        <v>-1836</v>
      </c>
      <c r="DY304" s="239">
        <v>-1137018</v>
      </c>
      <c r="DZ304" s="239">
        <v>0</v>
      </c>
      <c r="EA304" s="239">
        <v>-1137018</v>
      </c>
      <c r="EB304" s="239">
        <v>-5905</v>
      </c>
      <c r="EC304" s="239">
        <v>0</v>
      </c>
      <c r="ED304" s="239">
        <v>-5905</v>
      </c>
      <c r="EE304" s="239">
        <v>0</v>
      </c>
      <c r="EF304" s="239">
        <v>0</v>
      </c>
      <c r="EG304" s="239">
        <v>0</v>
      </c>
      <c r="EH304" s="239">
        <v>0</v>
      </c>
      <c r="EI304" s="239">
        <v>0</v>
      </c>
      <c r="EJ304" s="239">
        <v>0</v>
      </c>
      <c r="EK304" s="239">
        <v>-1791</v>
      </c>
      <c r="EL304" s="239">
        <v>0</v>
      </c>
      <c r="EM304" s="239">
        <v>-1791</v>
      </c>
      <c r="EN304" s="239">
        <v>-1190662</v>
      </c>
      <c r="EO304" s="239">
        <v>0</v>
      </c>
      <c r="EP304" s="239">
        <v>-1190662</v>
      </c>
      <c r="EQ304" s="239">
        <v>0</v>
      </c>
      <c r="ER304" s="239">
        <v>0</v>
      </c>
      <c r="ES304" s="239">
        <v>0</v>
      </c>
      <c r="ET304" s="239">
        <v>0</v>
      </c>
      <c r="EU304" s="239">
        <v>0</v>
      </c>
      <c r="EV304" s="239">
        <v>0</v>
      </c>
      <c r="EW304" s="239">
        <v>0</v>
      </c>
      <c r="EX304" s="239">
        <v>0</v>
      </c>
      <c r="EY304" s="239">
        <v>0</v>
      </c>
      <c r="EZ304" s="239">
        <v>45338723</v>
      </c>
      <c r="FA304" s="239">
        <v>0</v>
      </c>
      <c r="FB304" s="239">
        <v>45338723</v>
      </c>
      <c r="FC304" s="239">
        <v>-11012</v>
      </c>
      <c r="FD304" s="239">
        <v>0</v>
      </c>
      <c r="FE304" s="239">
        <v>-11012</v>
      </c>
      <c r="FF304" s="239">
        <v>-6562771</v>
      </c>
      <c r="FG304" s="239">
        <v>0</v>
      </c>
      <c r="FH304" s="239">
        <v>-6562771</v>
      </c>
      <c r="FI304" s="239">
        <v>-1219114</v>
      </c>
      <c r="FJ304" s="239">
        <v>0</v>
      </c>
      <c r="FK304" s="239">
        <v>-1219114</v>
      </c>
      <c r="FL304" s="239">
        <v>-563604</v>
      </c>
      <c r="FM304" s="239">
        <v>0</v>
      </c>
      <c r="FN304" s="239">
        <v>-563604</v>
      </c>
      <c r="FO304" s="239">
        <v>-1190662</v>
      </c>
      <c r="FP304" s="239">
        <v>0</v>
      </c>
      <c r="FQ304" s="239">
        <v>-1190662</v>
      </c>
      <c r="FR304" s="239">
        <v>0</v>
      </c>
      <c r="FS304" s="239">
        <v>0</v>
      </c>
      <c r="FT304" s="239">
        <v>0</v>
      </c>
      <c r="FU304" s="239">
        <v>-9547163</v>
      </c>
      <c r="FV304" s="239">
        <v>0</v>
      </c>
      <c r="FW304" s="239">
        <v>-9547163</v>
      </c>
      <c r="FX304" s="239">
        <v>35791560</v>
      </c>
      <c r="FY304" s="239">
        <v>0</v>
      </c>
      <c r="FZ304" s="239">
        <v>35791560</v>
      </c>
      <c r="GA304" s="214" t="s">
        <v>1294</v>
      </c>
    </row>
    <row r="305" spans="2:183" s="214" customFormat="1" x14ac:dyDescent="0.2">
      <c r="B305" s="610" t="s">
        <v>693</v>
      </c>
      <c r="C305" s="610" t="s">
        <v>692</v>
      </c>
      <c r="D305" s="239">
        <v>0</v>
      </c>
      <c r="E305" s="239">
        <v>0</v>
      </c>
      <c r="F305" s="239">
        <v>0</v>
      </c>
      <c r="G305" s="239">
        <v>23963</v>
      </c>
      <c r="H305" s="239">
        <v>0</v>
      </c>
      <c r="I305" s="239">
        <v>23963</v>
      </c>
      <c r="J305" s="239">
        <v>0</v>
      </c>
      <c r="K305" s="239">
        <v>0</v>
      </c>
      <c r="L305" s="239">
        <v>0</v>
      </c>
      <c r="M305" s="239">
        <v>5729</v>
      </c>
      <c r="N305" s="239">
        <v>0</v>
      </c>
      <c r="O305" s="239">
        <v>5729</v>
      </c>
      <c r="P305" s="239">
        <v>29692</v>
      </c>
      <c r="Q305" s="239">
        <v>0</v>
      </c>
      <c r="R305" s="239">
        <v>29692</v>
      </c>
      <c r="S305" s="239">
        <v>-4936272</v>
      </c>
      <c r="T305" s="239">
        <v>0</v>
      </c>
      <c r="U305" s="239">
        <v>-4936272</v>
      </c>
      <c r="V305" s="239">
        <v>-12504</v>
      </c>
      <c r="W305" s="239">
        <v>0</v>
      </c>
      <c r="X305" s="239">
        <v>-12504</v>
      </c>
      <c r="Y305" s="239">
        <v>-330749</v>
      </c>
      <c r="Z305" s="239">
        <v>0</v>
      </c>
      <c r="AA305" s="239">
        <v>-330749</v>
      </c>
      <c r="AB305" s="239">
        <v>-207226</v>
      </c>
      <c r="AC305" s="239">
        <v>0</v>
      </c>
      <c r="AD305" s="239">
        <v>-207226</v>
      </c>
      <c r="AE305" s="239">
        <v>1833</v>
      </c>
      <c r="AF305" s="239">
        <v>0</v>
      </c>
      <c r="AG305" s="239">
        <v>1833</v>
      </c>
      <c r="AH305" s="239">
        <v>733071</v>
      </c>
      <c r="AI305" s="239">
        <v>0</v>
      </c>
      <c r="AJ305" s="239">
        <v>733071</v>
      </c>
      <c r="AK305" s="239">
        <v>-599</v>
      </c>
      <c r="AL305" s="239">
        <v>0</v>
      </c>
      <c r="AM305" s="239">
        <v>-599</v>
      </c>
      <c r="AN305" s="239">
        <v>-2649812</v>
      </c>
      <c r="AO305" s="239">
        <v>0</v>
      </c>
      <c r="AP305" s="239">
        <v>-2649812</v>
      </c>
      <c r="AQ305" s="239">
        <v>2633</v>
      </c>
      <c r="AR305" s="239">
        <v>0</v>
      </c>
      <c r="AS305" s="239">
        <v>2633</v>
      </c>
      <c r="AT305" s="239">
        <v>-125172</v>
      </c>
      <c r="AU305" s="239">
        <v>0</v>
      </c>
      <c r="AV305" s="239">
        <v>-125172</v>
      </c>
      <c r="AW305" s="239">
        <v>0</v>
      </c>
      <c r="AX305" s="239">
        <v>0</v>
      </c>
      <c r="AY305" s="239">
        <v>0</v>
      </c>
      <c r="AZ305" s="239">
        <v>-67485</v>
      </c>
      <c r="BA305" s="239">
        <v>0</v>
      </c>
      <c r="BB305" s="239">
        <v>-67485</v>
      </c>
      <c r="BC305" s="239">
        <v>-7</v>
      </c>
      <c r="BD305" s="239">
        <v>0</v>
      </c>
      <c r="BE305" s="239">
        <v>-7</v>
      </c>
      <c r="BF305" s="239">
        <v>-7374392</v>
      </c>
      <c r="BG305" s="239">
        <v>0</v>
      </c>
      <c r="BH305" s="239">
        <v>-7374392</v>
      </c>
      <c r="BI305" s="239">
        <v>-4567</v>
      </c>
      <c r="BJ305" s="239">
        <v>0</v>
      </c>
      <c r="BK305" s="239">
        <v>-4567</v>
      </c>
      <c r="BL305" s="239">
        <v>-15290</v>
      </c>
      <c r="BM305" s="239">
        <v>0</v>
      </c>
      <c r="BN305" s="239">
        <v>-15290</v>
      </c>
      <c r="BO305" s="239">
        <v>-618601</v>
      </c>
      <c r="BP305" s="239">
        <v>0</v>
      </c>
      <c r="BQ305" s="239">
        <v>-618601</v>
      </c>
      <c r="BR305" s="239">
        <v>-34399</v>
      </c>
      <c r="BS305" s="239">
        <v>0</v>
      </c>
      <c r="BT305" s="239">
        <v>-34399</v>
      </c>
      <c r="BU305" s="239">
        <v>-672857</v>
      </c>
      <c r="BV305" s="239">
        <v>0</v>
      </c>
      <c r="BW305" s="239">
        <v>-672857</v>
      </c>
      <c r="BX305" s="239">
        <v>-81934</v>
      </c>
      <c r="BY305" s="239">
        <v>0</v>
      </c>
      <c r="BZ305" s="239">
        <v>-81934</v>
      </c>
      <c r="CA305" s="239">
        <v>0</v>
      </c>
      <c r="CB305" s="239">
        <v>0</v>
      </c>
      <c r="CC305" s="239">
        <v>0</v>
      </c>
      <c r="CD305" s="239">
        <v>-10098</v>
      </c>
      <c r="CE305" s="239">
        <v>0</v>
      </c>
      <c r="CF305" s="239">
        <v>-10098</v>
      </c>
      <c r="CG305" s="239">
        <v>0</v>
      </c>
      <c r="CH305" s="239">
        <v>0</v>
      </c>
      <c r="CI305" s="239">
        <v>0</v>
      </c>
      <c r="CJ305" s="239">
        <v>0</v>
      </c>
      <c r="CK305" s="239">
        <v>0</v>
      </c>
      <c r="CL305" s="239">
        <v>0</v>
      </c>
      <c r="CM305" s="239">
        <v>0</v>
      </c>
      <c r="CN305" s="239">
        <v>0</v>
      </c>
      <c r="CO305" s="239">
        <v>0</v>
      </c>
      <c r="CP305" s="239">
        <v>-10247</v>
      </c>
      <c r="CQ305" s="239">
        <v>0</v>
      </c>
      <c r="CR305" s="239">
        <v>-10247</v>
      </c>
      <c r="CS305" s="239">
        <v>0</v>
      </c>
      <c r="CT305" s="239">
        <v>0</v>
      </c>
      <c r="CU305" s="239">
        <v>0</v>
      </c>
      <c r="CV305" s="239">
        <v>-13728</v>
      </c>
      <c r="CW305" s="239">
        <v>0</v>
      </c>
      <c r="CX305" s="239">
        <v>-13728</v>
      </c>
      <c r="CY305" s="239">
        <v>120</v>
      </c>
      <c r="CZ305" s="239">
        <v>0</v>
      </c>
      <c r="DA305" s="239">
        <v>120</v>
      </c>
      <c r="DB305" s="239">
        <v>0</v>
      </c>
      <c r="DC305" s="239">
        <v>0</v>
      </c>
      <c r="DD305" s="239">
        <v>0</v>
      </c>
      <c r="DE305" s="239">
        <v>-10381</v>
      </c>
      <c r="DF305" s="239">
        <v>0</v>
      </c>
      <c r="DG305" s="239">
        <v>-10381</v>
      </c>
      <c r="DH305" s="239">
        <v>0</v>
      </c>
      <c r="DI305" s="239">
        <v>0</v>
      </c>
      <c r="DJ305" s="239">
        <v>-126268</v>
      </c>
      <c r="DK305" s="239">
        <v>0</v>
      </c>
      <c r="DL305" s="239">
        <v>-126268</v>
      </c>
      <c r="DM305" s="239">
        <v>0</v>
      </c>
      <c r="DN305" s="239">
        <v>0</v>
      </c>
      <c r="DO305" s="239">
        <v>0</v>
      </c>
      <c r="DP305" s="239">
        <v>0</v>
      </c>
      <c r="DQ305" s="239">
        <v>0</v>
      </c>
      <c r="DR305" s="239">
        <v>0</v>
      </c>
      <c r="DS305" s="239">
        <v>-6940</v>
      </c>
      <c r="DT305" s="239">
        <v>0</v>
      </c>
      <c r="DU305" s="239">
        <v>-6940</v>
      </c>
      <c r="DV305" s="239">
        <v>0</v>
      </c>
      <c r="DW305" s="239">
        <v>0</v>
      </c>
      <c r="DX305" s="239">
        <v>0</v>
      </c>
      <c r="DY305" s="239">
        <v>-1062462</v>
      </c>
      <c r="DZ305" s="239">
        <v>0</v>
      </c>
      <c r="EA305" s="239">
        <v>-1062462</v>
      </c>
      <c r="EB305" s="239">
        <v>-26881</v>
      </c>
      <c r="EC305" s="239">
        <v>0</v>
      </c>
      <c r="ED305" s="239">
        <v>-26881</v>
      </c>
      <c r="EE305" s="239">
        <v>0</v>
      </c>
      <c r="EF305" s="239">
        <v>0</v>
      </c>
      <c r="EG305" s="239">
        <v>0</v>
      </c>
      <c r="EH305" s="239">
        <v>0</v>
      </c>
      <c r="EI305" s="239">
        <v>0</v>
      </c>
      <c r="EJ305" s="239">
        <v>0</v>
      </c>
      <c r="EK305" s="239">
        <v>-12568</v>
      </c>
      <c r="EL305" s="239">
        <v>0</v>
      </c>
      <c r="EM305" s="239">
        <v>-12568</v>
      </c>
      <c r="EN305" s="239">
        <v>-1108851</v>
      </c>
      <c r="EO305" s="239">
        <v>0</v>
      </c>
      <c r="EP305" s="239">
        <v>-1108851</v>
      </c>
      <c r="EQ305" s="239">
        <v>0</v>
      </c>
      <c r="ER305" s="239">
        <v>0</v>
      </c>
      <c r="ES305" s="239">
        <v>0</v>
      </c>
      <c r="ET305" s="239">
        <v>0</v>
      </c>
      <c r="EU305" s="239">
        <v>0</v>
      </c>
      <c r="EV305" s="239">
        <v>0</v>
      </c>
      <c r="EW305" s="239">
        <v>0</v>
      </c>
      <c r="EX305" s="239">
        <v>0</v>
      </c>
      <c r="EY305" s="239">
        <v>0</v>
      </c>
      <c r="EZ305" s="239">
        <v>39528542</v>
      </c>
      <c r="FA305" s="239">
        <v>0</v>
      </c>
      <c r="FB305" s="239">
        <v>39528542</v>
      </c>
      <c r="FC305" s="239">
        <v>29692</v>
      </c>
      <c r="FD305" s="239">
        <v>0</v>
      </c>
      <c r="FE305" s="239">
        <v>29692</v>
      </c>
      <c r="FF305" s="239">
        <v>-7374392</v>
      </c>
      <c r="FG305" s="239">
        <v>0</v>
      </c>
      <c r="FH305" s="239">
        <v>-7374392</v>
      </c>
      <c r="FI305" s="239">
        <v>-672857</v>
      </c>
      <c r="FJ305" s="239">
        <v>0</v>
      </c>
      <c r="FK305" s="239">
        <v>-672857</v>
      </c>
      <c r="FL305" s="239">
        <v>-126268</v>
      </c>
      <c r="FM305" s="239">
        <v>0</v>
      </c>
      <c r="FN305" s="239">
        <v>-126268</v>
      </c>
      <c r="FO305" s="239">
        <v>-1108851</v>
      </c>
      <c r="FP305" s="239">
        <v>0</v>
      </c>
      <c r="FQ305" s="239">
        <v>-1108851</v>
      </c>
      <c r="FR305" s="239">
        <v>0</v>
      </c>
      <c r="FS305" s="239">
        <v>0</v>
      </c>
      <c r="FT305" s="239">
        <v>0</v>
      </c>
      <c r="FU305" s="239">
        <v>-9252676</v>
      </c>
      <c r="FV305" s="239">
        <v>0</v>
      </c>
      <c r="FW305" s="239">
        <v>-9252676</v>
      </c>
      <c r="FX305" s="239">
        <v>30275866</v>
      </c>
      <c r="FY305" s="239">
        <v>0</v>
      </c>
      <c r="FZ305" s="239">
        <v>30275866</v>
      </c>
      <c r="GA305" s="214" t="s">
        <v>1294</v>
      </c>
    </row>
    <row r="306" spans="2:183" s="214" customFormat="1" x14ac:dyDescent="0.2">
      <c r="B306" s="610" t="s">
        <v>695</v>
      </c>
      <c r="C306" s="610" t="s">
        <v>694</v>
      </c>
      <c r="D306" s="239">
        <v>0</v>
      </c>
      <c r="E306" s="239">
        <v>0</v>
      </c>
      <c r="F306" s="239">
        <v>0</v>
      </c>
      <c r="G306" s="239">
        <v>-2182</v>
      </c>
      <c r="H306" s="239">
        <v>0</v>
      </c>
      <c r="I306" s="239">
        <v>-2182</v>
      </c>
      <c r="J306" s="239">
        <v>0</v>
      </c>
      <c r="K306" s="239">
        <v>0</v>
      </c>
      <c r="L306" s="239">
        <v>0</v>
      </c>
      <c r="M306" s="239">
        <v>41208</v>
      </c>
      <c r="N306" s="239">
        <v>0</v>
      </c>
      <c r="O306" s="239">
        <v>41208</v>
      </c>
      <c r="P306" s="239">
        <v>39026</v>
      </c>
      <c r="Q306" s="239">
        <v>0</v>
      </c>
      <c r="R306" s="239">
        <v>39026</v>
      </c>
      <c r="S306" s="239">
        <v>-2009070</v>
      </c>
      <c r="T306" s="239">
        <v>0</v>
      </c>
      <c r="U306" s="239">
        <v>-2009070</v>
      </c>
      <c r="V306" s="239">
        <v>0</v>
      </c>
      <c r="W306" s="239">
        <v>0</v>
      </c>
      <c r="X306" s="239">
        <v>0</v>
      </c>
      <c r="Y306" s="239">
        <v>-62172</v>
      </c>
      <c r="Z306" s="239">
        <v>0</v>
      </c>
      <c r="AA306" s="239">
        <v>-62172</v>
      </c>
      <c r="AB306" s="239">
        <v>-29827</v>
      </c>
      <c r="AC306" s="239">
        <v>0</v>
      </c>
      <c r="AD306" s="239">
        <v>-29827</v>
      </c>
      <c r="AE306" s="239">
        <v>0</v>
      </c>
      <c r="AF306" s="239">
        <v>0</v>
      </c>
      <c r="AG306" s="239">
        <v>0</v>
      </c>
      <c r="AH306" s="239">
        <v>798044</v>
      </c>
      <c r="AI306" s="239">
        <v>0</v>
      </c>
      <c r="AJ306" s="239">
        <v>798044</v>
      </c>
      <c r="AK306" s="239">
        <v>-18160</v>
      </c>
      <c r="AL306" s="239">
        <v>0</v>
      </c>
      <c r="AM306" s="239">
        <v>-18160</v>
      </c>
      <c r="AN306" s="239">
        <v>-1735279</v>
      </c>
      <c r="AO306" s="239">
        <v>0</v>
      </c>
      <c r="AP306" s="239">
        <v>-1735279</v>
      </c>
      <c r="AQ306" s="239">
        <v>14668</v>
      </c>
      <c r="AR306" s="239">
        <v>0</v>
      </c>
      <c r="AS306" s="239">
        <v>14668</v>
      </c>
      <c r="AT306" s="239">
        <v>-8361</v>
      </c>
      <c r="AU306" s="239">
        <v>0</v>
      </c>
      <c r="AV306" s="239">
        <v>-8361</v>
      </c>
      <c r="AW306" s="239">
        <v>0</v>
      </c>
      <c r="AX306" s="239">
        <v>0</v>
      </c>
      <c r="AY306" s="239">
        <v>0</v>
      </c>
      <c r="AZ306" s="239">
        <v>-4351</v>
      </c>
      <c r="BA306" s="239">
        <v>0</v>
      </c>
      <c r="BB306" s="239">
        <v>-4351</v>
      </c>
      <c r="BC306" s="239">
        <v>-8355</v>
      </c>
      <c r="BD306" s="239">
        <v>0</v>
      </c>
      <c r="BE306" s="239">
        <v>-8355</v>
      </c>
      <c r="BF306" s="239">
        <v>-3033036</v>
      </c>
      <c r="BG306" s="239">
        <v>0</v>
      </c>
      <c r="BH306" s="239">
        <v>-3033036</v>
      </c>
      <c r="BI306" s="239">
        <v>-62333</v>
      </c>
      <c r="BJ306" s="239">
        <v>0</v>
      </c>
      <c r="BK306" s="239">
        <v>-62333</v>
      </c>
      <c r="BL306" s="239">
        <v>45067</v>
      </c>
      <c r="BM306" s="239">
        <v>0</v>
      </c>
      <c r="BN306" s="239">
        <v>45067</v>
      </c>
      <c r="BO306" s="239">
        <v>-964927</v>
      </c>
      <c r="BP306" s="239">
        <v>0</v>
      </c>
      <c r="BQ306" s="239">
        <v>-964927</v>
      </c>
      <c r="BR306" s="239">
        <v>38028</v>
      </c>
      <c r="BS306" s="239">
        <v>0</v>
      </c>
      <c r="BT306" s="239">
        <v>38028</v>
      </c>
      <c r="BU306" s="239">
        <v>-944165</v>
      </c>
      <c r="BV306" s="239">
        <v>0</v>
      </c>
      <c r="BW306" s="239">
        <v>-944165</v>
      </c>
      <c r="BX306" s="239">
        <v>-90251</v>
      </c>
      <c r="BY306" s="239">
        <v>0</v>
      </c>
      <c r="BZ306" s="239">
        <v>-90251</v>
      </c>
      <c r="CA306" s="239">
        <v>-409</v>
      </c>
      <c r="CB306" s="239">
        <v>0</v>
      </c>
      <c r="CC306" s="239">
        <v>-409</v>
      </c>
      <c r="CD306" s="239">
        <v>-11723</v>
      </c>
      <c r="CE306" s="239">
        <v>0</v>
      </c>
      <c r="CF306" s="239">
        <v>-11723</v>
      </c>
      <c r="CG306" s="239">
        <v>0</v>
      </c>
      <c r="CH306" s="239">
        <v>0</v>
      </c>
      <c r="CI306" s="239">
        <v>0</v>
      </c>
      <c r="CJ306" s="239">
        <v>-375</v>
      </c>
      <c r="CK306" s="239">
        <v>0</v>
      </c>
      <c r="CL306" s="239">
        <v>-375</v>
      </c>
      <c r="CM306" s="239">
        <v>0</v>
      </c>
      <c r="CN306" s="239">
        <v>0</v>
      </c>
      <c r="CO306" s="239">
        <v>0</v>
      </c>
      <c r="CP306" s="239">
        <v>0</v>
      </c>
      <c r="CQ306" s="239">
        <v>0</v>
      </c>
      <c r="CR306" s="239">
        <v>0</v>
      </c>
      <c r="CS306" s="239">
        <v>0</v>
      </c>
      <c r="CT306" s="239">
        <v>0</v>
      </c>
      <c r="CU306" s="239">
        <v>0</v>
      </c>
      <c r="CV306" s="239">
        <v>0</v>
      </c>
      <c r="CW306" s="239">
        <v>0</v>
      </c>
      <c r="CX306" s="239">
        <v>0</v>
      </c>
      <c r="CY306" s="239">
        <v>0</v>
      </c>
      <c r="CZ306" s="239">
        <v>0</v>
      </c>
      <c r="DA306" s="239">
        <v>0</v>
      </c>
      <c r="DB306" s="239">
        <v>0</v>
      </c>
      <c r="DC306" s="239">
        <v>0</v>
      </c>
      <c r="DD306" s="239">
        <v>0</v>
      </c>
      <c r="DE306" s="239">
        <v>0</v>
      </c>
      <c r="DF306" s="239">
        <v>0</v>
      </c>
      <c r="DG306" s="239">
        <v>0</v>
      </c>
      <c r="DH306" s="239">
        <v>0</v>
      </c>
      <c r="DI306" s="239">
        <v>0</v>
      </c>
      <c r="DJ306" s="239">
        <v>-102758</v>
      </c>
      <c r="DK306" s="239">
        <v>0</v>
      </c>
      <c r="DL306" s="239">
        <v>-102758</v>
      </c>
      <c r="DM306" s="239">
        <v>0</v>
      </c>
      <c r="DN306" s="239">
        <v>0</v>
      </c>
      <c r="DO306" s="239">
        <v>0</v>
      </c>
      <c r="DP306" s="239">
        <v>0</v>
      </c>
      <c r="DQ306" s="239">
        <v>0</v>
      </c>
      <c r="DR306" s="239">
        <v>0</v>
      </c>
      <c r="DS306" s="239">
        <v>-73961</v>
      </c>
      <c r="DT306" s="239">
        <v>0</v>
      </c>
      <c r="DU306" s="239">
        <v>-73961</v>
      </c>
      <c r="DV306" s="239">
        <v>-11215</v>
      </c>
      <c r="DW306" s="239">
        <v>0</v>
      </c>
      <c r="DX306" s="239">
        <v>-11215</v>
      </c>
      <c r="DY306" s="239">
        <v>-383850</v>
      </c>
      <c r="DZ306" s="239">
        <v>0</v>
      </c>
      <c r="EA306" s="239">
        <v>-383850</v>
      </c>
      <c r="EB306" s="239">
        <v>-9552</v>
      </c>
      <c r="EC306" s="239">
        <v>0</v>
      </c>
      <c r="ED306" s="239">
        <v>-9552</v>
      </c>
      <c r="EE306" s="239">
        <v>0</v>
      </c>
      <c r="EF306" s="239">
        <v>0</v>
      </c>
      <c r="EG306" s="239">
        <v>0</v>
      </c>
      <c r="EH306" s="239">
        <v>0</v>
      </c>
      <c r="EI306" s="239">
        <v>0</v>
      </c>
      <c r="EJ306" s="239">
        <v>0</v>
      </c>
      <c r="EK306" s="239">
        <v>0</v>
      </c>
      <c r="EL306" s="239">
        <v>0</v>
      </c>
      <c r="EM306" s="239">
        <v>0</v>
      </c>
      <c r="EN306" s="239">
        <v>-478578</v>
      </c>
      <c r="EO306" s="239">
        <v>0</v>
      </c>
      <c r="EP306" s="239">
        <v>-478578</v>
      </c>
      <c r="EQ306" s="239">
        <v>0</v>
      </c>
      <c r="ER306" s="239">
        <v>0</v>
      </c>
      <c r="ES306" s="239">
        <v>0</v>
      </c>
      <c r="ET306" s="239">
        <v>0</v>
      </c>
      <c r="EU306" s="239">
        <v>0</v>
      </c>
      <c r="EV306" s="239">
        <v>0</v>
      </c>
      <c r="EW306" s="239">
        <v>0</v>
      </c>
      <c r="EX306" s="239">
        <v>0</v>
      </c>
      <c r="EY306" s="239">
        <v>0</v>
      </c>
      <c r="EZ306" s="239">
        <v>33480490</v>
      </c>
      <c r="FA306" s="239">
        <v>0</v>
      </c>
      <c r="FB306" s="239">
        <v>33480490</v>
      </c>
      <c r="FC306" s="239">
        <v>39026</v>
      </c>
      <c r="FD306" s="239">
        <v>0</v>
      </c>
      <c r="FE306" s="239">
        <v>39026</v>
      </c>
      <c r="FF306" s="239">
        <v>-3033036</v>
      </c>
      <c r="FG306" s="239">
        <v>0</v>
      </c>
      <c r="FH306" s="239">
        <v>-3033036</v>
      </c>
      <c r="FI306" s="239">
        <v>-944165</v>
      </c>
      <c r="FJ306" s="239">
        <v>0</v>
      </c>
      <c r="FK306" s="239">
        <v>-944165</v>
      </c>
      <c r="FL306" s="239">
        <v>-102758</v>
      </c>
      <c r="FM306" s="239">
        <v>0</v>
      </c>
      <c r="FN306" s="239">
        <v>-102758</v>
      </c>
      <c r="FO306" s="239">
        <v>-478578</v>
      </c>
      <c r="FP306" s="239">
        <v>0</v>
      </c>
      <c r="FQ306" s="239">
        <v>-478578</v>
      </c>
      <c r="FR306" s="239">
        <v>0</v>
      </c>
      <c r="FS306" s="239">
        <v>0</v>
      </c>
      <c r="FT306" s="239">
        <v>0</v>
      </c>
      <c r="FU306" s="239">
        <v>-4519511</v>
      </c>
      <c r="FV306" s="239">
        <v>0</v>
      </c>
      <c r="FW306" s="239">
        <v>-4519511</v>
      </c>
      <c r="FX306" s="239">
        <v>28960979</v>
      </c>
      <c r="FY306" s="239">
        <v>0</v>
      </c>
      <c r="FZ306" s="239">
        <v>28960979</v>
      </c>
      <c r="GA306" s="214" t="s">
        <v>1294</v>
      </c>
    </row>
    <row r="307" spans="2:183" s="214" customFormat="1" x14ac:dyDescent="0.2">
      <c r="B307" s="610" t="s">
        <v>697</v>
      </c>
      <c r="C307" s="610" t="s">
        <v>696</v>
      </c>
      <c r="D307" s="239">
        <v>0</v>
      </c>
      <c r="E307" s="239">
        <v>0</v>
      </c>
      <c r="F307" s="239">
        <v>0</v>
      </c>
      <c r="G307" s="239">
        <v>-208253</v>
      </c>
      <c r="H307" s="239">
        <v>0</v>
      </c>
      <c r="I307" s="239">
        <v>-208253</v>
      </c>
      <c r="J307" s="239">
        <v>0</v>
      </c>
      <c r="K307" s="239">
        <v>0</v>
      </c>
      <c r="L307" s="239">
        <v>0</v>
      </c>
      <c r="M307" s="239">
        <v>259564</v>
      </c>
      <c r="N307" s="239">
        <v>0</v>
      </c>
      <c r="O307" s="239">
        <v>259564</v>
      </c>
      <c r="P307" s="239">
        <v>51311</v>
      </c>
      <c r="Q307" s="239">
        <v>0</v>
      </c>
      <c r="R307" s="239">
        <v>51311</v>
      </c>
      <c r="S307" s="239">
        <v>-1344114</v>
      </c>
      <c r="T307" s="239">
        <v>0</v>
      </c>
      <c r="U307" s="239">
        <v>-1344114</v>
      </c>
      <c r="V307" s="239">
        <v>0</v>
      </c>
      <c r="W307" s="239">
        <v>0</v>
      </c>
      <c r="X307" s="239">
        <v>0</v>
      </c>
      <c r="Y307" s="239">
        <v>-39469</v>
      </c>
      <c r="Z307" s="239">
        <v>0</v>
      </c>
      <c r="AA307" s="239">
        <v>-39469</v>
      </c>
      <c r="AB307" s="239">
        <v>-29548</v>
      </c>
      <c r="AC307" s="239">
        <v>0</v>
      </c>
      <c r="AD307" s="239">
        <v>-29548</v>
      </c>
      <c r="AE307" s="239">
        <v>0</v>
      </c>
      <c r="AF307" s="239">
        <v>0</v>
      </c>
      <c r="AG307" s="239">
        <v>0</v>
      </c>
      <c r="AH307" s="239">
        <v>1708978</v>
      </c>
      <c r="AI307" s="239">
        <v>0</v>
      </c>
      <c r="AJ307" s="239">
        <v>1708978</v>
      </c>
      <c r="AK307" s="239">
        <v>-39917</v>
      </c>
      <c r="AL307" s="239">
        <v>0</v>
      </c>
      <c r="AM307" s="239">
        <v>-39917</v>
      </c>
      <c r="AN307" s="239">
        <v>-5607298</v>
      </c>
      <c r="AO307" s="239">
        <v>0</v>
      </c>
      <c r="AP307" s="239">
        <v>-5607298</v>
      </c>
      <c r="AQ307" s="239">
        <v>268544</v>
      </c>
      <c r="AR307" s="239">
        <v>0</v>
      </c>
      <c r="AS307" s="239">
        <v>268544</v>
      </c>
      <c r="AT307" s="239">
        <v>-40958</v>
      </c>
      <c r="AU307" s="239">
        <v>0</v>
      </c>
      <c r="AV307" s="239">
        <v>-40958</v>
      </c>
      <c r="AW307" s="239">
        <v>0</v>
      </c>
      <c r="AX307" s="239">
        <v>0</v>
      </c>
      <c r="AY307" s="239">
        <v>0</v>
      </c>
      <c r="AZ307" s="239">
        <v>0</v>
      </c>
      <c r="BA307" s="239">
        <v>0</v>
      </c>
      <c r="BB307" s="239">
        <v>0</v>
      </c>
      <c r="BC307" s="239">
        <v>0</v>
      </c>
      <c r="BD307" s="239">
        <v>0</v>
      </c>
      <c r="BE307" s="239">
        <v>0</v>
      </c>
      <c r="BF307" s="239">
        <v>-5094234</v>
      </c>
      <c r="BG307" s="239">
        <v>0</v>
      </c>
      <c r="BH307" s="239">
        <v>-5094234</v>
      </c>
      <c r="BI307" s="239">
        <v>-172023</v>
      </c>
      <c r="BJ307" s="239">
        <v>0</v>
      </c>
      <c r="BK307" s="239">
        <v>-172023</v>
      </c>
      <c r="BL307" s="239">
        <v>297172</v>
      </c>
      <c r="BM307" s="239">
        <v>0</v>
      </c>
      <c r="BN307" s="239">
        <v>297172</v>
      </c>
      <c r="BO307" s="239">
        <v>-1432413</v>
      </c>
      <c r="BP307" s="239">
        <v>0</v>
      </c>
      <c r="BQ307" s="239">
        <v>-1432413</v>
      </c>
      <c r="BR307" s="239">
        <v>-8922</v>
      </c>
      <c r="BS307" s="239">
        <v>0</v>
      </c>
      <c r="BT307" s="239">
        <v>-8922</v>
      </c>
      <c r="BU307" s="239">
        <v>-1316186</v>
      </c>
      <c r="BV307" s="239">
        <v>0</v>
      </c>
      <c r="BW307" s="239">
        <v>-1316186</v>
      </c>
      <c r="BX307" s="239">
        <v>-242489</v>
      </c>
      <c r="BY307" s="239">
        <v>0</v>
      </c>
      <c r="BZ307" s="239">
        <v>-242489</v>
      </c>
      <c r="CA307" s="239">
        <v>-563</v>
      </c>
      <c r="CB307" s="239">
        <v>0</v>
      </c>
      <c r="CC307" s="239">
        <v>-563</v>
      </c>
      <c r="CD307" s="239">
        <v>-48088</v>
      </c>
      <c r="CE307" s="239">
        <v>0</v>
      </c>
      <c r="CF307" s="239">
        <v>-48088</v>
      </c>
      <c r="CG307" s="239">
        <v>0</v>
      </c>
      <c r="CH307" s="239">
        <v>0</v>
      </c>
      <c r="CI307" s="239">
        <v>0</v>
      </c>
      <c r="CJ307" s="239">
        <v>-4793</v>
      </c>
      <c r="CK307" s="239">
        <v>0</v>
      </c>
      <c r="CL307" s="239">
        <v>-4793</v>
      </c>
      <c r="CM307" s="239">
        <v>0</v>
      </c>
      <c r="CN307" s="239">
        <v>0</v>
      </c>
      <c r="CO307" s="239">
        <v>0</v>
      </c>
      <c r="CP307" s="239">
        <v>0</v>
      </c>
      <c r="CQ307" s="239">
        <v>0</v>
      </c>
      <c r="CR307" s="239">
        <v>0</v>
      </c>
      <c r="CS307" s="239">
        <v>0</v>
      </c>
      <c r="CT307" s="239">
        <v>0</v>
      </c>
      <c r="CU307" s="239">
        <v>0</v>
      </c>
      <c r="CV307" s="239">
        <v>0</v>
      </c>
      <c r="CW307" s="239">
        <v>0</v>
      </c>
      <c r="CX307" s="239">
        <v>0</v>
      </c>
      <c r="CY307" s="239">
        <v>0</v>
      </c>
      <c r="CZ307" s="239">
        <v>0</v>
      </c>
      <c r="DA307" s="239">
        <v>0</v>
      </c>
      <c r="DB307" s="239">
        <v>0</v>
      </c>
      <c r="DC307" s="239">
        <v>0</v>
      </c>
      <c r="DD307" s="239">
        <v>0</v>
      </c>
      <c r="DE307" s="239">
        <v>0</v>
      </c>
      <c r="DF307" s="239">
        <v>0</v>
      </c>
      <c r="DG307" s="239">
        <v>0</v>
      </c>
      <c r="DH307" s="239">
        <v>0</v>
      </c>
      <c r="DI307" s="239">
        <v>0</v>
      </c>
      <c r="DJ307" s="239">
        <v>-295933</v>
      </c>
      <c r="DK307" s="239">
        <v>0</v>
      </c>
      <c r="DL307" s="239">
        <v>-295933</v>
      </c>
      <c r="DM307" s="239">
        <v>0</v>
      </c>
      <c r="DN307" s="239">
        <v>0</v>
      </c>
      <c r="DO307" s="239">
        <v>0</v>
      </c>
      <c r="DP307" s="239">
        <v>1166</v>
      </c>
      <c r="DQ307" s="239">
        <v>0</v>
      </c>
      <c r="DR307" s="239">
        <v>1166</v>
      </c>
      <c r="DS307" s="239">
        <v>-10680</v>
      </c>
      <c r="DT307" s="239">
        <v>0</v>
      </c>
      <c r="DU307" s="239">
        <v>-10680</v>
      </c>
      <c r="DV307" s="239">
        <v>0</v>
      </c>
      <c r="DW307" s="239">
        <v>0</v>
      </c>
      <c r="DX307" s="239">
        <v>0</v>
      </c>
      <c r="DY307" s="239">
        <v>-433731</v>
      </c>
      <c r="DZ307" s="239">
        <v>0</v>
      </c>
      <c r="EA307" s="239">
        <v>-433731</v>
      </c>
      <c r="EB307" s="239">
        <v>-3816</v>
      </c>
      <c r="EC307" s="239">
        <v>0</v>
      </c>
      <c r="ED307" s="239">
        <v>-3816</v>
      </c>
      <c r="EE307" s="239">
        <v>0</v>
      </c>
      <c r="EF307" s="239">
        <v>0</v>
      </c>
      <c r="EG307" s="239">
        <v>0</v>
      </c>
      <c r="EH307" s="239">
        <v>0</v>
      </c>
      <c r="EI307" s="239">
        <v>0</v>
      </c>
      <c r="EJ307" s="239">
        <v>0</v>
      </c>
      <c r="EK307" s="239">
        <v>-5619</v>
      </c>
      <c r="EL307" s="239">
        <v>0</v>
      </c>
      <c r="EM307" s="239">
        <v>-5619</v>
      </c>
      <c r="EN307" s="239">
        <v>-452680</v>
      </c>
      <c r="EO307" s="239">
        <v>0</v>
      </c>
      <c r="EP307" s="239">
        <v>-452680</v>
      </c>
      <c r="EQ307" s="239">
        <v>0</v>
      </c>
      <c r="ER307" s="239">
        <v>0</v>
      </c>
      <c r="ES307" s="239">
        <v>0</v>
      </c>
      <c r="ET307" s="239">
        <v>0</v>
      </c>
      <c r="EU307" s="239">
        <v>0</v>
      </c>
      <c r="EV307" s="239">
        <v>0</v>
      </c>
      <c r="EW307" s="239">
        <v>0</v>
      </c>
      <c r="EX307" s="239">
        <v>0</v>
      </c>
      <c r="EY307" s="239">
        <v>0</v>
      </c>
      <c r="EZ307" s="239">
        <v>65859775</v>
      </c>
      <c r="FA307" s="239">
        <v>0</v>
      </c>
      <c r="FB307" s="239">
        <v>65859775</v>
      </c>
      <c r="FC307" s="239">
        <v>51311</v>
      </c>
      <c r="FD307" s="239">
        <v>0</v>
      </c>
      <c r="FE307" s="239">
        <v>51311</v>
      </c>
      <c r="FF307" s="239">
        <v>-5094234</v>
      </c>
      <c r="FG307" s="239">
        <v>0</v>
      </c>
      <c r="FH307" s="239">
        <v>-5094234</v>
      </c>
      <c r="FI307" s="239">
        <v>-1316186</v>
      </c>
      <c r="FJ307" s="239">
        <v>0</v>
      </c>
      <c r="FK307" s="239">
        <v>-1316186</v>
      </c>
      <c r="FL307" s="239">
        <v>-295933</v>
      </c>
      <c r="FM307" s="239">
        <v>0</v>
      </c>
      <c r="FN307" s="239">
        <v>-295933</v>
      </c>
      <c r="FO307" s="239">
        <v>-452680</v>
      </c>
      <c r="FP307" s="239">
        <v>0</v>
      </c>
      <c r="FQ307" s="239">
        <v>-452680</v>
      </c>
      <c r="FR307" s="239">
        <v>0</v>
      </c>
      <c r="FS307" s="239">
        <v>0</v>
      </c>
      <c r="FT307" s="239">
        <v>0</v>
      </c>
      <c r="FU307" s="239">
        <v>-7107722</v>
      </c>
      <c r="FV307" s="239">
        <v>0</v>
      </c>
      <c r="FW307" s="239">
        <v>-7107722</v>
      </c>
      <c r="FX307" s="239">
        <v>58752053</v>
      </c>
      <c r="FY307" s="239">
        <v>0</v>
      </c>
      <c r="FZ307" s="239">
        <v>58752053</v>
      </c>
      <c r="GA307" s="214" t="s">
        <v>1294</v>
      </c>
    </row>
    <row r="308" spans="2:183" s="214" customFormat="1" x14ac:dyDescent="0.2">
      <c r="B308" s="610" t="s">
        <v>699</v>
      </c>
      <c r="C308" s="610" t="s">
        <v>698</v>
      </c>
      <c r="D308" s="239">
        <v>0</v>
      </c>
      <c r="E308" s="239">
        <v>0</v>
      </c>
      <c r="F308" s="239">
        <v>0</v>
      </c>
      <c r="G308" s="239">
        <v>-72862</v>
      </c>
      <c r="H308" s="239">
        <v>0</v>
      </c>
      <c r="I308" s="239">
        <v>-72862</v>
      </c>
      <c r="J308" s="239">
        <v>0</v>
      </c>
      <c r="K308" s="239">
        <v>0</v>
      </c>
      <c r="L308" s="239">
        <v>0</v>
      </c>
      <c r="M308" s="239">
        <v>168220</v>
      </c>
      <c r="N308" s="239">
        <v>0</v>
      </c>
      <c r="O308" s="239">
        <v>168220</v>
      </c>
      <c r="P308" s="239">
        <v>95358</v>
      </c>
      <c r="Q308" s="239">
        <v>0</v>
      </c>
      <c r="R308" s="239">
        <v>95358</v>
      </c>
      <c r="S308" s="239">
        <v>-2407612</v>
      </c>
      <c r="T308" s="239">
        <v>0</v>
      </c>
      <c r="U308" s="239">
        <v>-2407612</v>
      </c>
      <c r="V308" s="239">
        <v>-7179</v>
      </c>
      <c r="W308" s="239">
        <v>0</v>
      </c>
      <c r="X308" s="239">
        <v>-7179</v>
      </c>
      <c r="Y308" s="239">
        <v>-151548</v>
      </c>
      <c r="Z308" s="239">
        <v>0</v>
      </c>
      <c r="AA308" s="239">
        <v>-151548</v>
      </c>
      <c r="AB308" s="239">
        <v>-106062</v>
      </c>
      <c r="AC308" s="239">
        <v>0</v>
      </c>
      <c r="AD308" s="239">
        <v>-106062</v>
      </c>
      <c r="AE308" s="239">
        <v>0</v>
      </c>
      <c r="AF308" s="239">
        <v>0</v>
      </c>
      <c r="AG308" s="239">
        <v>0</v>
      </c>
      <c r="AH308" s="239">
        <v>2230810</v>
      </c>
      <c r="AI308" s="239">
        <v>0</v>
      </c>
      <c r="AJ308" s="239">
        <v>2230810</v>
      </c>
      <c r="AK308" s="239">
        <v>-87616</v>
      </c>
      <c r="AL308" s="239">
        <v>0</v>
      </c>
      <c r="AM308" s="239">
        <v>-87616</v>
      </c>
      <c r="AN308" s="239">
        <v>-4233164</v>
      </c>
      <c r="AO308" s="239">
        <v>0</v>
      </c>
      <c r="AP308" s="239">
        <v>-4233164</v>
      </c>
      <c r="AQ308" s="239">
        <v>-50704</v>
      </c>
      <c r="AR308" s="239">
        <v>0</v>
      </c>
      <c r="AS308" s="239">
        <v>-50704</v>
      </c>
      <c r="AT308" s="239">
        <v>-24693</v>
      </c>
      <c r="AU308" s="239">
        <v>0</v>
      </c>
      <c r="AV308" s="239">
        <v>-24693</v>
      </c>
      <c r="AW308" s="239">
        <v>-5633</v>
      </c>
      <c r="AX308" s="239">
        <v>0</v>
      </c>
      <c r="AY308" s="239">
        <v>-5633</v>
      </c>
      <c r="AZ308" s="239">
        <v>-32726</v>
      </c>
      <c r="BA308" s="239">
        <v>0</v>
      </c>
      <c r="BB308" s="239">
        <v>-32726</v>
      </c>
      <c r="BC308" s="239">
        <v>46</v>
      </c>
      <c r="BD308" s="239">
        <v>0</v>
      </c>
      <c r="BE308" s="239">
        <v>46</v>
      </c>
      <c r="BF308" s="239">
        <v>-4762840</v>
      </c>
      <c r="BG308" s="239">
        <v>0</v>
      </c>
      <c r="BH308" s="239">
        <v>-4762840</v>
      </c>
      <c r="BI308" s="239">
        <v>0</v>
      </c>
      <c r="BJ308" s="239">
        <v>0</v>
      </c>
      <c r="BK308" s="239">
        <v>0</v>
      </c>
      <c r="BL308" s="239">
        <v>0</v>
      </c>
      <c r="BM308" s="239">
        <v>0</v>
      </c>
      <c r="BN308" s="239">
        <v>0</v>
      </c>
      <c r="BO308" s="239">
        <v>-2544777</v>
      </c>
      <c r="BP308" s="239">
        <v>0</v>
      </c>
      <c r="BQ308" s="239">
        <v>-2544777</v>
      </c>
      <c r="BR308" s="239">
        <v>-171108</v>
      </c>
      <c r="BS308" s="239">
        <v>0</v>
      </c>
      <c r="BT308" s="239">
        <v>-171108</v>
      </c>
      <c r="BU308" s="239">
        <v>-2715885</v>
      </c>
      <c r="BV308" s="239">
        <v>0</v>
      </c>
      <c r="BW308" s="239">
        <v>-2715885</v>
      </c>
      <c r="BX308" s="239">
        <v>-35081</v>
      </c>
      <c r="BY308" s="239">
        <v>0</v>
      </c>
      <c r="BZ308" s="239">
        <v>-35081</v>
      </c>
      <c r="CA308" s="239">
        <v>-11</v>
      </c>
      <c r="CB308" s="239">
        <v>0</v>
      </c>
      <c r="CC308" s="239">
        <v>-11</v>
      </c>
      <c r="CD308" s="239">
        <v>-28971</v>
      </c>
      <c r="CE308" s="239">
        <v>0</v>
      </c>
      <c r="CF308" s="239">
        <v>-28971</v>
      </c>
      <c r="CG308" s="239">
        <v>6817</v>
      </c>
      <c r="CH308" s="239">
        <v>0</v>
      </c>
      <c r="CI308" s="239">
        <v>6817</v>
      </c>
      <c r="CJ308" s="239">
        <v>-6173</v>
      </c>
      <c r="CK308" s="239">
        <v>0</v>
      </c>
      <c r="CL308" s="239">
        <v>-6173</v>
      </c>
      <c r="CM308" s="239">
        <v>-1408</v>
      </c>
      <c r="CN308" s="239">
        <v>0</v>
      </c>
      <c r="CO308" s="239">
        <v>-1408</v>
      </c>
      <c r="CP308" s="239">
        <v>-8190</v>
      </c>
      <c r="CQ308" s="239">
        <v>0</v>
      </c>
      <c r="CR308" s="239">
        <v>-8190</v>
      </c>
      <c r="CS308" s="239">
        <v>0</v>
      </c>
      <c r="CT308" s="239">
        <v>0</v>
      </c>
      <c r="CU308" s="239">
        <v>0</v>
      </c>
      <c r="CV308" s="239">
        <v>-38882</v>
      </c>
      <c r="CW308" s="239">
        <v>0</v>
      </c>
      <c r="CX308" s="239">
        <v>-38882</v>
      </c>
      <c r="CY308" s="239">
        <v>46</v>
      </c>
      <c r="CZ308" s="239">
        <v>0</v>
      </c>
      <c r="DA308" s="239">
        <v>46</v>
      </c>
      <c r="DB308" s="239">
        <v>0</v>
      </c>
      <c r="DC308" s="239">
        <v>0</v>
      </c>
      <c r="DD308" s="239">
        <v>0</v>
      </c>
      <c r="DE308" s="239">
        <v>0</v>
      </c>
      <c r="DF308" s="239">
        <v>0</v>
      </c>
      <c r="DG308" s="239">
        <v>0</v>
      </c>
      <c r="DH308" s="239">
        <v>0</v>
      </c>
      <c r="DI308" s="239">
        <v>0</v>
      </c>
      <c r="DJ308" s="239">
        <v>-111853</v>
      </c>
      <c r="DK308" s="239">
        <v>0</v>
      </c>
      <c r="DL308" s="239">
        <v>-111853</v>
      </c>
      <c r="DM308" s="239">
        <v>-2303</v>
      </c>
      <c r="DN308" s="239">
        <v>0</v>
      </c>
      <c r="DO308" s="239">
        <v>-2303</v>
      </c>
      <c r="DP308" s="239">
        <v>0</v>
      </c>
      <c r="DQ308" s="239">
        <v>0</v>
      </c>
      <c r="DR308" s="239">
        <v>0</v>
      </c>
      <c r="DS308" s="239">
        <v>-6540</v>
      </c>
      <c r="DT308" s="239">
        <v>0</v>
      </c>
      <c r="DU308" s="239">
        <v>-6540</v>
      </c>
      <c r="DV308" s="239">
        <v>-676</v>
      </c>
      <c r="DW308" s="239">
        <v>0</v>
      </c>
      <c r="DX308" s="239">
        <v>-676</v>
      </c>
      <c r="DY308" s="239">
        <v>-540735</v>
      </c>
      <c r="DZ308" s="239">
        <v>0</v>
      </c>
      <c r="EA308" s="239">
        <v>-540735</v>
      </c>
      <c r="EB308" s="239">
        <v>-50473</v>
      </c>
      <c r="EC308" s="239">
        <v>0</v>
      </c>
      <c r="ED308" s="239">
        <v>-50473</v>
      </c>
      <c r="EE308" s="239">
        <v>0</v>
      </c>
      <c r="EF308" s="239">
        <v>0</v>
      </c>
      <c r="EG308" s="239">
        <v>0</v>
      </c>
      <c r="EH308" s="239">
        <v>-1302</v>
      </c>
      <c r="EI308" s="239">
        <v>0</v>
      </c>
      <c r="EJ308" s="239">
        <v>-1302</v>
      </c>
      <c r="EK308" s="239">
        <v>0</v>
      </c>
      <c r="EL308" s="239">
        <v>0</v>
      </c>
      <c r="EM308" s="239">
        <v>0</v>
      </c>
      <c r="EN308" s="239">
        <v>-602029</v>
      </c>
      <c r="EO308" s="239">
        <v>0</v>
      </c>
      <c r="EP308" s="239">
        <v>-602029</v>
      </c>
      <c r="EQ308" s="239">
        <v>0</v>
      </c>
      <c r="ER308" s="239">
        <v>0</v>
      </c>
      <c r="ES308" s="239">
        <v>0</v>
      </c>
      <c r="ET308" s="239">
        <v>0</v>
      </c>
      <c r="EU308" s="239">
        <v>0</v>
      </c>
      <c r="EV308" s="239">
        <v>0</v>
      </c>
      <c r="EW308" s="239">
        <v>0</v>
      </c>
      <c r="EX308" s="239">
        <v>0</v>
      </c>
      <c r="EY308" s="239">
        <v>0</v>
      </c>
      <c r="EZ308" s="239">
        <v>86916194</v>
      </c>
      <c r="FA308" s="239">
        <v>0</v>
      </c>
      <c r="FB308" s="239">
        <v>86916194</v>
      </c>
      <c r="FC308" s="239">
        <v>95358</v>
      </c>
      <c r="FD308" s="239">
        <v>0</v>
      </c>
      <c r="FE308" s="239">
        <v>95358</v>
      </c>
      <c r="FF308" s="239">
        <v>-4762840</v>
      </c>
      <c r="FG308" s="239">
        <v>0</v>
      </c>
      <c r="FH308" s="239">
        <v>-4762840</v>
      </c>
      <c r="FI308" s="239">
        <v>-2715885</v>
      </c>
      <c r="FJ308" s="239">
        <v>0</v>
      </c>
      <c r="FK308" s="239">
        <v>-2715885</v>
      </c>
      <c r="FL308" s="239">
        <v>-111853</v>
      </c>
      <c r="FM308" s="239">
        <v>0</v>
      </c>
      <c r="FN308" s="239">
        <v>-111853</v>
      </c>
      <c r="FO308" s="239">
        <v>-602029</v>
      </c>
      <c r="FP308" s="239">
        <v>0</v>
      </c>
      <c r="FQ308" s="239">
        <v>-602029</v>
      </c>
      <c r="FR308" s="239">
        <v>0</v>
      </c>
      <c r="FS308" s="239">
        <v>0</v>
      </c>
      <c r="FT308" s="239">
        <v>0</v>
      </c>
      <c r="FU308" s="239">
        <v>-8097249</v>
      </c>
      <c r="FV308" s="239">
        <v>0</v>
      </c>
      <c r="FW308" s="239">
        <v>-8097249</v>
      </c>
      <c r="FX308" s="239">
        <v>78818945</v>
      </c>
      <c r="FY308" s="239">
        <v>0</v>
      </c>
      <c r="FZ308" s="239">
        <v>78818945</v>
      </c>
      <c r="GA308" s="214" t="s">
        <v>748</v>
      </c>
    </row>
    <row r="309" spans="2:183" s="214" customFormat="1" x14ac:dyDescent="0.2">
      <c r="B309" s="610" t="s">
        <v>701</v>
      </c>
      <c r="C309" s="610" t="s">
        <v>700</v>
      </c>
      <c r="D309" s="239">
        <v>0</v>
      </c>
      <c r="E309" s="239">
        <v>0</v>
      </c>
      <c r="F309" s="239">
        <v>0</v>
      </c>
      <c r="G309" s="239">
        <v>-98950</v>
      </c>
      <c r="H309" s="239">
        <v>0</v>
      </c>
      <c r="I309" s="239">
        <v>-98950</v>
      </c>
      <c r="J309" s="239">
        <v>0</v>
      </c>
      <c r="K309" s="239">
        <v>0</v>
      </c>
      <c r="L309" s="239">
        <v>0</v>
      </c>
      <c r="M309" s="239">
        <v>1112</v>
      </c>
      <c r="N309" s="239">
        <v>0</v>
      </c>
      <c r="O309" s="239">
        <v>1112</v>
      </c>
      <c r="P309" s="239">
        <v>-97838</v>
      </c>
      <c r="Q309" s="239">
        <v>0</v>
      </c>
      <c r="R309" s="239">
        <v>-97838</v>
      </c>
      <c r="S309" s="239">
        <v>-1528806</v>
      </c>
      <c r="T309" s="239">
        <v>0</v>
      </c>
      <c r="U309" s="239">
        <v>-1528806</v>
      </c>
      <c r="V309" s="239">
        <v>0</v>
      </c>
      <c r="W309" s="239">
        <v>0</v>
      </c>
      <c r="X309" s="239">
        <v>0</v>
      </c>
      <c r="Y309" s="239">
        <v>-130618</v>
      </c>
      <c r="Z309" s="239">
        <v>0</v>
      </c>
      <c r="AA309" s="239">
        <v>-130618</v>
      </c>
      <c r="AB309" s="239">
        <v>-76224</v>
      </c>
      <c r="AC309" s="239">
        <v>0</v>
      </c>
      <c r="AD309" s="239">
        <v>-76224</v>
      </c>
      <c r="AE309" s="239">
        <v>0</v>
      </c>
      <c r="AF309" s="239">
        <v>0</v>
      </c>
      <c r="AG309" s="239">
        <v>0</v>
      </c>
      <c r="AH309" s="239">
        <v>251544</v>
      </c>
      <c r="AI309" s="239">
        <v>0</v>
      </c>
      <c r="AJ309" s="239">
        <v>251544</v>
      </c>
      <c r="AK309" s="239">
        <v>-374</v>
      </c>
      <c r="AL309" s="239">
        <v>0</v>
      </c>
      <c r="AM309" s="239">
        <v>-374</v>
      </c>
      <c r="AN309" s="239">
        <v>-765092</v>
      </c>
      <c r="AO309" s="239">
        <v>0</v>
      </c>
      <c r="AP309" s="239">
        <v>-765092</v>
      </c>
      <c r="AQ309" s="239">
        <v>32141</v>
      </c>
      <c r="AR309" s="239">
        <v>0</v>
      </c>
      <c r="AS309" s="239">
        <v>32141</v>
      </c>
      <c r="AT309" s="239">
        <v>-68326</v>
      </c>
      <c r="AU309" s="239">
        <v>0</v>
      </c>
      <c r="AV309" s="239">
        <v>-68326</v>
      </c>
      <c r="AW309" s="239">
        <v>0</v>
      </c>
      <c r="AX309" s="239">
        <v>0</v>
      </c>
      <c r="AY309" s="239">
        <v>0</v>
      </c>
      <c r="AZ309" s="239">
        <v>-41449</v>
      </c>
      <c r="BA309" s="239">
        <v>0</v>
      </c>
      <c r="BB309" s="239">
        <v>-41449</v>
      </c>
      <c r="BC309" s="239">
        <v>12972</v>
      </c>
      <c r="BD309" s="239">
        <v>0</v>
      </c>
      <c r="BE309" s="239">
        <v>12972</v>
      </c>
      <c r="BF309" s="239">
        <v>-2238008</v>
      </c>
      <c r="BG309" s="239">
        <v>0</v>
      </c>
      <c r="BH309" s="239">
        <v>-2238008</v>
      </c>
      <c r="BI309" s="239">
        <v>0</v>
      </c>
      <c r="BJ309" s="239">
        <v>0</v>
      </c>
      <c r="BK309" s="239">
        <v>0</v>
      </c>
      <c r="BL309" s="239">
        <v>800</v>
      </c>
      <c r="BM309" s="239">
        <v>0</v>
      </c>
      <c r="BN309" s="239">
        <v>800</v>
      </c>
      <c r="BO309" s="239">
        <v>-253271</v>
      </c>
      <c r="BP309" s="239">
        <v>0</v>
      </c>
      <c r="BQ309" s="239">
        <v>-253271</v>
      </c>
      <c r="BR309" s="239">
        <v>399</v>
      </c>
      <c r="BS309" s="239">
        <v>0</v>
      </c>
      <c r="BT309" s="239">
        <v>399</v>
      </c>
      <c r="BU309" s="239">
        <v>-252072</v>
      </c>
      <c r="BV309" s="239">
        <v>0</v>
      </c>
      <c r="BW309" s="239">
        <v>-252072</v>
      </c>
      <c r="BX309" s="239">
        <v>-70302</v>
      </c>
      <c r="BY309" s="239">
        <v>0</v>
      </c>
      <c r="BZ309" s="239">
        <v>-70302</v>
      </c>
      <c r="CA309" s="239">
        <v>1157</v>
      </c>
      <c r="CB309" s="239">
        <v>0</v>
      </c>
      <c r="CC309" s="239">
        <v>1157</v>
      </c>
      <c r="CD309" s="239">
        <v>-4522</v>
      </c>
      <c r="CE309" s="239">
        <v>0</v>
      </c>
      <c r="CF309" s="239">
        <v>-4522</v>
      </c>
      <c r="CG309" s="239">
        <v>3383</v>
      </c>
      <c r="CH309" s="239">
        <v>0</v>
      </c>
      <c r="CI309" s="239">
        <v>3383</v>
      </c>
      <c r="CJ309" s="239">
        <v>-6663</v>
      </c>
      <c r="CK309" s="239">
        <v>0</v>
      </c>
      <c r="CL309" s="239">
        <v>-6663</v>
      </c>
      <c r="CM309" s="239">
        <v>0</v>
      </c>
      <c r="CN309" s="239">
        <v>0</v>
      </c>
      <c r="CO309" s="239">
        <v>0</v>
      </c>
      <c r="CP309" s="239">
        <v>-8894</v>
      </c>
      <c r="CQ309" s="239">
        <v>0</v>
      </c>
      <c r="CR309" s="239">
        <v>-8894</v>
      </c>
      <c r="CS309" s="239">
        <v>-3264</v>
      </c>
      <c r="CT309" s="239">
        <v>0</v>
      </c>
      <c r="CU309" s="239">
        <v>-3264</v>
      </c>
      <c r="CV309" s="239">
        <v>0</v>
      </c>
      <c r="CW309" s="239">
        <v>0</v>
      </c>
      <c r="CX309" s="239">
        <v>0</v>
      </c>
      <c r="CY309" s="239">
        <v>0</v>
      </c>
      <c r="CZ309" s="239">
        <v>0</v>
      </c>
      <c r="DA309" s="239">
        <v>0</v>
      </c>
      <c r="DB309" s="239">
        <v>0</v>
      </c>
      <c r="DC309" s="239">
        <v>0</v>
      </c>
      <c r="DD309" s="239">
        <v>0</v>
      </c>
      <c r="DE309" s="239">
        <v>0</v>
      </c>
      <c r="DF309" s="239">
        <v>0</v>
      </c>
      <c r="DG309" s="239">
        <v>0</v>
      </c>
      <c r="DH309" s="239">
        <v>0</v>
      </c>
      <c r="DI309" s="239">
        <v>0</v>
      </c>
      <c r="DJ309" s="239">
        <v>-89105</v>
      </c>
      <c r="DK309" s="239">
        <v>0</v>
      </c>
      <c r="DL309" s="239">
        <v>-89105</v>
      </c>
      <c r="DM309" s="239">
        <v>0</v>
      </c>
      <c r="DN309" s="239">
        <v>0</v>
      </c>
      <c r="DO309" s="239">
        <v>0</v>
      </c>
      <c r="DP309" s="239">
        <v>0</v>
      </c>
      <c r="DQ309" s="239">
        <v>0</v>
      </c>
      <c r="DR309" s="239">
        <v>0</v>
      </c>
      <c r="DS309" s="239">
        <v>-223</v>
      </c>
      <c r="DT309" s="239">
        <v>0</v>
      </c>
      <c r="DU309" s="239">
        <v>-223</v>
      </c>
      <c r="DV309" s="239">
        <v>0</v>
      </c>
      <c r="DW309" s="239">
        <v>0</v>
      </c>
      <c r="DX309" s="239">
        <v>0</v>
      </c>
      <c r="DY309" s="239">
        <v>-466898</v>
      </c>
      <c r="DZ309" s="239">
        <v>0</v>
      </c>
      <c r="EA309" s="239">
        <v>-466898</v>
      </c>
      <c r="EB309" s="239">
        <v>-157</v>
      </c>
      <c r="EC309" s="239">
        <v>0</v>
      </c>
      <c r="ED309" s="239">
        <v>-157</v>
      </c>
      <c r="EE309" s="239">
        <v>0</v>
      </c>
      <c r="EF309" s="239">
        <v>0</v>
      </c>
      <c r="EG309" s="239">
        <v>0</v>
      </c>
      <c r="EH309" s="239">
        <v>0</v>
      </c>
      <c r="EI309" s="239">
        <v>0</v>
      </c>
      <c r="EJ309" s="239">
        <v>0</v>
      </c>
      <c r="EK309" s="239">
        <v>-18067</v>
      </c>
      <c r="EL309" s="239">
        <v>0</v>
      </c>
      <c r="EM309" s="239">
        <v>-18067</v>
      </c>
      <c r="EN309" s="239">
        <v>-485345</v>
      </c>
      <c r="EO309" s="239">
        <v>0</v>
      </c>
      <c r="EP309" s="239">
        <v>-485345</v>
      </c>
      <c r="EQ309" s="239">
        <v>-6182</v>
      </c>
      <c r="ER309" s="239">
        <v>0</v>
      </c>
      <c r="ES309" s="239">
        <v>-6182</v>
      </c>
      <c r="ET309" s="239">
        <v>-613</v>
      </c>
      <c r="EU309" s="239">
        <v>0</v>
      </c>
      <c r="EV309" s="239">
        <v>-613</v>
      </c>
      <c r="EW309" s="239">
        <v>-6795</v>
      </c>
      <c r="EX309" s="239">
        <v>0</v>
      </c>
      <c r="EY309" s="239">
        <v>-6795</v>
      </c>
      <c r="EZ309" s="239">
        <v>13714257</v>
      </c>
      <c r="FA309" s="239">
        <v>0</v>
      </c>
      <c r="FB309" s="239">
        <v>13714257</v>
      </c>
      <c r="FC309" s="239">
        <v>-97838</v>
      </c>
      <c r="FD309" s="239">
        <v>0</v>
      </c>
      <c r="FE309" s="239">
        <v>-97838</v>
      </c>
      <c r="FF309" s="239">
        <v>-2238008</v>
      </c>
      <c r="FG309" s="239">
        <v>0</v>
      </c>
      <c r="FH309" s="239">
        <v>-2238008</v>
      </c>
      <c r="FI309" s="239">
        <v>-252072</v>
      </c>
      <c r="FJ309" s="239">
        <v>0</v>
      </c>
      <c r="FK309" s="239">
        <v>-252072</v>
      </c>
      <c r="FL309" s="239">
        <v>-89105</v>
      </c>
      <c r="FM309" s="239">
        <v>0</v>
      </c>
      <c r="FN309" s="239">
        <v>-89105</v>
      </c>
      <c r="FO309" s="239">
        <v>-485345</v>
      </c>
      <c r="FP309" s="239">
        <v>0</v>
      </c>
      <c r="FQ309" s="239">
        <v>-485345</v>
      </c>
      <c r="FR309" s="239">
        <v>-6795</v>
      </c>
      <c r="FS309" s="239">
        <v>0</v>
      </c>
      <c r="FT309" s="239">
        <v>-6795</v>
      </c>
      <c r="FU309" s="239">
        <v>-3169163</v>
      </c>
      <c r="FV309" s="239">
        <v>0</v>
      </c>
      <c r="FW309" s="239">
        <v>-3169163</v>
      </c>
      <c r="FX309" s="239">
        <v>10545094</v>
      </c>
      <c r="FY309" s="239">
        <v>0</v>
      </c>
      <c r="FZ309" s="239">
        <v>10545094</v>
      </c>
      <c r="GA309" s="214" t="s">
        <v>1294</v>
      </c>
    </row>
    <row r="310" spans="2:183" s="214" customFormat="1" x14ac:dyDescent="0.2">
      <c r="B310" s="610" t="s">
        <v>703</v>
      </c>
      <c r="C310" s="610" t="s">
        <v>702</v>
      </c>
      <c r="D310" s="239">
        <v>0</v>
      </c>
      <c r="E310" s="239">
        <v>0</v>
      </c>
      <c r="F310" s="239">
        <v>0</v>
      </c>
      <c r="G310" s="239">
        <v>16135</v>
      </c>
      <c r="H310" s="239">
        <v>0</v>
      </c>
      <c r="I310" s="239">
        <v>16135</v>
      </c>
      <c r="J310" s="239">
        <v>0</v>
      </c>
      <c r="K310" s="239">
        <v>0</v>
      </c>
      <c r="L310" s="239">
        <v>0</v>
      </c>
      <c r="M310" s="239">
        <v>17591</v>
      </c>
      <c r="N310" s="239">
        <v>0</v>
      </c>
      <c r="O310" s="239">
        <v>17591</v>
      </c>
      <c r="P310" s="239">
        <v>33726</v>
      </c>
      <c r="Q310" s="239">
        <v>0</v>
      </c>
      <c r="R310" s="239">
        <v>33726</v>
      </c>
      <c r="S310" s="239">
        <v>-3957543</v>
      </c>
      <c r="T310" s="239">
        <v>0</v>
      </c>
      <c r="U310" s="239">
        <v>-3957543</v>
      </c>
      <c r="V310" s="239">
        <v>3420</v>
      </c>
      <c r="W310" s="239">
        <v>0</v>
      </c>
      <c r="X310" s="239">
        <v>3420</v>
      </c>
      <c r="Y310" s="239">
        <v>-257488</v>
      </c>
      <c r="Z310" s="239">
        <v>0</v>
      </c>
      <c r="AA310" s="239">
        <v>-257488</v>
      </c>
      <c r="AB310" s="239">
        <v>-184568</v>
      </c>
      <c r="AC310" s="239">
        <v>0</v>
      </c>
      <c r="AD310" s="239">
        <v>-184568</v>
      </c>
      <c r="AE310" s="239">
        <v>-578</v>
      </c>
      <c r="AF310" s="239">
        <v>0</v>
      </c>
      <c r="AG310" s="239">
        <v>-578</v>
      </c>
      <c r="AH310" s="239">
        <v>780057</v>
      </c>
      <c r="AI310" s="239">
        <v>0</v>
      </c>
      <c r="AJ310" s="239">
        <v>780057</v>
      </c>
      <c r="AK310" s="239">
        <v>-16482</v>
      </c>
      <c r="AL310" s="239">
        <v>0</v>
      </c>
      <c r="AM310" s="239">
        <v>-16482</v>
      </c>
      <c r="AN310" s="239">
        <v>-3201765</v>
      </c>
      <c r="AO310" s="239">
        <v>0</v>
      </c>
      <c r="AP310" s="239">
        <v>-3201765</v>
      </c>
      <c r="AQ310" s="239">
        <v>1924</v>
      </c>
      <c r="AR310" s="239">
        <v>0</v>
      </c>
      <c r="AS310" s="239">
        <v>1924</v>
      </c>
      <c r="AT310" s="239">
        <v>-104520</v>
      </c>
      <c r="AU310" s="239">
        <v>0</v>
      </c>
      <c r="AV310" s="239">
        <v>-104520</v>
      </c>
      <c r="AW310" s="239">
        <v>0</v>
      </c>
      <c r="AX310" s="239">
        <v>0</v>
      </c>
      <c r="AY310" s="239">
        <v>0</v>
      </c>
      <c r="AZ310" s="239">
        <v>-81332</v>
      </c>
      <c r="BA310" s="239">
        <v>0</v>
      </c>
      <c r="BB310" s="239">
        <v>-81332</v>
      </c>
      <c r="BC310" s="239">
        <v>3320</v>
      </c>
      <c r="BD310" s="239">
        <v>0</v>
      </c>
      <c r="BE310" s="239">
        <v>3320</v>
      </c>
      <c r="BF310" s="239">
        <v>-6833829</v>
      </c>
      <c r="BG310" s="239">
        <v>0</v>
      </c>
      <c r="BH310" s="239">
        <v>-6833829</v>
      </c>
      <c r="BI310" s="239">
        <v>0</v>
      </c>
      <c r="BJ310" s="239">
        <v>0</v>
      </c>
      <c r="BK310" s="239">
        <v>0</v>
      </c>
      <c r="BL310" s="239">
        <v>134852</v>
      </c>
      <c r="BM310" s="239">
        <v>0</v>
      </c>
      <c r="BN310" s="239">
        <v>134852</v>
      </c>
      <c r="BO310" s="239">
        <v>-869133</v>
      </c>
      <c r="BP310" s="239">
        <v>0</v>
      </c>
      <c r="BQ310" s="239">
        <v>-869133</v>
      </c>
      <c r="BR310" s="239">
        <v>-6291</v>
      </c>
      <c r="BS310" s="239">
        <v>0</v>
      </c>
      <c r="BT310" s="239">
        <v>-6291</v>
      </c>
      <c r="BU310" s="239">
        <v>-740572</v>
      </c>
      <c r="BV310" s="239">
        <v>0</v>
      </c>
      <c r="BW310" s="239">
        <v>-740572</v>
      </c>
      <c r="BX310" s="239">
        <v>-161737</v>
      </c>
      <c r="BY310" s="239">
        <v>0</v>
      </c>
      <c r="BZ310" s="239">
        <v>-161737</v>
      </c>
      <c r="CA310" s="239">
        <v>-2641</v>
      </c>
      <c r="CB310" s="239">
        <v>0</v>
      </c>
      <c r="CC310" s="239">
        <v>-2641</v>
      </c>
      <c r="CD310" s="239">
        <v>-7808</v>
      </c>
      <c r="CE310" s="239">
        <v>0</v>
      </c>
      <c r="CF310" s="239">
        <v>-7808</v>
      </c>
      <c r="CG310" s="239">
        <v>0</v>
      </c>
      <c r="CH310" s="239">
        <v>0</v>
      </c>
      <c r="CI310" s="239">
        <v>0</v>
      </c>
      <c r="CJ310" s="239">
        <v>-1518</v>
      </c>
      <c r="CK310" s="239">
        <v>0</v>
      </c>
      <c r="CL310" s="239">
        <v>-1518</v>
      </c>
      <c r="CM310" s="239">
        <v>0</v>
      </c>
      <c r="CN310" s="239">
        <v>0</v>
      </c>
      <c r="CO310" s="239">
        <v>0</v>
      </c>
      <c r="CP310" s="239">
        <v>-54985</v>
      </c>
      <c r="CQ310" s="239">
        <v>0</v>
      </c>
      <c r="CR310" s="239">
        <v>-54985</v>
      </c>
      <c r="CS310" s="239">
        <v>2560</v>
      </c>
      <c r="CT310" s="239">
        <v>0</v>
      </c>
      <c r="CU310" s="239">
        <v>2560</v>
      </c>
      <c r="CV310" s="239">
        <v>0</v>
      </c>
      <c r="CW310" s="239">
        <v>0</v>
      </c>
      <c r="CX310" s="239">
        <v>0</v>
      </c>
      <c r="CY310" s="239">
        <v>0</v>
      </c>
      <c r="CZ310" s="239">
        <v>0</v>
      </c>
      <c r="DA310" s="239">
        <v>0</v>
      </c>
      <c r="DB310" s="239">
        <v>0</v>
      </c>
      <c r="DC310" s="239">
        <v>0</v>
      </c>
      <c r="DD310" s="239">
        <v>0</v>
      </c>
      <c r="DE310" s="239">
        <v>0</v>
      </c>
      <c r="DF310" s="239">
        <v>0</v>
      </c>
      <c r="DG310" s="239">
        <v>0</v>
      </c>
      <c r="DH310" s="239">
        <v>0</v>
      </c>
      <c r="DI310" s="239">
        <v>0</v>
      </c>
      <c r="DJ310" s="239">
        <v>-226129</v>
      </c>
      <c r="DK310" s="239">
        <v>0</v>
      </c>
      <c r="DL310" s="239">
        <v>-226129</v>
      </c>
      <c r="DM310" s="239">
        <v>-30258</v>
      </c>
      <c r="DN310" s="239">
        <v>0</v>
      </c>
      <c r="DO310" s="239">
        <v>-30258</v>
      </c>
      <c r="DP310" s="239">
        <v>0</v>
      </c>
      <c r="DQ310" s="239">
        <v>0</v>
      </c>
      <c r="DR310" s="239">
        <v>0</v>
      </c>
      <c r="DS310" s="239">
        <v>-15345</v>
      </c>
      <c r="DT310" s="239">
        <v>0</v>
      </c>
      <c r="DU310" s="239">
        <v>-15345</v>
      </c>
      <c r="DV310" s="239">
        <v>-628</v>
      </c>
      <c r="DW310" s="239">
        <v>0</v>
      </c>
      <c r="DX310" s="239">
        <v>-628</v>
      </c>
      <c r="DY310" s="239">
        <v>-1026765</v>
      </c>
      <c r="DZ310" s="239">
        <v>0</v>
      </c>
      <c r="EA310" s="239">
        <v>-1026765</v>
      </c>
      <c r="EB310" s="239">
        <v>926</v>
      </c>
      <c r="EC310" s="239">
        <v>0</v>
      </c>
      <c r="ED310" s="239">
        <v>926</v>
      </c>
      <c r="EE310" s="239">
        <v>0</v>
      </c>
      <c r="EF310" s="239">
        <v>0</v>
      </c>
      <c r="EG310" s="239">
        <v>0</v>
      </c>
      <c r="EH310" s="239">
        <v>-1424</v>
      </c>
      <c r="EI310" s="239">
        <v>0</v>
      </c>
      <c r="EJ310" s="239">
        <v>-1424</v>
      </c>
      <c r="EK310" s="239">
        <v>-13629</v>
      </c>
      <c r="EL310" s="239">
        <v>0</v>
      </c>
      <c r="EM310" s="239">
        <v>-13629</v>
      </c>
      <c r="EN310" s="239">
        <v>-1087123</v>
      </c>
      <c r="EO310" s="239">
        <v>0</v>
      </c>
      <c r="EP310" s="239">
        <v>-1087123</v>
      </c>
      <c r="EQ310" s="239">
        <v>-3076</v>
      </c>
      <c r="ER310" s="239">
        <v>0</v>
      </c>
      <c r="ES310" s="239">
        <v>-3076</v>
      </c>
      <c r="ET310" s="239">
        <v>-2217</v>
      </c>
      <c r="EU310" s="239">
        <v>0</v>
      </c>
      <c r="EV310" s="239">
        <v>-2217</v>
      </c>
      <c r="EW310" s="239">
        <v>-5293</v>
      </c>
      <c r="EX310" s="239">
        <v>0</v>
      </c>
      <c r="EY310" s="239">
        <v>-5293</v>
      </c>
      <c r="EZ310" s="239">
        <v>38589449</v>
      </c>
      <c r="FA310" s="239">
        <v>0</v>
      </c>
      <c r="FB310" s="239">
        <v>38589449</v>
      </c>
      <c r="FC310" s="239">
        <v>33726</v>
      </c>
      <c r="FD310" s="239">
        <v>0</v>
      </c>
      <c r="FE310" s="239">
        <v>33726</v>
      </c>
      <c r="FF310" s="239">
        <v>-6833829</v>
      </c>
      <c r="FG310" s="239">
        <v>0</v>
      </c>
      <c r="FH310" s="239">
        <v>-6833829</v>
      </c>
      <c r="FI310" s="239">
        <v>-740572</v>
      </c>
      <c r="FJ310" s="239">
        <v>0</v>
      </c>
      <c r="FK310" s="239">
        <v>-740572</v>
      </c>
      <c r="FL310" s="239">
        <v>-226129</v>
      </c>
      <c r="FM310" s="239">
        <v>0</v>
      </c>
      <c r="FN310" s="239">
        <v>-226129</v>
      </c>
      <c r="FO310" s="239">
        <v>-1087123</v>
      </c>
      <c r="FP310" s="239">
        <v>0</v>
      </c>
      <c r="FQ310" s="239">
        <v>-1087123</v>
      </c>
      <c r="FR310" s="239">
        <v>-5293</v>
      </c>
      <c r="FS310" s="239">
        <v>0</v>
      </c>
      <c r="FT310" s="239">
        <v>-5293</v>
      </c>
      <c r="FU310" s="239">
        <v>-8859220</v>
      </c>
      <c r="FV310" s="239">
        <v>0</v>
      </c>
      <c r="FW310" s="239">
        <v>-8859220</v>
      </c>
      <c r="FX310" s="239">
        <v>29730229</v>
      </c>
      <c r="FY310" s="239">
        <v>0</v>
      </c>
      <c r="FZ310" s="239">
        <v>29730229</v>
      </c>
      <c r="GA310" s="214" t="s">
        <v>1294</v>
      </c>
    </row>
    <row r="311" spans="2:183" s="214" customFormat="1" x14ac:dyDescent="0.2">
      <c r="B311" s="610" t="s">
        <v>705</v>
      </c>
      <c r="C311" s="610" t="s">
        <v>704</v>
      </c>
      <c r="D311" s="239">
        <v>0</v>
      </c>
      <c r="E311" s="239">
        <v>0</v>
      </c>
      <c r="F311" s="239">
        <v>0</v>
      </c>
      <c r="G311" s="239">
        <v>13809</v>
      </c>
      <c r="H311" s="239">
        <v>0</v>
      </c>
      <c r="I311" s="239">
        <v>13809</v>
      </c>
      <c r="J311" s="239">
        <v>0</v>
      </c>
      <c r="K311" s="239">
        <v>0</v>
      </c>
      <c r="L311" s="239">
        <v>0</v>
      </c>
      <c r="M311" s="239">
        <v>269</v>
      </c>
      <c r="N311" s="239">
        <v>0</v>
      </c>
      <c r="O311" s="239">
        <v>269</v>
      </c>
      <c r="P311" s="239">
        <v>14078</v>
      </c>
      <c r="Q311" s="239">
        <v>0</v>
      </c>
      <c r="R311" s="239">
        <v>14078</v>
      </c>
      <c r="S311" s="239">
        <v>-2102760</v>
      </c>
      <c r="T311" s="239">
        <v>0</v>
      </c>
      <c r="U311" s="239">
        <v>-2102760</v>
      </c>
      <c r="V311" s="239">
        <v>-10916</v>
      </c>
      <c r="W311" s="239">
        <v>0</v>
      </c>
      <c r="X311" s="239">
        <v>-10916</v>
      </c>
      <c r="Y311" s="239">
        <v>-168671</v>
      </c>
      <c r="Z311" s="239">
        <v>0</v>
      </c>
      <c r="AA311" s="239">
        <v>-168671</v>
      </c>
      <c r="AB311" s="239">
        <v>-83239</v>
      </c>
      <c r="AC311" s="239">
        <v>0</v>
      </c>
      <c r="AD311" s="239">
        <v>-83239</v>
      </c>
      <c r="AE311" s="239">
        <v>-457</v>
      </c>
      <c r="AF311" s="239">
        <v>0</v>
      </c>
      <c r="AG311" s="239">
        <v>-457</v>
      </c>
      <c r="AH311" s="239">
        <v>890363</v>
      </c>
      <c r="AI311" s="239">
        <v>0</v>
      </c>
      <c r="AJ311" s="239">
        <v>890363</v>
      </c>
      <c r="AK311" s="239">
        <v>21196</v>
      </c>
      <c r="AL311" s="239">
        <v>0</v>
      </c>
      <c r="AM311" s="239">
        <v>21196</v>
      </c>
      <c r="AN311" s="239">
        <v>-2541636</v>
      </c>
      <c r="AO311" s="239">
        <v>0</v>
      </c>
      <c r="AP311" s="239">
        <v>-2541636</v>
      </c>
      <c r="AQ311" s="239">
        <v>-207989</v>
      </c>
      <c r="AR311" s="239">
        <v>0</v>
      </c>
      <c r="AS311" s="239">
        <v>-207989</v>
      </c>
      <c r="AT311" s="239">
        <v>0</v>
      </c>
      <c r="AU311" s="239">
        <v>0</v>
      </c>
      <c r="AV311" s="239">
        <v>0</v>
      </c>
      <c r="AW311" s="239">
        <v>0</v>
      </c>
      <c r="AX311" s="239">
        <v>0</v>
      </c>
      <c r="AY311" s="239">
        <v>0</v>
      </c>
      <c r="AZ311" s="239">
        <v>-3661</v>
      </c>
      <c r="BA311" s="239">
        <v>0</v>
      </c>
      <c r="BB311" s="239">
        <v>-3661</v>
      </c>
      <c r="BC311" s="239">
        <v>218</v>
      </c>
      <c r="BD311" s="239">
        <v>0</v>
      </c>
      <c r="BE311" s="239">
        <v>218</v>
      </c>
      <c r="BF311" s="239">
        <v>-4112940</v>
      </c>
      <c r="BG311" s="239">
        <v>0</v>
      </c>
      <c r="BH311" s="239">
        <v>-4112940</v>
      </c>
      <c r="BI311" s="239">
        <v>-2066</v>
      </c>
      <c r="BJ311" s="239">
        <v>0</v>
      </c>
      <c r="BK311" s="239">
        <v>-2066</v>
      </c>
      <c r="BL311" s="239">
        <v>-114024</v>
      </c>
      <c r="BM311" s="239">
        <v>0</v>
      </c>
      <c r="BN311" s="239">
        <v>-114024</v>
      </c>
      <c r="BO311" s="239">
        <v>-1698244</v>
      </c>
      <c r="BP311" s="239">
        <v>0</v>
      </c>
      <c r="BQ311" s="239">
        <v>-1698244</v>
      </c>
      <c r="BR311" s="239">
        <v>-449621</v>
      </c>
      <c r="BS311" s="239">
        <v>0</v>
      </c>
      <c r="BT311" s="239">
        <v>-449621</v>
      </c>
      <c r="BU311" s="239">
        <v>-2263955</v>
      </c>
      <c r="BV311" s="239">
        <v>0</v>
      </c>
      <c r="BW311" s="239">
        <v>-2263955</v>
      </c>
      <c r="BX311" s="239">
        <v>-9023</v>
      </c>
      <c r="BY311" s="239">
        <v>0</v>
      </c>
      <c r="BZ311" s="239">
        <v>-9023</v>
      </c>
      <c r="CA311" s="239">
        <v>-1697</v>
      </c>
      <c r="CB311" s="239">
        <v>0</v>
      </c>
      <c r="CC311" s="239">
        <v>-1697</v>
      </c>
      <c r="CD311" s="239">
        <v>-32803</v>
      </c>
      <c r="CE311" s="239">
        <v>0</v>
      </c>
      <c r="CF311" s="239">
        <v>-32803</v>
      </c>
      <c r="CG311" s="239">
        <v>-4900</v>
      </c>
      <c r="CH311" s="239">
        <v>0</v>
      </c>
      <c r="CI311" s="239">
        <v>-4900</v>
      </c>
      <c r="CJ311" s="239">
        <v>0</v>
      </c>
      <c r="CK311" s="239">
        <v>0</v>
      </c>
      <c r="CL311" s="239">
        <v>0</v>
      </c>
      <c r="CM311" s="239">
        <v>0</v>
      </c>
      <c r="CN311" s="239">
        <v>0</v>
      </c>
      <c r="CO311" s="239">
        <v>0</v>
      </c>
      <c r="CP311" s="239">
        <v>0</v>
      </c>
      <c r="CQ311" s="239">
        <v>0</v>
      </c>
      <c r="CR311" s="239">
        <v>0</v>
      </c>
      <c r="CS311" s="239">
        <v>0</v>
      </c>
      <c r="CT311" s="239">
        <v>0</v>
      </c>
      <c r="CU311" s="239">
        <v>0</v>
      </c>
      <c r="CV311" s="239">
        <v>0</v>
      </c>
      <c r="CW311" s="239">
        <v>0</v>
      </c>
      <c r="CX311" s="239">
        <v>0</v>
      </c>
      <c r="CY311" s="239">
        <v>0</v>
      </c>
      <c r="CZ311" s="239">
        <v>0</v>
      </c>
      <c r="DA311" s="239">
        <v>0</v>
      </c>
      <c r="DB311" s="239">
        <v>0</v>
      </c>
      <c r="DC311" s="239">
        <v>0</v>
      </c>
      <c r="DD311" s="239">
        <v>0</v>
      </c>
      <c r="DE311" s="239">
        <v>0</v>
      </c>
      <c r="DF311" s="239">
        <v>0</v>
      </c>
      <c r="DG311" s="239">
        <v>0</v>
      </c>
      <c r="DH311" s="239">
        <v>0</v>
      </c>
      <c r="DI311" s="239">
        <v>0</v>
      </c>
      <c r="DJ311" s="239">
        <v>-48423</v>
      </c>
      <c r="DK311" s="239">
        <v>0</v>
      </c>
      <c r="DL311" s="239">
        <v>-48423</v>
      </c>
      <c r="DM311" s="239">
        <v>0</v>
      </c>
      <c r="DN311" s="239">
        <v>0</v>
      </c>
      <c r="DO311" s="239">
        <v>0</v>
      </c>
      <c r="DP311" s="239">
        <v>8797</v>
      </c>
      <c r="DQ311" s="239">
        <v>0</v>
      </c>
      <c r="DR311" s="239">
        <v>8797</v>
      </c>
      <c r="DS311" s="239">
        <v>-33799</v>
      </c>
      <c r="DT311" s="239">
        <v>0</v>
      </c>
      <c r="DU311" s="239">
        <v>-33799</v>
      </c>
      <c r="DV311" s="239">
        <v>273</v>
      </c>
      <c r="DW311" s="239">
        <v>0</v>
      </c>
      <c r="DX311" s="239">
        <v>273</v>
      </c>
      <c r="DY311" s="239">
        <v>-402106</v>
      </c>
      <c r="DZ311" s="239">
        <v>0</v>
      </c>
      <c r="EA311" s="239">
        <v>-402106</v>
      </c>
      <c r="EB311" s="239">
        <v>1428</v>
      </c>
      <c r="EC311" s="239">
        <v>0</v>
      </c>
      <c r="ED311" s="239">
        <v>1428</v>
      </c>
      <c r="EE311" s="239">
        <v>-17648</v>
      </c>
      <c r="EF311" s="239">
        <v>0</v>
      </c>
      <c r="EG311" s="239">
        <v>-17648</v>
      </c>
      <c r="EH311" s="239">
        <v>0</v>
      </c>
      <c r="EI311" s="239">
        <v>0</v>
      </c>
      <c r="EJ311" s="239">
        <v>0</v>
      </c>
      <c r="EK311" s="239">
        <v>-8617</v>
      </c>
      <c r="EL311" s="239">
        <v>0</v>
      </c>
      <c r="EM311" s="239">
        <v>-8617</v>
      </c>
      <c r="EN311" s="239">
        <v>-451672</v>
      </c>
      <c r="EO311" s="239">
        <v>0</v>
      </c>
      <c r="EP311" s="239">
        <v>-451672</v>
      </c>
      <c r="EQ311" s="239">
        <v>0</v>
      </c>
      <c r="ER311" s="239">
        <v>0</v>
      </c>
      <c r="ES311" s="239">
        <v>0</v>
      </c>
      <c r="ET311" s="239">
        <v>0</v>
      </c>
      <c r="EU311" s="239">
        <v>0</v>
      </c>
      <c r="EV311" s="239">
        <v>0</v>
      </c>
      <c r="EW311" s="239">
        <v>0</v>
      </c>
      <c r="EX311" s="239">
        <v>0</v>
      </c>
      <c r="EY311" s="239">
        <v>0</v>
      </c>
      <c r="EZ311" s="239">
        <v>38533967</v>
      </c>
      <c r="FA311" s="239">
        <v>0</v>
      </c>
      <c r="FB311" s="239">
        <v>38533967</v>
      </c>
      <c r="FC311" s="239">
        <v>14078</v>
      </c>
      <c r="FD311" s="239">
        <v>0</v>
      </c>
      <c r="FE311" s="239">
        <v>14078</v>
      </c>
      <c r="FF311" s="239">
        <v>-4112940</v>
      </c>
      <c r="FG311" s="239">
        <v>0</v>
      </c>
      <c r="FH311" s="239">
        <v>-4112940</v>
      </c>
      <c r="FI311" s="239">
        <v>-2263955</v>
      </c>
      <c r="FJ311" s="239">
        <v>0</v>
      </c>
      <c r="FK311" s="239">
        <v>-2263955</v>
      </c>
      <c r="FL311" s="239">
        <v>-48423</v>
      </c>
      <c r="FM311" s="239">
        <v>0</v>
      </c>
      <c r="FN311" s="239">
        <v>-48423</v>
      </c>
      <c r="FO311" s="239">
        <v>-451672</v>
      </c>
      <c r="FP311" s="239">
        <v>0</v>
      </c>
      <c r="FQ311" s="239">
        <v>-451672</v>
      </c>
      <c r="FR311" s="239">
        <v>0</v>
      </c>
      <c r="FS311" s="239">
        <v>0</v>
      </c>
      <c r="FT311" s="239">
        <v>0</v>
      </c>
      <c r="FU311" s="239">
        <v>-6862912</v>
      </c>
      <c r="FV311" s="239">
        <v>0</v>
      </c>
      <c r="FW311" s="239">
        <v>-6862912</v>
      </c>
      <c r="FX311" s="239">
        <v>31671055</v>
      </c>
      <c r="FY311" s="239">
        <v>0</v>
      </c>
      <c r="FZ311" s="239">
        <v>31671055</v>
      </c>
      <c r="GA311" s="214" t="s">
        <v>1294</v>
      </c>
    </row>
    <row r="312" spans="2:183" s="214" customFormat="1" x14ac:dyDescent="0.2">
      <c r="B312" s="610" t="s">
        <v>707</v>
      </c>
      <c r="C312" s="610" t="s">
        <v>706</v>
      </c>
      <c r="D312" s="239">
        <v>0</v>
      </c>
      <c r="E312" s="239">
        <v>0</v>
      </c>
      <c r="F312" s="239">
        <v>0</v>
      </c>
      <c r="G312" s="239">
        <v>58444</v>
      </c>
      <c r="H312" s="239">
        <v>0</v>
      </c>
      <c r="I312" s="239">
        <v>58444</v>
      </c>
      <c r="J312" s="239">
        <v>0</v>
      </c>
      <c r="K312" s="239">
        <v>0</v>
      </c>
      <c r="L312" s="239">
        <v>0</v>
      </c>
      <c r="M312" s="239">
        <v>82298</v>
      </c>
      <c r="N312" s="239">
        <v>0</v>
      </c>
      <c r="O312" s="239">
        <v>82298</v>
      </c>
      <c r="P312" s="239">
        <v>140742</v>
      </c>
      <c r="Q312" s="239">
        <v>0</v>
      </c>
      <c r="R312" s="239">
        <v>140742</v>
      </c>
      <c r="S312" s="239">
        <v>-1802010</v>
      </c>
      <c r="T312" s="239">
        <v>0</v>
      </c>
      <c r="U312" s="239">
        <v>-1802010</v>
      </c>
      <c r="V312" s="239">
        <v>-3757</v>
      </c>
      <c r="W312" s="239">
        <v>0</v>
      </c>
      <c r="X312" s="239">
        <v>-3757</v>
      </c>
      <c r="Y312" s="239">
        <v>-165691</v>
      </c>
      <c r="Z312" s="239">
        <v>0</v>
      </c>
      <c r="AA312" s="239">
        <v>-165691</v>
      </c>
      <c r="AB312" s="239">
        <v>-74823</v>
      </c>
      <c r="AC312" s="239">
        <v>0</v>
      </c>
      <c r="AD312" s="239">
        <v>-74823</v>
      </c>
      <c r="AE312" s="239">
        <v>0</v>
      </c>
      <c r="AF312" s="239">
        <v>0</v>
      </c>
      <c r="AG312" s="239">
        <v>0</v>
      </c>
      <c r="AH312" s="239">
        <v>428008</v>
      </c>
      <c r="AI312" s="239">
        <v>0</v>
      </c>
      <c r="AJ312" s="239">
        <v>428008</v>
      </c>
      <c r="AK312" s="239">
        <v>-11862</v>
      </c>
      <c r="AL312" s="239">
        <v>0</v>
      </c>
      <c r="AM312" s="239">
        <v>-11862</v>
      </c>
      <c r="AN312" s="239">
        <v>-1413679</v>
      </c>
      <c r="AO312" s="239">
        <v>0</v>
      </c>
      <c r="AP312" s="239">
        <v>-1413679</v>
      </c>
      <c r="AQ312" s="239">
        <v>30908</v>
      </c>
      <c r="AR312" s="239">
        <v>0</v>
      </c>
      <c r="AS312" s="239">
        <v>30908</v>
      </c>
      <c r="AT312" s="239">
        <v>-35802</v>
      </c>
      <c r="AU312" s="239">
        <v>0</v>
      </c>
      <c r="AV312" s="239">
        <v>-35802</v>
      </c>
      <c r="AW312" s="239">
        <v>0</v>
      </c>
      <c r="AX312" s="239">
        <v>0</v>
      </c>
      <c r="AY312" s="239">
        <v>0</v>
      </c>
      <c r="AZ312" s="239">
        <v>-35321</v>
      </c>
      <c r="BA312" s="239">
        <v>0</v>
      </c>
      <c r="BB312" s="239">
        <v>-35321</v>
      </c>
      <c r="BC312" s="239">
        <v>-57</v>
      </c>
      <c r="BD312" s="239">
        <v>0</v>
      </c>
      <c r="BE312" s="239">
        <v>-57</v>
      </c>
      <c r="BF312" s="239">
        <v>-3005506</v>
      </c>
      <c r="BG312" s="239">
        <v>0</v>
      </c>
      <c r="BH312" s="239">
        <v>-3005506</v>
      </c>
      <c r="BI312" s="239">
        <v>0</v>
      </c>
      <c r="BJ312" s="239">
        <v>0</v>
      </c>
      <c r="BK312" s="239">
        <v>0</v>
      </c>
      <c r="BL312" s="239">
        <v>0</v>
      </c>
      <c r="BM312" s="239">
        <v>0</v>
      </c>
      <c r="BN312" s="239">
        <v>0</v>
      </c>
      <c r="BO312" s="239">
        <v>-663332</v>
      </c>
      <c r="BP312" s="239">
        <v>0</v>
      </c>
      <c r="BQ312" s="239">
        <v>-663332</v>
      </c>
      <c r="BR312" s="239">
        <v>10422</v>
      </c>
      <c r="BS312" s="239">
        <v>0</v>
      </c>
      <c r="BT312" s="239">
        <v>10422</v>
      </c>
      <c r="BU312" s="239">
        <v>-652910</v>
      </c>
      <c r="BV312" s="239">
        <v>0</v>
      </c>
      <c r="BW312" s="239">
        <v>-652910</v>
      </c>
      <c r="BX312" s="239">
        <v>-32217</v>
      </c>
      <c r="BY312" s="239">
        <v>0</v>
      </c>
      <c r="BZ312" s="239">
        <v>-32217</v>
      </c>
      <c r="CA312" s="239">
        <v>0</v>
      </c>
      <c r="CB312" s="239">
        <v>0</v>
      </c>
      <c r="CC312" s="239">
        <v>0</v>
      </c>
      <c r="CD312" s="239">
        <v>-15370</v>
      </c>
      <c r="CE312" s="239">
        <v>0</v>
      </c>
      <c r="CF312" s="239">
        <v>-15370</v>
      </c>
      <c r="CG312" s="239">
        <v>0</v>
      </c>
      <c r="CH312" s="239">
        <v>0</v>
      </c>
      <c r="CI312" s="239">
        <v>0</v>
      </c>
      <c r="CJ312" s="239">
        <v>-2248</v>
      </c>
      <c r="CK312" s="239">
        <v>0</v>
      </c>
      <c r="CL312" s="239">
        <v>-2248</v>
      </c>
      <c r="CM312" s="239">
        <v>0</v>
      </c>
      <c r="CN312" s="239">
        <v>0</v>
      </c>
      <c r="CO312" s="239">
        <v>0</v>
      </c>
      <c r="CP312" s="239">
        <v>-6207</v>
      </c>
      <c r="CQ312" s="239">
        <v>0</v>
      </c>
      <c r="CR312" s="239">
        <v>-6207</v>
      </c>
      <c r="CS312" s="239">
        <v>0</v>
      </c>
      <c r="CT312" s="239">
        <v>0</v>
      </c>
      <c r="CU312" s="239">
        <v>0</v>
      </c>
      <c r="CV312" s="239">
        <v>-243</v>
      </c>
      <c r="CW312" s="239">
        <v>0</v>
      </c>
      <c r="CX312" s="239">
        <v>-243</v>
      </c>
      <c r="CY312" s="239">
        <v>0</v>
      </c>
      <c r="CZ312" s="239">
        <v>0</v>
      </c>
      <c r="DA312" s="239">
        <v>0</v>
      </c>
      <c r="DB312" s="239">
        <v>0</v>
      </c>
      <c r="DC312" s="239">
        <v>0</v>
      </c>
      <c r="DD312" s="239">
        <v>0</v>
      </c>
      <c r="DE312" s="239">
        <v>0</v>
      </c>
      <c r="DF312" s="239">
        <v>0</v>
      </c>
      <c r="DG312" s="239">
        <v>0</v>
      </c>
      <c r="DH312" s="239">
        <v>0</v>
      </c>
      <c r="DI312" s="239">
        <v>0</v>
      </c>
      <c r="DJ312" s="239">
        <v>-56285</v>
      </c>
      <c r="DK312" s="239">
        <v>0</v>
      </c>
      <c r="DL312" s="239">
        <v>-56285</v>
      </c>
      <c r="DM312" s="239">
        <v>-64917</v>
      </c>
      <c r="DN312" s="239">
        <v>0</v>
      </c>
      <c r="DO312" s="239">
        <v>-64917</v>
      </c>
      <c r="DP312" s="239">
        <v>-6540</v>
      </c>
      <c r="DQ312" s="239">
        <v>0</v>
      </c>
      <c r="DR312" s="239">
        <v>-6540</v>
      </c>
      <c r="DS312" s="239">
        <v>-10522</v>
      </c>
      <c r="DT312" s="239">
        <v>0</v>
      </c>
      <c r="DU312" s="239">
        <v>-10522</v>
      </c>
      <c r="DV312" s="239">
        <v>-502</v>
      </c>
      <c r="DW312" s="239">
        <v>0</v>
      </c>
      <c r="DX312" s="239">
        <v>-502</v>
      </c>
      <c r="DY312" s="239">
        <v>-275108</v>
      </c>
      <c r="DZ312" s="239">
        <v>0</v>
      </c>
      <c r="EA312" s="239">
        <v>-275108</v>
      </c>
      <c r="EB312" s="239">
        <v>-4553</v>
      </c>
      <c r="EC312" s="239">
        <v>0</v>
      </c>
      <c r="ED312" s="239">
        <v>-4553</v>
      </c>
      <c r="EE312" s="239">
        <v>0</v>
      </c>
      <c r="EF312" s="239">
        <v>0</v>
      </c>
      <c r="EG312" s="239">
        <v>0</v>
      </c>
      <c r="EH312" s="239">
        <v>0</v>
      </c>
      <c r="EI312" s="239">
        <v>0</v>
      </c>
      <c r="EJ312" s="239">
        <v>0</v>
      </c>
      <c r="EK312" s="239">
        <v>-1601</v>
      </c>
      <c r="EL312" s="239">
        <v>0</v>
      </c>
      <c r="EM312" s="239">
        <v>-1601</v>
      </c>
      <c r="EN312" s="239">
        <v>-363743</v>
      </c>
      <c r="EO312" s="239">
        <v>0</v>
      </c>
      <c r="EP312" s="239">
        <v>-363743</v>
      </c>
      <c r="EQ312" s="239">
        <v>0</v>
      </c>
      <c r="ER312" s="239">
        <v>0</v>
      </c>
      <c r="ES312" s="239">
        <v>0</v>
      </c>
      <c r="ET312" s="239">
        <v>0</v>
      </c>
      <c r="EU312" s="239">
        <v>0</v>
      </c>
      <c r="EV312" s="239">
        <v>0</v>
      </c>
      <c r="EW312" s="239">
        <v>0</v>
      </c>
      <c r="EX312" s="239">
        <v>0</v>
      </c>
      <c r="EY312" s="239">
        <v>0</v>
      </c>
      <c r="EZ312" s="239">
        <v>19086211</v>
      </c>
      <c r="FA312" s="239">
        <v>0</v>
      </c>
      <c r="FB312" s="239">
        <v>19086211</v>
      </c>
      <c r="FC312" s="239">
        <v>140742</v>
      </c>
      <c r="FD312" s="239">
        <v>0</v>
      </c>
      <c r="FE312" s="239">
        <v>140742</v>
      </c>
      <c r="FF312" s="239">
        <v>-3005506</v>
      </c>
      <c r="FG312" s="239">
        <v>0</v>
      </c>
      <c r="FH312" s="239">
        <v>-3005506</v>
      </c>
      <c r="FI312" s="239">
        <v>-652910</v>
      </c>
      <c r="FJ312" s="239">
        <v>0</v>
      </c>
      <c r="FK312" s="239">
        <v>-652910</v>
      </c>
      <c r="FL312" s="239">
        <v>-56285</v>
      </c>
      <c r="FM312" s="239">
        <v>0</v>
      </c>
      <c r="FN312" s="239">
        <v>-56285</v>
      </c>
      <c r="FO312" s="239">
        <v>-363743</v>
      </c>
      <c r="FP312" s="239">
        <v>0</v>
      </c>
      <c r="FQ312" s="239">
        <v>-363743</v>
      </c>
      <c r="FR312" s="239">
        <v>0</v>
      </c>
      <c r="FS312" s="239">
        <v>0</v>
      </c>
      <c r="FT312" s="239">
        <v>0</v>
      </c>
      <c r="FU312" s="239">
        <v>-3937702</v>
      </c>
      <c r="FV312" s="239">
        <v>0</v>
      </c>
      <c r="FW312" s="239">
        <v>-3937702</v>
      </c>
      <c r="FX312" s="239">
        <v>15148509</v>
      </c>
      <c r="FY312" s="239">
        <v>0</v>
      </c>
      <c r="FZ312" s="239">
        <v>15148509</v>
      </c>
      <c r="GA312" s="214" t="s">
        <v>1294</v>
      </c>
    </row>
    <row r="313" spans="2:183" s="214" customFormat="1" x14ac:dyDescent="0.2">
      <c r="B313" s="610" t="s">
        <v>709</v>
      </c>
      <c r="C313" s="610" t="s">
        <v>708</v>
      </c>
      <c r="D313" s="239">
        <v>0</v>
      </c>
      <c r="E313" s="239">
        <v>0</v>
      </c>
      <c r="F313" s="239">
        <v>0</v>
      </c>
      <c r="G313" s="239">
        <v>-47263</v>
      </c>
      <c r="H313" s="239">
        <v>0</v>
      </c>
      <c r="I313" s="239">
        <v>-47263</v>
      </c>
      <c r="J313" s="239">
        <v>0</v>
      </c>
      <c r="K313" s="239">
        <v>0</v>
      </c>
      <c r="L313" s="239">
        <v>0</v>
      </c>
      <c r="M313" s="239">
        <v>65031</v>
      </c>
      <c r="N313" s="239">
        <v>0</v>
      </c>
      <c r="O313" s="239">
        <v>65031</v>
      </c>
      <c r="P313" s="239">
        <v>17768</v>
      </c>
      <c r="Q313" s="239">
        <v>0</v>
      </c>
      <c r="R313" s="239">
        <v>17768</v>
      </c>
      <c r="S313" s="239">
        <v>-2493257</v>
      </c>
      <c r="T313" s="239">
        <v>0</v>
      </c>
      <c r="U313" s="239">
        <v>-2493257</v>
      </c>
      <c r="V313" s="239">
        <v>-12602</v>
      </c>
      <c r="W313" s="239">
        <v>0</v>
      </c>
      <c r="X313" s="239">
        <v>-12602</v>
      </c>
      <c r="Y313" s="239">
        <v>-188598</v>
      </c>
      <c r="Z313" s="239">
        <v>0</v>
      </c>
      <c r="AA313" s="239">
        <v>-188598</v>
      </c>
      <c r="AB313" s="239">
        <v>-188022</v>
      </c>
      <c r="AC313" s="239">
        <v>0</v>
      </c>
      <c r="AD313" s="239">
        <v>-188022</v>
      </c>
      <c r="AE313" s="239">
        <v>-576</v>
      </c>
      <c r="AF313" s="239">
        <v>0</v>
      </c>
      <c r="AG313" s="239">
        <v>-576</v>
      </c>
      <c r="AH313" s="239">
        <v>855207</v>
      </c>
      <c r="AI313" s="239">
        <v>0</v>
      </c>
      <c r="AJ313" s="239">
        <v>855207</v>
      </c>
      <c r="AK313" s="239">
        <v>-13567</v>
      </c>
      <c r="AL313" s="239">
        <v>0</v>
      </c>
      <c r="AM313" s="239">
        <v>-13567</v>
      </c>
      <c r="AN313" s="239">
        <v>-2495050</v>
      </c>
      <c r="AO313" s="239">
        <v>0</v>
      </c>
      <c r="AP313" s="239">
        <v>-2495050</v>
      </c>
      <c r="AQ313" s="239">
        <v>73280</v>
      </c>
      <c r="AR313" s="239">
        <v>0</v>
      </c>
      <c r="AS313" s="239">
        <v>73280</v>
      </c>
      <c r="AT313" s="239">
        <v>-61047</v>
      </c>
      <c r="AU313" s="239">
        <v>0</v>
      </c>
      <c r="AV313" s="239">
        <v>-61047</v>
      </c>
      <c r="AW313" s="239">
        <v>0</v>
      </c>
      <c r="AX313" s="239">
        <v>0</v>
      </c>
      <c r="AY313" s="239">
        <v>0</v>
      </c>
      <c r="AZ313" s="239">
        <v>-45742</v>
      </c>
      <c r="BA313" s="239">
        <v>0</v>
      </c>
      <c r="BB313" s="239">
        <v>-45742</v>
      </c>
      <c r="BC313" s="239">
        <v>0</v>
      </c>
      <c r="BD313" s="239">
        <v>0</v>
      </c>
      <c r="BE313" s="239">
        <v>0</v>
      </c>
      <c r="BF313" s="239">
        <v>-4368774</v>
      </c>
      <c r="BG313" s="239">
        <v>0</v>
      </c>
      <c r="BH313" s="239">
        <v>-4368774</v>
      </c>
      <c r="BI313" s="239">
        <v>-41659</v>
      </c>
      <c r="BJ313" s="239">
        <v>0</v>
      </c>
      <c r="BK313" s="239">
        <v>-41659</v>
      </c>
      <c r="BL313" s="239">
        <v>0</v>
      </c>
      <c r="BM313" s="239">
        <v>0</v>
      </c>
      <c r="BN313" s="239">
        <v>0</v>
      </c>
      <c r="BO313" s="239">
        <v>-925090</v>
      </c>
      <c r="BP313" s="239">
        <v>0</v>
      </c>
      <c r="BQ313" s="239">
        <v>-925090</v>
      </c>
      <c r="BR313" s="239">
        <v>-4283</v>
      </c>
      <c r="BS313" s="239">
        <v>0</v>
      </c>
      <c r="BT313" s="239">
        <v>-4283</v>
      </c>
      <c r="BU313" s="239">
        <v>-971032</v>
      </c>
      <c r="BV313" s="239">
        <v>0</v>
      </c>
      <c r="BW313" s="239">
        <v>-971032</v>
      </c>
      <c r="BX313" s="239">
        <v>-77579</v>
      </c>
      <c r="BY313" s="239">
        <v>0</v>
      </c>
      <c r="BZ313" s="239">
        <v>-77579</v>
      </c>
      <c r="CA313" s="239">
        <v>20405</v>
      </c>
      <c r="CB313" s="239">
        <v>0</v>
      </c>
      <c r="CC313" s="239">
        <v>20405</v>
      </c>
      <c r="CD313" s="239">
        <v>-3139</v>
      </c>
      <c r="CE313" s="239">
        <v>0</v>
      </c>
      <c r="CF313" s="239">
        <v>-3139</v>
      </c>
      <c r="CG313" s="239">
        <v>0</v>
      </c>
      <c r="CH313" s="239">
        <v>0</v>
      </c>
      <c r="CI313" s="239">
        <v>0</v>
      </c>
      <c r="CJ313" s="239">
        <v>0</v>
      </c>
      <c r="CK313" s="239">
        <v>0</v>
      </c>
      <c r="CL313" s="239">
        <v>0</v>
      </c>
      <c r="CM313" s="239">
        <v>0</v>
      </c>
      <c r="CN313" s="239">
        <v>0</v>
      </c>
      <c r="CO313" s="239">
        <v>0</v>
      </c>
      <c r="CP313" s="239">
        <v>-1814</v>
      </c>
      <c r="CQ313" s="239">
        <v>0</v>
      </c>
      <c r="CR313" s="239">
        <v>-1814</v>
      </c>
      <c r="CS313" s="239">
        <v>-120</v>
      </c>
      <c r="CT313" s="239">
        <v>0</v>
      </c>
      <c r="CU313" s="239">
        <v>-120</v>
      </c>
      <c r="CV313" s="239">
        <v>0</v>
      </c>
      <c r="CW313" s="239">
        <v>0</v>
      </c>
      <c r="CX313" s="239">
        <v>0</v>
      </c>
      <c r="CY313" s="239">
        <v>0</v>
      </c>
      <c r="CZ313" s="239">
        <v>0</v>
      </c>
      <c r="DA313" s="239">
        <v>0</v>
      </c>
      <c r="DB313" s="239">
        <v>0</v>
      </c>
      <c r="DC313" s="239">
        <v>0</v>
      </c>
      <c r="DD313" s="239">
        <v>0</v>
      </c>
      <c r="DE313" s="239">
        <v>0</v>
      </c>
      <c r="DF313" s="239">
        <v>0</v>
      </c>
      <c r="DG313" s="239">
        <v>0</v>
      </c>
      <c r="DH313" s="239">
        <v>0</v>
      </c>
      <c r="DI313" s="239">
        <v>0</v>
      </c>
      <c r="DJ313" s="239">
        <v>-62247</v>
      </c>
      <c r="DK313" s="239">
        <v>0</v>
      </c>
      <c r="DL313" s="239">
        <v>-62247</v>
      </c>
      <c r="DM313" s="239">
        <v>0</v>
      </c>
      <c r="DN313" s="239">
        <v>0</v>
      </c>
      <c r="DO313" s="239">
        <v>0</v>
      </c>
      <c r="DP313" s="239">
        <v>0</v>
      </c>
      <c r="DQ313" s="239">
        <v>0</v>
      </c>
      <c r="DR313" s="239">
        <v>0</v>
      </c>
      <c r="DS313" s="239">
        <v>-5129</v>
      </c>
      <c r="DT313" s="239">
        <v>0</v>
      </c>
      <c r="DU313" s="239">
        <v>-5129</v>
      </c>
      <c r="DV313" s="239">
        <v>0</v>
      </c>
      <c r="DW313" s="239">
        <v>0</v>
      </c>
      <c r="DX313" s="239">
        <v>0</v>
      </c>
      <c r="DY313" s="239">
        <v>-578102</v>
      </c>
      <c r="DZ313" s="239">
        <v>0</v>
      </c>
      <c r="EA313" s="239">
        <v>-578102</v>
      </c>
      <c r="EB313" s="239">
        <v>-37398</v>
      </c>
      <c r="EC313" s="239">
        <v>0</v>
      </c>
      <c r="ED313" s="239">
        <v>-37398</v>
      </c>
      <c r="EE313" s="239">
        <v>0</v>
      </c>
      <c r="EF313" s="239">
        <v>0</v>
      </c>
      <c r="EG313" s="239">
        <v>0</v>
      </c>
      <c r="EH313" s="239">
        <v>0</v>
      </c>
      <c r="EI313" s="239">
        <v>0</v>
      </c>
      <c r="EJ313" s="239">
        <v>0</v>
      </c>
      <c r="EK313" s="239">
        <v>-9301</v>
      </c>
      <c r="EL313" s="239">
        <v>0</v>
      </c>
      <c r="EM313" s="239">
        <v>-9301</v>
      </c>
      <c r="EN313" s="239">
        <v>-629930</v>
      </c>
      <c r="EO313" s="239">
        <v>0</v>
      </c>
      <c r="EP313" s="239">
        <v>-629930</v>
      </c>
      <c r="EQ313" s="239">
        <v>0</v>
      </c>
      <c r="ER313" s="239">
        <v>0</v>
      </c>
      <c r="ES313" s="239">
        <v>0</v>
      </c>
      <c r="ET313" s="239">
        <v>0</v>
      </c>
      <c r="EU313" s="239">
        <v>0</v>
      </c>
      <c r="EV313" s="239">
        <v>0</v>
      </c>
      <c r="EW313" s="239">
        <v>0</v>
      </c>
      <c r="EX313" s="239">
        <v>0</v>
      </c>
      <c r="EY313" s="239">
        <v>0</v>
      </c>
      <c r="EZ313" s="239">
        <v>37799965</v>
      </c>
      <c r="FA313" s="239">
        <v>0</v>
      </c>
      <c r="FB313" s="239">
        <v>37799965</v>
      </c>
      <c r="FC313" s="239">
        <v>17768</v>
      </c>
      <c r="FD313" s="239">
        <v>0</v>
      </c>
      <c r="FE313" s="239">
        <v>17768</v>
      </c>
      <c r="FF313" s="239">
        <v>-4368774</v>
      </c>
      <c r="FG313" s="239">
        <v>0</v>
      </c>
      <c r="FH313" s="239">
        <v>-4368774</v>
      </c>
      <c r="FI313" s="239">
        <v>-971032</v>
      </c>
      <c r="FJ313" s="239">
        <v>0</v>
      </c>
      <c r="FK313" s="239">
        <v>-971032</v>
      </c>
      <c r="FL313" s="239">
        <v>-62247</v>
      </c>
      <c r="FM313" s="239">
        <v>0</v>
      </c>
      <c r="FN313" s="239">
        <v>-62247</v>
      </c>
      <c r="FO313" s="239">
        <v>-629930</v>
      </c>
      <c r="FP313" s="239">
        <v>0</v>
      </c>
      <c r="FQ313" s="239">
        <v>-629930</v>
      </c>
      <c r="FR313" s="239">
        <v>0</v>
      </c>
      <c r="FS313" s="239">
        <v>0</v>
      </c>
      <c r="FT313" s="239">
        <v>0</v>
      </c>
      <c r="FU313" s="239">
        <v>-6014215</v>
      </c>
      <c r="FV313" s="239">
        <v>0</v>
      </c>
      <c r="FW313" s="239">
        <v>-6014215</v>
      </c>
      <c r="FX313" s="239">
        <v>31785750</v>
      </c>
      <c r="FY313" s="239">
        <v>0</v>
      </c>
      <c r="FZ313" s="239">
        <v>31785750</v>
      </c>
      <c r="GA313" s="214" t="s">
        <v>1294</v>
      </c>
    </row>
    <row r="314" spans="2:183" s="214" customFormat="1" x14ac:dyDescent="0.2">
      <c r="B314" s="610" t="s">
        <v>711</v>
      </c>
      <c r="C314" s="610" t="s">
        <v>710</v>
      </c>
      <c r="D314" s="239">
        <v>0</v>
      </c>
      <c r="E314" s="239">
        <v>0</v>
      </c>
      <c r="F314" s="239">
        <v>0</v>
      </c>
      <c r="G314" s="239">
        <v>-1375</v>
      </c>
      <c r="H314" s="239">
        <v>0</v>
      </c>
      <c r="I314" s="239">
        <v>-1375</v>
      </c>
      <c r="J314" s="239">
        <v>0</v>
      </c>
      <c r="K314" s="239">
        <v>0</v>
      </c>
      <c r="L314" s="239">
        <v>0</v>
      </c>
      <c r="M314" s="239">
        <v>4840041</v>
      </c>
      <c r="N314" s="239">
        <v>0</v>
      </c>
      <c r="O314" s="239">
        <v>4840041</v>
      </c>
      <c r="P314" s="239">
        <v>4838666</v>
      </c>
      <c r="Q314" s="239">
        <v>0</v>
      </c>
      <c r="R314" s="239">
        <v>4838666</v>
      </c>
      <c r="S314" s="239">
        <v>-1439214</v>
      </c>
      <c r="T314" s="239">
        <v>0</v>
      </c>
      <c r="U314" s="239">
        <v>-1439214</v>
      </c>
      <c r="V314" s="239">
        <v>-600</v>
      </c>
      <c r="W314" s="239">
        <v>0</v>
      </c>
      <c r="X314" s="239">
        <v>-600</v>
      </c>
      <c r="Y314" s="239">
        <v>-141568</v>
      </c>
      <c r="Z314" s="239">
        <v>0</v>
      </c>
      <c r="AA314" s="239">
        <v>-141568</v>
      </c>
      <c r="AB314" s="239">
        <v>-80</v>
      </c>
      <c r="AC314" s="239">
        <v>0</v>
      </c>
      <c r="AD314" s="239">
        <v>-80</v>
      </c>
      <c r="AE314" s="239">
        <v>0</v>
      </c>
      <c r="AF314" s="239">
        <v>0</v>
      </c>
      <c r="AG314" s="239">
        <v>0</v>
      </c>
      <c r="AH314" s="239">
        <v>370147</v>
      </c>
      <c r="AI314" s="239">
        <v>0</v>
      </c>
      <c r="AJ314" s="239">
        <v>370147</v>
      </c>
      <c r="AK314" s="239">
        <v>-132952</v>
      </c>
      <c r="AL314" s="239">
        <v>0</v>
      </c>
      <c r="AM314" s="239">
        <v>-132952</v>
      </c>
      <c r="AN314" s="239">
        <v>-631293</v>
      </c>
      <c r="AO314" s="239">
        <v>0</v>
      </c>
      <c r="AP314" s="239">
        <v>-631293</v>
      </c>
      <c r="AQ314" s="239">
        <v>2715</v>
      </c>
      <c r="AR314" s="239">
        <v>0</v>
      </c>
      <c r="AS314" s="239">
        <v>2715</v>
      </c>
      <c r="AT314" s="239">
        <v>-11655</v>
      </c>
      <c r="AU314" s="239">
        <v>0</v>
      </c>
      <c r="AV314" s="239">
        <v>-11655</v>
      </c>
      <c r="AW314" s="239">
        <v>0</v>
      </c>
      <c r="AX314" s="239">
        <v>0</v>
      </c>
      <c r="AY314" s="239">
        <v>0</v>
      </c>
      <c r="AZ314" s="239">
        <v>-38651</v>
      </c>
      <c r="BA314" s="239">
        <v>0</v>
      </c>
      <c r="BB314" s="239">
        <v>-38651</v>
      </c>
      <c r="BC314" s="239">
        <v>22869</v>
      </c>
      <c r="BD314" s="239">
        <v>0</v>
      </c>
      <c r="BE314" s="239">
        <v>22869</v>
      </c>
      <c r="BF314" s="239">
        <v>-1999602</v>
      </c>
      <c r="BG314" s="239">
        <v>0</v>
      </c>
      <c r="BH314" s="239">
        <v>-1999602</v>
      </c>
      <c r="BI314" s="239">
        <v>-5326</v>
      </c>
      <c r="BJ314" s="239">
        <v>0</v>
      </c>
      <c r="BK314" s="239">
        <v>-5326</v>
      </c>
      <c r="BL314" s="239">
        <v>0</v>
      </c>
      <c r="BM314" s="239">
        <v>0</v>
      </c>
      <c r="BN314" s="239">
        <v>0</v>
      </c>
      <c r="BO314" s="239">
        <v>-107973</v>
      </c>
      <c r="BP314" s="239">
        <v>0</v>
      </c>
      <c r="BQ314" s="239">
        <v>-107973</v>
      </c>
      <c r="BR314" s="239">
        <v>-24091</v>
      </c>
      <c r="BS314" s="239">
        <v>0</v>
      </c>
      <c r="BT314" s="239">
        <v>-24091</v>
      </c>
      <c r="BU314" s="239">
        <v>-137390</v>
      </c>
      <c r="BV314" s="239">
        <v>0</v>
      </c>
      <c r="BW314" s="239">
        <v>-137390</v>
      </c>
      <c r="BX314" s="239">
        <v>-32873</v>
      </c>
      <c r="BY314" s="239">
        <v>0</v>
      </c>
      <c r="BZ314" s="239">
        <v>-32873</v>
      </c>
      <c r="CA314" s="239">
        <v>211</v>
      </c>
      <c r="CB314" s="239">
        <v>0</v>
      </c>
      <c r="CC314" s="239">
        <v>211</v>
      </c>
      <c r="CD314" s="239">
        <v>0</v>
      </c>
      <c r="CE314" s="239">
        <v>0</v>
      </c>
      <c r="CF314" s="239">
        <v>0</v>
      </c>
      <c r="CG314" s="239">
        <v>0</v>
      </c>
      <c r="CH314" s="239">
        <v>0</v>
      </c>
      <c r="CI314" s="239">
        <v>0</v>
      </c>
      <c r="CJ314" s="239">
        <v>-2411</v>
      </c>
      <c r="CK314" s="239">
        <v>0</v>
      </c>
      <c r="CL314" s="239">
        <v>-2411</v>
      </c>
      <c r="CM314" s="239">
        <v>0</v>
      </c>
      <c r="CN314" s="239">
        <v>0</v>
      </c>
      <c r="CO314" s="239">
        <v>0</v>
      </c>
      <c r="CP314" s="239">
        <v>-90389</v>
      </c>
      <c r="CQ314" s="239">
        <v>0</v>
      </c>
      <c r="CR314" s="239">
        <v>-90389</v>
      </c>
      <c r="CS314" s="239">
        <v>20941</v>
      </c>
      <c r="CT314" s="239">
        <v>0</v>
      </c>
      <c r="CU314" s="239">
        <v>20941</v>
      </c>
      <c r="CV314" s="239">
        <v>-76809</v>
      </c>
      <c r="CW314" s="239">
        <v>0</v>
      </c>
      <c r="CX314" s="239">
        <v>-76809</v>
      </c>
      <c r="CY314" s="239">
        <v>25292</v>
      </c>
      <c r="CZ314" s="239">
        <v>0</v>
      </c>
      <c r="DA314" s="239">
        <v>25292</v>
      </c>
      <c r="DB314" s="239">
        <v>0</v>
      </c>
      <c r="DC314" s="239">
        <v>0</v>
      </c>
      <c r="DD314" s="239">
        <v>0</v>
      </c>
      <c r="DE314" s="239">
        <v>25590</v>
      </c>
      <c r="DF314" s="239">
        <v>0</v>
      </c>
      <c r="DG314" s="239">
        <v>25590</v>
      </c>
      <c r="DH314" s="239">
        <v>0</v>
      </c>
      <c r="DI314" s="239">
        <v>0</v>
      </c>
      <c r="DJ314" s="239">
        <v>-130448</v>
      </c>
      <c r="DK314" s="239">
        <v>0</v>
      </c>
      <c r="DL314" s="239">
        <v>-130448</v>
      </c>
      <c r="DM314" s="239">
        <v>-2491</v>
      </c>
      <c r="DN314" s="239">
        <v>0</v>
      </c>
      <c r="DO314" s="239">
        <v>-2491</v>
      </c>
      <c r="DP314" s="239">
        <v>0</v>
      </c>
      <c r="DQ314" s="239">
        <v>0</v>
      </c>
      <c r="DR314" s="239">
        <v>0</v>
      </c>
      <c r="DS314" s="239">
        <v>0</v>
      </c>
      <c r="DT314" s="239">
        <v>0</v>
      </c>
      <c r="DU314" s="239">
        <v>0</v>
      </c>
      <c r="DV314" s="239">
        <v>0</v>
      </c>
      <c r="DW314" s="239">
        <v>0</v>
      </c>
      <c r="DX314" s="239">
        <v>0</v>
      </c>
      <c r="DY314" s="239">
        <v>-260848</v>
      </c>
      <c r="DZ314" s="239">
        <v>0</v>
      </c>
      <c r="EA314" s="239">
        <v>-260848</v>
      </c>
      <c r="EB314" s="239">
        <v>-11229</v>
      </c>
      <c r="EC314" s="239">
        <v>0</v>
      </c>
      <c r="ED314" s="239">
        <v>-11229</v>
      </c>
      <c r="EE314" s="239">
        <v>0</v>
      </c>
      <c r="EF314" s="239">
        <v>0</v>
      </c>
      <c r="EG314" s="239">
        <v>0</v>
      </c>
      <c r="EH314" s="239">
        <v>0</v>
      </c>
      <c r="EI314" s="239">
        <v>0</v>
      </c>
      <c r="EJ314" s="239">
        <v>0</v>
      </c>
      <c r="EK314" s="239">
        <v>-14314</v>
      </c>
      <c r="EL314" s="239">
        <v>0</v>
      </c>
      <c r="EM314" s="239">
        <v>-14314</v>
      </c>
      <c r="EN314" s="239">
        <v>-288882</v>
      </c>
      <c r="EO314" s="239">
        <v>0</v>
      </c>
      <c r="EP314" s="239">
        <v>-288882</v>
      </c>
      <c r="EQ314" s="239">
        <v>0</v>
      </c>
      <c r="ER314" s="239">
        <v>0</v>
      </c>
      <c r="ES314" s="239">
        <v>0</v>
      </c>
      <c r="ET314" s="239">
        <v>0</v>
      </c>
      <c r="EU314" s="239">
        <v>0</v>
      </c>
      <c r="EV314" s="239">
        <v>0</v>
      </c>
      <c r="EW314" s="239">
        <v>0</v>
      </c>
      <c r="EX314" s="239">
        <v>0</v>
      </c>
      <c r="EY314" s="239">
        <v>0</v>
      </c>
      <c r="EZ314" s="239">
        <v>6479269</v>
      </c>
      <c r="FA314" s="239">
        <v>0</v>
      </c>
      <c r="FB314" s="239">
        <v>6479269</v>
      </c>
      <c r="FC314" s="239">
        <v>4838666</v>
      </c>
      <c r="FD314" s="239">
        <v>0</v>
      </c>
      <c r="FE314" s="239">
        <v>4838666</v>
      </c>
      <c r="FF314" s="239">
        <v>-1999602</v>
      </c>
      <c r="FG314" s="239">
        <v>0</v>
      </c>
      <c r="FH314" s="239">
        <v>-1999602</v>
      </c>
      <c r="FI314" s="239">
        <v>-137390</v>
      </c>
      <c r="FJ314" s="239">
        <v>0</v>
      </c>
      <c r="FK314" s="239">
        <v>-137390</v>
      </c>
      <c r="FL314" s="239">
        <v>-130448</v>
      </c>
      <c r="FM314" s="239">
        <v>0</v>
      </c>
      <c r="FN314" s="239">
        <v>-130448</v>
      </c>
      <c r="FO314" s="239">
        <v>-288882</v>
      </c>
      <c r="FP314" s="239">
        <v>0</v>
      </c>
      <c r="FQ314" s="239">
        <v>-288882</v>
      </c>
      <c r="FR314" s="239">
        <v>0</v>
      </c>
      <c r="FS314" s="239">
        <v>0</v>
      </c>
      <c r="FT314" s="239">
        <v>0</v>
      </c>
      <c r="FU314" s="239">
        <v>2282344</v>
      </c>
      <c r="FV314" s="239">
        <v>0</v>
      </c>
      <c r="FW314" s="239">
        <v>2282344</v>
      </c>
      <c r="FX314" s="239">
        <v>8761613</v>
      </c>
      <c r="FY314" s="239">
        <v>0</v>
      </c>
      <c r="FZ314" s="239">
        <v>8761613</v>
      </c>
      <c r="GA314" s="214" t="s">
        <v>1294</v>
      </c>
    </row>
    <row r="315" spans="2:183" s="214" customFormat="1" x14ac:dyDescent="0.2">
      <c r="B315" s="610" t="s">
        <v>713</v>
      </c>
      <c r="C315" s="610" t="s">
        <v>712</v>
      </c>
      <c r="D315" s="239">
        <v>0</v>
      </c>
      <c r="E315" s="239">
        <v>0</v>
      </c>
      <c r="F315" s="239">
        <v>0</v>
      </c>
      <c r="G315" s="239">
        <v>38492942</v>
      </c>
      <c r="H315" s="239">
        <v>0</v>
      </c>
      <c r="I315" s="239">
        <v>38492942</v>
      </c>
      <c r="J315" s="239">
        <v>0</v>
      </c>
      <c r="K315" s="239">
        <v>0</v>
      </c>
      <c r="L315" s="239">
        <v>0</v>
      </c>
      <c r="M315" s="239">
        <v>830627</v>
      </c>
      <c r="N315" s="239">
        <v>0</v>
      </c>
      <c r="O315" s="239">
        <v>830627</v>
      </c>
      <c r="P315" s="239">
        <v>39323569</v>
      </c>
      <c r="Q315" s="239">
        <v>0</v>
      </c>
      <c r="R315" s="239">
        <v>39323569</v>
      </c>
      <c r="S315" s="239">
        <v>-2353478</v>
      </c>
      <c r="T315" s="239">
        <v>0</v>
      </c>
      <c r="U315" s="239">
        <v>-2353478</v>
      </c>
      <c r="V315" s="239">
        <v>0</v>
      </c>
      <c r="W315" s="239">
        <v>0</v>
      </c>
      <c r="X315" s="239">
        <v>0</v>
      </c>
      <c r="Y315" s="239">
        <v>-399897</v>
      </c>
      <c r="Z315" s="239">
        <v>0</v>
      </c>
      <c r="AA315" s="239">
        <v>-399897</v>
      </c>
      <c r="AB315" s="239">
        <v>-300611</v>
      </c>
      <c r="AC315" s="239">
        <v>0</v>
      </c>
      <c r="AD315" s="239">
        <v>-300611</v>
      </c>
      <c r="AE315" s="239">
        <v>0</v>
      </c>
      <c r="AF315" s="239">
        <v>0</v>
      </c>
      <c r="AG315" s="239">
        <v>0</v>
      </c>
      <c r="AH315" s="239">
        <v>51585508</v>
      </c>
      <c r="AI315" s="239">
        <v>0</v>
      </c>
      <c r="AJ315" s="239">
        <v>51585508</v>
      </c>
      <c r="AK315" s="239">
        <v>-2081054</v>
      </c>
      <c r="AL315" s="239">
        <v>0</v>
      </c>
      <c r="AM315" s="239">
        <v>-2081054</v>
      </c>
      <c r="AN315" s="239">
        <v>-64586685</v>
      </c>
      <c r="AO315" s="239">
        <v>0</v>
      </c>
      <c r="AP315" s="239">
        <v>-64586685</v>
      </c>
      <c r="AQ315" s="239">
        <v>4659016</v>
      </c>
      <c r="AR315" s="239">
        <v>0</v>
      </c>
      <c r="AS315" s="239">
        <v>4659016</v>
      </c>
      <c r="AT315" s="239">
        <v>-23270</v>
      </c>
      <c r="AU315" s="239">
        <v>0</v>
      </c>
      <c r="AV315" s="239">
        <v>-23270</v>
      </c>
      <c r="AW315" s="239">
        <v>0</v>
      </c>
      <c r="AX315" s="239">
        <v>0</v>
      </c>
      <c r="AY315" s="239">
        <v>0</v>
      </c>
      <c r="AZ315" s="239">
        <v>0</v>
      </c>
      <c r="BA315" s="239">
        <v>0</v>
      </c>
      <c r="BB315" s="239">
        <v>0</v>
      </c>
      <c r="BC315" s="239">
        <v>0</v>
      </c>
      <c r="BD315" s="239">
        <v>0</v>
      </c>
      <c r="BE315" s="239">
        <v>0</v>
      </c>
      <c r="BF315" s="239">
        <v>-13199860</v>
      </c>
      <c r="BG315" s="239">
        <v>0</v>
      </c>
      <c r="BH315" s="239">
        <v>-13199860</v>
      </c>
      <c r="BI315" s="239">
        <v>-6241404</v>
      </c>
      <c r="BJ315" s="239">
        <v>0</v>
      </c>
      <c r="BK315" s="239">
        <v>-6241404</v>
      </c>
      <c r="BL315" s="239">
        <v>-3264787</v>
      </c>
      <c r="BM315" s="239">
        <v>0</v>
      </c>
      <c r="BN315" s="239">
        <v>-3264787</v>
      </c>
      <c r="BO315" s="239">
        <v>-120940682</v>
      </c>
      <c r="BP315" s="239">
        <v>0</v>
      </c>
      <c r="BQ315" s="239">
        <v>-120940682</v>
      </c>
      <c r="BR315" s="239">
        <v>-1666646</v>
      </c>
      <c r="BS315" s="239">
        <v>0</v>
      </c>
      <c r="BT315" s="239">
        <v>-1666646</v>
      </c>
      <c r="BU315" s="239">
        <v>-132113519</v>
      </c>
      <c r="BV315" s="239">
        <v>0</v>
      </c>
      <c r="BW315" s="239">
        <v>-132113519</v>
      </c>
      <c r="BX315" s="239">
        <v>-390590</v>
      </c>
      <c r="BY315" s="239">
        <v>0</v>
      </c>
      <c r="BZ315" s="239">
        <v>-390590</v>
      </c>
      <c r="CA315" s="239">
        <v>-11631</v>
      </c>
      <c r="CB315" s="239">
        <v>0</v>
      </c>
      <c r="CC315" s="239">
        <v>-11631</v>
      </c>
      <c r="CD315" s="239">
        <v>-13496</v>
      </c>
      <c r="CE315" s="239">
        <v>0</v>
      </c>
      <c r="CF315" s="239">
        <v>-13496</v>
      </c>
      <c r="CG315" s="239">
        <v>0</v>
      </c>
      <c r="CH315" s="239">
        <v>0</v>
      </c>
      <c r="CI315" s="239">
        <v>0</v>
      </c>
      <c r="CJ315" s="239">
        <v>-5817</v>
      </c>
      <c r="CK315" s="239">
        <v>0</v>
      </c>
      <c r="CL315" s="239">
        <v>-5817</v>
      </c>
      <c r="CM315" s="239">
        <v>0</v>
      </c>
      <c r="CN315" s="239">
        <v>0</v>
      </c>
      <c r="CO315" s="239">
        <v>0</v>
      </c>
      <c r="CP315" s="239">
        <v>0</v>
      </c>
      <c r="CQ315" s="239">
        <v>0</v>
      </c>
      <c r="CR315" s="239">
        <v>0</v>
      </c>
      <c r="CS315" s="239">
        <v>0</v>
      </c>
      <c r="CT315" s="239">
        <v>0</v>
      </c>
      <c r="CU315" s="239">
        <v>0</v>
      </c>
      <c r="CV315" s="239">
        <v>0</v>
      </c>
      <c r="CW315" s="239">
        <v>0</v>
      </c>
      <c r="CX315" s="239">
        <v>0</v>
      </c>
      <c r="CY315" s="239">
        <v>0</v>
      </c>
      <c r="CZ315" s="239">
        <v>0</v>
      </c>
      <c r="DA315" s="239">
        <v>0</v>
      </c>
      <c r="DB315" s="239">
        <v>0</v>
      </c>
      <c r="DC315" s="239">
        <v>0</v>
      </c>
      <c r="DD315" s="239">
        <v>0</v>
      </c>
      <c r="DE315" s="239">
        <v>0</v>
      </c>
      <c r="DF315" s="239">
        <v>0</v>
      </c>
      <c r="DG315" s="239">
        <v>0</v>
      </c>
      <c r="DH315" s="239">
        <v>0</v>
      </c>
      <c r="DI315" s="239">
        <v>0</v>
      </c>
      <c r="DJ315" s="239">
        <v>-421534</v>
      </c>
      <c r="DK315" s="239">
        <v>0</v>
      </c>
      <c r="DL315" s="239">
        <v>-421534</v>
      </c>
      <c r="DM315" s="239">
        <v>-10921</v>
      </c>
      <c r="DN315" s="239">
        <v>0</v>
      </c>
      <c r="DO315" s="239">
        <v>-10921</v>
      </c>
      <c r="DP315" s="239">
        <v>-194259</v>
      </c>
      <c r="DQ315" s="239">
        <v>0</v>
      </c>
      <c r="DR315" s="239">
        <v>-194259</v>
      </c>
      <c r="DS315" s="239">
        <v>-203883</v>
      </c>
      <c r="DT315" s="239">
        <v>0</v>
      </c>
      <c r="DU315" s="239">
        <v>-203883</v>
      </c>
      <c r="DV315" s="239">
        <v>-24600</v>
      </c>
      <c r="DW315" s="239">
        <v>0</v>
      </c>
      <c r="DX315" s="239">
        <v>-24600</v>
      </c>
      <c r="DY315" s="239">
        <v>-3341210</v>
      </c>
      <c r="DZ315" s="239">
        <v>0</v>
      </c>
      <c r="EA315" s="239">
        <v>-3341210</v>
      </c>
      <c r="EB315" s="239">
        <v>-91330</v>
      </c>
      <c r="EC315" s="239">
        <v>0</v>
      </c>
      <c r="ED315" s="239">
        <v>-91330</v>
      </c>
      <c r="EE315" s="239">
        <v>0</v>
      </c>
      <c r="EF315" s="239">
        <v>0</v>
      </c>
      <c r="EG315" s="239">
        <v>0</v>
      </c>
      <c r="EH315" s="239">
        <v>0</v>
      </c>
      <c r="EI315" s="239">
        <v>0</v>
      </c>
      <c r="EJ315" s="239">
        <v>0</v>
      </c>
      <c r="EK315" s="239">
        <v>-40183</v>
      </c>
      <c r="EL315" s="239">
        <v>0</v>
      </c>
      <c r="EM315" s="239">
        <v>-40183</v>
      </c>
      <c r="EN315" s="239">
        <v>-3906386</v>
      </c>
      <c r="EO315" s="239">
        <v>0</v>
      </c>
      <c r="EP315" s="239">
        <v>-3906386</v>
      </c>
      <c r="EQ315" s="239">
        <v>-21165</v>
      </c>
      <c r="ER315" s="239">
        <v>0</v>
      </c>
      <c r="ES315" s="239">
        <v>-21165</v>
      </c>
      <c r="ET315" s="239">
        <v>-92756</v>
      </c>
      <c r="EU315" s="239">
        <v>0</v>
      </c>
      <c r="EV315" s="239">
        <v>-92756</v>
      </c>
      <c r="EW315" s="239">
        <v>-113921</v>
      </c>
      <c r="EX315" s="239">
        <v>0</v>
      </c>
      <c r="EY315" s="239">
        <v>-113921</v>
      </c>
      <c r="EZ315" s="239">
        <v>1858160850</v>
      </c>
      <c r="FA315" s="239">
        <v>0</v>
      </c>
      <c r="FB315" s="239">
        <v>1858160850</v>
      </c>
      <c r="FC315" s="239">
        <v>39323569</v>
      </c>
      <c r="FD315" s="239">
        <v>0</v>
      </c>
      <c r="FE315" s="239">
        <v>39323569</v>
      </c>
      <c r="FF315" s="239">
        <v>-13199860</v>
      </c>
      <c r="FG315" s="239">
        <v>0</v>
      </c>
      <c r="FH315" s="239">
        <v>-13199860</v>
      </c>
      <c r="FI315" s="239">
        <v>-132113519</v>
      </c>
      <c r="FJ315" s="239">
        <v>0</v>
      </c>
      <c r="FK315" s="239">
        <v>-132113519</v>
      </c>
      <c r="FL315" s="239">
        <v>-421534</v>
      </c>
      <c r="FM315" s="239">
        <v>0</v>
      </c>
      <c r="FN315" s="239">
        <v>-421534</v>
      </c>
      <c r="FO315" s="239">
        <v>-3906386</v>
      </c>
      <c r="FP315" s="239">
        <v>0</v>
      </c>
      <c r="FQ315" s="239">
        <v>-3906386</v>
      </c>
      <c r="FR315" s="239">
        <v>-113921</v>
      </c>
      <c r="FS315" s="239">
        <v>0</v>
      </c>
      <c r="FT315" s="239">
        <v>-113921</v>
      </c>
      <c r="FU315" s="239">
        <v>-110431651</v>
      </c>
      <c r="FV315" s="239">
        <v>0</v>
      </c>
      <c r="FW315" s="239">
        <v>-110431651</v>
      </c>
      <c r="FX315" s="239">
        <v>1747729199</v>
      </c>
      <c r="FY315" s="239">
        <v>0</v>
      </c>
      <c r="FZ315" s="239">
        <v>1747729199</v>
      </c>
      <c r="GA315" s="214" t="s">
        <v>1297</v>
      </c>
    </row>
    <row r="316" spans="2:183" s="214" customFormat="1" x14ac:dyDescent="0.2">
      <c r="B316" s="610" t="s">
        <v>715</v>
      </c>
      <c r="C316" s="610" t="s">
        <v>714</v>
      </c>
      <c r="D316" s="239">
        <v>0</v>
      </c>
      <c r="E316" s="239">
        <v>0</v>
      </c>
      <c r="F316" s="239">
        <v>0</v>
      </c>
      <c r="G316" s="239">
        <v>-16034</v>
      </c>
      <c r="H316" s="239">
        <v>0</v>
      </c>
      <c r="I316" s="239">
        <v>-16034</v>
      </c>
      <c r="J316" s="239">
        <v>0</v>
      </c>
      <c r="K316" s="239">
        <v>0</v>
      </c>
      <c r="L316" s="239">
        <v>0</v>
      </c>
      <c r="M316" s="239">
        <v>4465</v>
      </c>
      <c r="N316" s="239">
        <v>0</v>
      </c>
      <c r="O316" s="239">
        <v>4465</v>
      </c>
      <c r="P316" s="239">
        <v>-11569</v>
      </c>
      <c r="Q316" s="239">
        <v>0</v>
      </c>
      <c r="R316" s="239">
        <v>-11569</v>
      </c>
      <c r="S316" s="239">
        <v>-1632830</v>
      </c>
      <c r="T316" s="239">
        <v>0</v>
      </c>
      <c r="U316" s="239">
        <v>-1632830</v>
      </c>
      <c r="V316" s="239">
        <v>-3408</v>
      </c>
      <c r="W316" s="239">
        <v>0</v>
      </c>
      <c r="X316" s="239">
        <v>-3408</v>
      </c>
      <c r="Y316" s="239">
        <v>-71484</v>
      </c>
      <c r="Z316" s="239">
        <v>0</v>
      </c>
      <c r="AA316" s="239">
        <v>-71484</v>
      </c>
      <c r="AB316" s="239">
        <v>-56067</v>
      </c>
      <c r="AC316" s="239">
        <v>0</v>
      </c>
      <c r="AD316" s="239">
        <v>-56067</v>
      </c>
      <c r="AE316" s="239">
        <v>0</v>
      </c>
      <c r="AF316" s="239">
        <v>0</v>
      </c>
      <c r="AG316" s="239">
        <v>0</v>
      </c>
      <c r="AH316" s="239">
        <v>464189</v>
      </c>
      <c r="AI316" s="239">
        <v>0</v>
      </c>
      <c r="AJ316" s="239">
        <v>464189</v>
      </c>
      <c r="AK316" s="239">
        <v>-7805</v>
      </c>
      <c r="AL316" s="239">
        <v>0</v>
      </c>
      <c r="AM316" s="239">
        <v>-7805</v>
      </c>
      <c r="AN316" s="239">
        <v>-1201228</v>
      </c>
      <c r="AO316" s="239">
        <v>0</v>
      </c>
      <c r="AP316" s="239">
        <v>-1201228</v>
      </c>
      <c r="AQ316" s="239">
        <v>-2903</v>
      </c>
      <c r="AR316" s="239">
        <v>0</v>
      </c>
      <c r="AS316" s="239">
        <v>-2903</v>
      </c>
      <c r="AT316" s="239">
        <v>-73132</v>
      </c>
      <c r="AU316" s="239">
        <v>0</v>
      </c>
      <c r="AV316" s="239">
        <v>-73132</v>
      </c>
      <c r="AW316" s="239">
        <v>0</v>
      </c>
      <c r="AX316" s="239">
        <v>0</v>
      </c>
      <c r="AY316" s="239">
        <v>0</v>
      </c>
      <c r="AZ316" s="239">
        <v>0</v>
      </c>
      <c r="BA316" s="239">
        <v>0</v>
      </c>
      <c r="BB316" s="239">
        <v>0</v>
      </c>
      <c r="BC316" s="239">
        <v>0</v>
      </c>
      <c r="BD316" s="239">
        <v>0</v>
      </c>
      <c r="BE316" s="239">
        <v>0</v>
      </c>
      <c r="BF316" s="239">
        <v>-2525193</v>
      </c>
      <c r="BG316" s="239">
        <v>0</v>
      </c>
      <c r="BH316" s="239">
        <v>-2525193</v>
      </c>
      <c r="BI316" s="239">
        <v>-2757</v>
      </c>
      <c r="BJ316" s="239">
        <v>0</v>
      </c>
      <c r="BK316" s="239">
        <v>-2757</v>
      </c>
      <c r="BL316" s="239">
        <v>0</v>
      </c>
      <c r="BM316" s="239">
        <v>0</v>
      </c>
      <c r="BN316" s="239">
        <v>0</v>
      </c>
      <c r="BO316" s="239">
        <v>-594837</v>
      </c>
      <c r="BP316" s="239">
        <v>0</v>
      </c>
      <c r="BQ316" s="239">
        <v>-594837</v>
      </c>
      <c r="BR316" s="239">
        <v>10493</v>
      </c>
      <c r="BS316" s="239">
        <v>0</v>
      </c>
      <c r="BT316" s="239">
        <v>10493</v>
      </c>
      <c r="BU316" s="239">
        <v>-587101</v>
      </c>
      <c r="BV316" s="239">
        <v>0</v>
      </c>
      <c r="BW316" s="239">
        <v>-587101</v>
      </c>
      <c r="BX316" s="239">
        <v>-26104</v>
      </c>
      <c r="BY316" s="239">
        <v>0</v>
      </c>
      <c r="BZ316" s="239">
        <v>-26104</v>
      </c>
      <c r="CA316" s="239">
        <v>0</v>
      </c>
      <c r="CB316" s="239">
        <v>0</v>
      </c>
      <c r="CC316" s="239">
        <v>0</v>
      </c>
      <c r="CD316" s="239">
        <v>-97508</v>
      </c>
      <c r="CE316" s="239">
        <v>0</v>
      </c>
      <c r="CF316" s="239">
        <v>-97508</v>
      </c>
      <c r="CG316" s="239">
        <v>0</v>
      </c>
      <c r="CH316" s="239">
        <v>0</v>
      </c>
      <c r="CI316" s="239">
        <v>0</v>
      </c>
      <c r="CJ316" s="239">
        <v>0</v>
      </c>
      <c r="CK316" s="239">
        <v>0</v>
      </c>
      <c r="CL316" s="239">
        <v>0</v>
      </c>
      <c r="CM316" s="239">
        <v>0</v>
      </c>
      <c r="CN316" s="239">
        <v>0</v>
      </c>
      <c r="CO316" s="239">
        <v>0</v>
      </c>
      <c r="CP316" s="239">
        <v>0</v>
      </c>
      <c r="CQ316" s="239">
        <v>0</v>
      </c>
      <c r="CR316" s="239">
        <v>0</v>
      </c>
      <c r="CS316" s="239">
        <v>0</v>
      </c>
      <c r="CT316" s="239">
        <v>0</v>
      </c>
      <c r="CU316" s="239">
        <v>0</v>
      </c>
      <c r="CV316" s="239">
        <v>0</v>
      </c>
      <c r="CW316" s="239">
        <v>0</v>
      </c>
      <c r="CX316" s="239">
        <v>0</v>
      </c>
      <c r="CY316" s="239">
        <v>0</v>
      </c>
      <c r="CZ316" s="239">
        <v>0</v>
      </c>
      <c r="DA316" s="239">
        <v>0</v>
      </c>
      <c r="DB316" s="239">
        <v>0</v>
      </c>
      <c r="DC316" s="239">
        <v>0</v>
      </c>
      <c r="DD316" s="239">
        <v>0</v>
      </c>
      <c r="DE316" s="239">
        <v>0</v>
      </c>
      <c r="DF316" s="239">
        <v>0</v>
      </c>
      <c r="DG316" s="239">
        <v>0</v>
      </c>
      <c r="DH316" s="239">
        <v>0</v>
      </c>
      <c r="DI316" s="239">
        <v>0</v>
      </c>
      <c r="DJ316" s="239">
        <v>-123612</v>
      </c>
      <c r="DK316" s="239">
        <v>0</v>
      </c>
      <c r="DL316" s="239">
        <v>-123612</v>
      </c>
      <c r="DM316" s="239">
        <v>0</v>
      </c>
      <c r="DN316" s="239">
        <v>0</v>
      </c>
      <c r="DO316" s="239">
        <v>0</v>
      </c>
      <c r="DP316" s="239">
        <v>0</v>
      </c>
      <c r="DQ316" s="239">
        <v>0</v>
      </c>
      <c r="DR316" s="239">
        <v>0</v>
      </c>
      <c r="DS316" s="239">
        <v>-13419</v>
      </c>
      <c r="DT316" s="239">
        <v>0</v>
      </c>
      <c r="DU316" s="239">
        <v>-13419</v>
      </c>
      <c r="DV316" s="239">
        <v>0</v>
      </c>
      <c r="DW316" s="239">
        <v>0</v>
      </c>
      <c r="DX316" s="239">
        <v>0</v>
      </c>
      <c r="DY316" s="239">
        <v>-552703</v>
      </c>
      <c r="DZ316" s="239">
        <v>0</v>
      </c>
      <c r="EA316" s="239">
        <v>-552703</v>
      </c>
      <c r="EB316" s="239">
        <v>-1344</v>
      </c>
      <c r="EC316" s="239">
        <v>0</v>
      </c>
      <c r="ED316" s="239">
        <v>-1344</v>
      </c>
      <c r="EE316" s="239">
        <v>0</v>
      </c>
      <c r="EF316" s="239">
        <v>0</v>
      </c>
      <c r="EG316" s="239">
        <v>0</v>
      </c>
      <c r="EH316" s="239">
        <v>0</v>
      </c>
      <c r="EI316" s="239">
        <v>0</v>
      </c>
      <c r="EJ316" s="239">
        <v>0</v>
      </c>
      <c r="EK316" s="239">
        <v>-2050</v>
      </c>
      <c r="EL316" s="239">
        <v>0</v>
      </c>
      <c r="EM316" s="239">
        <v>-2050</v>
      </c>
      <c r="EN316" s="239">
        <v>-569516</v>
      </c>
      <c r="EO316" s="239">
        <v>0</v>
      </c>
      <c r="EP316" s="239">
        <v>-569516</v>
      </c>
      <c r="EQ316" s="239">
        <v>0</v>
      </c>
      <c r="ER316" s="239">
        <v>0</v>
      </c>
      <c r="ES316" s="239">
        <v>0</v>
      </c>
      <c r="ET316" s="239">
        <v>0</v>
      </c>
      <c r="EU316" s="239">
        <v>0</v>
      </c>
      <c r="EV316" s="239">
        <v>0</v>
      </c>
      <c r="EW316" s="239">
        <v>0</v>
      </c>
      <c r="EX316" s="239">
        <v>0</v>
      </c>
      <c r="EY316" s="239">
        <v>0</v>
      </c>
      <c r="EZ316" s="239">
        <v>20998711</v>
      </c>
      <c r="FA316" s="239">
        <v>0</v>
      </c>
      <c r="FB316" s="239">
        <v>20998711</v>
      </c>
      <c r="FC316" s="239">
        <v>-11569</v>
      </c>
      <c r="FD316" s="239">
        <v>0</v>
      </c>
      <c r="FE316" s="239">
        <v>-11569</v>
      </c>
      <c r="FF316" s="239">
        <v>-2525193</v>
      </c>
      <c r="FG316" s="239">
        <v>0</v>
      </c>
      <c r="FH316" s="239">
        <v>-2525193</v>
      </c>
      <c r="FI316" s="239">
        <v>-587101</v>
      </c>
      <c r="FJ316" s="239">
        <v>0</v>
      </c>
      <c r="FK316" s="239">
        <v>-587101</v>
      </c>
      <c r="FL316" s="239">
        <v>-123612</v>
      </c>
      <c r="FM316" s="239">
        <v>0</v>
      </c>
      <c r="FN316" s="239">
        <v>-123612</v>
      </c>
      <c r="FO316" s="239">
        <v>-569516</v>
      </c>
      <c r="FP316" s="239">
        <v>0</v>
      </c>
      <c r="FQ316" s="239">
        <v>-569516</v>
      </c>
      <c r="FR316" s="239">
        <v>0</v>
      </c>
      <c r="FS316" s="239">
        <v>0</v>
      </c>
      <c r="FT316" s="239">
        <v>0</v>
      </c>
      <c r="FU316" s="239">
        <v>-3816991</v>
      </c>
      <c r="FV316" s="239">
        <v>0</v>
      </c>
      <c r="FW316" s="239">
        <v>-3816991</v>
      </c>
      <c r="FX316" s="239">
        <v>17181720</v>
      </c>
      <c r="FY316" s="239">
        <v>0</v>
      </c>
      <c r="FZ316" s="239">
        <v>17181720</v>
      </c>
      <c r="GA316" s="214" t="s">
        <v>1294</v>
      </c>
    </row>
    <row r="317" spans="2:183" s="214" customFormat="1" x14ac:dyDescent="0.2">
      <c r="B317" s="610" t="s">
        <v>717</v>
      </c>
      <c r="C317" s="610" t="s">
        <v>716</v>
      </c>
      <c r="D317" s="239">
        <v>0</v>
      </c>
      <c r="E317" s="239">
        <v>0</v>
      </c>
      <c r="F317" s="239">
        <v>0</v>
      </c>
      <c r="G317" s="239">
        <v>122696</v>
      </c>
      <c r="H317" s="239">
        <v>0</v>
      </c>
      <c r="I317" s="239">
        <v>122696</v>
      </c>
      <c r="J317" s="239">
        <v>0</v>
      </c>
      <c r="K317" s="239">
        <v>0</v>
      </c>
      <c r="L317" s="239">
        <v>0</v>
      </c>
      <c r="M317" s="239">
        <v>204463</v>
      </c>
      <c r="N317" s="239">
        <v>0</v>
      </c>
      <c r="O317" s="239">
        <v>204463</v>
      </c>
      <c r="P317" s="239">
        <v>327159</v>
      </c>
      <c r="Q317" s="239">
        <v>0</v>
      </c>
      <c r="R317" s="239">
        <v>327159</v>
      </c>
      <c r="S317" s="239">
        <v>-7039080</v>
      </c>
      <c r="T317" s="239">
        <v>0</v>
      </c>
      <c r="U317" s="239">
        <v>-7039080</v>
      </c>
      <c r="V317" s="239">
        <v>-37788</v>
      </c>
      <c r="W317" s="239">
        <v>0</v>
      </c>
      <c r="X317" s="239">
        <v>-37788</v>
      </c>
      <c r="Y317" s="239">
        <v>-83454</v>
      </c>
      <c r="Z317" s="239">
        <v>0</v>
      </c>
      <c r="AA317" s="239">
        <v>-83454</v>
      </c>
      <c r="AB317" s="239">
        <v>0</v>
      </c>
      <c r="AC317" s="239">
        <v>0</v>
      </c>
      <c r="AD317" s="239">
        <v>0</v>
      </c>
      <c r="AE317" s="239">
        <v>-1633</v>
      </c>
      <c r="AF317" s="239">
        <v>0</v>
      </c>
      <c r="AG317" s="239">
        <v>-1633</v>
      </c>
      <c r="AH317" s="239">
        <v>2172630</v>
      </c>
      <c r="AI317" s="239">
        <v>0</v>
      </c>
      <c r="AJ317" s="239">
        <v>2172630</v>
      </c>
      <c r="AK317" s="239">
        <v>88081</v>
      </c>
      <c r="AL317" s="239">
        <v>0</v>
      </c>
      <c r="AM317" s="239">
        <v>88081</v>
      </c>
      <c r="AN317" s="239">
        <v>-5214913</v>
      </c>
      <c r="AO317" s="239">
        <v>0</v>
      </c>
      <c r="AP317" s="239">
        <v>-5214913</v>
      </c>
      <c r="AQ317" s="239">
        <v>-114979</v>
      </c>
      <c r="AR317" s="239">
        <v>0</v>
      </c>
      <c r="AS317" s="239">
        <v>-114979</v>
      </c>
      <c r="AT317" s="239">
        <v>-153931</v>
      </c>
      <c r="AU317" s="239">
        <v>0</v>
      </c>
      <c r="AV317" s="239">
        <v>-153931</v>
      </c>
      <c r="AW317" s="239">
        <v>0</v>
      </c>
      <c r="AX317" s="239">
        <v>0</v>
      </c>
      <c r="AY317" s="239">
        <v>0</v>
      </c>
      <c r="AZ317" s="239">
        <v>0</v>
      </c>
      <c r="BA317" s="239">
        <v>0</v>
      </c>
      <c r="BB317" s="239">
        <v>0</v>
      </c>
      <c r="BC317" s="239">
        <v>0</v>
      </c>
      <c r="BD317" s="239">
        <v>0</v>
      </c>
      <c r="BE317" s="239">
        <v>0</v>
      </c>
      <c r="BF317" s="239">
        <v>-10345646</v>
      </c>
      <c r="BG317" s="239">
        <v>0</v>
      </c>
      <c r="BH317" s="239">
        <v>-10345646</v>
      </c>
      <c r="BI317" s="239">
        <v>-65537</v>
      </c>
      <c r="BJ317" s="239">
        <v>0</v>
      </c>
      <c r="BK317" s="239">
        <v>-65537</v>
      </c>
      <c r="BL317" s="239">
        <v>-78891</v>
      </c>
      <c r="BM317" s="239">
        <v>0</v>
      </c>
      <c r="BN317" s="239">
        <v>-78891</v>
      </c>
      <c r="BO317" s="239">
        <v>-4101033</v>
      </c>
      <c r="BP317" s="239">
        <v>0</v>
      </c>
      <c r="BQ317" s="239">
        <v>-4101033</v>
      </c>
      <c r="BR317" s="239">
        <v>-222903</v>
      </c>
      <c r="BS317" s="239">
        <v>0</v>
      </c>
      <c r="BT317" s="239">
        <v>-222903</v>
      </c>
      <c r="BU317" s="239">
        <v>-4468364</v>
      </c>
      <c r="BV317" s="239">
        <v>0</v>
      </c>
      <c r="BW317" s="239">
        <v>-4468364</v>
      </c>
      <c r="BX317" s="239">
        <v>-673762</v>
      </c>
      <c r="BY317" s="239">
        <v>0</v>
      </c>
      <c r="BZ317" s="239">
        <v>-673762</v>
      </c>
      <c r="CA317" s="239">
        <v>1059</v>
      </c>
      <c r="CB317" s="239">
        <v>0</v>
      </c>
      <c r="CC317" s="239">
        <v>1059</v>
      </c>
      <c r="CD317" s="239">
        <v>-440904</v>
      </c>
      <c r="CE317" s="239">
        <v>0</v>
      </c>
      <c r="CF317" s="239">
        <v>-440904</v>
      </c>
      <c r="CG317" s="239">
        <v>-75610</v>
      </c>
      <c r="CH317" s="239">
        <v>0</v>
      </c>
      <c r="CI317" s="239">
        <v>-75610</v>
      </c>
      <c r="CJ317" s="239">
        <v>-26602</v>
      </c>
      <c r="CK317" s="239">
        <v>0</v>
      </c>
      <c r="CL317" s="239">
        <v>-26602</v>
      </c>
      <c r="CM317" s="239">
        <v>0</v>
      </c>
      <c r="CN317" s="239">
        <v>0</v>
      </c>
      <c r="CO317" s="239">
        <v>0</v>
      </c>
      <c r="CP317" s="239">
        <v>0</v>
      </c>
      <c r="CQ317" s="239">
        <v>0</v>
      </c>
      <c r="CR317" s="239">
        <v>0</v>
      </c>
      <c r="CS317" s="239">
        <v>0</v>
      </c>
      <c r="CT317" s="239">
        <v>0</v>
      </c>
      <c r="CU317" s="239">
        <v>0</v>
      </c>
      <c r="CV317" s="239">
        <v>0</v>
      </c>
      <c r="CW317" s="239">
        <v>0</v>
      </c>
      <c r="CX317" s="239">
        <v>0</v>
      </c>
      <c r="CY317" s="239">
        <v>0</v>
      </c>
      <c r="CZ317" s="239">
        <v>0</v>
      </c>
      <c r="DA317" s="239">
        <v>0</v>
      </c>
      <c r="DB317" s="239">
        <v>0</v>
      </c>
      <c r="DC317" s="239">
        <v>0</v>
      </c>
      <c r="DD317" s="239">
        <v>0</v>
      </c>
      <c r="DE317" s="239">
        <v>0</v>
      </c>
      <c r="DF317" s="239">
        <v>0</v>
      </c>
      <c r="DG317" s="239">
        <v>0</v>
      </c>
      <c r="DH317" s="239">
        <v>0</v>
      </c>
      <c r="DI317" s="239">
        <v>0</v>
      </c>
      <c r="DJ317" s="239">
        <v>-1215819</v>
      </c>
      <c r="DK317" s="239">
        <v>0</v>
      </c>
      <c r="DL317" s="239">
        <v>-1215819</v>
      </c>
      <c r="DM317" s="239">
        <v>-2742</v>
      </c>
      <c r="DN317" s="239">
        <v>0</v>
      </c>
      <c r="DO317" s="239">
        <v>-2742</v>
      </c>
      <c r="DP317" s="239">
        <v>0</v>
      </c>
      <c r="DQ317" s="239">
        <v>0</v>
      </c>
      <c r="DR317" s="239">
        <v>0</v>
      </c>
      <c r="DS317" s="239">
        <v>-85156</v>
      </c>
      <c r="DT317" s="239">
        <v>0</v>
      </c>
      <c r="DU317" s="239">
        <v>-85156</v>
      </c>
      <c r="DV317" s="239">
        <v>-7729</v>
      </c>
      <c r="DW317" s="239">
        <v>0</v>
      </c>
      <c r="DX317" s="239">
        <v>-7729</v>
      </c>
      <c r="DY317" s="239">
        <v>-1739183</v>
      </c>
      <c r="DZ317" s="239">
        <v>0</v>
      </c>
      <c r="EA317" s="239">
        <v>-1739183</v>
      </c>
      <c r="EB317" s="239">
        <v>-62646</v>
      </c>
      <c r="EC317" s="239">
        <v>0</v>
      </c>
      <c r="ED317" s="239">
        <v>-62646</v>
      </c>
      <c r="EE317" s="239">
        <v>-7911</v>
      </c>
      <c r="EF317" s="239">
        <v>0</v>
      </c>
      <c r="EG317" s="239">
        <v>-7911</v>
      </c>
      <c r="EH317" s="239">
        <v>0</v>
      </c>
      <c r="EI317" s="239">
        <v>0</v>
      </c>
      <c r="EJ317" s="239">
        <v>0</v>
      </c>
      <c r="EK317" s="239">
        <v>0</v>
      </c>
      <c r="EL317" s="239">
        <v>0</v>
      </c>
      <c r="EM317" s="239">
        <v>0</v>
      </c>
      <c r="EN317" s="239">
        <v>-1905367</v>
      </c>
      <c r="EO317" s="239">
        <v>0</v>
      </c>
      <c r="EP317" s="239">
        <v>-1905367</v>
      </c>
      <c r="EQ317" s="239">
        <v>0</v>
      </c>
      <c r="ER317" s="239">
        <v>0</v>
      </c>
      <c r="ES317" s="239">
        <v>0</v>
      </c>
      <c r="ET317" s="239">
        <v>0</v>
      </c>
      <c r="EU317" s="239">
        <v>0</v>
      </c>
      <c r="EV317" s="239">
        <v>0</v>
      </c>
      <c r="EW317" s="239">
        <v>0</v>
      </c>
      <c r="EX317" s="239">
        <v>0</v>
      </c>
      <c r="EY317" s="239">
        <v>0</v>
      </c>
      <c r="EZ317" s="239">
        <v>96478654</v>
      </c>
      <c r="FA317" s="239">
        <v>0</v>
      </c>
      <c r="FB317" s="239">
        <v>96478654</v>
      </c>
      <c r="FC317" s="239">
        <v>327159</v>
      </c>
      <c r="FD317" s="239">
        <v>0</v>
      </c>
      <c r="FE317" s="239">
        <v>327159</v>
      </c>
      <c r="FF317" s="239">
        <v>-10345646</v>
      </c>
      <c r="FG317" s="239">
        <v>0</v>
      </c>
      <c r="FH317" s="239">
        <v>-10345646</v>
      </c>
      <c r="FI317" s="239">
        <v>-4468364</v>
      </c>
      <c r="FJ317" s="239">
        <v>0</v>
      </c>
      <c r="FK317" s="239">
        <v>-4468364</v>
      </c>
      <c r="FL317" s="239">
        <v>-1215819</v>
      </c>
      <c r="FM317" s="239">
        <v>0</v>
      </c>
      <c r="FN317" s="239">
        <v>-1215819</v>
      </c>
      <c r="FO317" s="239">
        <v>-1905367</v>
      </c>
      <c r="FP317" s="239">
        <v>0</v>
      </c>
      <c r="FQ317" s="239">
        <v>-1905367</v>
      </c>
      <c r="FR317" s="239">
        <v>0</v>
      </c>
      <c r="FS317" s="239">
        <v>0</v>
      </c>
      <c r="FT317" s="239">
        <v>0</v>
      </c>
      <c r="FU317" s="239">
        <v>-17608037</v>
      </c>
      <c r="FV317" s="239">
        <v>0</v>
      </c>
      <c r="FW317" s="239">
        <v>-17608037</v>
      </c>
      <c r="FX317" s="239">
        <v>78870617</v>
      </c>
      <c r="FY317" s="239">
        <v>0</v>
      </c>
      <c r="FZ317" s="239">
        <v>78870617</v>
      </c>
      <c r="GA317" s="214" t="s">
        <v>1296</v>
      </c>
    </row>
    <row r="318" spans="2:183" s="214" customFormat="1" x14ac:dyDescent="0.2">
      <c r="B318" s="610" t="s">
        <v>719</v>
      </c>
      <c r="C318" s="610" t="s">
        <v>718</v>
      </c>
      <c r="D318" s="239">
        <v>0</v>
      </c>
      <c r="E318" s="239">
        <v>0</v>
      </c>
      <c r="F318" s="239">
        <v>0</v>
      </c>
      <c r="G318" s="239">
        <v>-69140</v>
      </c>
      <c r="H318" s="239">
        <v>0</v>
      </c>
      <c r="I318" s="239">
        <v>-69140</v>
      </c>
      <c r="J318" s="239">
        <v>0</v>
      </c>
      <c r="K318" s="239">
        <v>0</v>
      </c>
      <c r="L318" s="239">
        <v>0</v>
      </c>
      <c r="M318" s="239">
        <v>1004969</v>
      </c>
      <c r="N318" s="239">
        <v>0</v>
      </c>
      <c r="O318" s="239">
        <v>1004969</v>
      </c>
      <c r="P318" s="239">
        <v>935829</v>
      </c>
      <c r="Q318" s="239">
        <v>0</v>
      </c>
      <c r="R318" s="239">
        <v>935829</v>
      </c>
      <c r="S318" s="239">
        <v>-10107591</v>
      </c>
      <c r="T318" s="239">
        <v>0</v>
      </c>
      <c r="U318" s="239">
        <v>-10107591</v>
      </c>
      <c r="V318" s="239">
        <v>-43279</v>
      </c>
      <c r="W318" s="239">
        <v>0</v>
      </c>
      <c r="X318" s="239">
        <v>-43279</v>
      </c>
      <c r="Y318" s="239">
        <v>-505134</v>
      </c>
      <c r="Z318" s="239">
        <v>0</v>
      </c>
      <c r="AA318" s="239">
        <v>-505134</v>
      </c>
      <c r="AB318" s="239">
        <v>-297097</v>
      </c>
      <c r="AC318" s="239">
        <v>0</v>
      </c>
      <c r="AD318" s="239">
        <v>-297097</v>
      </c>
      <c r="AE318" s="239">
        <v>-1119</v>
      </c>
      <c r="AF318" s="239">
        <v>0</v>
      </c>
      <c r="AG318" s="239">
        <v>-1119</v>
      </c>
      <c r="AH318" s="239">
        <v>3933817</v>
      </c>
      <c r="AI318" s="239">
        <v>0</v>
      </c>
      <c r="AJ318" s="239">
        <v>3933817</v>
      </c>
      <c r="AK318" s="239">
        <v>-73542</v>
      </c>
      <c r="AL318" s="239">
        <v>0</v>
      </c>
      <c r="AM318" s="239">
        <v>-73542</v>
      </c>
      <c r="AN318" s="239">
        <v>-10724632</v>
      </c>
      <c r="AO318" s="239">
        <v>0</v>
      </c>
      <c r="AP318" s="239">
        <v>-10724632</v>
      </c>
      <c r="AQ318" s="239">
        <v>-5405</v>
      </c>
      <c r="AR318" s="239">
        <v>0</v>
      </c>
      <c r="AS318" s="239">
        <v>-5405</v>
      </c>
      <c r="AT318" s="239">
        <v>-189288</v>
      </c>
      <c r="AU318" s="239">
        <v>0</v>
      </c>
      <c r="AV318" s="239">
        <v>-189288</v>
      </c>
      <c r="AW318" s="239">
        <v>0</v>
      </c>
      <c r="AX318" s="239">
        <v>0</v>
      </c>
      <c r="AY318" s="239">
        <v>0</v>
      </c>
      <c r="AZ318" s="239">
        <v>-247622</v>
      </c>
      <c r="BA318" s="239">
        <v>0</v>
      </c>
      <c r="BB318" s="239">
        <v>-247622</v>
      </c>
      <c r="BC318" s="239">
        <v>-2135</v>
      </c>
      <c r="BD318" s="239">
        <v>0</v>
      </c>
      <c r="BE318" s="239">
        <v>-2135</v>
      </c>
      <c r="BF318" s="239">
        <v>-17921532</v>
      </c>
      <c r="BG318" s="239">
        <v>0</v>
      </c>
      <c r="BH318" s="239">
        <v>-17921532</v>
      </c>
      <c r="BI318" s="239">
        <v>-83971</v>
      </c>
      <c r="BJ318" s="239">
        <v>0</v>
      </c>
      <c r="BK318" s="239">
        <v>-83971</v>
      </c>
      <c r="BL318" s="239">
        <v>-41473</v>
      </c>
      <c r="BM318" s="239">
        <v>0</v>
      </c>
      <c r="BN318" s="239">
        <v>-41473</v>
      </c>
      <c r="BO318" s="239">
        <v>-4135674</v>
      </c>
      <c r="BP318" s="239">
        <v>0</v>
      </c>
      <c r="BQ318" s="239">
        <v>-4135674</v>
      </c>
      <c r="BR318" s="239">
        <v>-99671</v>
      </c>
      <c r="BS318" s="239">
        <v>0</v>
      </c>
      <c r="BT318" s="239">
        <v>-99671</v>
      </c>
      <c r="BU318" s="239">
        <v>-4360789</v>
      </c>
      <c r="BV318" s="239">
        <v>0</v>
      </c>
      <c r="BW318" s="239">
        <v>-4360789</v>
      </c>
      <c r="BX318" s="239">
        <v>-299746</v>
      </c>
      <c r="BY318" s="239">
        <v>0</v>
      </c>
      <c r="BZ318" s="239">
        <v>-299746</v>
      </c>
      <c r="CA318" s="239">
        <v>4580</v>
      </c>
      <c r="CB318" s="239">
        <v>0</v>
      </c>
      <c r="CC318" s="239">
        <v>4580</v>
      </c>
      <c r="CD318" s="239">
        <v>-59073</v>
      </c>
      <c r="CE318" s="239">
        <v>0</v>
      </c>
      <c r="CF318" s="239">
        <v>-59073</v>
      </c>
      <c r="CG318" s="239">
        <v>-169</v>
      </c>
      <c r="CH318" s="239">
        <v>0</v>
      </c>
      <c r="CI318" s="239">
        <v>-169</v>
      </c>
      <c r="CJ318" s="239">
        <v>-653</v>
      </c>
      <c r="CK318" s="239">
        <v>0</v>
      </c>
      <c r="CL318" s="239">
        <v>-653</v>
      </c>
      <c r="CM318" s="239">
        <v>0</v>
      </c>
      <c r="CN318" s="239">
        <v>0</v>
      </c>
      <c r="CO318" s="239">
        <v>0</v>
      </c>
      <c r="CP318" s="239">
        <v>-255583</v>
      </c>
      <c r="CQ318" s="239">
        <v>0</v>
      </c>
      <c r="CR318" s="239">
        <v>-255583</v>
      </c>
      <c r="CS318" s="239">
        <v>-2571</v>
      </c>
      <c r="CT318" s="239">
        <v>0</v>
      </c>
      <c r="CU318" s="239">
        <v>-2571</v>
      </c>
      <c r="CV318" s="239">
        <v>0</v>
      </c>
      <c r="CW318" s="239">
        <v>0</v>
      </c>
      <c r="CX318" s="239">
        <v>0</v>
      </c>
      <c r="CY318" s="239">
        <v>0</v>
      </c>
      <c r="CZ318" s="239">
        <v>0</v>
      </c>
      <c r="DA318" s="239">
        <v>0</v>
      </c>
      <c r="DB318" s="239">
        <v>0</v>
      </c>
      <c r="DC318" s="239">
        <v>0</v>
      </c>
      <c r="DD318" s="239">
        <v>0</v>
      </c>
      <c r="DE318" s="239">
        <v>0</v>
      </c>
      <c r="DF318" s="239">
        <v>0</v>
      </c>
      <c r="DG318" s="239">
        <v>0</v>
      </c>
      <c r="DH318" s="239">
        <v>0</v>
      </c>
      <c r="DI318" s="239">
        <v>0</v>
      </c>
      <c r="DJ318" s="239">
        <v>-613215</v>
      </c>
      <c r="DK318" s="239">
        <v>0</v>
      </c>
      <c r="DL318" s="239">
        <v>-613215</v>
      </c>
      <c r="DM318" s="239">
        <v>-271630</v>
      </c>
      <c r="DN318" s="239">
        <v>0</v>
      </c>
      <c r="DO318" s="239">
        <v>-271630</v>
      </c>
      <c r="DP318" s="239">
        <v>-17313</v>
      </c>
      <c r="DQ318" s="239">
        <v>0</v>
      </c>
      <c r="DR318" s="239">
        <v>-17313</v>
      </c>
      <c r="DS318" s="239">
        <v>-39654</v>
      </c>
      <c r="DT318" s="239">
        <v>0</v>
      </c>
      <c r="DU318" s="239">
        <v>-39654</v>
      </c>
      <c r="DV318" s="239">
        <v>-3188</v>
      </c>
      <c r="DW318" s="239">
        <v>0</v>
      </c>
      <c r="DX318" s="239">
        <v>-3188</v>
      </c>
      <c r="DY318" s="239">
        <v>-2442601</v>
      </c>
      <c r="DZ318" s="239">
        <v>0</v>
      </c>
      <c r="EA318" s="239">
        <v>-2442601</v>
      </c>
      <c r="EB318" s="239">
        <v>-57596</v>
      </c>
      <c r="EC318" s="239">
        <v>0</v>
      </c>
      <c r="ED318" s="239">
        <v>-57596</v>
      </c>
      <c r="EE318" s="239">
        <v>0</v>
      </c>
      <c r="EF318" s="239">
        <v>0</v>
      </c>
      <c r="EG318" s="239">
        <v>0</v>
      </c>
      <c r="EH318" s="239">
        <v>0</v>
      </c>
      <c r="EI318" s="239">
        <v>0</v>
      </c>
      <c r="EJ318" s="239">
        <v>0</v>
      </c>
      <c r="EK318" s="239">
        <v>-13909</v>
      </c>
      <c r="EL318" s="239">
        <v>0</v>
      </c>
      <c r="EM318" s="239">
        <v>-13909</v>
      </c>
      <c r="EN318" s="239">
        <v>-2845891</v>
      </c>
      <c r="EO318" s="239">
        <v>0</v>
      </c>
      <c r="EP318" s="239">
        <v>-2845891</v>
      </c>
      <c r="EQ318" s="239">
        <v>-11700</v>
      </c>
      <c r="ER318" s="239">
        <v>0</v>
      </c>
      <c r="ES318" s="239">
        <v>-11700</v>
      </c>
      <c r="ET318" s="239">
        <v>-4217</v>
      </c>
      <c r="EU318" s="239">
        <v>0</v>
      </c>
      <c r="EV318" s="239">
        <v>-4217</v>
      </c>
      <c r="EW318" s="239">
        <v>-15917</v>
      </c>
      <c r="EX318" s="239">
        <v>0</v>
      </c>
      <c r="EY318" s="239">
        <v>-15917</v>
      </c>
      <c r="EZ318" s="239">
        <v>167550745</v>
      </c>
      <c r="FA318" s="239">
        <v>0</v>
      </c>
      <c r="FB318" s="239">
        <v>167550745</v>
      </c>
      <c r="FC318" s="239">
        <v>935829</v>
      </c>
      <c r="FD318" s="239">
        <v>0</v>
      </c>
      <c r="FE318" s="239">
        <v>935829</v>
      </c>
      <c r="FF318" s="239">
        <v>-17921532</v>
      </c>
      <c r="FG318" s="239">
        <v>0</v>
      </c>
      <c r="FH318" s="239">
        <v>-17921532</v>
      </c>
      <c r="FI318" s="239">
        <v>-4360789</v>
      </c>
      <c r="FJ318" s="239">
        <v>0</v>
      </c>
      <c r="FK318" s="239">
        <v>-4360789</v>
      </c>
      <c r="FL318" s="239">
        <v>-613215</v>
      </c>
      <c r="FM318" s="239">
        <v>0</v>
      </c>
      <c r="FN318" s="239">
        <v>-613215</v>
      </c>
      <c r="FO318" s="239">
        <v>-2845891</v>
      </c>
      <c r="FP318" s="239">
        <v>0</v>
      </c>
      <c r="FQ318" s="239">
        <v>-2845891</v>
      </c>
      <c r="FR318" s="239">
        <v>-15917</v>
      </c>
      <c r="FS318" s="239">
        <v>0</v>
      </c>
      <c r="FT318" s="239">
        <v>-15917</v>
      </c>
      <c r="FU318" s="239">
        <v>-24821515</v>
      </c>
      <c r="FV318" s="239">
        <v>0</v>
      </c>
      <c r="FW318" s="239">
        <v>-24821515</v>
      </c>
      <c r="FX318" s="239">
        <v>142729230</v>
      </c>
      <c r="FY318" s="239">
        <v>0</v>
      </c>
      <c r="FZ318" s="239">
        <v>142729230</v>
      </c>
      <c r="GA318" s="214" t="s">
        <v>748</v>
      </c>
    </row>
    <row r="319" spans="2:183" s="214" customFormat="1" x14ac:dyDescent="0.2">
      <c r="B319" s="610" t="s">
        <v>721</v>
      </c>
      <c r="C319" s="610" t="s">
        <v>720</v>
      </c>
      <c r="D319" s="239">
        <v>0</v>
      </c>
      <c r="E319" s="239">
        <v>0</v>
      </c>
      <c r="F319" s="239">
        <v>0</v>
      </c>
      <c r="G319" s="239">
        <v>-358782</v>
      </c>
      <c r="H319" s="239">
        <v>0</v>
      </c>
      <c r="I319" s="239">
        <v>-358782</v>
      </c>
      <c r="J319" s="239">
        <v>0</v>
      </c>
      <c r="K319" s="239">
        <v>0</v>
      </c>
      <c r="L319" s="239">
        <v>0</v>
      </c>
      <c r="M319" s="239">
        <v>15005</v>
      </c>
      <c r="N319" s="239">
        <v>0</v>
      </c>
      <c r="O319" s="239">
        <v>15005</v>
      </c>
      <c r="P319" s="239">
        <v>-343777</v>
      </c>
      <c r="Q319" s="239">
        <v>0</v>
      </c>
      <c r="R319" s="239">
        <v>-343777</v>
      </c>
      <c r="S319" s="239">
        <v>-2586966</v>
      </c>
      <c r="T319" s="239">
        <v>0</v>
      </c>
      <c r="U319" s="239">
        <v>-2586966</v>
      </c>
      <c r="V319" s="239">
        <v>0</v>
      </c>
      <c r="W319" s="239">
        <v>0</v>
      </c>
      <c r="X319" s="239">
        <v>0</v>
      </c>
      <c r="Y319" s="239">
        <v>-241200</v>
      </c>
      <c r="Z319" s="239">
        <v>0</v>
      </c>
      <c r="AA319" s="239">
        <v>-241200</v>
      </c>
      <c r="AB319" s="239">
        <v>-140536</v>
      </c>
      <c r="AC319" s="239">
        <v>0</v>
      </c>
      <c r="AD319" s="239">
        <v>-140536</v>
      </c>
      <c r="AE319" s="239">
        <v>0</v>
      </c>
      <c r="AF319" s="239">
        <v>0</v>
      </c>
      <c r="AG319" s="239">
        <v>0</v>
      </c>
      <c r="AH319" s="239">
        <v>1525457</v>
      </c>
      <c r="AI319" s="239">
        <v>0</v>
      </c>
      <c r="AJ319" s="239">
        <v>1525457</v>
      </c>
      <c r="AK319" s="239">
        <v>5260</v>
      </c>
      <c r="AL319" s="239">
        <v>0</v>
      </c>
      <c r="AM319" s="239">
        <v>5260</v>
      </c>
      <c r="AN319" s="239">
        <v>-3455761</v>
      </c>
      <c r="AO319" s="239">
        <v>0</v>
      </c>
      <c r="AP319" s="239">
        <v>-3455761</v>
      </c>
      <c r="AQ319" s="239">
        <v>-65218</v>
      </c>
      <c r="AR319" s="239">
        <v>0</v>
      </c>
      <c r="AS319" s="239">
        <v>-65218</v>
      </c>
      <c r="AT319" s="239">
        <v>-45015</v>
      </c>
      <c r="AU319" s="239">
        <v>0</v>
      </c>
      <c r="AV319" s="239">
        <v>-45015</v>
      </c>
      <c r="AW319" s="239">
        <v>0</v>
      </c>
      <c r="AX319" s="239">
        <v>0</v>
      </c>
      <c r="AY319" s="239">
        <v>0</v>
      </c>
      <c r="AZ319" s="239">
        <v>-13569</v>
      </c>
      <c r="BA319" s="239">
        <v>0</v>
      </c>
      <c r="BB319" s="239">
        <v>-13569</v>
      </c>
      <c r="BC319" s="239">
        <v>0</v>
      </c>
      <c r="BD319" s="239">
        <v>0</v>
      </c>
      <c r="BE319" s="239">
        <v>0</v>
      </c>
      <c r="BF319" s="239">
        <v>-4877012</v>
      </c>
      <c r="BG319" s="239">
        <v>0</v>
      </c>
      <c r="BH319" s="239">
        <v>-4877012</v>
      </c>
      <c r="BI319" s="239">
        <v>-30110</v>
      </c>
      <c r="BJ319" s="239">
        <v>0</v>
      </c>
      <c r="BK319" s="239">
        <v>-30110</v>
      </c>
      <c r="BL319" s="239">
        <v>-14562</v>
      </c>
      <c r="BM319" s="239">
        <v>0</v>
      </c>
      <c r="BN319" s="239">
        <v>-14562</v>
      </c>
      <c r="BO319" s="239">
        <v>-1283862</v>
      </c>
      <c r="BP319" s="239">
        <v>0</v>
      </c>
      <c r="BQ319" s="239">
        <v>-1283862</v>
      </c>
      <c r="BR319" s="239">
        <v>-79171</v>
      </c>
      <c r="BS319" s="239">
        <v>0</v>
      </c>
      <c r="BT319" s="239">
        <v>-79171</v>
      </c>
      <c r="BU319" s="239">
        <v>-1407705</v>
      </c>
      <c r="BV319" s="239">
        <v>0</v>
      </c>
      <c r="BW319" s="239">
        <v>-1407705</v>
      </c>
      <c r="BX319" s="239">
        <v>-66584</v>
      </c>
      <c r="BY319" s="239">
        <v>0</v>
      </c>
      <c r="BZ319" s="239">
        <v>-66584</v>
      </c>
      <c r="CA319" s="239">
        <v>-139</v>
      </c>
      <c r="CB319" s="239">
        <v>0</v>
      </c>
      <c r="CC319" s="239">
        <v>-139</v>
      </c>
      <c r="CD319" s="239">
        <v>-186539</v>
      </c>
      <c r="CE319" s="239">
        <v>0</v>
      </c>
      <c r="CF319" s="239">
        <v>-186539</v>
      </c>
      <c r="CG319" s="239">
        <v>0</v>
      </c>
      <c r="CH319" s="239">
        <v>0</v>
      </c>
      <c r="CI319" s="239">
        <v>0</v>
      </c>
      <c r="CJ319" s="239">
        <v>-4087</v>
      </c>
      <c r="CK319" s="239">
        <v>0</v>
      </c>
      <c r="CL319" s="239">
        <v>-4087</v>
      </c>
      <c r="CM319" s="239">
        <v>0</v>
      </c>
      <c r="CN319" s="239">
        <v>0</v>
      </c>
      <c r="CO319" s="239">
        <v>0</v>
      </c>
      <c r="CP319" s="239">
        <v>-7363</v>
      </c>
      <c r="CQ319" s="239">
        <v>0</v>
      </c>
      <c r="CR319" s="239">
        <v>-7363</v>
      </c>
      <c r="CS319" s="239">
        <v>0</v>
      </c>
      <c r="CT319" s="239">
        <v>0</v>
      </c>
      <c r="CU319" s="239">
        <v>0</v>
      </c>
      <c r="CV319" s="239">
        <v>-7511</v>
      </c>
      <c r="CW319" s="239">
        <v>0</v>
      </c>
      <c r="CX319" s="239">
        <v>-7511</v>
      </c>
      <c r="CY319" s="239">
        <v>0</v>
      </c>
      <c r="CZ319" s="239">
        <v>0</v>
      </c>
      <c r="DA319" s="239">
        <v>0</v>
      </c>
      <c r="DB319" s="239">
        <v>0</v>
      </c>
      <c r="DC319" s="239">
        <v>0</v>
      </c>
      <c r="DD319" s="239">
        <v>0</v>
      </c>
      <c r="DE319" s="239">
        <v>0</v>
      </c>
      <c r="DF319" s="239">
        <v>0</v>
      </c>
      <c r="DG319" s="239">
        <v>0</v>
      </c>
      <c r="DH319" s="239">
        <v>0</v>
      </c>
      <c r="DI319" s="239">
        <v>0</v>
      </c>
      <c r="DJ319" s="239">
        <v>-272223</v>
      </c>
      <c r="DK319" s="239">
        <v>0</v>
      </c>
      <c r="DL319" s="239">
        <v>-272223</v>
      </c>
      <c r="DM319" s="239">
        <v>0</v>
      </c>
      <c r="DN319" s="239">
        <v>0</v>
      </c>
      <c r="DO319" s="239">
        <v>0</v>
      </c>
      <c r="DP319" s="239">
        <v>0</v>
      </c>
      <c r="DQ319" s="239">
        <v>0</v>
      </c>
      <c r="DR319" s="239">
        <v>0</v>
      </c>
      <c r="DS319" s="239">
        <v>-22241</v>
      </c>
      <c r="DT319" s="239">
        <v>0</v>
      </c>
      <c r="DU319" s="239">
        <v>-22241</v>
      </c>
      <c r="DV319" s="239">
        <v>-6517</v>
      </c>
      <c r="DW319" s="239">
        <v>0</v>
      </c>
      <c r="DX319" s="239">
        <v>-6517</v>
      </c>
      <c r="DY319" s="239">
        <v>-647661</v>
      </c>
      <c r="DZ319" s="239">
        <v>0</v>
      </c>
      <c r="EA319" s="239">
        <v>-647661</v>
      </c>
      <c r="EB319" s="239">
        <v>-17557</v>
      </c>
      <c r="EC319" s="239">
        <v>0</v>
      </c>
      <c r="ED319" s="239">
        <v>-17557</v>
      </c>
      <c r="EE319" s="239">
        <v>0</v>
      </c>
      <c r="EF319" s="239">
        <v>0</v>
      </c>
      <c r="EG319" s="239">
        <v>0</v>
      </c>
      <c r="EH319" s="239">
        <v>0</v>
      </c>
      <c r="EI319" s="239">
        <v>0</v>
      </c>
      <c r="EJ319" s="239">
        <v>0</v>
      </c>
      <c r="EK319" s="239">
        <v>-15223</v>
      </c>
      <c r="EL319" s="239">
        <v>0</v>
      </c>
      <c r="EM319" s="239">
        <v>-15223</v>
      </c>
      <c r="EN319" s="239">
        <v>-709199</v>
      </c>
      <c r="EO319" s="239">
        <v>0</v>
      </c>
      <c r="EP319" s="239">
        <v>-709199</v>
      </c>
      <c r="EQ319" s="239">
        <v>0</v>
      </c>
      <c r="ER319" s="239">
        <v>0</v>
      </c>
      <c r="ES319" s="239">
        <v>0</v>
      </c>
      <c r="ET319" s="239">
        <v>0</v>
      </c>
      <c r="EU319" s="239">
        <v>0</v>
      </c>
      <c r="EV319" s="239">
        <v>0</v>
      </c>
      <c r="EW319" s="239">
        <v>0</v>
      </c>
      <c r="EX319" s="239">
        <v>0</v>
      </c>
      <c r="EY319" s="239">
        <v>0</v>
      </c>
      <c r="EZ319" s="239">
        <v>64161522</v>
      </c>
      <c r="FA319" s="239">
        <v>0</v>
      </c>
      <c r="FB319" s="239">
        <v>64161522</v>
      </c>
      <c r="FC319" s="239">
        <v>-343777</v>
      </c>
      <c r="FD319" s="239">
        <v>0</v>
      </c>
      <c r="FE319" s="239">
        <v>-343777</v>
      </c>
      <c r="FF319" s="239">
        <v>-4877012</v>
      </c>
      <c r="FG319" s="239">
        <v>0</v>
      </c>
      <c r="FH319" s="239">
        <v>-4877012</v>
      </c>
      <c r="FI319" s="239">
        <v>-1407705</v>
      </c>
      <c r="FJ319" s="239">
        <v>0</v>
      </c>
      <c r="FK319" s="239">
        <v>-1407705</v>
      </c>
      <c r="FL319" s="239">
        <v>-272223</v>
      </c>
      <c r="FM319" s="239">
        <v>0</v>
      </c>
      <c r="FN319" s="239">
        <v>-272223</v>
      </c>
      <c r="FO319" s="239">
        <v>-709199</v>
      </c>
      <c r="FP319" s="239">
        <v>0</v>
      </c>
      <c r="FQ319" s="239">
        <v>-709199</v>
      </c>
      <c r="FR319" s="239">
        <v>0</v>
      </c>
      <c r="FS319" s="239">
        <v>0</v>
      </c>
      <c r="FT319" s="239">
        <v>0</v>
      </c>
      <c r="FU319" s="239">
        <v>-7609916</v>
      </c>
      <c r="FV319" s="239">
        <v>0</v>
      </c>
      <c r="FW319" s="239">
        <v>-7609916</v>
      </c>
      <c r="FX319" s="239">
        <v>56551606</v>
      </c>
      <c r="FY319" s="239">
        <v>0</v>
      </c>
      <c r="FZ319" s="239">
        <v>56551606</v>
      </c>
      <c r="GA319" s="214" t="s">
        <v>1294</v>
      </c>
    </row>
    <row r="320" spans="2:183" s="214" customFormat="1" x14ac:dyDescent="0.2">
      <c r="B320" s="610" t="s">
        <v>723</v>
      </c>
      <c r="C320" s="610" t="s">
        <v>722</v>
      </c>
      <c r="D320" s="239">
        <v>0</v>
      </c>
      <c r="E320" s="239">
        <v>0</v>
      </c>
      <c r="F320" s="239">
        <v>0</v>
      </c>
      <c r="G320" s="239">
        <v>-186471</v>
      </c>
      <c r="H320" s="239">
        <v>0</v>
      </c>
      <c r="I320" s="239">
        <v>-186471</v>
      </c>
      <c r="J320" s="239">
        <v>0</v>
      </c>
      <c r="K320" s="239">
        <v>0</v>
      </c>
      <c r="L320" s="239">
        <v>0</v>
      </c>
      <c r="M320" s="239">
        <v>210051</v>
      </c>
      <c r="N320" s="239">
        <v>0</v>
      </c>
      <c r="O320" s="239">
        <v>210051</v>
      </c>
      <c r="P320" s="239">
        <v>23580</v>
      </c>
      <c r="Q320" s="239">
        <v>0</v>
      </c>
      <c r="R320" s="239">
        <v>23580</v>
      </c>
      <c r="S320" s="239">
        <v>-1862115</v>
      </c>
      <c r="T320" s="239">
        <v>0</v>
      </c>
      <c r="U320" s="239">
        <v>-1862115</v>
      </c>
      <c r="V320" s="239">
        <v>0</v>
      </c>
      <c r="W320" s="239">
        <v>0</v>
      </c>
      <c r="X320" s="239">
        <v>0</v>
      </c>
      <c r="Y320" s="239">
        <v>-180027</v>
      </c>
      <c r="Z320" s="239">
        <v>0</v>
      </c>
      <c r="AA320" s="239">
        <v>-180027</v>
      </c>
      <c r="AB320" s="239">
        <v>0</v>
      </c>
      <c r="AC320" s="239">
        <v>0</v>
      </c>
      <c r="AD320" s="239">
        <v>0</v>
      </c>
      <c r="AE320" s="239">
        <v>0</v>
      </c>
      <c r="AF320" s="239">
        <v>0</v>
      </c>
      <c r="AG320" s="239">
        <v>0</v>
      </c>
      <c r="AH320" s="239">
        <v>2246143</v>
      </c>
      <c r="AI320" s="239">
        <v>0</v>
      </c>
      <c r="AJ320" s="239">
        <v>2246143</v>
      </c>
      <c r="AK320" s="239">
        <v>-16326</v>
      </c>
      <c r="AL320" s="239">
        <v>0</v>
      </c>
      <c r="AM320" s="239">
        <v>-16326</v>
      </c>
      <c r="AN320" s="239">
        <v>-6350145</v>
      </c>
      <c r="AO320" s="239">
        <v>0</v>
      </c>
      <c r="AP320" s="239">
        <v>-6350145</v>
      </c>
      <c r="AQ320" s="239">
        <v>83777</v>
      </c>
      <c r="AR320" s="239">
        <v>0</v>
      </c>
      <c r="AS320" s="239">
        <v>83777</v>
      </c>
      <c r="AT320" s="239">
        <v>0</v>
      </c>
      <c r="AU320" s="239">
        <v>0</v>
      </c>
      <c r="AV320" s="239">
        <v>0</v>
      </c>
      <c r="AW320" s="239">
        <v>0</v>
      </c>
      <c r="AX320" s="239">
        <v>0</v>
      </c>
      <c r="AY320" s="239">
        <v>0</v>
      </c>
      <c r="AZ320" s="239">
        <v>-6138</v>
      </c>
      <c r="BA320" s="239">
        <v>0</v>
      </c>
      <c r="BB320" s="239">
        <v>-6138</v>
      </c>
      <c r="BC320" s="239">
        <v>0</v>
      </c>
      <c r="BD320" s="239">
        <v>0</v>
      </c>
      <c r="BE320" s="239">
        <v>0</v>
      </c>
      <c r="BF320" s="239">
        <v>-6084831</v>
      </c>
      <c r="BG320" s="239">
        <v>0</v>
      </c>
      <c r="BH320" s="239">
        <v>-6084831</v>
      </c>
      <c r="BI320" s="239">
        <v>-34801</v>
      </c>
      <c r="BJ320" s="239">
        <v>0</v>
      </c>
      <c r="BK320" s="239">
        <v>-34801</v>
      </c>
      <c r="BL320" s="239">
        <v>-17496</v>
      </c>
      <c r="BM320" s="239">
        <v>0</v>
      </c>
      <c r="BN320" s="239">
        <v>-17496</v>
      </c>
      <c r="BO320" s="239">
        <v>-3714483</v>
      </c>
      <c r="BP320" s="239">
        <v>0</v>
      </c>
      <c r="BQ320" s="239">
        <v>-3714483</v>
      </c>
      <c r="BR320" s="239">
        <v>-107432</v>
      </c>
      <c r="BS320" s="239">
        <v>0</v>
      </c>
      <c r="BT320" s="239">
        <v>-107432</v>
      </c>
      <c r="BU320" s="239">
        <v>-3874212</v>
      </c>
      <c r="BV320" s="239">
        <v>0</v>
      </c>
      <c r="BW320" s="239">
        <v>-3874212</v>
      </c>
      <c r="BX320" s="239">
        <v>-359382</v>
      </c>
      <c r="BY320" s="239">
        <v>0</v>
      </c>
      <c r="BZ320" s="239">
        <v>-359382</v>
      </c>
      <c r="CA320" s="239">
        <v>1626</v>
      </c>
      <c r="CB320" s="239">
        <v>0</v>
      </c>
      <c r="CC320" s="239">
        <v>1626</v>
      </c>
      <c r="CD320" s="239">
        <v>-155601</v>
      </c>
      <c r="CE320" s="239">
        <v>0</v>
      </c>
      <c r="CF320" s="239">
        <v>-155601</v>
      </c>
      <c r="CG320" s="239">
        <v>27800</v>
      </c>
      <c r="CH320" s="239">
        <v>0</v>
      </c>
      <c r="CI320" s="239">
        <v>27800</v>
      </c>
      <c r="CJ320" s="239">
        <v>0</v>
      </c>
      <c r="CK320" s="239">
        <v>0</v>
      </c>
      <c r="CL320" s="239">
        <v>0</v>
      </c>
      <c r="CM320" s="239">
        <v>0</v>
      </c>
      <c r="CN320" s="239">
        <v>0</v>
      </c>
      <c r="CO320" s="239">
        <v>0</v>
      </c>
      <c r="CP320" s="239">
        <v>0</v>
      </c>
      <c r="CQ320" s="239">
        <v>0</v>
      </c>
      <c r="CR320" s="239">
        <v>0</v>
      </c>
      <c r="CS320" s="239">
        <v>0</v>
      </c>
      <c r="CT320" s="239">
        <v>0</v>
      </c>
      <c r="CU320" s="239">
        <v>0</v>
      </c>
      <c r="CV320" s="239">
        <v>-23577</v>
      </c>
      <c r="CW320" s="239">
        <v>0</v>
      </c>
      <c r="CX320" s="239">
        <v>-23577</v>
      </c>
      <c r="CY320" s="239">
        <v>3073</v>
      </c>
      <c r="CZ320" s="239">
        <v>0</v>
      </c>
      <c r="DA320" s="239">
        <v>3073</v>
      </c>
      <c r="DB320" s="239">
        <v>-65845</v>
      </c>
      <c r="DC320" s="239">
        <v>0</v>
      </c>
      <c r="DD320" s="239">
        <v>-65845</v>
      </c>
      <c r="DE320" s="239">
        <v>-9250</v>
      </c>
      <c r="DF320" s="239">
        <v>0</v>
      </c>
      <c r="DG320" s="239">
        <v>-9250</v>
      </c>
      <c r="DH320" s="239">
        <v>0</v>
      </c>
      <c r="DI320" s="239">
        <v>0</v>
      </c>
      <c r="DJ320" s="239">
        <v>-581156</v>
      </c>
      <c r="DK320" s="239">
        <v>0</v>
      </c>
      <c r="DL320" s="239">
        <v>-581156</v>
      </c>
      <c r="DM320" s="239">
        <v>0</v>
      </c>
      <c r="DN320" s="239">
        <v>0</v>
      </c>
      <c r="DO320" s="239">
        <v>0</v>
      </c>
      <c r="DP320" s="239">
        <v>0</v>
      </c>
      <c r="DQ320" s="239">
        <v>0</v>
      </c>
      <c r="DR320" s="239">
        <v>0</v>
      </c>
      <c r="DS320" s="239">
        <v>-107567</v>
      </c>
      <c r="DT320" s="239">
        <v>0</v>
      </c>
      <c r="DU320" s="239">
        <v>-107567</v>
      </c>
      <c r="DV320" s="239">
        <v>-14293</v>
      </c>
      <c r="DW320" s="239">
        <v>0</v>
      </c>
      <c r="DX320" s="239">
        <v>-14293</v>
      </c>
      <c r="DY320" s="239">
        <v>-1239703</v>
      </c>
      <c r="DZ320" s="239">
        <v>0</v>
      </c>
      <c r="EA320" s="239">
        <v>-1239703</v>
      </c>
      <c r="EB320" s="239">
        <v>-4456</v>
      </c>
      <c r="EC320" s="239">
        <v>0</v>
      </c>
      <c r="ED320" s="239">
        <v>-4456</v>
      </c>
      <c r="EE320" s="239">
        <v>0</v>
      </c>
      <c r="EF320" s="239">
        <v>0</v>
      </c>
      <c r="EG320" s="239">
        <v>0</v>
      </c>
      <c r="EH320" s="239">
        <v>0</v>
      </c>
      <c r="EI320" s="239">
        <v>0</v>
      </c>
      <c r="EJ320" s="239">
        <v>0</v>
      </c>
      <c r="EK320" s="239">
        <v>-29344</v>
      </c>
      <c r="EL320" s="239">
        <v>0</v>
      </c>
      <c r="EM320" s="239">
        <v>-29344</v>
      </c>
      <c r="EN320" s="239">
        <v>-1395363</v>
      </c>
      <c r="EO320" s="239">
        <v>0</v>
      </c>
      <c r="EP320" s="239">
        <v>-1395363</v>
      </c>
      <c r="EQ320" s="239">
        <v>-23920</v>
      </c>
      <c r="ER320" s="239">
        <v>0</v>
      </c>
      <c r="ES320" s="239">
        <v>-23920</v>
      </c>
      <c r="ET320" s="239">
        <v>1230</v>
      </c>
      <c r="EU320" s="239">
        <v>0</v>
      </c>
      <c r="EV320" s="239">
        <v>1230</v>
      </c>
      <c r="EW320" s="239">
        <v>-22690</v>
      </c>
      <c r="EX320" s="239">
        <v>0</v>
      </c>
      <c r="EY320" s="239">
        <v>-22690</v>
      </c>
      <c r="EZ320" s="239">
        <v>90642797</v>
      </c>
      <c r="FA320" s="239">
        <v>0</v>
      </c>
      <c r="FB320" s="239">
        <v>90642797</v>
      </c>
      <c r="FC320" s="239">
        <v>23580</v>
      </c>
      <c r="FD320" s="239">
        <v>0</v>
      </c>
      <c r="FE320" s="239">
        <v>23580</v>
      </c>
      <c r="FF320" s="239">
        <v>-6084831</v>
      </c>
      <c r="FG320" s="239">
        <v>0</v>
      </c>
      <c r="FH320" s="239">
        <v>-6084831</v>
      </c>
      <c r="FI320" s="239">
        <v>-3874212</v>
      </c>
      <c r="FJ320" s="239">
        <v>0</v>
      </c>
      <c r="FK320" s="239">
        <v>-3874212</v>
      </c>
      <c r="FL320" s="239">
        <v>-581156</v>
      </c>
      <c r="FM320" s="239">
        <v>0</v>
      </c>
      <c r="FN320" s="239">
        <v>-581156</v>
      </c>
      <c r="FO320" s="239">
        <v>-1395363</v>
      </c>
      <c r="FP320" s="239">
        <v>0</v>
      </c>
      <c r="FQ320" s="239">
        <v>-1395363</v>
      </c>
      <c r="FR320" s="239">
        <v>-22690</v>
      </c>
      <c r="FS320" s="239">
        <v>0</v>
      </c>
      <c r="FT320" s="239">
        <v>-22690</v>
      </c>
      <c r="FU320" s="239">
        <v>-11934672</v>
      </c>
      <c r="FV320" s="239">
        <v>0</v>
      </c>
      <c r="FW320" s="239">
        <v>-11934672</v>
      </c>
      <c r="FX320" s="239">
        <v>78708125</v>
      </c>
      <c r="FY320" s="239">
        <v>0</v>
      </c>
      <c r="FZ320" s="239">
        <v>78708125</v>
      </c>
      <c r="GA320" s="214" t="s">
        <v>748</v>
      </c>
    </row>
    <row r="321" spans="2:183" s="214" customFormat="1" x14ac:dyDescent="0.2">
      <c r="B321" s="610" t="s">
        <v>725</v>
      </c>
      <c r="C321" s="610" t="s">
        <v>724</v>
      </c>
      <c r="D321" s="239">
        <v>0</v>
      </c>
      <c r="E321" s="239">
        <v>0</v>
      </c>
      <c r="F321" s="239">
        <v>0</v>
      </c>
      <c r="G321" s="239">
        <v>-7321</v>
      </c>
      <c r="H321" s="239">
        <v>0</v>
      </c>
      <c r="I321" s="239">
        <v>-7321</v>
      </c>
      <c r="J321" s="239">
        <v>0</v>
      </c>
      <c r="K321" s="239">
        <v>0</v>
      </c>
      <c r="L321" s="239">
        <v>0</v>
      </c>
      <c r="M321" s="239">
        <v>99489</v>
      </c>
      <c r="N321" s="239">
        <v>0</v>
      </c>
      <c r="O321" s="239">
        <v>99489</v>
      </c>
      <c r="P321" s="239">
        <v>92168</v>
      </c>
      <c r="Q321" s="239">
        <v>0</v>
      </c>
      <c r="R321" s="239">
        <v>92168</v>
      </c>
      <c r="S321" s="239">
        <v>-6472777</v>
      </c>
      <c r="T321" s="239">
        <v>0</v>
      </c>
      <c r="U321" s="239">
        <v>-6472777</v>
      </c>
      <c r="V321" s="239">
        <v>-25272</v>
      </c>
      <c r="W321" s="239">
        <v>0</v>
      </c>
      <c r="X321" s="239">
        <v>-25272</v>
      </c>
      <c r="Y321" s="239">
        <v>-216791</v>
      </c>
      <c r="Z321" s="239">
        <v>0</v>
      </c>
      <c r="AA321" s="239">
        <v>-216791</v>
      </c>
      <c r="AB321" s="239">
        <v>-213473</v>
      </c>
      <c r="AC321" s="239">
        <v>0</v>
      </c>
      <c r="AD321" s="239">
        <v>-213473</v>
      </c>
      <c r="AE321" s="239">
        <v>-3318</v>
      </c>
      <c r="AF321" s="239">
        <v>0</v>
      </c>
      <c r="AG321" s="239">
        <v>-3318</v>
      </c>
      <c r="AH321" s="239">
        <v>1942870</v>
      </c>
      <c r="AI321" s="239">
        <v>1618</v>
      </c>
      <c r="AJ321" s="239">
        <v>1944488</v>
      </c>
      <c r="AK321" s="239">
        <v>-12332</v>
      </c>
      <c r="AL321" s="239">
        <v>0</v>
      </c>
      <c r="AM321" s="239">
        <v>-12332</v>
      </c>
      <c r="AN321" s="239">
        <v>-4823808</v>
      </c>
      <c r="AO321" s="239">
        <v>-49074</v>
      </c>
      <c r="AP321" s="239">
        <v>-4872882</v>
      </c>
      <c r="AQ321" s="239">
        <v>-25626</v>
      </c>
      <c r="AR321" s="239">
        <v>0</v>
      </c>
      <c r="AS321" s="239">
        <v>-25626</v>
      </c>
      <c r="AT321" s="239">
        <v>-29482</v>
      </c>
      <c r="AU321" s="239">
        <v>0</v>
      </c>
      <c r="AV321" s="239">
        <v>-29482</v>
      </c>
      <c r="AW321" s="239">
        <v>0</v>
      </c>
      <c r="AX321" s="239">
        <v>0</v>
      </c>
      <c r="AY321" s="239">
        <v>0</v>
      </c>
      <c r="AZ321" s="239">
        <v>-592</v>
      </c>
      <c r="BA321" s="239">
        <v>0</v>
      </c>
      <c r="BB321" s="239">
        <v>-592</v>
      </c>
      <c r="BC321" s="239">
        <v>0</v>
      </c>
      <c r="BD321" s="239">
        <v>0</v>
      </c>
      <c r="BE321" s="239">
        <v>0</v>
      </c>
      <c r="BF321" s="239">
        <v>-9638538</v>
      </c>
      <c r="BG321" s="239">
        <v>-47456</v>
      </c>
      <c r="BH321" s="239">
        <v>-9685994</v>
      </c>
      <c r="BI321" s="239">
        <v>-90999</v>
      </c>
      <c r="BJ321" s="239">
        <v>0</v>
      </c>
      <c r="BK321" s="239">
        <v>-90999</v>
      </c>
      <c r="BL321" s="239">
        <v>4953</v>
      </c>
      <c r="BM321" s="239">
        <v>0</v>
      </c>
      <c r="BN321" s="239">
        <v>4953</v>
      </c>
      <c r="BO321" s="239">
        <v>-4028810</v>
      </c>
      <c r="BP321" s="239">
        <v>0</v>
      </c>
      <c r="BQ321" s="239">
        <v>-4028810</v>
      </c>
      <c r="BR321" s="239">
        <v>-240828</v>
      </c>
      <c r="BS321" s="239">
        <v>0</v>
      </c>
      <c r="BT321" s="239">
        <v>-240828</v>
      </c>
      <c r="BU321" s="239">
        <v>-4355684</v>
      </c>
      <c r="BV321" s="239">
        <v>0</v>
      </c>
      <c r="BW321" s="239">
        <v>-4355684</v>
      </c>
      <c r="BX321" s="239">
        <v>-581136</v>
      </c>
      <c r="BY321" s="239">
        <v>0</v>
      </c>
      <c r="BZ321" s="239">
        <v>-581136</v>
      </c>
      <c r="CA321" s="239">
        <v>3353</v>
      </c>
      <c r="CB321" s="239">
        <v>0</v>
      </c>
      <c r="CC321" s="239">
        <v>3353</v>
      </c>
      <c r="CD321" s="239">
        <v>-124833</v>
      </c>
      <c r="CE321" s="239">
        <v>0</v>
      </c>
      <c r="CF321" s="239">
        <v>-124833</v>
      </c>
      <c r="CG321" s="239">
        <v>3321</v>
      </c>
      <c r="CH321" s="239">
        <v>0</v>
      </c>
      <c r="CI321" s="239">
        <v>3321</v>
      </c>
      <c r="CJ321" s="239">
        <v>-7370</v>
      </c>
      <c r="CK321" s="239">
        <v>0</v>
      </c>
      <c r="CL321" s="239">
        <v>-7370</v>
      </c>
      <c r="CM321" s="239">
        <v>0</v>
      </c>
      <c r="CN321" s="239">
        <v>0</v>
      </c>
      <c r="CO321" s="239">
        <v>0</v>
      </c>
      <c r="CP321" s="239">
        <v>0</v>
      </c>
      <c r="CQ321" s="239">
        <v>0</v>
      </c>
      <c r="CR321" s="239">
        <v>0</v>
      </c>
      <c r="CS321" s="239">
        <v>0</v>
      </c>
      <c r="CT321" s="239">
        <v>0</v>
      </c>
      <c r="CU321" s="239">
        <v>0</v>
      </c>
      <c r="CV321" s="239">
        <v>0</v>
      </c>
      <c r="CW321" s="239">
        <v>0</v>
      </c>
      <c r="CX321" s="239">
        <v>0</v>
      </c>
      <c r="CY321" s="239">
        <v>0</v>
      </c>
      <c r="CZ321" s="239">
        <v>0</v>
      </c>
      <c r="DA321" s="239">
        <v>0</v>
      </c>
      <c r="DB321" s="239">
        <v>-300</v>
      </c>
      <c r="DC321" s="239">
        <v>0</v>
      </c>
      <c r="DD321" s="239">
        <v>-300</v>
      </c>
      <c r="DE321" s="239">
        <v>0</v>
      </c>
      <c r="DF321" s="239">
        <v>0</v>
      </c>
      <c r="DG321" s="239">
        <v>0</v>
      </c>
      <c r="DH321" s="239">
        <v>0</v>
      </c>
      <c r="DI321" s="239">
        <v>0</v>
      </c>
      <c r="DJ321" s="239">
        <v>-706965</v>
      </c>
      <c r="DK321" s="239">
        <v>0</v>
      </c>
      <c r="DL321" s="239">
        <v>-706965</v>
      </c>
      <c r="DM321" s="239">
        <v>0</v>
      </c>
      <c r="DN321" s="239">
        <v>0</v>
      </c>
      <c r="DO321" s="239">
        <v>0</v>
      </c>
      <c r="DP321" s="239">
        <v>0</v>
      </c>
      <c r="DQ321" s="239">
        <v>0</v>
      </c>
      <c r="DR321" s="239">
        <v>0</v>
      </c>
      <c r="DS321" s="239">
        <v>-63588</v>
      </c>
      <c r="DT321" s="239">
        <v>0</v>
      </c>
      <c r="DU321" s="239">
        <v>-63588</v>
      </c>
      <c r="DV321" s="239">
        <v>-12072</v>
      </c>
      <c r="DW321" s="239">
        <v>0</v>
      </c>
      <c r="DX321" s="239">
        <v>-12072</v>
      </c>
      <c r="DY321" s="239">
        <v>-1468894</v>
      </c>
      <c r="DZ321" s="239">
        <v>0</v>
      </c>
      <c r="EA321" s="239">
        <v>-1468894</v>
      </c>
      <c r="EB321" s="239">
        <v>-33159</v>
      </c>
      <c r="EC321" s="239">
        <v>0</v>
      </c>
      <c r="ED321" s="239">
        <v>-33159</v>
      </c>
      <c r="EE321" s="239">
        <v>0</v>
      </c>
      <c r="EF321" s="239">
        <v>0</v>
      </c>
      <c r="EG321" s="239">
        <v>0</v>
      </c>
      <c r="EH321" s="239">
        <v>0</v>
      </c>
      <c r="EI321" s="239">
        <v>0</v>
      </c>
      <c r="EJ321" s="239">
        <v>0</v>
      </c>
      <c r="EK321" s="239">
        <v>-17685</v>
      </c>
      <c r="EL321" s="239">
        <v>0</v>
      </c>
      <c r="EM321" s="239">
        <v>-17685</v>
      </c>
      <c r="EN321" s="239">
        <v>-1595398</v>
      </c>
      <c r="EO321" s="239">
        <v>0</v>
      </c>
      <c r="EP321" s="239">
        <v>-1595398</v>
      </c>
      <c r="EQ321" s="239">
        <v>0</v>
      </c>
      <c r="ER321" s="239">
        <v>0</v>
      </c>
      <c r="ES321" s="239">
        <v>0</v>
      </c>
      <c r="ET321" s="239">
        <v>0</v>
      </c>
      <c r="EU321" s="239">
        <v>0</v>
      </c>
      <c r="EV321" s="239">
        <v>0</v>
      </c>
      <c r="EW321" s="239">
        <v>0</v>
      </c>
      <c r="EX321" s="239">
        <v>0</v>
      </c>
      <c r="EY321" s="239">
        <v>0</v>
      </c>
      <c r="EZ321" s="239">
        <v>86604707</v>
      </c>
      <c r="FA321" s="239">
        <v>59724</v>
      </c>
      <c r="FB321" s="239">
        <v>86664431</v>
      </c>
      <c r="FC321" s="239">
        <v>92168</v>
      </c>
      <c r="FD321" s="239">
        <v>0</v>
      </c>
      <c r="FE321" s="239">
        <v>92168</v>
      </c>
      <c r="FF321" s="239">
        <v>-9638538</v>
      </c>
      <c r="FG321" s="239">
        <v>-47456</v>
      </c>
      <c r="FH321" s="239">
        <v>-9685994</v>
      </c>
      <c r="FI321" s="239">
        <v>-4355684</v>
      </c>
      <c r="FJ321" s="239">
        <v>0</v>
      </c>
      <c r="FK321" s="239">
        <v>-4355684</v>
      </c>
      <c r="FL321" s="239">
        <v>-706965</v>
      </c>
      <c r="FM321" s="239">
        <v>0</v>
      </c>
      <c r="FN321" s="239">
        <v>-706965</v>
      </c>
      <c r="FO321" s="239">
        <v>-1595398</v>
      </c>
      <c r="FP321" s="239">
        <v>0</v>
      </c>
      <c r="FQ321" s="239">
        <v>-1595398</v>
      </c>
      <c r="FR321" s="239">
        <v>0</v>
      </c>
      <c r="FS321" s="239">
        <v>0</v>
      </c>
      <c r="FT321" s="239">
        <v>0</v>
      </c>
      <c r="FU321" s="239">
        <v>-16204417</v>
      </c>
      <c r="FV321" s="239">
        <v>-47456</v>
      </c>
      <c r="FW321" s="239">
        <v>-16251873</v>
      </c>
      <c r="FX321" s="239">
        <v>70400290</v>
      </c>
      <c r="FY321" s="239">
        <v>12268</v>
      </c>
      <c r="FZ321" s="239">
        <v>70412558</v>
      </c>
      <c r="GA321" s="214" t="s">
        <v>1296</v>
      </c>
    </row>
    <row r="322" spans="2:183" s="214" customFormat="1" x14ac:dyDescent="0.2">
      <c r="B322" s="610" t="s">
        <v>727</v>
      </c>
      <c r="C322" s="610" t="s">
        <v>726</v>
      </c>
      <c r="D322" s="239">
        <v>0</v>
      </c>
      <c r="E322" s="239">
        <v>0</v>
      </c>
      <c r="F322" s="239">
        <v>0</v>
      </c>
      <c r="G322" s="239">
        <v>5244</v>
      </c>
      <c r="H322" s="239">
        <v>0</v>
      </c>
      <c r="I322" s="239">
        <v>5244</v>
      </c>
      <c r="J322" s="239">
        <v>0</v>
      </c>
      <c r="K322" s="239">
        <v>0</v>
      </c>
      <c r="L322" s="239">
        <v>0</v>
      </c>
      <c r="M322" s="239">
        <v>48695</v>
      </c>
      <c r="N322" s="239">
        <v>0</v>
      </c>
      <c r="O322" s="239">
        <v>48695</v>
      </c>
      <c r="P322" s="239">
        <v>53939</v>
      </c>
      <c r="Q322" s="239">
        <v>0</v>
      </c>
      <c r="R322" s="239">
        <v>53939</v>
      </c>
      <c r="S322" s="239">
        <v>-1139601</v>
      </c>
      <c r="T322" s="239">
        <v>0</v>
      </c>
      <c r="U322" s="239">
        <v>-1139601</v>
      </c>
      <c r="V322" s="239">
        <v>0</v>
      </c>
      <c r="W322" s="239">
        <v>0</v>
      </c>
      <c r="X322" s="239">
        <v>0</v>
      </c>
      <c r="Y322" s="239">
        <v>-285347</v>
      </c>
      <c r="Z322" s="239">
        <v>0</v>
      </c>
      <c r="AA322" s="239">
        <v>-285347</v>
      </c>
      <c r="AB322" s="239">
        <v>0</v>
      </c>
      <c r="AC322" s="239">
        <v>0</v>
      </c>
      <c r="AD322" s="239">
        <v>0</v>
      </c>
      <c r="AE322" s="239">
        <v>0</v>
      </c>
      <c r="AF322" s="239">
        <v>0</v>
      </c>
      <c r="AG322" s="239">
        <v>0</v>
      </c>
      <c r="AH322" s="239">
        <v>1340235</v>
      </c>
      <c r="AI322" s="239">
        <v>0</v>
      </c>
      <c r="AJ322" s="239">
        <v>1340235</v>
      </c>
      <c r="AK322" s="239">
        <v>10995</v>
      </c>
      <c r="AL322" s="239">
        <v>0</v>
      </c>
      <c r="AM322" s="239">
        <v>10995</v>
      </c>
      <c r="AN322" s="239">
        <v>-2861064</v>
      </c>
      <c r="AO322" s="239">
        <v>0</v>
      </c>
      <c r="AP322" s="239">
        <v>-2861064</v>
      </c>
      <c r="AQ322" s="239">
        <v>-51627</v>
      </c>
      <c r="AR322" s="239">
        <v>0</v>
      </c>
      <c r="AS322" s="239">
        <v>-51627</v>
      </c>
      <c r="AT322" s="239">
        <v>0</v>
      </c>
      <c r="AU322" s="239">
        <v>0</v>
      </c>
      <c r="AV322" s="239">
        <v>0</v>
      </c>
      <c r="AW322" s="239">
        <v>0</v>
      </c>
      <c r="AX322" s="239">
        <v>0</v>
      </c>
      <c r="AY322" s="239">
        <v>0</v>
      </c>
      <c r="AZ322" s="239">
        <v>-715</v>
      </c>
      <c r="BA322" s="239">
        <v>0</v>
      </c>
      <c r="BB322" s="239">
        <v>-715</v>
      </c>
      <c r="BC322" s="239">
        <v>0</v>
      </c>
      <c r="BD322" s="239">
        <v>0</v>
      </c>
      <c r="BE322" s="239">
        <v>0</v>
      </c>
      <c r="BF322" s="239">
        <v>-2987124</v>
      </c>
      <c r="BG322" s="239">
        <v>0</v>
      </c>
      <c r="BH322" s="239">
        <v>-2987124</v>
      </c>
      <c r="BI322" s="239">
        <v>-4010</v>
      </c>
      <c r="BJ322" s="239">
        <v>0</v>
      </c>
      <c r="BK322" s="239">
        <v>-4010</v>
      </c>
      <c r="BL322" s="239">
        <v>-579</v>
      </c>
      <c r="BM322" s="239">
        <v>0</v>
      </c>
      <c r="BN322" s="239">
        <v>-579</v>
      </c>
      <c r="BO322" s="239">
        <v>-1617154</v>
      </c>
      <c r="BP322" s="239">
        <v>0</v>
      </c>
      <c r="BQ322" s="239">
        <v>-1617154</v>
      </c>
      <c r="BR322" s="239">
        <v>-59367</v>
      </c>
      <c r="BS322" s="239">
        <v>0</v>
      </c>
      <c r="BT322" s="239">
        <v>-59367</v>
      </c>
      <c r="BU322" s="239">
        <v>-1681110</v>
      </c>
      <c r="BV322" s="239">
        <v>0</v>
      </c>
      <c r="BW322" s="239">
        <v>-1681110</v>
      </c>
      <c r="BX322" s="239">
        <v>-361182</v>
      </c>
      <c r="BY322" s="239">
        <v>0</v>
      </c>
      <c r="BZ322" s="239">
        <v>-361182</v>
      </c>
      <c r="CA322" s="239">
        <v>-21536.43</v>
      </c>
      <c r="CB322" s="239">
        <v>0</v>
      </c>
      <c r="CC322" s="239">
        <v>-21536.43</v>
      </c>
      <c r="CD322" s="239">
        <v>-65859</v>
      </c>
      <c r="CE322" s="239">
        <v>0</v>
      </c>
      <c r="CF322" s="239">
        <v>-65859</v>
      </c>
      <c r="CG322" s="239">
        <v>0</v>
      </c>
      <c r="CH322" s="239">
        <v>0</v>
      </c>
      <c r="CI322" s="239">
        <v>0</v>
      </c>
      <c r="CJ322" s="239">
        <v>0</v>
      </c>
      <c r="CK322" s="239">
        <v>0</v>
      </c>
      <c r="CL322" s="239">
        <v>0</v>
      </c>
      <c r="CM322" s="239">
        <v>0</v>
      </c>
      <c r="CN322" s="239">
        <v>0</v>
      </c>
      <c r="CO322" s="239">
        <v>0</v>
      </c>
      <c r="CP322" s="239">
        <v>0</v>
      </c>
      <c r="CQ322" s="239">
        <v>0</v>
      </c>
      <c r="CR322" s="239">
        <v>0</v>
      </c>
      <c r="CS322" s="239">
        <v>0</v>
      </c>
      <c r="CT322" s="239">
        <v>0</v>
      </c>
      <c r="CU322" s="239">
        <v>0</v>
      </c>
      <c r="CV322" s="239">
        <v>0</v>
      </c>
      <c r="CW322" s="239">
        <v>0</v>
      </c>
      <c r="CX322" s="239">
        <v>0</v>
      </c>
      <c r="CY322" s="239">
        <v>0</v>
      </c>
      <c r="CZ322" s="239">
        <v>0</v>
      </c>
      <c r="DA322" s="239">
        <v>0</v>
      </c>
      <c r="DB322" s="239">
        <v>-70719</v>
      </c>
      <c r="DC322" s="239">
        <v>0</v>
      </c>
      <c r="DD322" s="239">
        <v>-70719</v>
      </c>
      <c r="DE322" s="239">
        <v>-1611</v>
      </c>
      <c r="DF322" s="239">
        <v>0</v>
      </c>
      <c r="DG322" s="239">
        <v>-1611</v>
      </c>
      <c r="DH322" s="239">
        <v>0</v>
      </c>
      <c r="DI322" s="239">
        <v>0</v>
      </c>
      <c r="DJ322" s="239">
        <v>-520907</v>
      </c>
      <c r="DK322" s="239">
        <v>0</v>
      </c>
      <c r="DL322" s="239">
        <v>-520907</v>
      </c>
      <c r="DM322" s="239">
        <v>-73276</v>
      </c>
      <c r="DN322" s="239">
        <v>0</v>
      </c>
      <c r="DO322" s="239">
        <v>-73276</v>
      </c>
      <c r="DP322" s="239">
        <v>-30756</v>
      </c>
      <c r="DQ322" s="239">
        <v>0</v>
      </c>
      <c r="DR322" s="239">
        <v>-30756</v>
      </c>
      <c r="DS322" s="239">
        <v>-8426</v>
      </c>
      <c r="DT322" s="239">
        <v>0</v>
      </c>
      <c r="DU322" s="239">
        <v>-8426</v>
      </c>
      <c r="DV322" s="239">
        <v>0</v>
      </c>
      <c r="DW322" s="239">
        <v>0</v>
      </c>
      <c r="DX322" s="239">
        <v>0</v>
      </c>
      <c r="DY322" s="239">
        <v>-384071</v>
      </c>
      <c r="DZ322" s="239">
        <v>0</v>
      </c>
      <c r="EA322" s="239">
        <v>-384071</v>
      </c>
      <c r="EB322" s="239">
        <v>-28381</v>
      </c>
      <c r="EC322" s="239">
        <v>0</v>
      </c>
      <c r="ED322" s="239">
        <v>-28381</v>
      </c>
      <c r="EE322" s="239">
        <v>0</v>
      </c>
      <c r="EF322" s="239">
        <v>0</v>
      </c>
      <c r="EG322" s="239">
        <v>0</v>
      </c>
      <c r="EH322" s="239">
        <v>0</v>
      </c>
      <c r="EI322" s="239">
        <v>0</v>
      </c>
      <c r="EJ322" s="239">
        <v>0</v>
      </c>
      <c r="EK322" s="239">
        <v>-11626</v>
      </c>
      <c r="EL322" s="239">
        <v>0</v>
      </c>
      <c r="EM322" s="239">
        <v>-11626</v>
      </c>
      <c r="EN322" s="239">
        <v>-536536</v>
      </c>
      <c r="EO322" s="239">
        <v>0</v>
      </c>
      <c r="EP322" s="239">
        <v>-536536</v>
      </c>
      <c r="EQ322" s="239">
        <v>-267477</v>
      </c>
      <c r="ER322" s="239">
        <v>0</v>
      </c>
      <c r="ES322" s="239">
        <v>-267477</v>
      </c>
      <c r="ET322" s="239">
        <v>38554</v>
      </c>
      <c r="EU322" s="239">
        <v>0</v>
      </c>
      <c r="EV322" s="239">
        <v>38554</v>
      </c>
      <c r="EW322" s="239">
        <v>-228923</v>
      </c>
      <c r="EX322" s="239">
        <v>0</v>
      </c>
      <c r="EY322" s="239">
        <v>-228923</v>
      </c>
      <c r="EZ322" s="239">
        <v>54573269</v>
      </c>
      <c r="FA322" s="239">
        <v>0</v>
      </c>
      <c r="FB322" s="239">
        <v>54573269</v>
      </c>
      <c r="FC322" s="239">
        <v>53939</v>
      </c>
      <c r="FD322" s="239">
        <v>0</v>
      </c>
      <c r="FE322" s="239">
        <v>53939</v>
      </c>
      <c r="FF322" s="239">
        <v>-2987124</v>
      </c>
      <c r="FG322" s="239">
        <v>0</v>
      </c>
      <c r="FH322" s="239">
        <v>-2987124</v>
      </c>
      <c r="FI322" s="239">
        <v>-1681110</v>
      </c>
      <c r="FJ322" s="239">
        <v>0</v>
      </c>
      <c r="FK322" s="239">
        <v>-1681110</v>
      </c>
      <c r="FL322" s="239">
        <v>-520907</v>
      </c>
      <c r="FM322" s="239">
        <v>0</v>
      </c>
      <c r="FN322" s="239">
        <v>-520907</v>
      </c>
      <c r="FO322" s="239">
        <v>-536536</v>
      </c>
      <c r="FP322" s="239">
        <v>0</v>
      </c>
      <c r="FQ322" s="239">
        <v>-536536</v>
      </c>
      <c r="FR322" s="239">
        <v>-228923</v>
      </c>
      <c r="FS322" s="239">
        <v>0</v>
      </c>
      <c r="FT322" s="239">
        <v>-228923</v>
      </c>
      <c r="FU322" s="239">
        <v>-5900661</v>
      </c>
      <c r="FV322" s="239">
        <v>0</v>
      </c>
      <c r="FW322" s="239">
        <v>-5900661</v>
      </c>
      <c r="FX322" s="239">
        <v>48672608</v>
      </c>
      <c r="FY322" s="239">
        <v>0</v>
      </c>
      <c r="FZ322" s="239">
        <v>48672608</v>
      </c>
      <c r="GA322" s="214" t="s">
        <v>1294</v>
      </c>
    </row>
    <row r="323" spans="2:183" s="214" customFormat="1" x14ac:dyDescent="0.2">
      <c r="B323" s="610" t="s">
        <v>729</v>
      </c>
      <c r="C323" s="610" t="s">
        <v>728</v>
      </c>
      <c r="D323" s="239">
        <v>0</v>
      </c>
      <c r="E323" s="239">
        <v>0</v>
      </c>
      <c r="F323" s="239">
        <v>0</v>
      </c>
      <c r="G323" s="239">
        <v>-241017</v>
      </c>
      <c r="H323" s="239">
        <v>0</v>
      </c>
      <c r="I323" s="239">
        <v>-241017</v>
      </c>
      <c r="J323" s="239">
        <v>0</v>
      </c>
      <c r="K323" s="239">
        <v>0</v>
      </c>
      <c r="L323" s="239">
        <v>0</v>
      </c>
      <c r="M323" s="239">
        <v>122510</v>
      </c>
      <c r="N323" s="239">
        <v>0</v>
      </c>
      <c r="O323" s="239">
        <v>122510</v>
      </c>
      <c r="P323" s="239">
        <v>-118507</v>
      </c>
      <c r="Q323" s="239">
        <v>0</v>
      </c>
      <c r="R323" s="239">
        <v>-118507</v>
      </c>
      <c r="S323" s="239">
        <v>-1909908</v>
      </c>
      <c r="T323" s="239">
        <v>0</v>
      </c>
      <c r="U323" s="239">
        <v>-1909908</v>
      </c>
      <c r="V323" s="239">
        <v>-10630</v>
      </c>
      <c r="W323" s="239">
        <v>0</v>
      </c>
      <c r="X323" s="239">
        <v>-10630</v>
      </c>
      <c r="Y323" s="239">
        <v>-151241</v>
      </c>
      <c r="Z323" s="239">
        <v>0</v>
      </c>
      <c r="AA323" s="239">
        <v>-151241</v>
      </c>
      <c r="AB323" s="239">
        <v>-85622</v>
      </c>
      <c r="AC323" s="239">
        <v>0</v>
      </c>
      <c r="AD323" s="239">
        <v>-85622</v>
      </c>
      <c r="AE323" s="239">
        <v>550</v>
      </c>
      <c r="AF323" s="239">
        <v>0</v>
      </c>
      <c r="AG323" s="239">
        <v>550</v>
      </c>
      <c r="AH323" s="239">
        <v>1632041</v>
      </c>
      <c r="AI323" s="239">
        <v>0</v>
      </c>
      <c r="AJ323" s="239">
        <v>1632041</v>
      </c>
      <c r="AK323" s="239">
        <v>11145</v>
      </c>
      <c r="AL323" s="239">
        <v>0</v>
      </c>
      <c r="AM323" s="239">
        <v>11145</v>
      </c>
      <c r="AN323" s="239">
        <v>-5251589</v>
      </c>
      <c r="AO323" s="239">
        <v>0</v>
      </c>
      <c r="AP323" s="239">
        <v>-5251589</v>
      </c>
      <c r="AQ323" s="239">
        <v>-72039</v>
      </c>
      <c r="AR323" s="239">
        <v>0</v>
      </c>
      <c r="AS323" s="239">
        <v>-72039</v>
      </c>
      <c r="AT323" s="239">
        <v>-55374</v>
      </c>
      <c r="AU323" s="239">
        <v>0</v>
      </c>
      <c r="AV323" s="239">
        <v>-55374</v>
      </c>
      <c r="AW323" s="239">
        <v>0</v>
      </c>
      <c r="AX323" s="239">
        <v>0</v>
      </c>
      <c r="AY323" s="239">
        <v>0</v>
      </c>
      <c r="AZ323" s="239">
        <v>-5361</v>
      </c>
      <c r="BA323" s="239">
        <v>0</v>
      </c>
      <c r="BB323" s="239">
        <v>-5361</v>
      </c>
      <c r="BC323" s="239">
        <v>-4720</v>
      </c>
      <c r="BD323" s="239">
        <v>0</v>
      </c>
      <c r="BE323" s="239">
        <v>-4720</v>
      </c>
      <c r="BF323" s="239">
        <v>-5807046</v>
      </c>
      <c r="BG323" s="239">
        <v>0</v>
      </c>
      <c r="BH323" s="239">
        <v>-5807046</v>
      </c>
      <c r="BI323" s="239">
        <v>-84432</v>
      </c>
      <c r="BJ323" s="239">
        <v>0</v>
      </c>
      <c r="BK323" s="239">
        <v>-84432</v>
      </c>
      <c r="BL323" s="239">
        <v>-5769</v>
      </c>
      <c r="BM323" s="239">
        <v>0</v>
      </c>
      <c r="BN323" s="239">
        <v>-5769</v>
      </c>
      <c r="BO323" s="239">
        <v>-2699818</v>
      </c>
      <c r="BP323" s="239">
        <v>0</v>
      </c>
      <c r="BQ323" s="239">
        <v>-2699818</v>
      </c>
      <c r="BR323" s="239">
        <v>-94255</v>
      </c>
      <c r="BS323" s="239">
        <v>0</v>
      </c>
      <c r="BT323" s="239">
        <v>-94255</v>
      </c>
      <c r="BU323" s="239">
        <v>-2884274</v>
      </c>
      <c r="BV323" s="239">
        <v>0</v>
      </c>
      <c r="BW323" s="239">
        <v>-2884274</v>
      </c>
      <c r="BX323" s="239">
        <v>-7242</v>
      </c>
      <c r="BY323" s="239">
        <v>0</v>
      </c>
      <c r="BZ323" s="239">
        <v>-7242</v>
      </c>
      <c r="CA323" s="239">
        <v>-443</v>
      </c>
      <c r="CB323" s="239">
        <v>0</v>
      </c>
      <c r="CC323" s="239">
        <v>-443</v>
      </c>
      <c r="CD323" s="239">
        <v>-52008</v>
      </c>
      <c r="CE323" s="239">
        <v>0</v>
      </c>
      <c r="CF323" s="239">
        <v>-52008</v>
      </c>
      <c r="CG323" s="239">
        <v>-3386</v>
      </c>
      <c r="CH323" s="239">
        <v>0</v>
      </c>
      <c r="CI323" s="239">
        <v>-3386</v>
      </c>
      <c r="CJ323" s="239">
        <v>-448</v>
      </c>
      <c r="CK323" s="239">
        <v>0</v>
      </c>
      <c r="CL323" s="239">
        <v>-448</v>
      </c>
      <c r="CM323" s="239">
        <v>0</v>
      </c>
      <c r="CN323" s="239">
        <v>0</v>
      </c>
      <c r="CO323" s="239">
        <v>0</v>
      </c>
      <c r="CP323" s="239">
        <v>-838</v>
      </c>
      <c r="CQ323" s="239">
        <v>0</v>
      </c>
      <c r="CR323" s="239">
        <v>-838</v>
      </c>
      <c r="CS323" s="239">
        <v>0</v>
      </c>
      <c r="CT323" s="239">
        <v>0</v>
      </c>
      <c r="CU323" s="239">
        <v>0</v>
      </c>
      <c r="CV323" s="239">
        <v>0</v>
      </c>
      <c r="CW323" s="239">
        <v>0</v>
      </c>
      <c r="CX323" s="239">
        <v>0</v>
      </c>
      <c r="CY323" s="239">
        <v>0</v>
      </c>
      <c r="CZ323" s="239">
        <v>0</v>
      </c>
      <c r="DA323" s="239">
        <v>0</v>
      </c>
      <c r="DB323" s="239">
        <v>-12158</v>
      </c>
      <c r="DC323" s="239">
        <v>0</v>
      </c>
      <c r="DD323" s="239">
        <v>-12158</v>
      </c>
      <c r="DE323" s="239">
        <v>-8429</v>
      </c>
      <c r="DF323" s="239">
        <v>0</v>
      </c>
      <c r="DG323" s="239">
        <v>-8429</v>
      </c>
      <c r="DH323" s="239">
        <v>0</v>
      </c>
      <c r="DI323" s="239">
        <v>0</v>
      </c>
      <c r="DJ323" s="239">
        <v>-84952</v>
      </c>
      <c r="DK323" s="239">
        <v>0</v>
      </c>
      <c r="DL323" s="239">
        <v>-84952</v>
      </c>
      <c r="DM323" s="239">
        <v>0</v>
      </c>
      <c r="DN323" s="239">
        <v>0</v>
      </c>
      <c r="DO323" s="239">
        <v>0</v>
      </c>
      <c r="DP323" s="239">
        <v>0</v>
      </c>
      <c r="DQ323" s="239">
        <v>0</v>
      </c>
      <c r="DR323" s="239">
        <v>0</v>
      </c>
      <c r="DS323" s="239">
        <v>-42857</v>
      </c>
      <c r="DT323" s="239">
        <v>0</v>
      </c>
      <c r="DU323" s="239">
        <v>-42857</v>
      </c>
      <c r="DV323" s="239">
        <v>65</v>
      </c>
      <c r="DW323" s="239">
        <v>0</v>
      </c>
      <c r="DX323" s="239">
        <v>65</v>
      </c>
      <c r="DY323" s="239">
        <v>-439979</v>
      </c>
      <c r="DZ323" s="239">
        <v>0</v>
      </c>
      <c r="EA323" s="239">
        <v>-439979</v>
      </c>
      <c r="EB323" s="239">
        <v>-27036</v>
      </c>
      <c r="EC323" s="239">
        <v>0</v>
      </c>
      <c r="ED323" s="239">
        <v>-27036</v>
      </c>
      <c r="EE323" s="239">
        <v>0</v>
      </c>
      <c r="EF323" s="239">
        <v>0</v>
      </c>
      <c r="EG323" s="239">
        <v>0</v>
      </c>
      <c r="EH323" s="239">
        <v>0</v>
      </c>
      <c r="EI323" s="239">
        <v>0</v>
      </c>
      <c r="EJ323" s="239">
        <v>0</v>
      </c>
      <c r="EK323" s="239">
        <v>-4788</v>
      </c>
      <c r="EL323" s="239">
        <v>0</v>
      </c>
      <c r="EM323" s="239">
        <v>-4788</v>
      </c>
      <c r="EN323" s="239">
        <v>-514595</v>
      </c>
      <c r="EO323" s="239">
        <v>0</v>
      </c>
      <c r="EP323" s="239">
        <v>-514595</v>
      </c>
      <c r="EQ323" s="239">
        <v>0</v>
      </c>
      <c r="ER323" s="239">
        <v>0</v>
      </c>
      <c r="ES323" s="239">
        <v>0</v>
      </c>
      <c r="ET323" s="239">
        <v>0</v>
      </c>
      <c r="EU323" s="239">
        <v>0</v>
      </c>
      <c r="EV323" s="239">
        <v>0</v>
      </c>
      <c r="EW323" s="239">
        <v>0</v>
      </c>
      <c r="EX323" s="239">
        <v>0</v>
      </c>
      <c r="EY323" s="239">
        <v>0</v>
      </c>
      <c r="EZ323" s="239">
        <v>66823656</v>
      </c>
      <c r="FA323" s="239">
        <v>0</v>
      </c>
      <c r="FB323" s="239">
        <v>66823656</v>
      </c>
      <c r="FC323" s="239">
        <v>-118507</v>
      </c>
      <c r="FD323" s="239">
        <v>0</v>
      </c>
      <c r="FE323" s="239">
        <v>-118507</v>
      </c>
      <c r="FF323" s="239">
        <v>-5807046</v>
      </c>
      <c r="FG323" s="239">
        <v>0</v>
      </c>
      <c r="FH323" s="239">
        <v>-5807046</v>
      </c>
      <c r="FI323" s="239">
        <v>-2884274</v>
      </c>
      <c r="FJ323" s="239">
        <v>0</v>
      </c>
      <c r="FK323" s="239">
        <v>-2884274</v>
      </c>
      <c r="FL323" s="239">
        <v>-84952</v>
      </c>
      <c r="FM323" s="239">
        <v>0</v>
      </c>
      <c r="FN323" s="239">
        <v>-84952</v>
      </c>
      <c r="FO323" s="239">
        <v>-514595</v>
      </c>
      <c r="FP323" s="239">
        <v>0</v>
      </c>
      <c r="FQ323" s="239">
        <v>-514595</v>
      </c>
      <c r="FR323" s="239">
        <v>0</v>
      </c>
      <c r="FS323" s="239">
        <v>0</v>
      </c>
      <c r="FT323" s="239">
        <v>0</v>
      </c>
      <c r="FU323" s="239">
        <v>-9409374</v>
      </c>
      <c r="FV323" s="239">
        <v>0</v>
      </c>
      <c r="FW323" s="239">
        <v>-9409374</v>
      </c>
      <c r="FX323" s="239">
        <v>57414282</v>
      </c>
      <c r="FY323" s="239">
        <v>0</v>
      </c>
      <c r="FZ323" s="239">
        <v>57414282</v>
      </c>
      <c r="GA323" s="214" t="s">
        <v>748</v>
      </c>
    </row>
    <row r="324" spans="2:183" s="214" customFormat="1" x14ac:dyDescent="0.2">
      <c r="B324" s="610" t="s">
        <v>731</v>
      </c>
      <c r="C324" s="610" t="s">
        <v>730</v>
      </c>
      <c r="D324" s="239">
        <v>0</v>
      </c>
      <c r="E324" s="239">
        <v>0</v>
      </c>
      <c r="F324" s="239">
        <v>0</v>
      </c>
      <c r="G324" s="239">
        <v>602311</v>
      </c>
      <c r="H324" s="239">
        <v>0</v>
      </c>
      <c r="I324" s="239">
        <v>602311</v>
      </c>
      <c r="J324" s="239">
        <v>0</v>
      </c>
      <c r="K324" s="239">
        <v>0</v>
      </c>
      <c r="L324" s="239">
        <v>0</v>
      </c>
      <c r="M324" s="239">
        <v>697573</v>
      </c>
      <c r="N324" s="239">
        <v>0</v>
      </c>
      <c r="O324" s="239">
        <v>697573</v>
      </c>
      <c r="P324" s="239">
        <v>1299884</v>
      </c>
      <c r="Q324" s="239">
        <v>0</v>
      </c>
      <c r="R324" s="239">
        <v>1299884</v>
      </c>
      <c r="S324" s="239">
        <v>-5587713</v>
      </c>
      <c r="T324" s="239">
        <v>0</v>
      </c>
      <c r="U324" s="239">
        <v>-5587713</v>
      </c>
      <c r="V324" s="239">
        <v>-22495</v>
      </c>
      <c r="W324" s="239">
        <v>0</v>
      </c>
      <c r="X324" s="239">
        <v>-22495</v>
      </c>
      <c r="Y324" s="239">
        <v>-243362</v>
      </c>
      <c r="Z324" s="239">
        <v>0</v>
      </c>
      <c r="AA324" s="239">
        <v>-243362</v>
      </c>
      <c r="AB324" s="239">
        <v>-240697</v>
      </c>
      <c r="AC324" s="239">
        <v>0</v>
      </c>
      <c r="AD324" s="239">
        <v>-240697</v>
      </c>
      <c r="AE324" s="239">
        <v>-2665</v>
      </c>
      <c r="AF324" s="239">
        <v>0</v>
      </c>
      <c r="AG324" s="239">
        <v>-2665</v>
      </c>
      <c r="AH324" s="239">
        <v>2091164</v>
      </c>
      <c r="AI324" s="239">
        <v>0</v>
      </c>
      <c r="AJ324" s="239">
        <v>2091164</v>
      </c>
      <c r="AK324" s="239">
        <v>-39880</v>
      </c>
      <c r="AL324" s="239">
        <v>0</v>
      </c>
      <c r="AM324" s="239">
        <v>-39880</v>
      </c>
      <c r="AN324" s="239">
        <v>-4813362</v>
      </c>
      <c r="AO324" s="239">
        <v>0</v>
      </c>
      <c r="AP324" s="239">
        <v>-4813362</v>
      </c>
      <c r="AQ324" s="239">
        <v>-71225</v>
      </c>
      <c r="AR324" s="239">
        <v>0</v>
      </c>
      <c r="AS324" s="239">
        <v>-71225</v>
      </c>
      <c r="AT324" s="239">
        <v>-19809</v>
      </c>
      <c r="AU324" s="239">
        <v>0</v>
      </c>
      <c r="AV324" s="239">
        <v>-19809</v>
      </c>
      <c r="AW324" s="239">
        <v>0</v>
      </c>
      <c r="AX324" s="239">
        <v>0</v>
      </c>
      <c r="AY324" s="239">
        <v>0</v>
      </c>
      <c r="AZ324" s="239">
        <v>0</v>
      </c>
      <c r="BA324" s="239">
        <v>0</v>
      </c>
      <c r="BB324" s="239">
        <v>0</v>
      </c>
      <c r="BC324" s="239">
        <v>0</v>
      </c>
      <c r="BD324" s="239">
        <v>0</v>
      </c>
      <c r="BE324" s="239">
        <v>0</v>
      </c>
      <c r="BF324" s="239">
        <v>-8684187</v>
      </c>
      <c r="BG324" s="239">
        <v>0</v>
      </c>
      <c r="BH324" s="239">
        <v>-8684187</v>
      </c>
      <c r="BI324" s="239">
        <v>-633</v>
      </c>
      <c r="BJ324" s="239">
        <v>0</v>
      </c>
      <c r="BK324" s="239">
        <v>-633</v>
      </c>
      <c r="BL324" s="239">
        <v>-6996</v>
      </c>
      <c r="BM324" s="239">
        <v>0</v>
      </c>
      <c r="BN324" s="239">
        <v>-6996</v>
      </c>
      <c r="BO324" s="239">
        <v>-3488451</v>
      </c>
      <c r="BP324" s="239">
        <v>0</v>
      </c>
      <c r="BQ324" s="239">
        <v>-3488451</v>
      </c>
      <c r="BR324" s="239">
        <v>104108</v>
      </c>
      <c r="BS324" s="239">
        <v>0</v>
      </c>
      <c r="BT324" s="239">
        <v>104108</v>
      </c>
      <c r="BU324" s="239">
        <v>-3391972</v>
      </c>
      <c r="BV324" s="239">
        <v>0</v>
      </c>
      <c r="BW324" s="239">
        <v>-3391972</v>
      </c>
      <c r="BX324" s="239">
        <v>-242369</v>
      </c>
      <c r="BY324" s="239">
        <v>0</v>
      </c>
      <c r="BZ324" s="239">
        <v>-242369</v>
      </c>
      <c r="CA324" s="239">
        <v>7182</v>
      </c>
      <c r="CB324" s="239">
        <v>0</v>
      </c>
      <c r="CC324" s="239">
        <v>7182</v>
      </c>
      <c r="CD324" s="239">
        <v>-374376</v>
      </c>
      <c r="CE324" s="239">
        <v>0</v>
      </c>
      <c r="CF324" s="239">
        <v>-374376</v>
      </c>
      <c r="CG324" s="239">
        <v>4395</v>
      </c>
      <c r="CH324" s="239">
        <v>0</v>
      </c>
      <c r="CI324" s="239">
        <v>4395</v>
      </c>
      <c r="CJ324" s="239">
        <v>-2573</v>
      </c>
      <c r="CK324" s="239">
        <v>0</v>
      </c>
      <c r="CL324" s="239">
        <v>-2573</v>
      </c>
      <c r="CM324" s="239">
        <v>0</v>
      </c>
      <c r="CN324" s="239">
        <v>0</v>
      </c>
      <c r="CO324" s="239">
        <v>0</v>
      </c>
      <c r="CP324" s="239">
        <v>0</v>
      </c>
      <c r="CQ324" s="239">
        <v>0</v>
      </c>
      <c r="CR324" s="239">
        <v>0</v>
      </c>
      <c r="CS324" s="239">
        <v>0</v>
      </c>
      <c r="CT324" s="239">
        <v>0</v>
      </c>
      <c r="CU324" s="239">
        <v>0</v>
      </c>
      <c r="CV324" s="239">
        <v>0</v>
      </c>
      <c r="CW324" s="239">
        <v>0</v>
      </c>
      <c r="CX324" s="239">
        <v>0</v>
      </c>
      <c r="CY324" s="239">
        <v>0</v>
      </c>
      <c r="CZ324" s="239">
        <v>0</v>
      </c>
      <c r="DA324" s="239">
        <v>0</v>
      </c>
      <c r="DB324" s="239">
        <v>0</v>
      </c>
      <c r="DC324" s="239">
        <v>0</v>
      </c>
      <c r="DD324" s="239">
        <v>0</v>
      </c>
      <c r="DE324" s="239">
        <v>0</v>
      </c>
      <c r="DF324" s="239">
        <v>0</v>
      </c>
      <c r="DG324" s="239">
        <v>0</v>
      </c>
      <c r="DH324" s="239">
        <v>0</v>
      </c>
      <c r="DI324" s="239">
        <v>0</v>
      </c>
      <c r="DJ324" s="239">
        <v>-607741</v>
      </c>
      <c r="DK324" s="239">
        <v>0</v>
      </c>
      <c r="DL324" s="239">
        <v>-607741</v>
      </c>
      <c r="DM324" s="239">
        <v>-5587</v>
      </c>
      <c r="DN324" s="239">
        <v>0</v>
      </c>
      <c r="DO324" s="239">
        <v>-5587</v>
      </c>
      <c r="DP324" s="239">
        <v>0</v>
      </c>
      <c r="DQ324" s="239">
        <v>0</v>
      </c>
      <c r="DR324" s="239">
        <v>0</v>
      </c>
      <c r="DS324" s="239">
        <v>-51691</v>
      </c>
      <c r="DT324" s="239">
        <v>0</v>
      </c>
      <c r="DU324" s="239">
        <v>-51691</v>
      </c>
      <c r="DV324" s="239">
        <v>-48</v>
      </c>
      <c r="DW324" s="239">
        <v>0</v>
      </c>
      <c r="DX324" s="239">
        <v>-48</v>
      </c>
      <c r="DY324" s="239">
        <v>-920662</v>
      </c>
      <c r="DZ324" s="239">
        <v>0</v>
      </c>
      <c r="EA324" s="239">
        <v>-920662</v>
      </c>
      <c r="EB324" s="239">
        <v>-108366</v>
      </c>
      <c r="EC324" s="239">
        <v>0</v>
      </c>
      <c r="ED324" s="239">
        <v>-108366</v>
      </c>
      <c r="EE324" s="239">
        <v>0</v>
      </c>
      <c r="EF324" s="239">
        <v>0</v>
      </c>
      <c r="EG324" s="239">
        <v>0</v>
      </c>
      <c r="EH324" s="239">
        <v>0</v>
      </c>
      <c r="EI324" s="239">
        <v>0</v>
      </c>
      <c r="EJ324" s="239">
        <v>0</v>
      </c>
      <c r="EK324" s="239">
        <v>-10313</v>
      </c>
      <c r="EL324" s="239">
        <v>0</v>
      </c>
      <c r="EM324" s="239">
        <v>-10313</v>
      </c>
      <c r="EN324" s="239">
        <v>-1096667</v>
      </c>
      <c r="EO324" s="239">
        <v>0</v>
      </c>
      <c r="EP324" s="239">
        <v>-1096667</v>
      </c>
      <c r="EQ324" s="239">
        <v>0</v>
      </c>
      <c r="ER324" s="239">
        <v>0</v>
      </c>
      <c r="ES324" s="239">
        <v>0</v>
      </c>
      <c r="ET324" s="239">
        <v>-11191</v>
      </c>
      <c r="EU324" s="239">
        <v>0</v>
      </c>
      <c r="EV324" s="239">
        <v>-11191</v>
      </c>
      <c r="EW324" s="239">
        <v>-11191</v>
      </c>
      <c r="EX324" s="239">
        <v>0</v>
      </c>
      <c r="EY324" s="239">
        <v>-11191</v>
      </c>
      <c r="EZ324" s="239">
        <v>88048407</v>
      </c>
      <c r="FA324" s="239">
        <v>89356</v>
      </c>
      <c r="FB324" s="239">
        <v>88137763</v>
      </c>
      <c r="FC324" s="239">
        <v>1299884</v>
      </c>
      <c r="FD324" s="239">
        <v>0</v>
      </c>
      <c r="FE324" s="239">
        <v>1299884</v>
      </c>
      <c r="FF324" s="239">
        <v>-8684187</v>
      </c>
      <c r="FG324" s="239">
        <v>0</v>
      </c>
      <c r="FH324" s="239">
        <v>-8684187</v>
      </c>
      <c r="FI324" s="239">
        <v>-3391972</v>
      </c>
      <c r="FJ324" s="239">
        <v>0</v>
      </c>
      <c r="FK324" s="239">
        <v>-3391972</v>
      </c>
      <c r="FL324" s="239">
        <v>-607741</v>
      </c>
      <c r="FM324" s="239">
        <v>0</v>
      </c>
      <c r="FN324" s="239">
        <v>-607741</v>
      </c>
      <c r="FO324" s="239">
        <v>-1096667</v>
      </c>
      <c r="FP324" s="239">
        <v>0</v>
      </c>
      <c r="FQ324" s="239">
        <v>-1096667</v>
      </c>
      <c r="FR324" s="239">
        <v>-11191</v>
      </c>
      <c r="FS324" s="239">
        <v>0</v>
      </c>
      <c r="FT324" s="239">
        <v>-11191</v>
      </c>
      <c r="FU324" s="239">
        <v>-12491874</v>
      </c>
      <c r="FV324" s="239">
        <v>0</v>
      </c>
      <c r="FW324" s="239">
        <v>-12491874</v>
      </c>
      <c r="FX324" s="239">
        <v>75556533</v>
      </c>
      <c r="FY324" s="239">
        <v>89356</v>
      </c>
      <c r="FZ324" s="239">
        <v>75645889</v>
      </c>
      <c r="GA324" s="214" t="s">
        <v>1296</v>
      </c>
    </row>
    <row r="325" spans="2:183" s="214" customFormat="1" x14ac:dyDescent="0.2">
      <c r="B325" s="610" t="s">
        <v>733</v>
      </c>
      <c r="C325" s="610" t="s">
        <v>732</v>
      </c>
      <c r="D325" s="239">
        <v>0</v>
      </c>
      <c r="E325" s="239">
        <v>0</v>
      </c>
      <c r="F325" s="239">
        <v>0</v>
      </c>
      <c r="G325" s="239">
        <v>10734</v>
      </c>
      <c r="H325" s="239">
        <v>0</v>
      </c>
      <c r="I325" s="239">
        <v>10734</v>
      </c>
      <c r="J325" s="239">
        <v>0</v>
      </c>
      <c r="K325" s="239">
        <v>0</v>
      </c>
      <c r="L325" s="239">
        <v>0</v>
      </c>
      <c r="M325" s="239">
        <v>32122</v>
      </c>
      <c r="N325" s="239">
        <v>0</v>
      </c>
      <c r="O325" s="239">
        <v>32122</v>
      </c>
      <c r="P325" s="239">
        <v>42856</v>
      </c>
      <c r="Q325" s="239">
        <v>0</v>
      </c>
      <c r="R325" s="239">
        <v>42856</v>
      </c>
      <c r="S325" s="239">
        <v>-1885140</v>
      </c>
      <c r="T325" s="239">
        <v>0</v>
      </c>
      <c r="U325" s="239">
        <v>-1885140</v>
      </c>
      <c r="V325" s="239">
        <v>-5272</v>
      </c>
      <c r="W325" s="239">
        <v>0</v>
      </c>
      <c r="X325" s="239">
        <v>-5272</v>
      </c>
      <c r="Y325" s="239">
        <v>-94062</v>
      </c>
      <c r="Z325" s="239">
        <v>0</v>
      </c>
      <c r="AA325" s="239">
        <v>-94062</v>
      </c>
      <c r="AB325" s="239">
        <v>-48141</v>
      </c>
      <c r="AC325" s="239">
        <v>0</v>
      </c>
      <c r="AD325" s="239">
        <v>-48141</v>
      </c>
      <c r="AE325" s="239">
        <v>0</v>
      </c>
      <c r="AF325" s="239">
        <v>0</v>
      </c>
      <c r="AG325" s="239">
        <v>0</v>
      </c>
      <c r="AH325" s="239">
        <v>1161689</v>
      </c>
      <c r="AI325" s="239">
        <v>0</v>
      </c>
      <c r="AJ325" s="239">
        <v>1161689</v>
      </c>
      <c r="AK325" s="239">
        <v>-40765</v>
      </c>
      <c r="AL325" s="239">
        <v>0</v>
      </c>
      <c r="AM325" s="239">
        <v>-40765</v>
      </c>
      <c r="AN325" s="239">
        <v>-3826613</v>
      </c>
      <c r="AO325" s="239">
        <v>0</v>
      </c>
      <c r="AP325" s="239">
        <v>-3826613</v>
      </c>
      <c r="AQ325" s="239">
        <v>-390478</v>
      </c>
      <c r="AR325" s="239">
        <v>0</v>
      </c>
      <c r="AS325" s="239">
        <v>-390478</v>
      </c>
      <c r="AT325" s="239">
        <v>-18044</v>
      </c>
      <c r="AU325" s="239">
        <v>0</v>
      </c>
      <c r="AV325" s="239">
        <v>-18044</v>
      </c>
      <c r="AW325" s="239">
        <v>0</v>
      </c>
      <c r="AX325" s="239">
        <v>0</v>
      </c>
      <c r="AY325" s="239">
        <v>0</v>
      </c>
      <c r="AZ325" s="239">
        <v>0</v>
      </c>
      <c r="BA325" s="239">
        <v>0</v>
      </c>
      <c r="BB325" s="239">
        <v>0</v>
      </c>
      <c r="BC325" s="239">
        <v>0</v>
      </c>
      <c r="BD325" s="239">
        <v>0</v>
      </c>
      <c r="BE325" s="239">
        <v>0</v>
      </c>
      <c r="BF325" s="239">
        <v>-5093413</v>
      </c>
      <c r="BG325" s="239">
        <v>0</v>
      </c>
      <c r="BH325" s="239">
        <v>-5093413</v>
      </c>
      <c r="BI325" s="239">
        <v>-64998</v>
      </c>
      <c r="BJ325" s="239">
        <v>0</v>
      </c>
      <c r="BK325" s="239">
        <v>-64998</v>
      </c>
      <c r="BL325" s="239">
        <v>-11687</v>
      </c>
      <c r="BM325" s="239">
        <v>0</v>
      </c>
      <c r="BN325" s="239">
        <v>-11687</v>
      </c>
      <c r="BO325" s="239">
        <v>-1977585</v>
      </c>
      <c r="BP325" s="239">
        <v>0</v>
      </c>
      <c r="BQ325" s="239">
        <v>-1977585</v>
      </c>
      <c r="BR325" s="239">
        <v>-209413</v>
      </c>
      <c r="BS325" s="239">
        <v>0</v>
      </c>
      <c r="BT325" s="239">
        <v>-209413</v>
      </c>
      <c r="BU325" s="239">
        <v>-2263683</v>
      </c>
      <c r="BV325" s="239">
        <v>0</v>
      </c>
      <c r="BW325" s="239">
        <v>-2263683</v>
      </c>
      <c r="BX325" s="239">
        <v>-205177</v>
      </c>
      <c r="BY325" s="239">
        <v>0</v>
      </c>
      <c r="BZ325" s="239">
        <v>-205177</v>
      </c>
      <c r="CA325" s="239">
        <v>4315</v>
      </c>
      <c r="CB325" s="239">
        <v>0</v>
      </c>
      <c r="CC325" s="239">
        <v>4315</v>
      </c>
      <c r="CD325" s="239">
        <v>-13454</v>
      </c>
      <c r="CE325" s="239">
        <v>0</v>
      </c>
      <c r="CF325" s="239">
        <v>-13454</v>
      </c>
      <c r="CG325" s="239">
        <v>-1065</v>
      </c>
      <c r="CH325" s="239">
        <v>0</v>
      </c>
      <c r="CI325" s="239">
        <v>-1065</v>
      </c>
      <c r="CJ325" s="239">
        <v>-4511</v>
      </c>
      <c r="CK325" s="239">
        <v>0</v>
      </c>
      <c r="CL325" s="239">
        <v>-4511</v>
      </c>
      <c r="CM325" s="239">
        <v>0</v>
      </c>
      <c r="CN325" s="239">
        <v>0</v>
      </c>
      <c r="CO325" s="239">
        <v>0</v>
      </c>
      <c r="CP325" s="239">
        <v>0</v>
      </c>
      <c r="CQ325" s="239">
        <v>0</v>
      </c>
      <c r="CR325" s="239">
        <v>0</v>
      </c>
      <c r="CS325" s="239">
        <v>0</v>
      </c>
      <c r="CT325" s="239">
        <v>0</v>
      </c>
      <c r="CU325" s="239">
        <v>0</v>
      </c>
      <c r="CV325" s="239">
        <v>0</v>
      </c>
      <c r="CW325" s="239">
        <v>0</v>
      </c>
      <c r="CX325" s="239">
        <v>0</v>
      </c>
      <c r="CY325" s="239">
        <v>0</v>
      </c>
      <c r="CZ325" s="239">
        <v>0</v>
      </c>
      <c r="DA325" s="239">
        <v>0</v>
      </c>
      <c r="DB325" s="239">
        <v>0</v>
      </c>
      <c r="DC325" s="239">
        <v>0</v>
      </c>
      <c r="DD325" s="239">
        <v>0</v>
      </c>
      <c r="DE325" s="239">
        <v>0</v>
      </c>
      <c r="DF325" s="239">
        <v>0</v>
      </c>
      <c r="DG325" s="239">
        <v>0</v>
      </c>
      <c r="DH325" s="239">
        <v>0</v>
      </c>
      <c r="DI325" s="239">
        <v>0</v>
      </c>
      <c r="DJ325" s="239">
        <v>-219892</v>
      </c>
      <c r="DK325" s="239">
        <v>0</v>
      </c>
      <c r="DL325" s="239">
        <v>-219892</v>
      </c>
      <c r="DM325" s="239">
        <v>-22477</v>
      </c>
      <c r="DN325" s="239">
        <v>0</v>
      </c>
      <c r="DO325" s="239">
        <v>-22477</v>
      </c>
      <c r="DP325" s="239">
        <v>0</v>
      </c>
      <c r="DQ325" s="239">
        <v>0</v>
      </c>
      <c r="DR325" s="239">
        <v>0</v>
      </c>
      <c r="DS325" s="239">
        <v>-49068</v>
      </c>
      <c r="DT325" s="239">
        <v>0</v>
      </c>
      <c r="DU325" s="239">
        <v>-49068</v>
      </c>
      <c r="DV325" s="239">
        <v>-5936</v>
      </c>
      <c r="DW325" s="239">
        <v>0</v>
      </c>
      <c r="DX325" s="239">
        <v>-5936</v>
      </c>
      <c r="DY325" s="239">
        <v>-663486</v>
      </c>
      <c r="DZ325" s="239">
        <v>0</v>
      </c>
      <c r="EA325" s="239">
        <v>-663486</v>
      </c>
      <c r="EB325" s="239">
        <v>-9744</v>
      </c>
      <c r="EC325" s="239">
        <v>0</v>
      </c>
      <c r="ED325" s="239">
        <v>-9744</v>
      </c>
      <c r="EE325" s="239">
        <v>0</v>
      </c>
      <c r="EF325" s="239">
        <v>0</v>
      </c>
      <c r="EG325" s="239">
        <v>0</v>
      </c>
      <c r="EH325" s="239">
        <v>174</v>
      </c>
      <c r="EI325" s="239">
        <v>0</v>
      </c>
      <c r="EJ325" s="239">
        <v>174</v>
      </c>
      <c r="EK325" s="239">
        <v>-6503</v>
      </c>
      <c r="EL325" s="239">
        <v>0</v>
      </c>
      <c r="EM325" s="239">
        <v>-6503</v>
      </c>
      <c r="EN325" s="239">
        <v>-757040</v>
      </c>
      <c r="EO325" s="239">
        <v>0</v>
      </c>
      <c r="EP325" s="239">
        <v>-757040</v>
      </c>
      <c r="EQ325" s="239">
        <v>0</v>
      </c>
      <c r="ER325" s="239">
        <v>0</v>
      </c>
      <c r="ES325" s="239">
        <v>0</v>
      </c>
      <c r="ET325" s="239">
        <v>-506</v>
      </c>
      <c r="EU325" s="239">
        <v>0</v>
      </c>
      <c r="EV325" s="239">
        <v>-506</v>
      </c>
      <c r="EW325" s="239">
        <v>-506</v>
      </c>
      <c r="EX325" s="239">
        <v>0</v>
      </c>
      <c r="EY325" s="239">
        <v>-506</v>
      </c>
      <c r="EZ325" s="239">
        <v>46121002</v>
      </c>
      <c r="FA325" s="239">
        <v>0</v>
      </c>
      <c r="FB325" s="239">
        <v>46121002</v>
      </c>
      <c r="FC325" s="239">
        <v>42856</v>
      </c>
      <c r="FD325" s="239">
        <v>0</v>
      </c>
      <c r="FE325" s="239">
        <v>42856</v>
      </c>
      <c r="FF325" s="239">
        <v>-5093413</v>
      </c>
      <c r="FG325" s="239">
        <v>0</v>
      </c>
      <c r="FH325" s="239">
        <v>-5093413</v>
      </c>
      <c r="FI325" s="239">
        <v>-2263683</v>
      </c>
      <c r="FJ325" s="239">
        <v>0</v>
      </c>
      <c r="FK325" s="239">
        <v>-2263683</v>
      </c>
      <c r="FL325" s="239">
        <v>-219892</v>
      </c>
      <c r="FM325" s="239">
        <v>0</v>
      </c>
      <c r="FN325" s="239">
        <v>-219892</v>
      </c>
      <c r="FO325" s="239">
        <v>-757040</v>
      </c>
      <c r="FP325" s="239">
        <v>0</v>
      </c>
      <c r="FQ325" s="239">
        <v>-757040</v>
      </c>
      <c r="FR325" s="239">
        <v>-506</v>
      </c>
      <c r="FS325" s="239">
        <v>0</v>
      </c>
      <c r="FT325" s="239">
        <v>-506</v>
      </c>
      <c r="FU325" s="239">
        <v>-8291678</v>
      </c>
      <c r="FV325" s="239">
        <v>0</v>
      </c>
      <c r="FW325" s="239">
        <v>-8291678</v>
      </c>
      <c r="FX325" s="239">
        <v>37829324</v>
      </c>
      <c r="FY325" s="239">
        <v>0</v>
      </c>
      <c r="FZ325" s="239">
        <v>37829324</v>
      </c>
      <c r="GA325" s="214" t="s">
        <v>1294</v>
      </c>
    </row>
    <row r="326" spans="2:183" s="214" customFormat="1" x14ac:dyDescent="0.2">
      <c r="B326" s="610" t="s">
        <v>735</v>
      </c>
      <c r="C326" s="610" t="s">
        <v>734</v>
      </c>
      <c r="D326" s="239">
        <v>0</v>
      </c>
      <c r="E326" s="239">
        <v>0</v>
      </c>
      <c r="F326" s="239">
        <v>0</v>
      </c>
      <c r="G326" s="239">
        <v>118208</v>
      </c>
      <c r="H326" s="239">
        <v>0</v>
      </c>
      <c r="I326" s="239">
        <v>118208</v>
      </c>
      <c r="J326" s="239">
        <v>0</v>
      </c>
      <c r="K326" s="239">
        <v>0</v>
      </c>
      <c r="L326" s="239">
        <v>0</v>
      </c>
      <c r="M326" s="239">
        <v>0</v>
      </c>
      <c r="N326" s="239">
        <v>0</v>
      </c>
      <c r="O326" s="239">
        <v>0</v>
      </c>
      <c r="P326" s="239">
        <v>118208</v>
      </c>
      <c r="Q326" s="239">
        <v>0</v>
      </c>
      <c r="R326" s="239">
        <v>118208</v>
      </c>
      <c r="S326" s="239">
        <v>-2200493</v>
      </c>
      <c r="T326" s="239">
        <v>0</v>
      </c>
      <c r="U326" s="239">
        <v>-2200493</v>
      </c>
      <c r="V326" s="239">
        <v>0</v>
      </c>
      <c r="W326" s="239">
        <v>0</v>
      </c>
      <c r="X326" s="239">
        <v>0</v>
      </c>
      <c r="Y326" s="239">
        <v>0</v>
      </c>
      <c r="Z326" s="239">
        <v>0</v>
      </c>
      <c r="AA326" s="239">
        <v>0</v>
      </c>
      <c r="AB326" s="239">
        <v>0</v>
      </c>
      <c r="AC326" s="239">
        <v>0</v>
      </c>
      <c r="AD326" s="239">
        <v>0</v>
      </c>
      <c r="AE326" s="239">
        <v>0</v>
      </c>
      <c r="AF326" s="239">
        <v>0</v>
      </c>
      <c r="AG326" s="239">
        <v>0</v>
      </c>
      <c r="AH326" s="239">
        <v>847888</v>
      </c>
      <c r="AI326" s="239">
        <v>0</v>
      </c>
      <c r="AJ326" s="239">
        <v>847888</v>
      </c>
      <c r="AK326" s="239">
        <v>0</v>
      </c>
      <c r="AL326" s="239">
        <v>0</v>
      </c>
      <c r="AM326" s="239">
        <v>0</v>
      </c>
      <c r="AN326" s="239">
        <v>-2364112</v>
      </c>
      <c r="AO326" s="239">
        <v>0</v>
      </c>
      <c r="AP326" s="239">
        <v>-2364112</v>
      </c>
      <c r="AQ326" s="239">
        <v>0</v>
      </c>
      <c r="AR326" s="239">
        <v>0</v>
      </c>
      <c r="AS326" s="239">
        <v>0</v>
      </c>
      <c r="AT326" s="239">
        <v>-39795</v>
      </c>
      <c r="AU326" s="239">
        <v>0</v>
      </c>
      <c r="AV326" s="239">
        <v>-39795</v>
      </c>
      <c r="AW326" s="239">
        <v>0</v>
      </c>
      <c r="AX326" s="239">
        <v>0</v>
      </c>
      <c r="AY326" s="239">
        <v>0</v>
      </c>
      <c r="AZ326" s="239">
        <v>0</v>
      </c>
      <c r="BA326" s="239">
        <v>0</v>
      </c>
      <c r="BB326" s="239">
        <v>0</v>
      </c>
      <c r="BC326" s="239">
        <v>0</v>
      </c>
      <c r="BD326" s="239">
        <v>0</v>
      </c>
      <c r="BE326" s="239">
        <v>0</v>
      </c>
      <c r="BF326" s="239">
        <v>-3756512</v>
      </c>
      <c r="BG326" s="239">
        <v>0</v>
      </c>
      <c r="BH326" s="239">
        <v>-3756512</v>
      </c>
      <c r="BI326" s="239">
        <v>-16453</v>
      </c>
      <c r="BJ326" s="239">
        <v>0</v>
      </c>
      <c r="BK326" s="239">
        <v>-16453</v>
      </c>
      <c r="BL326" s="239">
        <v>0</v>
      </c>
      <c r="BM326" s="239">
        <v>0</v>
      </c>
      <c r="BN326" s="239">
        <v>0</v>
      </c>
      <c r="BO326" s="239">
        <v>-954810</v>
      </c>
      <c r="BP326" s="239">
        <v>0</v>
      </c>
      <c r="BQ326" s="239">
        <v>-954810</v>
      </c>
      <c r="BR326" s="239">
        <v>0</v>
      </c>
      <c r="BS326" s="239">
        <v>0</v>
      </c>
      <c r="BT326" s="239">
        <v>0</v>
      </c>
      <c r="BU326" s="239">
        <v>-971263</v>
      </c>
      <c r="BV326" s="239">
        <v>0</v>
      </c>
      <c r="BW326" s="239">
        <v>-971263</v>
      </c>
      <c r="BX326" s="239">
        <v>-174794</v>
      </c>
      <c r="BY326" s="239">
        <v>0</v>
      </c>
      <c r="BZ326" s="239">
        <v>-174794</v>
      </c>
      <c r="CA326" s="239">
        <v>0</v>
      </c>
      <c r="CB326" s="239">
        <v>0</v>
      </c>
      <c r="CC326" s="239">
        <v>0</v>
      </c>
      <c r="CD326" s="239">
        <v>-4199</v>
      </c>
      <c r="CE326" s="239">
        <v>0</v>
      </c>
      <c r="CF326" s="239">
        <v>-4199</v>
      </c>
      <c r="CG326" s="239">
        <v>0</v>
      </c>
      <c r="CH326" s="239">
        <v>0</v>
      </c>
      <c r="CI326" s="239">
        <v>0</v>
      </c>
      <c r="CJ326" s="239">
        <v>0</v>
      </c>
      <c r="CK326" s="239">
        <v>0</v>
      </c>
      <c r="CL326" s="239">
        <v>0</v>
      </c>
      <c r="CM326" s="239">
        <v>0</v>
      </c>
      <c r="CN326" s="239">
        <v>0</v>
      </c>
      <c r="CO326" s="239">
        <v>0</v>
      </c>
      <c r="CP326" s="239">
        <v>0</v>
      </c>
      <c r="CQ326" s="239">
        <v>0</v>
      </c>
      <c r="CR326" s="239">
        <v>0</v>
      </c>
      <c r="CS326" s="239">
        <v>0</v>
      </c>
      <c r="CT326" s="239">
        <v>0</v>
      </c>
      <c r="CU326" s="239">
        <v>0</v>
      </c>
      <c r="CV326" s="239">
        <v>0</v>
      </c>
      <c r="CW326" s="239">
        <v>0</v>
      </c>
      <c r="CX326" s="239">
        <v>0</v>
      </c>
      <c r="CY326" s="239">
        <v>0</v>
      </c>
      <c r="CZ326" s="239">
        <v>0</v>
      </c>
      <c r="DA326" s="239">
        <v>0</v>
      </c>
      <c r="DB326" s="239">
        <v>0</v>
      </c>
      <c r="DC326" s="239">
        <v>0</v>
      </c>
      <c r="DD326" s="239">
        <v>0</v>
      </c>
      <c r="DE326" s="239">
        <v>0</v>
      </c>
      <c r="DF326" s="239">
        <v>0</v>
      </c>
      <c r="DG326" s="239">
        <v>0</v>
      </c>
      <c r="DH326" s="239">
        <v>0</v>
      </c>
      <c r="DI326" s="239">
        <v>0</v>
      </c>
      <c r="DJ326" s="239">
        <v>-178993</v>
      </c>
      <c r="DK326" s="239">
        <v>0</v>
      </c>
      <c r="DL326" s="239">
        <v>-178993</v>
      </c>
      <c r="DM326" s="239">
        <v>0</v>
      </c>
      <c r="DN326" s="239">
        <v>0</v>
      </c>
      <c r="DO326" s="239">
        <v>0</v>
      </c>
      <c r="DP326" s="239">
        <v>0</v>
      </c>
      <c r="DQ326" s="239">
        <v>0</v>
      </c>
      <c r="DR326" s="239">
        <v>0</v>
      </c>
      <c r="DS326" s="239">
        <v>0</v>
      </c>
      <c r="DT326" s="239">
        <v>0</v>
      </c>
      <c r="DU326" s="239">
        <v>0</v>
      </c>
      <c r="DV326" s="239">
        <v>0</v>
      </c>
      <c r="DW326" s="239">
        <v>0</v>
      </c>
      <c r="DX326" s="239">
        <v>0</v>
      </c>
      <c r="DY326" s="239">
        <v>-767484</v>
      </c>
      <c r="DZ326" s="239">
        <v>0</v>
      </c>
      <c r="EA326" s="239">
        <v>-767484</v>
      </c>
      <c r="EB326" s="239">
        <v>0</v>
      </c>
      <c r="EC326" s="239">
        <v>0</v>
      </c>
      <c r="ED326" s="239">
        <v>0</v>
      </c>
      <c r="EE326" s="239">
        <v>0</v>
      </c>
      <c r="EF326" s="239">
        <v>0</v>
      </c>
      <c r="EG326" s="239">
        <v>0</v>
      </c>
      <c r="EH326" s="239">
        <v>0</v>
      </c>
      <c r="EI326" s="239">
        <v>0</v>
      </c>
      <c r="EJ326" s="239">
        <v>0</v>
      </c>
      <c r="EK326" s="239">
        <v>-7103</v>
      </c>
      <c r="EL326" s="239">
        <v>0</v>
      </c>
      <c r="EM326" s="239">
        <v>-7103</v>
      </c>
      <c r="EN326" s="239">
        <v>-774587</v>
      </c>
      <c r="EO326" s="239">
        <v>0</v>
      </c>
      <c r="EP326" s="239">
        <v>-774587</v>
      </c>
      <c r="EQ326" s="239">
        <v>0</v>
      </c>
      <c r="ER326" s="239">
        <v>0</v>
      </c>
      <c r="ES326" s="239">
        <v>0</v>
      </c>
      <c r="ET326" s="239">
        <v>0</v>
      </c>
      <c r="EU326" s="239">
        <v>0</v>
      </c>
      <c r="EV326" s="239">
        <v>0</v>
      </c>
      <c r="EW326" s="239">
        <v>0</v>
      </c>
      <c r="EX326" s="239">
        <v>0</v>
      </c>
      <c r="EY326" s="239">
        <v>0</v>
      </c>
      <c r="EZ326" s="239">
        <v>37128054</v>
      </c>
      <c r="FA326" s="239">
        <v>0</v>
      </c>
      <c r="FB326" s="239">
        <v>37128054</v>
      </c>
      <c r="FC326" s="239">
        <v>118208</v>
      </c>
      <c r="FD326" s="239">
        <v>0</v>
      </c>
      <c r="FE326" s="239">
        <v>118208</v>
      </c>
      <c r="FF326" s="239">
        <v>-3756512</v>
      </c>
      <c r="FG326" s="239">
        <v>0</v>
      </c>
      <c r="FH326" s="239">
        <v>-3756512</v>
      </c>
      <c r="FI326" s="239">
        <v>-971263</v>
      </c>
      <c r="FJ326" s="239">
        <v>0</v>
      </c>
      <c r="FK326" s="239">
        <v>-971263</v>
      </c>
      <c r="FL326" s="239">
        <v>-178993</v>
      </c>
      <c r="FM326" s="239">
        <v>0</v>
      </c>
      <c r="FN326" s="239">
        <v>-178993</v>
      </c>
      <c r="FO326" s="239">
        <v>-774587</v>
      </c>
      <c r="FP326" s="239">
        <v>0</v>
      </c>
      <c r="FQ326" s="239">
        <v>-774587</v>
      </c>
      <c r="FR326" s="239">
        <v>0</v>
      </c>
      <c r="FS326" s="239">
        <v>0</v>
      </c>
      <c r="FT326" s="239">
        <v>0</v>
      </c>
      <c r="FU326" s="239">
        <v>-5563147</v>
      </c>
      <c r="FV326" s="239">
        <v>0</v>
      </c>
      <c r="FW326" s="239">
        <v>-5563147</v>
      </c>
      <c r="FX326" s="239">
        <v>31564907</v>
      </c>
      <c r="FY326" s="239">
        <v>0</v>
      </c>
      <c r="FZ326" s="239">
        <v>31564907</v>
      </c>
      <c r="GA326" s="214" t="s">
        <v>1294</v>
      </c>
    </row>
    <row r="327" spans="2:183" s="214" customFormat="1" x14ac:dyDescent="0.2">
      <c r="B327" s="610" t="s">
        <v>737</v>
      </c>
      <c r="C327" s="610" t="s">
        <v>736</v>
      </c>
      <c r="D327" s="239">
        <v>0</v>
      </c>
      <c r="E327" s="239">
        <v>0</v>
      </c>
      <c r="F327" s="239">
        <v>0</v>
      </c>
      <c r="G327" s="239">
        <v>-89638</v>
      </c>
      <c r="H327" s="239">
        <v>0</v>
      </c>
      <c r="I327" s="239">
        <v>-89638</v>
      </c>
      <c r="J327" s="239">
        <v>0</v>
      </c>
      <c r="K327" s="239">
        <v>0</v>
      </c>
      <c r="L327" s="239">
        <v>0</v>
      </c>
      <c r="M327" s="239">
        <v>32554</v>
      </c>
      <c r="N327" s="239">
        <v>0</v>
      </c>
      <c r="O327" s="239">
        <v>32554</v>
      </c>
      <c r="P327" s="239">
        <v>-57084</v>
      </c>
      <c r="Q327" s="239">
        <v>0</v>
      </c>
      <c r="R327" s="239">
        <v>-57084</v>
      </c>
      <c r="S327" s="239">
        <v>-3226658</v>
      </c>
      <c r="T327" s="239">
        <v>0</v>
      </c>
      <c r="U327" s="239">
        <v>-3226658</v>
      </c>
      <c r="V327" s="239">
        <v>-12385</v>
      </c>
      <c r="W327" s="239">
        <v>0</v>
      </c>
      <c r="X327" s="239">
        <v>-12385</v>
      </c>
      <c r="Y327" s="239">
        <v>-190116</v>
      </c>
      <c r="Z327" s="239">
        <v>0</v>
      </c>
      <c r="AA327" s="239">
        <v>-190116</v>
      </c>
      <c r="AB327" s="239">
        <v>-107817</v>
      </c>
      <c r="AC327" s="239">
        <v>0</v>
      </c>
      <c r="AD327" s="239">
        <v>-107817</v>
      </c>
      <c r="AE327" s="239">
        <v>-1085</v>
      </c>
      <c r="AF327" s="239">
        <v>0</v>
      </c>
      <c r="AG327" s="239">
        <v>-1085</v>
      </c>
      <c r="AH327" s="239">
        <v>1063718</v>
      </c>
      <c r="AI327" s="239">
        <v>0</v>
      </c>
      <c r="AJ327" s="239">
        <v>1063718</v>
      </c>
      <c r="AK327" s="239">
        <v>-62035</v>
      </c>
      <c r="AL327" s="239">
        <v>0</v>
      </c>
      <c r="AM327" s="239">
        <v>-62035</v>
      </c>
      <c r="AN327" s="239">
        <v>-1880069</v>
      </c>
      <c r="AO327" s="239">
        <v>0</v>
      </c>
      <c r="AP327" s="239">
        <v>-1880069</v>
      </c>
      <c r="AQ327" s="239">
        <v>-9146</v>
      </c>
      <c r="AR327" s="239">
        <v>0</v>
      </c>
      <c r="AS327" s="239">
        <v>-9146</v>
      </c>
      <c r="AT327" s="239">
        <v>-49698</v>
      </c>
      <c r="AU327" s="239">
        <v>0</v>
      </c>
      <c r="AV327" s="239">
        <v>-49698</v>
      </c>
      <c r="AW327" s="239">
        <v>0</v>
      </c>
      <c r="AX327" s="239">
        <v>0</v>
      </c>
      <c r="AY327" s="239">
        <v>0</v>
      </c>
      <c r="AZ327" s="239">
        <v>-69273</v>
      </c>
      <c r="BA327" s="239">
        <v>0</v>
      </c>
      <c r="BB327" s="239">
        <v>-69273</v>
      </c>
      <c r="BC327" s="239">
        <v>-11615</v>
      </c>
      <c r="BD327" s="239">
        <v>0</v>
      </c>
      <c r="BE327" s="239">
        <v>-11615</v>
      </c>
      <c r="BF327" s="239">
        <v>-4434892</v>
      </c>
      <c r="BG327" s="239">
        <v>0</v>
      </c>
      <c r="BH327" s="239">
        <v>-4434892</v>
      </c>
      <c r="BI327" s="239">
        <v>-170963</v>
      </c>
      <c r="BJ327" s="239">
        <v>0</v>
      </c>
      <c r="BK327" s="239">
        <v>-170963</v>
      </c>
      <c r="BL327" s="239">
        <v>-116807</v>
      </c>
      <c r="BM327" s="239">
        <v>0</v>
      </c>
      <c r="BN327" s="239">
        <v>-116807</v>
      </c>
      <c r="BO327" s="239">
        <v>-1772686</v>
      </c>
      <c r="BP327" s="239">
        <v>0</v>
      </c>
      <c r="BQ327" s="239">
        <v>-1772686</v>
      </c>
      <c r="BR327" s="239">
        <v>139104</v>
      </c>
      <c r="BS327" s="239">
        <v>0</v>
      </c>
      <c r="BT327" s="239">
        <v>139104</v>
      </c>
      <c r="BU327" s="239">
        <v>-1921352</v>
      </c>
      <c r="BV327" s="239">
        <v>0</v>
      </c>
      <c r="BW327" s="239">
        <v>-1921352</v>
      </c>
      <c r="BX327" s="239">
        <v>-203155</v>
      </c>
      <c r="BY327" s="239">
        <v>0</v>
      </c>
      <c r="BZ327" s="239">
        <v>-203155</v>
      </c>
      <c r="CA327" s="239">
        <v>-2209</v>
      </c>
      <c r="CB327" s="239">
        <v>0</v>
      </c>
      <c r="CC327" s="239">
        <v>-2209</v>
      </c>
      <c r="CD327" s="239">
        <v>-64969</v>
      </c>
      <c r="CE327" s="239">
        <v>0</v>
      </c>
      <c r="CF327" s="239">
        <v>-64969</v>
      </c>
      <c r="CG327" s="239">
        <v>1399</v>
      </c>
      <c r="CH327" s="239">
        <v>0</v>
      </c>
      <c r="CI327" s="239">
        <v>1399</v>
      </c>
      <c r="CJ327" s="239">
        <v>-11925</v>
      </c>
      <c r="CK327" s="239">
        <v>0</v>
      </c>
      <c r="CL327" s="239">
        <v>-11925</v>
      </c>
      <c r="CM327" s="239">
        <v>0</v>
      </c>
      <c r="CN327" s="239">
        <v>0</v>
      </c>
      <c r="CO327" s="239">
        <v>0</v>
      </c>
      <c r="CP327" s="239">
        <v>-52088</v>
      </c>
      <c r="CQ327" s="239">
        <v>0</v>
      </c>
      <c r="CR327" s="239">
        <v>-52088</v>
      </c>
      <c r="CS327" s="239">
        <v>-1944</v>
      </c>
      <c r="CT327" s="239">
        <v>0</v>
      </c>
      <c r="CU327" s="239">
        <v>-1944</v>
      </c>
      <c r="CV327" s="239">
        <v>-25101</v>
      </c>
      <c r="CW327" s="239">
        <v>0</v>
      </c>
      <c r="CX327" s="239">
        <v>-25101</v>
      </c>
      <c r="CY327" s="239">
        <v>-1560</v>
      </c>
      <c r="CZ327" s="239">
        <v>0</v>
      </c>
      <c r="DA327" s="239">
        <v>-1560</v>
      </c>
      <c r="DB327" s="239">
        <v>0</v>
      </c>
      <c r="DC327" s="239">
        <v>0</v>
      </c>
      <c r="DD327" s="239">
        <v>0</v>
      </c>
      <c r="DE327" s="239">
        <v>0</v>
      </c>
      <c r="DF327" s="239">
        <v>0</v>
      </c>
      <c r="DG327" s="239">
        <v>0</v>
      </c>
      <c r="DH327" s="239">
        <v>0</v>
      </c>
      <c r="DI327" s="239">
        <v>0</v>
      </c>
      <c r="DJ327" s="239">
        <v>-361552</v>
      </c>
      <c r="DK327" s="239">
        <v>0</v>
      </c>
      <c r="DL327" s="239">
        <v>-361552</v>
      </c>
      <c r="DM327" s="239">
        <v>0</v>
      </c>
      <c r="DN327" s="239">
        <v>0</v>
      </c>
      <c r="DO327" s="239">
        <v>0</v>
      </c>
      <c r="DP327" s="239">
        <v>1928</v>
      </c>
      <c r="DQ327" s="239">
        <v>0</v>
      </c>
      <c r="DR327" s="239">
        <v>1928</v>
      </c>
      <c r="DS327" s="239">
        <v>-22238</v>
      </c>
      <c r="DT327" s="239">
        <v>0</v>
      </c>
      <c r="DU327" s="239">
        <v>-22238</v>
      </c>
      <c r="DV327" s="239">
        <v>-1907</v>
      </c>
      <c r="DW327" s="239">
        <v>0</v>
      </c>
      <c r="DX327" s="239">
        <v>-1907</v>
      </c>
      <c r="DY327" s="239">
        <v>-727622</v>
      </c>
      <c r="DZ327" s="239">
        <v>0</v>
      </c>
      <c r="EA327" s="239">
        <v>-727622</v>
      </c>
      <c r="EB327" s="239">
        <v>-13625</v>
      </c>
      <c r="EC327" s="239">
        <v>0</v>
      </c>
      <c r="ED327" s="239">
        <v>-13625</v>
      </c>
      <c r="EE327" s="239">
        <v>0</v>
      </c>
      <c r="EF327" s="239">
        <v>0</v>
      </c>
      <c r="EG327" s="239">
        <v>0</v>
      </c>
      <c r="EH327" s="239">
        <v>114</v>
      </c>
      <c r="EI327" s="239">
        <v>0</v>
      </c>
      <c r="EJ327" s="239">
        <v>114</v>
      </c>
      <c r="EK327" s="239">
        <v>-11082</v>
      </c>
      <c r="EL327" s="239">
        <v>0</v>
      </c>
      <c r="EM327" s="239">
        <v>-11082</v>
      </c>
      <c r="EN327" s="239">
        <v>-774432</v>
      </c>
      <c r="EO327" s="239">
        <v>0</v>
      </c>
      <c r="EP327" s="239">
        <v>-774432</v>
      </c>
      <c r="EQ327" s="239">
        <v>0</v>
      </c>
      <c r="ER327" s="239">
        <v>0</v>
      </c>
      <c r="ES327" s="239">
        <v>0</v>
      </c>
      <c r="ET327" s="239">
        <v>0</v>
      </c>
      <c r="EU327" s="239">
        <v>0</v>
      </c>
      <c r="EV327" s="239">
        <v>0</v>
      </c>
      <c r="EW327" s="239">
        <v>0</v>
      </c>
      <c r="EX327" s="239">
        <v>0</v>
      </c>
      <c r="EY327" s="239">
        <v>0</v>
      </c>
      <c r="EZ327" s="239">
        <v>43552521</v>
      </c>
      <c r="FA327" s="239">
        <v>0</v>
      </c>
      <c r="FB327" s="239">
        <v>43552521</v>
      </c>
      <c r="FC327" s="239">
        <v>-57084</v>
      </c>
      <c r="FD327" s="239">
        <v>0</v>
      </c>
      <c r="FE327" s="239">
        <v>-57084</v>
      </c>
      <c r="FF327" s="239">
        <v>-4434892</v>
      </c>
      <c r="FG327" s="239">
        <v>0</v>
      </c>
      <c r="FH327" s="239">
        <v>-4434892</v>
      </c>
      <c r="FI327" s="239">
        <v>-1921352</v>
      </c>
      <c r="FJ327" s="239">
        <v>0</v>
      </c>
      <c r="FK327" s="239">
        <v>-1921352</v>
      </c>
      <c r="FL327" s="239">
        <v>-361552</v>
      </c>
      <c r="FM327" s="239">
        <v>0</v>
      </c>
      <c r="FN327" s="239">
        <v>-361552</v>
      </c>
      <c r="FO327" s="239">
        <v>-774432</v>
      </c>
      <c r="FP327" s="239">
        <v>0</v>
      </c>
      <c r="FQ327" s="239">
        <v>-774432</v>
      </c>
      <c r="FR327" s="239">
        <v>0</v>
      </c>
      <c r="FS327" s="239">
        <v>0</v>
      </c>
      <c r="FT327" s="239">
        <v>0</v>
      </c>
      <c r="FU327" s="239">
        <v>-7549312</v>
      </c>
      <c r="FV327" s="239">
        <v>0</v>
      </c>
      <c r="FW327" s="239">
        <v>-7549312</v>
      </c>
      <c r="FX327" s="239">
        <v>36003209</v>
      </c>
      <c r="FY327" s="239">
        <v>0</v>
      </c>
      <c r="FZ327" s="239">
        <v>36003209</v>
      </c>
      <c r="GA327" s="214" t="s">
        <v>1294</v>
      </c>
    </row>
    <row r="328" spans="2:183" s="214" customFormat="1" x14ac:dyDescent="0.2">
      <c r="B328" s="610" t="s">
        <v>739</v>
      </c>
      <c r="C328" s="610" t="s">
        <v>738</v>
      </c>
      <c r="D328" s="239">
        <v>0</v>
      </c>
      <c r="E328" s="239">
        <v>0</v>
      </c>
      <c r="F328" s="239">
        <v>0</v>
      </c>
      <c r="G328" s="239">
        <v>29254</v>
      </c>
      <c r="H328" s="239">
        <v>0</v>
      </c>
      <c r="I328" s="239">
        <v>29254</v>
      </c>
      <c r="J328" s="239">
        <v>0</v>
      </c>
      <c r="K328" s="239">
        <v>0</v>
      </c>
      <c r="L328" s="239">
        <v>0</v>
      </c>
      <c r="M328" s="239">
        <v>-22447</v>
      </c>
      <c r="N328" s="239">
        <v>0</v>
      </c>
      <c r="O328" s="239">
        <v>-22447</v>
      </c>
      <c r="P328" s="239">
        <v>6807</v>
      </c>
      <c r="Q328" s="239">
        <v>0</v>
      </c>
      <c r="R328" s="239">
        <v>6807</v>
      </c>
      <c r="S328" s="239">
        <v>-2471559</v>
      </c>
      <c r="T328" s="239">
        <v>0</v>
      </c>
      <c r="U328" s="239">
        <v>-2471559</v>
      </c>
      <c r="V328" s="239">
        <v>-13593</v>
      </c>
      <c r="W328" s="239">
        <v>0</v>
      </c>
      <c r="X328" s="239">
        <v>-13593</v>
      </c>
      <c r="Y328" s="239">
        <v>-249021</v>
      </c>
      <c r="Z328" s="239">
        <v>0</v>
      </c>
      <c r="AA328" s="239">
        <v>-249021</v>
      </c>
      <c r="AB328" s="239">
        <v>-245431</v>
      </c>
      <c r="AC328" s="239">
        <v>0</v>
      </c>
      <c r="AD328" s="239">
        <v>-245431</v>
      </c>
      <c r="AE328" s="239">
        <v>-3589</v>
      </c>
      <c r="AF328" s="239">
        <v>0</v>
      </c>
      <c r="AG328" s="239">
        <v>-3589</v>
      </c>
      <c r="AH328" s="239">
        <v>1972158</v>
      </c>
      <c r="AI328" s="239">
        <v>0</v>
      </c>
      <c r="AJ328" s="239">
        <v>1972158</v>
      </c>
      <c r="AK328" s="239">
        <v>-256</v>
      </c>
      <c r="AL328" s="239">
        <v>0</v>
      </c>
      <c r="AM328" s="239">
        <v>-256</v>
      </c>
      <c r="AN328" s="239">
        <v>-4270778</v>
      </c>
      <c r="AO328" s="239">
        <v>0</v>
      </c>
      <c r="AP328" s="239">
        <v>-4270778</v>
      </c>
      <c r="AQ328" s="239">
        <v>203476</v>
      </c>
      <c r="AR328" s="239">
        <v>0</v>
      </c>
      <c r="AS328" s="239">
        <v>203476</v>
      </c>
      <c r="AT328" s="239">
        <v>-49592</v>
      </c>
      <c r="AU328" s="239">
        <v>0</v>
      </c>
      <c r="AV328" s="239">
        <v>-49592</v>
      </c>
      <c r="AW328" s="239">
        <v>0</v>
      </c>
      <c r="AX328" s="239">
        <v>0</v>
      </c>
      <c r="AY328" s="239">
        <v>0</v>
      </c>
      <c r="AZ328" s="239">
        <v>-17612</v>
      </c>
      <c r="BA328" s="239">
        <v>0</v>
      </c>
      <c r="BB328" s="239">
        <v>-17612</v>
      </c>
      <c r="BC328" s="239">
        <v>0</v>
      </c>
      <c r="BD328" s="239">
        <v>0</v>
      </c>
      <c r="BE328" s="239">
        <v>0</v>
      </c>
      <c r="BF328" s="239">
        <v>-4883184</v>
      </c>
      <c r="BG328" s="239">
        <v>0</v>
      </c>
      <c r="BH328" s="239">
        <v>-4883184</v>
      </c>
      <c r="BI328" s="239">
        <v>0</v>
      </c>
      <c r="BJ328" s="239">
        <v>0</v>
      </c>
      <c r="BK328" s="239">
        <v>0</v>
      </c>
      <c r="BL328" s="239">
        <v>2908</v>
      </c>
      <c r="BM328" s="239">
        <v>0</v>
      </c>
      <c r="BN328" s="239">
        <v>2908</v>
      </c>
      <c r="BO328" s="239">
        <v>-2819703</v>
      </c>
      <c r="BP328" s="239">
        <v>0</v>
      </c>
      <c r="BQ328" s="239">
        <v>-2819703</v>
      </c>
      <c r="BR328" s="239">
        <v>-127540</v>
      </c>
      <c r="BS328" s="239">
        <v>0</v>
      </c>
      <c r="BT328" s="239">
        <v>-127540</v>
      </c>
      <c r="BU328" s="239">
        <v>-2944335</v>
      </c>
      <c r="BV328" s="239">
        <v>0</v>
      </c>
      <c r="BW328" s="239">
        <v>-2944335</v>
      </c>
      <c r="BX328" s="239">
        <v>-83456</v>
      </c>
      <c r="BY328" s="239">
        <v>0</v>
      </c>
      <c r="BZ328" s="239">
        <v>-83456</v>
      </c>
      <c r="CA328" s="239">
        <v>3316</v>
      </c>
      <c r="CB328" s="239">
        <v>0</v>
      </c>
      <c r="CC328" s="239">
        <v>3316</v>
      </c>
      <c r="CD328" s="239">
        <v>-63567</v>
      </c>
      <c r="CE328" s="239">
        <v>0</v>
      </c>
      <c r="CF328" s="239">
        <v>-63567</v>
      </c>
      <c r="CG328" s="239">
        <v>-4185</v>
      </c>
      <c r="CH328" s="239">
        <v>0</v>
      </c>
      <c r="CI328" s="239">
        <v>-4185</v>
      </c>
      <c r="CJ328" s="239">
        <v>-3597</v>
      </c>
      <c r="CK328" s="239">
        <v>0</v>
      </c>
      <c r="CL328" s="239">
        <v>-3597</v>
      </c>
      <c r="CM328" s="239">
        <v>0</v>
      </c>
      <c r="CN328" s="239">
        <v>0</v>
      </c>
      <c r="CO328" s="239">
        <v>0</v>
      </c>
      <c r="CP328" s="239">
        <v>-1389</v>
      </c>
      <c r="CQ328" s="239">
        <v>0</v>
      </c>
      <c r="CR328" s="239">
        <v>-1389</v>
      </c>
      <c r="CS328" s="239">
        <v>0</v>
      </c>
      <c r="CT328" s="239">
        <v>0</v>
      </c>
      <c r="CU328" s="239">
        <v>0</v>
      </c>
      <c r="CV328" s="239">
        <v>-19739</v>
      </c>
      <c r="CW328" s="239">
        <v>0</v>
      </c>
      <c r="CX328" s="239">
        <v>-19739</v>
      </c>
      <c r="CY328" s="239">
        <v>0</v>
      </c>
      <c r="CZ328" s="239">
        <v>0</v>
      </c>
      <c r="DA328" s="239">
        <v>0</v>
      </c>
      <c r="DB328" s="239">
        <v>0</v>
      </c>
      <c r="DC328" s="239">
        <v>0</v>
      </c>
      <c r="DD328" s="239">
        <v>0</v>
      </c>
      <c r="DE328" s="239">
        <v>0</v>
      </c>
      <c r="DF328" s="239">
        <v>0</v>
      </c>
      <c r="DG328" s="239">
        <v>0</v>
      </c>
      <c r="DH328" s="239">
        <v>0</v>
      </c>
      <c r="DI328" s="239">
        <v>0</v>
      </c>
      <c r="DJ328" s="239">
        <v>-172617</v>
      </c>
      <c r="DK328" s="239">
        <v>0</v>
      </c>
      <c r="DL328" s="239">
        <v>-172617</v>
      </c>
      <c r="DM328" s="239">
        <v>0</v>
      </c>
      <c r="DN328" s="239">
        <v>0</v>
      </c>
      <c r="DO328" s="239">
        <v>0</v>
      </c>
      <c r="DP328" s="239">
        <v>0</v>
      </c>
      <c r="DQ328" s="239">
        <v>0</v>
      </c>
      <c r="DR328" s="239">
        <v>0</v>
      </c>
      <c r="DS328" s="239">
        <v>-9021</v>
      </c>
      <c r="DT328" s="239">
        <v>0</v>
      </c>
      <c r="DU328" s="239">
        <v>-9021</v>
      </c>
      <c r="DV328" s="239">
        <v>0</v>
      </c>
      <c r="DW328" s="239">
        <v>0</v>
      </c>
      <c r="DX328" s="239">
        <v>0</v>
      </c>
      <c r="DY328" s="239">
        <v>-566981</v>
      </c>
      <c r="DZ328" s="239">
        <v>0</v>
      </c>
      <c r="EA328" s="239">
        <v>-566981</v>
      </c>
      <c r="EB328" s="239">
        <v>-202976</v>
      </c>
      <c r="EC328" s="239">
        <v>0</v>
      </c>
      <c r="ED328" s="239">
        <v>-202976</v>
      </c>
      <c r="EE328" s="239">
        <v>0</v>
      </c>
      <c r="EF328" s="239">
        <v>0</v>
      </c>
      <c r="EG328" s="239">
        <v>0</v>
      </c>
      <c r="EH328" s="239">
        <v>4953</v>
      </c>
      <c r="EI328" s="239">
        <v>0</v>
      </c>
      <c r="EJ328" s="239">
        <v>4953</v>
      </c>
      <c r="EK328" s="239">
        <v>-23095</v>
      </c>
      <c r="EL328" s="239">
        <v>0</v>
      </c>
      <c r="EM328" s="239">
        <v>-23095</v>
      </c>
      <c r="EN328" s="239">
        <v>-797120</v>
      </c>
      <c r="EO328" s="239">
        <v>0</v>
      </c>
      <c r="EP328" s="239">
        <v>-797120</v>
      </c>
      <c r="EQ328" s="239">
        <v>0</v>
      </c>
      <c r="ER328" s="239">
        <v>0</v>
      </c>
      <c r="ES328" s="239">
        <v>0</v>
      </c>
      <c r="ET328" s="239">
        <v>0</v>
      </c>
      <c r="EU328" s="239">
        <v>0</v>
      </c>
      <c r="EV328" s="239">
        <v>0</v>
      </c>
      <c r="EW328" s="239">
        <v>0</v>
      </c>
      <c r="EX328" s="239">
        <v>0</v>
      </c>
      <c r="EY328" s="239">
        <v>0</v>
      </c>
      <c r="EZ328" s="239">
        <v>80874725</v>
      </c>
      <c r="FA328" s="239">
        <v>0</v>
      </c>
      <c r="FB328" s="239">
        <v>80874725</v>
      </c>
      <c r="FC328" s="239">
        <v>6807</v>
      </c>
      <c r="FD328" s="239">
        <v>0</v>
      </c>
      <c r="FE328" s="239">
        <v>6807</v>
      </c>
      <c r="FF328" s="239">
        <v>-4883184</v>
      </c>
      <c r="FG328" s="239">
        <v>0</v>
      </c>
      <c r="FH328" s="239">
        <v>-4883184</v>
      </c>
      <c r="FI328" s="239">
        <v>-2944335</v>
      </c>
      <c r="FJ328" s="239">
        <v>0</v>
      </c>
      <c r="FK328" s="239">
        <v>-2944335</v>
      </c>
      <c r="FL328" s="239">
        <v>-172617</v>
      </c>
      <c r="FM328" s="239">
        <v>0</v>
      </c>
      <c r="FN328" s="239">
        <v>-172617</v>
      </c>
      <c r="FO328" s="239">
        <v>-797120</v>
      </c>
      <c r="FP328" s="239">
        <v>0</v>
      </c>
      <c r="FQ328" s="239">
        <v>-797120</v>
      </c>
      <c r="FR328" s="239">
        <v>0</v>
      </c>
      <c r="FS328" s="239">
        <v>0</v>
      </c>
      <c r="FT328" s="239">
        <v>0</v>
      </c>
      <c r="FU328" s="239">
        <v>-8790449</v>
      </c>
      <c r="FV328" s="239">
        <v>0</v>
      </c>
      <c r="FW328" s="239">
        <v>-8790449</v>
      </c>
      <c r="FX328" s="239">
        <v>72084276</v>
      </c>
      <c r="FY328" s="239">
        <v>0</v>
      </c>
      <c r="FZ328" s="239">
        <v>72084276</v>
      </c>
      <c r="GA328" s="214" t="s">
        <v>1294</v>
      </c>
    </row>
    <row r="329" spans="2:183" s="214" customFormat="1" x14ac:dyDescent="0.2">
      <c r="B329" s="610" t="s">
        <v>741</v>
      </c>
      <c r="C329" s="610" t="s">
        <v>740</v>
      </c>
      <c r="D329" s="239">
        <v>0</v>
      </c>
      <c r="E329" s="239">
        <v>0</v>
      </c>
      <c r="F329" s="239">
        <v>0</v>
      </c>
      <c r="G329" s="239">
        <v>163249</v>
      </c>
      <c r="H329" s="239">
        <v>0</v>
      </c>
      <c r="I329" s="239">
        <v>163249</v>
      </c>
      <c r="J329" s="239">
        <v>0</v>
      </c>
      <c r="K329" s="239">
        <v>0</v>
      </c>
      <c r="L329" s="239">
        <v>0</v>
      </c>
      <c r="M329" s="239">
        <v>764107</v>
      </c>
      <c r="N329" s="239">
        <v>0</v>
      </c>
      <c r="O329" s="239">
        <v>764107</v>
      </c>
      <c r="P329" s="239">
        <v>927356</v>
      </c>
      <c r="Q329" s="239">
        <v>0</v>
      </c>
      <c r="R329" s="239">
        <v>927356</v>
      </c>
      <c r="S329" s="239">
        <v>-2982928</v>
      </c>
      <c r="T329" s="239">
        <v>0</v>
      </c>
      <c r="U329" s="239">
        <v>-2982928</v>
      </c>
      <c r="V329" s="239">
        <v>-10832</v>
      </c>
      <c r="W329" s="239">
        <v>0</v>
      </c>
      <c r="X329" s="239">
        <v>-10832</v>
      </c>
      <c r="Y329" s="239">
        <v>-79871</v>
      </c>
      <c r="Z329" s="239">
        <v>0</v>
      </c>
      <c r="AA329" s="239">
        <v>-79871</v>
      </c>
      <c r="AB329" s="239">
        <v>-38622</v>
      </c>
      <c r="AC329" s="239">
        <v>0</v>
      </c>
      <c r="AD329" s="239">
        <v>-38622</v>
      </c>
      <c r="AE329" s="239">
        <v>1312</v>
      </c>
      <c r="AF329" s="239">
        <v>0</v>
      </c>
      <c r="AG329" s="239">
        <v>1312</v>
      </c>
      <c r="AH329" s="239">
        <v>686225</v>
      </c>
      <c r="AI329" s="239">
        <v>0</v>
      </c>
      <c r="AJ329" s="239">
        <v>686225</v>
      </c>
      <c r="AK329" s="239">
        <v>-29000</v>
      </c>
      <c r="AL329" s="239">
        <v>0</v>
      </c>
      <c r="AM329" s="239">
        <v>-29000</v>
      </c>
      <c r="AN329" s="239">
        <v>-1805708</v>
      </c>
      <c r="AO329" s="239">
        <v>0</v>
      </c>
      <c r="AP329" s="239">
        <v>-1805708</v>
      </c>
      <c r="AQ329" s="239">
        <v>-82945</v>
      </c>
      <c r="AR329" s="239">
        <v>0</v>
      </c>
      <c r="AS329" s="239">
        <v>-82945</v>
      </c>
      <c r="AT329" s="239">
        <v>-29290</v>
      </c>
      <c r="AU329" s="239">
        <v>0</v>
      </c>
      <c r="AV329" s="239">
        <v>-29290</v>
      </c>
      <c r="AW329" s="239">
        <v>0</v>
      </c>
      <c r="AX329" s="239">
        <v>0</v>
      </c>
      <c r="AY329" s="239">
        <v>0</v>
      </c>
      <c r="AZ329" s="239">
        <v>-2824</v>
      </c>
      <c r="BA329" s="239">
        <v>0</v>
      </c>
      <c r="BB329" s="239">
        <v>-2824</v>
      </c>
      <c r="BC329" s="239">
        <v>0</v>
      </c>
      <c r="BD329" s="239">
        <v>0</v>
      </c>
      <c r="BE329" s="239">
        <v>0</v>
      </c>
      <c r="BF329" s="239">
        <v>-4326341</v>
      </c>
      <c r="BG329" s="239">
        <v>0</v>
      </c>
      <c r="BH329" s="239">
        <v>-4326341</v>
      </c>
      <c r="BI329" s="239">
        <v>0</v>
      </c>
      <c r="BJ329" s="239">
        <v>0</v>
      </c>
      <c r="BK329" s="239">
        <v>0</v>
      </c>
      <c r="BL329" s="239">
        <v>49636</v>
      </c>
      <c r="BM329" s="239">
        <v>0</v>
      </c>
      <c r="BN329" s="239">
        <v>49636</v>
      </c>
      <c r="BO329" s="239">
        <v>-535469</v>
      </c>
      <c r="BP329" s="239">
        <v>0</v>
      </c>
      <c r="BQ329" s="239">
        <v>-535469</v>
      </c>
      <c r="BR329" s="239">
        <v>695277</v>
      </c>
      <c r="BS329" s="239">
        <v>0</v>
      </c>
      <c r="BT329" s="239">
        <v>695277</v>
      </c>
      <c r="BU329" s="239">
        <v>209444</v>
      </c>
      <c r="BV329" s="239">
        <v>0</v>
      </c>
      <c r="BW329" s="239">
        <v>209444</v>
      </c>
      <c r="BX329" s="239">
        <v>-3271</v>
      </c>
      <c r="BY329" s="239">
        <v>0</v>
      </c>
      <c r="BZ329" s="239">
        <v>-3271</v>
      </c>
      <c r="CA329" s="239">
        <v>0</v>
      </c>
      <c r="CB329" s="239">
        <v>0</v>
      </c>
      <c r="CC329" s="239">
        <v>0</v>
      </c>
      <c r="CD329" s="239">
        <v>-80476</v>
      </c>
      <c r="CE329" s="239">
        <v>0</v>
      </c>
      <c r="CF329" s="239">
        <v>-80476</v>
      </c>
      <c r="CG329" s="239">
        <v>-1701</v>
      </c>
      <c r="CH329" s="239">
        <v>0</v>
      </c>
      <c r="CI329" s="239">
        <v>-1701</v>
      </c>
      <c r="CJ329" s="239">
        <v>0</v>
      </c>
      <c r="CK329" s="239">
        <v>0</v>
      </c>
      <c r="CL329" s="239">
        <v>0</v>
      </c>
      <c r="CM329" s="239">
        <v>0</v>
      </c>
      <c r="CN329" s="239">
        <v>0</v>
      </c>
      <c r="CO329" s="239">
        <v>0</v>
      </c>
      <c r="CP329" s="239">
        <v>0</v>
      </c>
      <c r="CQ329" s="239">
        <v>0</v>
      </c>
      <c r="CR329" s="239">
        <v>0</v>
      </c>
      <c r="CS329" s="239">
        <v>0</v>
      </c>
      <c r="CT329" s="239">
        <v>0</v>
      </c>
      <c r="CU329" s="239">
        <v>0</v>
      </c>
      <c r="CV329" s="239">
        <v>-40</v>
      </c>
      <c r="CW329" s="239">
        <v>0</v>
      </c>
      <c r="CX329" s="239">
        <v>-40</v>
      </c>
      <c r="CY329" s="239">
        <v>0</v>
      </c>
      <c r="CZ329" s="239">
        <v>0</v>
      </c>
      <c r="DA329" s="239">
        <v>0</v>
      </c>
      <c r="DB329" s="239">
        <v>0</v>
      </c>
      <c r="DC329" s="239">
        <v>0</v>
      </c>
      <c r="DD329" s="239">
        <v>0</v>
      </c>
      <c r="DE329" s="239">
        <v>0</v>
      </c>
      <c r="DF329" s="239">
        <v>0</v>
      </c>
      <c r="DG329" s="239">
        <v>0</v>
      </c>
      <c r="DH329" s="239">
        <v>0</v>
      </c>
      <c r="DI329" s="239">
        <v>0</v>
      </c>
      <c r="DJ329" s="239">
        <v>-85488</v>
      </c>
      <c r="DK329" s="239">
        <v>0</v>
      </c>
      <c r="DL329" s="239">
        <v>-85488</v>
      </c>
      <c r="DM329" s="239">
        <v>0</v>
      </c>
      <c r="DN329" s="239">
        <v>0</v>
      </c>
      <c r="DO329" s="239">
        <v>0</v>
      </c>
      <c r="DP329" s="239">
        <v>0</v>
      </c>
      <c r="DQ329" s="239">
        <v>0</v>
      </c>
      <c r="DR329" s="239">
        <v>0</v>
      </c>
      <c r="DS329" s="239">
        <v>-819</v>
      </c>
      <c r="DT329" s="239">
        <v>0</v>
      </c>
      <c r="DU329" s="239">
        <v>-819</v>
      </c>
      <c r="DV329" s="239">
        <v>0</v>
      </c>
      <c r="DW329" s="239">
        <v>0</v>
      </c>
      <c r="DX329" s="239">
        <v>0</v>
      </c>
      <c r="DY329" s="239">
        <v>-647596</v>
      </c>
      <c r="DZ329" s="239">
        <v>0</v>
      </c>
      <c r="EA329" s="239">
        <v>-647596</v>
      </c>
      <c r="EB329" s="239">
        <v>-27828</v>
      </c>
      <c r="EC329" s="239">
        <v>0</v>
      </c>
      <c r="ED329" s="239">
        <v>-27828</v>
      </c>
      <c r="EE329" s="239">
        <v>-39196</v>
      </c>
      <c r="EF329" s="239">
        <v>0</v>
      </c>
      <c r="EG329" s="239">
        <v>-39196</v>
      </c>
      <c r="EH329" s="239">
        <v>0</v>
      </c>
      <c r="EI329" s="239">
        <v>0</v>
      </c>
      <c r="EJ329" s="239">
        <v>0</v>
      </c>
      <c r="EK329" s="239">
        <v>-22902</v>
      </c>
      <c r="EL329" s="239">
        <v>0</v>
      </c>
      <c r="EM329" s="239">
        <v>-22902</v>
      </c>
      <c r="EN329" s="239">
        <v>-738341</v>
      </c>
      <c r="EO329" s="239">
        <v>0</v>
      </c>
      <c r="EP329" s="239">
        <v>-738341</v>
      </c>
      <c r="EQ329" s="239">
        <v>0</v>
      </c>
      <c r="ER329" s="239">
        <v>0</v>
      </c>
      <c r="ES329" s="239">
        <v>0</v>
      </c>
      <c r="ET329" s="239">
        <v>0</v>
      </c>
      <c r="EU329" s="239">
        <v>0</v>
      </c>
      <c r="EV329" s="239">
        <v>0</v>
      </c>
      <c r="EW329" s="239">
        <v>0</v>
      </c>
      <c r="EX329" s="239">
        <v>0</v>
      </c>
      <c r="EY329" s="239">
        <v>0</v>
      </c>
      <c r="EZ329" s="239">
        <v>29410723</v>
      </c>
      <c r="FA329" s="239">
        <v>0</v>
      </c>
      <c r="FB329" s="239">
        <v>29410723</v>
      </c>
      <c r="FC329" s="239">
        <v>927356</v>
      </c>
      <c r="FD329" s="239">
        <v>0</v>
      </c>
      <c r="FE329" s="239">
        <v>927356</v>
      </c>
      <c r="FF329" s="239">
        <v>-4326341</v>
      </c>
      <c r="FG329" s="239">
        <v>0</v>
      </c>
      <c r="FH329" s="239">
        <v>-4326341</v>
      </c>
      <c r="FI329" s="239">
        <v>209444</v>
      </c>
      <c r="FJ329" s="239">
        <v>0</v>
      </c>
      <c r="FK329" s="239">
        <v>209444</v>
      </c>
      <c r="FL329" s="239">
        <v>-85488</v>
      </c>
      <c r="FM329" s="239">
        <v>0</v>
      </c>
      <c r="FN329" s="239">
        <v>-85488</v>
      </c>
      <c r="FO329" s="239">
        <v>-738341</v>
      </c>
      <c r="FP329" s="239">
        <v>0</v>
      </c>
      <c r="FQ329" s="239">
        <v>-738341</v>
      </c>
      <c r="FR329" s="239">
        <v>0</v>
      </c>
      <c r="FS329" s="239">
        <v>0</v>
      </c>
      <c r="FT329" s="239">
        <v>0</v>
      </c>
      <c r="FU329" s="239">
        <v>-4013370</v>
      </c>
      <c r="FV329" s="239">
        <v>0</v>
      </c>
      <c r="FW329" s="239">
        <v>-4013370</v>
      </c>
      <c r="FX329" s="239">
        <v>25397353</v>
      </c>
      <c r="FY329" s="239">
        <v>0</v>
      </c>
      <c r="FZ329" s="239">
        <v>25397353</v>
      </c>
      <c r="GA329" s="214" t="s">
        <v>1294</v>
      </c>
    </row>
    <row r="330" spans="2:183" s="214" customFormat="1" x14ac:dyDescent="0.2">
      <c r="B330" s="610" t="s">
        <v>743</v>
      </c>
      <c r="C330" s="610" t="s">
        <v>742</v>
      </c>
      <c r="D330" s="239">
        <v>0</v>
      </c>
      <c r="E330" s="239">
        <v>0</v>
      </c>
      <c r="F330" s="239">
        <v>0</v>
      </c>
      <c r="G330" s="239">
        <v>180527</v>
      </c>
      <c r="H330" s="239">
        <v>0</v>
      </c>
      <c r="I330" s="239">
        <v>180527</v>
      </c>
      <c r="J330" s="239">
        <v>0</v>
      </c>
      <c r="K330" s="239">
        <v>0</v>
      </c>
      <c r="L330" s="239">
        <v>0</v>
      </c>
      <c r="M330" s="239">
        <v>53515</v>
      </c>
      <c r="N330" s="239">
        <v>0</v>
      </c>
      <c r="O330" s="239">
        <v>53515</v>
      </c>
      <c r="P330" s="239">
        <v>234042</v>
      </c>
      <c r="Q330" s="239">
        <v>0</v>
      </c>
      <c r="R330" s="239">
        <v>234042</v>
      </c>
      <c r="S330" s="239">
        <v>-2263681</v>
      </c>
      <c r="T330" s="239">
        <v>0</v>
      </c>
      <c r="U330" s="239">
        <v>-2263681</v>
      </c>
      <c r="V330" s="239">
        <v>0</v>
      </c>
      <c r="W330" s="239">
        <v>0</v>
      </c>
      <c r="X330" s="239">
        <v>0</v>
      </c>
      <c r="Y330" s="239">
        <v>-101914</v>
      </c>
      <c r="Z330" s="239">
        <v>0</v>
      </c>
      <c r="AA330" s="239">
        <v>-101914</v>
      </c>
      <c r="AB330" s="239">
        <v>-64506</v>
      </c>
      <c r="AC330" s="239">
        <v>0</v>
      </c>
      <c r="AD330" s="239">
        <v>-64506</v>
      </c>
      <c r="AE330" s="239">
        <v>0</v>
      </c>
      <c r="AF330" s="239">
        <v>0</v>
      </c>
      <c r="AG330" s="239">
        <v>0</v>
      </c>
      <c r="AH330" s="239">
        <v>791924</v>
      </c>
      <c r="AI330" s="239">
        <v>0</v>
      </c>
      <c r="AJ330" s="239">
        <v>791924</v>
      </c>
      <c r="AK330" s="239">
        <v>-23186</v>
      </c>
      <c r="AL330" s="239">
        <v>0</v>
      </c>
      <c r="AM330" s="239">
        <v>-23186</v>
      </c>
      <c r="AN330" s="239">
        <v>-1964045</v>
      </c>
      <c r="AO330" s="239">
        <v>0</v>
      </c>
      <c r="AP330" s="239">
        <v>-1964045</v>
      </c>
      <c r="AQ330" s="239">
        <v>-30713</v>
      </c>
      <c r="AR330" s="239">
        <v>0</v>
      </c>
      <c r="AS330" s="239">
        <v>-30713</v>
      </c>
      <c r="AT330" s="239">
        <v>-49152</v>
      </c>
      <c r="AU330" s="239">
        <v>0</v>
      </c>
      <c r="AV330" s="239">
        <v>-49152</v>
      </c>
      <c r="AW330" s="239">
        <v>0</v>
      </c>
      <c r="AX330" s="239">
        <v>0</v>
      </c>
      <c r="AY330" s="239">
        <v>0</v>
      </c>
      <c r="AZ330" s="239">
        <v>-10180</v>
      </c>
      <c r="BA330" s="239">
        <v>0</v>
      </c>
      <c r="BB330" s="239">
        <v>-10180</v>
      </c>
      <c r="BC330" s="239">
        <v>0</v>
      </c>
      <c r="BD330" s="239">
        <v>0</v>
      </c>
      <c r="BE330" s="239">
        <v>0</v>
      </c>
      <c r="BF330" s="239">
        <v>-3650947</v>
      </c>
      <c r="BG330" s="239">
        <v>0</v>
      </c>
      <c r="BH330" s="239">
        <v>-3650947</v>
      </c>
      <c r="BI330" s="239">
        <v>-8941</v>
      </c>
      <c r="BJ330" s="239">
        <v>0</v>
      </c>
      <c r="BK330" s="239">
        <v>-8941</v>
      </c>
      <c r="BL330" s="239">
        <v>-14247</v>
      </c>
      <c r="BM330" s="239">
        <v>0</v>
      </c>
      <c r="BN330" s="239">
        <v>-14247</v>
      </c>
      <c r="BO330" s="239">
        <v>-1640592</v>
      </c>
      <c r="BP330" s="239">
        <v>0</v>
      </c>
      <c r="BQ330" s="239">
        <v>-1640592</v>
      </c>
      <c r="BR330" s="239">
        <v>-63866</v>
      </c>
      <c r="BS330" s="239">
        <v>0</v>
      </c>
      <c r="BT330" s="239">
        <v>-63866</v>
      </c>
      <c r="BU330" s="239">
        <v>-1727646</v>
      </c>
      <c r="BV330" s="239">
        <v>0</v>
      </c>
      <c r="BW330" s="239">
        <v>-1727646</v>
      </c>
      <c r="BX330" s="239">
        <v>-85162</v>
      </c>
      <c r="BY330" s="239">
        <v>0</v>
      </c>
      <c r="BZ330" s="239">
        <v>-85162</v>
      </c>
      <c r="CA330" s="239">
        <v>-177</v>
      </c>
      <c r="CB330" s="239">
        <v>0</v>
      </c>
      <c r="CC330" s="239">
        <v>-177</v>
      </c>
      <c r="CD330" s="239">
        <v>-98535</v>
      </c>
      <c r="CE330" s="239">
        <v>0</v>
      </c>
      <c r="CF330" s="239">
        <v>-98535</v>
      </c>
      <c r="CG330" s="239">
        <v>-6601</v>
      </c>
      <c r="CH330" s="239">
        <v>0</v>
      </c>
      <c r="CI330" s="239">
        <v>-6601</v>
      </c>
      <c r="CJ330" s="239">
        <v>0</v>
      </c>
      <c r="CK330" s="239">
        <v>0</v>
      </c>
      <c r="CL330" s="239">
        <v>0</v>
      </c>
      <c r="CM330" s="239">
        <v>0</v>
      </c>
      <c r="CN330" s="239">
        <v>0</v>
      </c>
      <c r="CO330" s="239">
        <v>0</v>
      </c>
      <c r="CP330" s="239">
        <v>-2816</v>
      </c>
      <c r="CQ330" s="239">
        <v>0</v>
      </c>
      <c r="CR330" s="239">
        <v>-2816</v>
      </c>
      <c r="CS330" s="239">
        <v>0</v>
      </c>
      <c r="CT330" s="239">
        <v>0</v>
      </c>
      <c r="CU330" s="239">
        <v>0</v>
      </c>
      <c r="CV330" s="239">
        <v>0</v>
      </c>
      <c r="CW330" s="239">
        <v>0</v>
      </c>
      <c r="CX330" s="239">
        <v>0</v>
      </c>
      <c r="CY330" s="239">
        <v>0</v>
      </c>
      <c r="CZ330" s="239">
        <v>0</v>
      </c>
      <c r="DA330" s="239">
        <v>0</v>
      </c>
      <c r="DB330" s="239">
        <v>0</v>
      </c>
      <c r="DC330" s="239">
        <v>0</v>
      </c>
      <c r="DD330" s="239">
        <v>0</v>
      </c>
      <c r="DE330" s="239">
        <v>0</v>
      </c>
      <c r="DF330" s="239">
        <v>0</v>
      </c>
      <c r="DG330" s="239">
        <v>0</v>
      </c>
      <c r="DH330" s="239">
        <v>0</v>
      </c>
      <c r="DI330" s="239">
        <v>0</v>
      </c>
      <c r="DJ330" s="239">
        <v>-193291</v>
      </c>
      <c r="DK330" s="239">
        <v>0</v>
      </c>
      <c r="DL330" s="239">
        <v>-193291</v>
      </c>
      <c r="DM330" s="239">
        <v>0</v>
      </c>
      <c r="DN330" s="239">
        <v>0</v>
      </c>
      <c r="DO330" s="239">
        <v>0</v>
      </c>
      <c r="DP330" s="239">
        <v>0</v>
      </c>
      <c r="DQ330" s="239">
        <v>0</v>
      </c>
      <c r="DR330" s="239">
        <v>0</v>
      </c>
      <c r="DS330" s="239">
        <v>-6681</v>
      </c>
      <c r="DT330" s="239">
        <v>0</v>
      </c>
      <c r="DU330" s="239">
        <v>-6681</v>
      </c>
      <c r="DV330" s="239">
        <v>0</v>
      </c>
      <c r="DW330" s="239">
        <v>0</v>
      </c>
      <c r="DX330" s="239">
        <v>0</v>
      </c>
      <c r="DY330" s="239">
        <v>-350786</v>
      </c>
      <c r="DZ330" s="239">
        <v>0</v>
      </c>
      <c r="EA330" s="239">
        <v>-350786</v>
      </c>
      <c r="EB330" s="239">
        <v>-56763</v>
      </c>
      <c r="EC330" s="239">
        <v>0</v>
      </c>
      <c r="ED330" s="239">
        <v>-56763</v>
      </c>
      <c r="EE330" s="239">
        <v>0</v>
      </c>
      <c r="EF330" s="239">
        <v>0</v>
      </c>
      <c r="EG330" s="239">
        <v>0</v>
      </c>
      <c r="EH330" s="239">
        <v>0</v>
      </c>
      <c r="EI330" s="239">
        <v>0</v>
      </c>
      <c r="EJ330" s="239">
        <v>0</v>
      </c>
      <c r="EK330" s="239">
        <v>-1084</v>
      </c>
      <c r="EL330" s="239">
        <v>0</v>
      </c>
      <c r="EM330" s="239">
        <v>-1084</v>
      </c>
      <c r="EN330" s="239">
        <v>-415314</v>
      </c>
      <c r="EO330" s="239">
        <v>0</v>
      </c>
      <c r="EP330" s="239">
        <v>-415314</v>
      </c>
      <c r="EQ330" s="239">
        <v>-69531</v>
      </c>
      <c r="ER330" s="239">
        <v>0</v>
      </c>
      <c r="ES330" s="239">
        <v>-69531</v>
      </c>
      <c r="ET330" s="239">
        <v>-10204</v>
      </c>
      <c r="EU330" s="239">
        <v>0</v>
      </c>
      <c r="EV330" s="239">
        <v>-10204</v>
      </c>
      <c r="EW330" s="239">
        <v>-79735</v>
      </c>
      <c r="EX330" s="239">
        <v>0</v>
      </c>
      <c r="EY330" s="239">
        <v>-79735</v>
      </c>
      <c r="EZ330" s="239">
        <v>34189895</v>
      </c>
      <c r="FA330" s="239">
        <v>0</v>
      </c>
      <c r="FB330" s="239">
        <v>34189895</v>
      </c>
      <c r="FC330" s="239">
        <v>234042</v>
      </c>
      <c r="FD330" s="239">
        <v>0</v>
      </c>
      <c r="FE330" s="239">
        <v>234042</v>
      </c>
      <c r="FF330" s="239">
        <v>-3650947</v>
      </c>
      <c r="FG330" s="239">
        <v>0</v>
      </c>
      <c r="FH330" s="239">
        <v>-3650947</v>
      </c>
      <c r="FI330" s="239">
        <v>-1727646</v>
      </c>
      <c r="FJ330" s="239">
        <v>0</v>
      </c>
      <c r="FK330" s="239">
        <v>-1727646</v>
      </c>
      <c r="FL330" s="239">
        <v>-193291</v>
      </c>
      <c r="FM330" s="239">
        <v>0</v>
      </c>
      <c r="FN330" s="239">
        <v>-193291</v>
      </c>
      <c r="FO330" s="239">
        <v>-415314</v>
      </c>
      <c r="FP330" s="239">
        <v>0</v>
      </c>
      <c r="FQ330" s="239">
        <v>-415314</v>
      </c>
      <c r="FR330" s="239">
        <v>-79735</v>
      </c>
      <c r="FS330" s="239">
        <v>0</v>
      </c>
      <c r="FT330" s="239">
        <v>-79735</v>
      </c>
      <c r="FU330" s="239">
        <v>-5832891</v>
      </c>
      <c r="FV330" s="239">
        <v>0</v>
      </c>
      <c r="FW330" s="239">
        <v>-5832891</v>
      </c>
      <c r="FX330" s="239">
        <v>28357004</v>
      </c>
      <c r="FY330" s="239">
        <v>0</v>
      </c>
      <c r="FZ330" s="239">
        <v>28357004</v>
      </c>
      <c r="GA330" s="214" t="s">
        <v>1294</v>
      </c>
    </row>
    <row r="331" spans="2:183" s="214" customFormat="1" x14ac:dyDescent="0.2">
      <c r="B331" s="610" t="s">
        <v>745</v>
      </c>
      <c r="C331" s="610" t="s">
        <v>744</v>
      </c>
      <c r="D331" s="239">
        <v>0</v>
      </c>
      <c r="E331" s="239">
        <v>0</v>
      </c>
      <c r="F331" s="239">
        <v>0</v>
      </c>
      <c r="G331" s="239">
        <v>68903</v>
      </c>
      <c r="H331" s="239">
        <v>0</v>
      </c>
      <c r="I331" s="239">
        <v>68903</v>
      </c>
      <c r="J331" s="239">
        <v>0</v>
      </c>
      <c r="K331" s="239">
        <v>0</v>
      </c>
      <c r="L331" s="239">
        <v>0</v>
      </c>
      <c r="M331" s="239">
        <v>0</v>
      </c>
      <c r="N331" s="239">
        <v>0</v>
      </c>
      <c r="O331" s="239">
        <v>0</v>
      </c>
      <c r="P331" s="239">
        <v>68903</v>
      </c>
      <c r="Q331" s="239">
        <v>0</v>
      </c>
      <c r="R331" s="239">
        <v>68903</v>
      </c>
      <c r="S331" s="239">
        <v>-3441635</v>
      </c>
      <c r="T331" s="239">
        <v>0</v>
      </c>
      <c r="U331" s="239">
        <v>-3441635</v>
      </c>
      <c r="V331" s="239">
        <v>-27665</v>
      </c>
      <c r="W331" s="239">
        <v>0</v>
      </c>
      <c r="X331" s="239">
        <v>-27665</v>
      </c>
      <c r="Y331" s="239">
        <v>-199124</v>
      </c>
      <c r="Z331" s="239">
        <v>0</v>
      </c>
      <c r="AA331" s="239">
        <v>-199124</v>
      </c>
      <c r="AB331" s="239">
        <v>-198100</v>
      </c>
      <c r="AC331" s="239">
        <v>0</v>
      </c>
      <c r="AD331" s="239">
        <v>-198100</v>
      </c>
      <c r="AE331" s="239">
        <v>-1024</v>
      </c>
      <c r="AF331" s="239">
        <v>0</v>
      </c>
      <c r="AG331" s="239">
        <v>-1024</v>
      </c>
      <c r="AH331" s="239">
        <v>2905700</v>
      </c>
      <c r="AI331" s="239">
        <v>0</v>
      </c>
      <c r="AJ331" s="239">
        <v>2905700</v>
      </c>
      <c r="AK331" s="239">
        <v>163149</v>
      </c>
      <c r="AL331" s="239">
        <v>0</v>
      </c>
      <c r="AM331" s="239">
        <v>163149</v>
      </c>
      <c r="AN331" s="239">
        <v>-8899457</v>
      </c>
      <c r="AO331" s="239">
        <v>0</v>
      </c>
      <c r="AP331" s="239">
        <v>-8899457</v>
      </c>
      <c r="AQ331" s="239">
        <v>60406</v>
      </c>
      <c r="AR331" s="239">
        <v>0</v>
      </c>
      <c r="AS331" s="239">
        <v>60406</v>
      </c>
      <c r="AT331" s="239">
        <v>-161426</v>
      </c>
      <c r="AU331" s="239">
        <v>0</v>
      </c>
      <c r="AV331" s="239">
        <v>-161426</v>
      </c>
      <c r="AW331" s="239">
        <v>-10338</v>
      </c>
      <c r="AX331" s="239">
        <v>0</v>
      </c>
      <c r="AY331" s="239">
        <v>-10338</v>
      </c>
      <c r="AZ331" s="239">
        <v>-8393</v>
      </c>
      <c r="BA331" s="239">
        <v>0</v>
      </c>
      <c r="BB331" s="239">
        <v>-8393</v>
      </c>
      <c r="BC331" s="239">
        <v>0</v>
      </c>
      <c r="BD331" s="239">
        <v>0</v>
      </c>
      <c r="BE331" s="239">
        <v>0</v>
      </c>
      <c r="BF331" s="239">
        <v>-9591118</v>
      </c>
      <c r="BG331" s="239">
        <v>0</v>
      </c>
      <c r="BH331" s="239">
        <v>-9591118</v>
      </c>
      <c r="BI331" s="239">
        <v>-5743</v>
      </c>
      <c r="BJ331" s="239">
        <v>0</v>
      </c>
      <c r="BK331" s="239">
        <v>-5743</v>
      </c>
      <c r="BL331" s="239">
        <v>-6134</v>
      </c>
      <c r="BM331" s="239">
        <v>0</v>
      </c>
      <c r="BN331" s="239">
        <v>-6134</v>
      </c>
      <c r="BO331" s="239">
        <v>-2569381</v>
      </c>
      <c r="BP331" s="239">
        <v>0</v>
      </c>
      <c r="BQ331" s="239">
        <v>-2569381</v>
      </c>
      <c r="BR331" s="239">
        <v>-243076</v>
      </c>
      <c r="BS331" s="239">
        <v>0</v>
      </c>
      <c r="BT331" s="239">
        <v>-243076</v>
      </c>
      <c r="BU331" s="239">
        <v>-2824334</v>
      </c>
      <c r="BV331" s="239">
        <v>0</v>
      </c>
      <c r="BW331" s="239">
        <v>-2824334</v>
      </c>
      <c r="BX331" s="239">
        <v>-60878</v>
      </c>
      <c r="BY331" s="239">
        <v>0</v>
      </c>
      <c r="BZ331" s="239">
        <v>-60878</v>
      </c>
      <c r="CA331" s="239">
        <v>-5195</v>
      </c>
      <c r="CB331" s="239">
        <v>0</v>
      </c>
      <c r="CC331" s="239">
        <v>-5195</v>
      </c>
      <c r="CD331" s="239">
        <v>-9633</v>
      </c>
      <c r="CE331" s="239">
        <v>0</v>
      </c>
      <c r="CF331" s="239">
        <v>-9633</v>
      </c>
      <c r="CG331" s="239">
        <v>1242</v>
      </c>
      <c r="CH331" s="239">
        <v>0</v>
      </c>
      <c r="CI331" s="239">
        <v>1242</v>
      </c>
      <c r="CJ331" s="239">
        <v>-20671</v>
      </c>
      <c r="CK331" s="239">
        <v>0</v>
      </c>
      <c r="CL331" s="239">
        <v>-20671</v>
      </c>
      <c r="CM331" s="239">
        <v>0</v>
      </c>
      <c r="CN331" s="239">
        <v>0</v>
      </c>
      <c r="CO331" s="239">
        <v>0</v>
      </c>
      <c r="CP331" s="239">
        <v>-3154</v>
      </c>
      <c r="CQ331" s="239">
        <v>0</v>
      </c>
      <c r="CR331" s="239">
        <v>-3154</v>
      </c>
      <c r="CS331" s="239">
        <v>0</v>
      </c>
      <c r="CT331" s="239">
        <v>0</v>
      </c>
      <c r="CU331" s="239">
        <v>0</v>
      </c>
      <c r="CV331" s="239">
        <v>-33779</v>
      </c>
      <c r="CW331" s="239">
        <v>0</v>
      </c>
      <c r="CX331" s="239">
        <v>-33779</v>
      </c>
      <c r="CY331" s="239">
        <v>0</v>
      </c>
      <c r="CZ331" s="239">
        <v>0</v>
      </c>
      <c r="DA331" s="239">
        <v>0</v>
      </c>
      <c r="DB331" s="239">
        <v>-37995</v>
      </c>
      <c r="DC331" s="239">
        <v>0</v>
      </c>
      <c r="DD331" s="239">
        <v>-37995</v>
      </c>
      <c r="DE331" s="239">
        <v>-112</v>
      </c>
      <c r="DF331" s="239">
        <v>0</v>
      </c>
      <c r="DG331" s="239">
        <v>-112</v>
      </c>
      <c r="DH331" s="239">
        <v>0</v>
      </c>
      <c r="DI331" s="239">
        <v>0</v>
      </c>
      <c r="DJ331" s="239">
        <v>-170175</v>
      </c>
      <c r="DK331" s="239">
        <v>0</v>
      </c>
      <c r="DL331" s="239">
        <v>-170175</v>
      </c>
      <c r="DM331" s="239">
        <v>-59848</v>
      </c>
      <c r="DN331" s="239">
        <v>0</v>
      </c>
      <c r="DO331" s="239">
        <v>-59848</v>
      </c>
      <c r="DP331" s="239">
        <v>-4506</v>
      </c>
      <c r="DQ331" s="239">
        <v>0</v>
      </c>
      <c r="DR331" s="239">
        <v>-4506</v>
      </c>
      <c r="DS331" s="239">
        <v>-152773</v>
      </c>
      <c r="DT331" s="239">
        <v>0</v>
      </c>
      <c r="DU331" s="239">
        <v>-152773</v>
      </c>
      <c r="DV331" s="239">
        <v>-15886</v>
      </c>
      <c r="DW331" s="239">
        <v>0</v>
      </c>
      <c r="DX331" s="239">
        <v>-15886</v>
      </c>
      <c r="DY331" s="239">
        <v>-1460753</v>
      </c>
      <c r="DZ331" s="239">
        <v>0</v>
      </c>
      <c r="EA331" s="239">
        <v>-1460753</v>
      </c>
      <c r="EB331" s="239">
        <v>-11057</v>
      </c>
      <c r="EC331" s="239">
        <v>0</v>
      </c>
      <c r="ED331" s="239">
        <v>-11057</v>
      </c>
      <c r="EE331" s="239">
        <v>-1406589</v>
      </c>
      <c r="EF331" s="239">
        <v>0</v>
      </c>
      <c r="EG331" s="239">
        <v>-1406589</v>
      </c>
      <c r="EH331" s="239">
        <v>0</v>
      </c>
      <c r="EI331" s="239">
        <v>0</v>
      </c>
      <c r="EJ331" s="239">
        <v>0</v>
      </c>
      <c r="EK331" s="239">
        <v>-8527</v>
      </c>
      <c r="EL331" s="239">
        <v>0</v>
      </c>
      <c r="EM331" s="239">
        <v>-8527</v>
      </c>
      <c r="EN331" s="239">
        <v>-3119939</v>
      </c>
      <c r="EO331" s="239">
        <v>0</v>
      </c>
      <c r="EP331" s="239">
        <v>-3119939</v>
      </c>
      <c r="EQ331" s="239">
        <v>0</v>
      </c>
      <c r="ER331" s="239">
        <v>0</v>
      </c>
      <c r="ES331" s="239">
        <v>0</v>
      </c>
      <c r="ET331" s="239">
        <v>0</v>
      </c>
      <c r="EU331" s="239">
        <v>0</v>
      </c>
      <c r="EV331" s="239">
        <v>0</v>
      </c>
      <c r="EW331" s="239">
        <v>0</v>
      </c>
      <c r="EX331" s="239">
        <v>0</v>
      </c>
      <c r="EY331" s="239">
        <v>0</v>
      </c>
      <c r="EZ331" s="239">
        <v>117076914</v>
      </c>
      <c r="FA331" s="239">
        <v>0</v>
      </c>
      <c r="FB331" s="239">
        <v>117076914</v>
      </c>
      <c r="FC331" s="239">
        <v>68903</v>
      </c>
      <c r="FD331" s="239">
        <v>0</v>
      </c>
      <c r="FE331" s="239">
        <v>68903</v>
      </c>
      <c r="FF331" s="239">
        <v>-9591118</v>
      </c>
      <c r="FG331" s="239">
        <v>0</v>
      </c>
      <c r="FH331" s="239">
        <v>-9591118</v>
      </c>
      <c r="FI331" s="239">
        <v>-2824334</v>
      </c>
      <c r="FJ331" s="239">
        <v>0</v>
      </c>
      <c r="FK331" s="239">
        <v>-2824334</v>
      </c>
      <c r="FL331" s="239">
        <v>-170175</v>
      </c>
      <c r="FM331" s="239">
        <v>0</v>
      </c>
      <c r="FN331" s="239">
        <v>-170175</v>
      </c>
      <c r="FO331" s="239">
        <v>-3119939</v>
      </c>
      <c r="FP331" s="239">
        <v>0</v>
      </c>
      <c r="FQ331" s="239">
        <v>-3119939</v>
      </c>
      <c r="FR331" s="239">
        <v>0</v>
      </c>
      <c r="FS331" s="239">
        <v>0</v>
      </c>
      <c r="FT331" s="239">
        <v>0</v>
      </c>
      <c r="FU331" s="239">
        <v>-15636663</v>
      </c>
      <c r="FV331" s="239">
        <v>0</v>
      </c>
      <c r="FW331" s="239">
        <v>-15636663</v>
      </c>
      <c r="FX331" s="239">
        <v>101440251</v>
      </c>
      <c r="FY331" s="239">
        <v>0</v>
      </c>
      <c r="FZ331" s="239">
        <v>101440251</v>
      </c>
      <c r="GA331" s="214" t="s">
        <v>748</v>
      </c>
    </row>
    <row r="332" spans="2:183" s="214" customFormat="1" x14ac:dyDescent="0.2">
      <c r="B332" s="610" t="s">
        <v>1286</v>
      </c>
      <c r="C332" s="610" t="s">
        <v>1278</v>
      </c>
      <c r="D332" s="239">
        <v>0</v>
      </c>
      <c r="E332" s="239">
        <v>0</v>
      </c>
      <c r="F332" s="239">
        <v>0</v>
      </c>
      <c r="G332" s="239">
        <v>109512834.18000001</v>
      </c>
      <c r="H332" s="239">
        <v>-331074</v>
      </c>
      <c r="I332" s="239">
        <v>109181760.18000001</v>
      </c>
      <c r="J332" s="239">
        <v>0</v>
      </c>
      <c r="K332" s="239">
        <v>0</v>
      </c>
      <c r="L332" s="239">
        <v>0</v>
      </c>
      <c r="M332" s="239">
        <v>55386680.340000011</v>
      </c>
      <c r="N332" s="239">
        <v>49753</v>
      </c>
      <c r="O332" s="239">
        <v>55436433.340000011</v>
      </c>
      <c r="P332" s="239">
        <v>164899515</v>
      </c>
      <c r="Q332" s="239">
        <v>-281321</v>
      </c>
      <c r="R332" s="239">
        <v>164618194</v>
      </c>
      <c r="S332" s="239">
        <v>-1121298768.99</v>
      </c>
      <c r="T332" s="239">
        <v>-1709334</v>
      </c>
      <c r="U332" s="239">
        <v>-1123008102.99</v>
      </c>
      <c r="V332" s="239">
        <v>-3499502</v>
      </c>
      <c r="W332" s="239">
        <v>-7897</v>
      </c>
      <c r="X332" s="239">
        <v>-3507399</v>
      </c>
      <c r="Y332" s="239">
        <v>-53945390.729999997</v>
      </c>
      <c r="Z332" s="239">
        <v>-194129</v>
      </c>
      <c r="AA332" s="239">
        <v>-54139519.729999997</v>
      </c>
      <c r="AB332" s="239">
        <v>-30623148.459999997</v>
      </c>
      <c r="AC332" s="239">
        <v>-99999</v>
      </c>
      <c r="AD332" s="239">
        <v>-30723147.459999997</v>
      </c>
      <c r="AE332" s="239">
        <v>-358703</v>
      </c>
      <c r="AF332" s="239">
        <v>-1597</v>
      </c>
      <c r="AG332" s="239">
        <v>-360300</v>
      </c>
      <c r="AH332" s="239">
        <v>641774678</v>
      </c>
      <c r="AI332" s="239">
        <v>3822648</v>
      </c>
      <c r="AJ332" s="239">
        <v>645597326</v>
      </c>
      <c r="AK332" s="239">
        <v>-7200955.6500000004</v>
      </c>
      <c r="AL332" s="239">
        <v>-6897</v>
      </c>
      <c r="AM332" s="239">
        <v>-7207852.6500000004</v>
      </c>
      <c r="AN332" s="239">
        <v>-1552842957.76</v>
      </c>
      <c r="AO332" s="239">
        <v>-4849071</v>
      </c>
      <c r="AP332" s="239">
        <v>-1557692028.76</v>
      </c>
      <c r="AQ332" s="239">
        <v>-9658351.370000001</v>
      </c>
      <c r="AR332" s="239">
        <v>-12547</v>
      </c>
      <c r="AS332" s="239">
        <v>-9670898.370000001</v>
      </c>
      <c r="AT332" s="239">
        <v>-20457612.439999998</v>
      </c>
      <c r="AU332" s="239">
        <v>0</v>
      </c>
      <c r="AV332" s="239">
        <v>-20457612.439999998</v>
      </c>
      <c r="AW332" s="239">
        <v>-682461.2</v>
      </c>
      <c r="AX332" s="239">
        <v>0</v>
      </c>
      <c r="AY332" s="239">
        <v>-682461.2</v>
      </c>
      <c r="AZ332" s="239">
        <v>-6040724</v>
      </c>
      <c r="BA332" s="239">
        <v>0</v>
      </c>
      <c r="BB332" s="239">
        <v>-6040724</v>
      </c>
      <c r="BC332" s="239">
        <v>5319</v>
      </c>
      <c r="BD332" s="239">
        <v>0</v>
      </c>
      <c r="BE332" s="239">
        <v>5319</v>
      </c>
      <c r="BF332" s="239">
        <v>-2130347225</v>
      </c>
      <c r="BG332" s="239">
        <v>-2949330</v>
      </c>
      <c r="BH332" s="239">
        <v>-2133296555</v>
      </c>
      <c r="BI332" s="239">
        <v>-32205798.52</v>
      </c>
      <c r="BJ332" s="239">
        <v>-190697</v>
      </c>
      <c r="BK332" s="239">
        <v>-32396495.52</v>
      </c>
      <c r="BL332" s="239">
        <v>-12842893.460000001</v>
      </c>
      <c r="BM332" s="239">
        <v>-544</v>
      </c>
      <c r="BN332" s="239">
        <v>-12843437.460000001</v>
      </c>
      <c r="BO332" s="239">
        <v>-921098597.79999995</v>
      </c>
      <c r="BP332" s="239">
        <v>-13807541</v>
      </c>
      <c r="BQ332" s="239">
        <v>-934906138.79999995</v>
      </c>
      <c r="BR332" s="239">
        <v>-18992462.59</v>
      </c>
      <c r="BS332" s="239">
        <v>58277</v>
      </c>
      <c r="BT332" s="239">
        <v>-18934185.59</v>
      </c>
      <c r="BU332" s="239">
        <v>-985139752</v>
      </c>
      <c r="BV332" s="239">
        <v>-13940505</v>
      </c>
      <c r="BW332" s="239">
        <v>-999080257</v>
      </c>
      <c r="BX332" s="239">
        <v>-43669363.230000004</v>
      </c>
      <c r="BY332" s="239">
        <v>-31309</v>
      </c>
      <c r="BZ332" s="239">
        <v>-43700672.230000004</v>
      </c>
      <c r="CA332" s="239">
        <v>-86801.669999999984</v>
      </c>
      <c r="CB332" s="239">
        <v>-6529</v>
      </c>
      <c r="CC332" s="239">
        <v>-93330.669999999984</v>
      </c>
      <c r="CD332" s="239">
        <v>-38119893.450000003</v>
      </c>
      <c r="CE332" s="239">
        <v>-316543</v>
      </c>
      <c r="CF332" s="239">
        <v>-38436436.450000003</v>
      </c>
      <c r="CG332" s="239">
        <v>-2296358.46</v>
      </c>
      <c r="CH332" s="239">
        <v>-7430</v>
      </c>
      <c r="CI332" s="239">
        <v>-2303788.46</v>
      </c>
      <c r="CJ332" s="239">
        <v>-1283613.3700000001</v>
      </c>
      <c r="CK332" s="239">
        <v>0</v>
      </c>
      <c r="CL332" s="239">
        <v>-1283613.3700000001</v>
      </c>
      <c r="CM332" s="239">
        <v>-34162</v>
      </c>
      <c r="CN332" s="239">
        <v>0</v>
      </c>
      <c r="CO332" s="239">
        <v>-34162</v>
      </c>
      <c r="CP332" s="239">
        <v>-2868579</v>
      </c>
      <c r="CQ332" s="239">
        <v>0</v>
      </c>
      <c r="CR332" s="239">
        <v>-2868579</v>
      </c>
      <c r="CS332" s="239">
        <v>19742</v>
      </c>
      <c r="CT332" s="239">
        <v>0</v>
      </c>
      <c r="CU332" s="239">
        <v>19742</v>
      </c>
      <c r="CV332" s="239">
        <v>-1696454</v>
      </c>
      <c r="CW332" s="239">
        <v>0</v>
      </c>
      <c r="CX332" s="239">
        <v>-1696454</v>
      </c>
      <c r="CY332" s="239">
        <v>11386</v>
      </c>
      <c r="CZ332" s="239">
        <v>0</v>
      </c>
      <c r="DA332" s="239">
        <v>11386</v>
      </c>
      <c r="DB332" s="239">
        <v>-5298244</v>
      </c>
      <c r="DC332" s="239">
        <v>-7887296</v>
      </c>
      <c r="DD332" s="239">
        <v>-13185540</v>
      </c>
      <c r="DE332" s="239">
        <v>-380565</v>
      </c>
      <c r="DF332" s="239">
        <v>-490073</v>
      </c>
      <c r="DG332" s="239">
        <v>-870638</v>
      </c>
      <c r="DH332" s="239">
        <v>-7978636</v>
      </c>
      <c r="DI332" s="239">
        <v>-3131523</v>
      </c>
      <c r="DJ332" s="239">
        <v>-95702906</v>
      </c>
      <c r="DK332" s="239">
        <v>-8739180</v>
      </c>
      <c r="DL332" s="239">
        <v>-104442086</v>
      </c>
      <c r="DM332" s="239">
        <v>-7065762</v>
      </c>
      <c r="DN332" s="239">
        <v>-119013</v>
      </c>
      <c r="DO332" s="239">
        <v>-7184775</v>
      </c>
      <c r="DP332" s="239">
        <v>-613504</v>
      </c>
      <c r="DQ332" s="239">
        <v>-110233</v>
      </c>
      <c r="DR332" s="239">
        <v>-723737</v>
      </c>
      <c r="DS332" s="239">
        <v>-13405533.23</v>
      </c>
      <c r="DT332" s="239">
        <v>-18750</v>
      </c>
      <c r="DU332" s="239">
        <v>-13424283.23</v>
      </c>
      <c r="DV332" s="239">
        <v>-1151626.7</v>
      </c>
      <c r="DW332" s="239">
        <v>0</v>
      </c>
      <c r="DX332" s="239">
        <v>-1151626.7</v>
      </c>
      <c r="DY332" s="239">
        <v>-295218908</v>
      </c>
      <c r="DZ332" s="239">
        <v>-512478</v>
      </c>
      <c r="EA332" s="239">
        <v>-295731386</v>
      </c>
      <c r="EB332" s="239">
        <v>-7802648.1600000011</v>
      </c>
      <c r="EC332" s="239">
        <v>-31676</v>
      </c>
      <c r="ED332" s="239">
        <v>-7834324.1600000011</v>
      </c>
      <c r="EE332" s="239">
        <v>-6877775</v>
      </c>
      <c r="EF332" s="239">
        <v>0</v>
      </c>
      <c r="EG332" s="239">
        <v>-6877775</v>
      </c>
      <c r="EH332" s="239">
        <v>-194950.05</v>
      </c>
      <c r="EI332" s="239">
        <v>0</v>
      </c>
      <c r="EJ332" s="239">
        <v>-194950.05</v>
      </c>
      <c r="EK332" s="239">
        <v>-4433876.5199999996</v>
      </c>
      <c r="EL332" s="239">
        <v>-17620</v>
      </c>
      <c r="EM332" s="239">
        <v>-4451496.5199999996</v>
      </c>
      <c r="EN332" s="239">
        <v>-336764584</v>
      </c>
      <c r="EO332" s="239">
        <v>-809770</v>
      </c>
      <c r="EP332" s="239">
        <v>-337574354</v>
      </c>
      <c r="EQ332" s="239">
        <v>-2473081</v>
      </c>
      <c r="ER332" s="239">
        <v>0</v>
      </c>
      <c r="ES332" s="239">
        <v>-2473081</v>
      </c>
      <c r="ET332" s="239">
        <v>-409685.97</v>
      </c>
      <c r="EU332" s="239">
        <v>0</v>
      </c>
      <c r="EV332" s="239">
        <v>-409685.97</v>
      </c>
      <c r="EW332" s="239">
        <v>-2882767</v>
      </c>
      <c r="EX332" s="239">
        <v>0</v>
      </c>
      <c r="EY332" s="239">
        <v>-2882767</v>
      </c>
      <c r="EZ332" s="239">
        <v>26485549589</v>
      </c>
      <c r="FA332" s="239">
        <v>137759884</v>
      </c>
      <c r="FB332" s="239">
        <v>26623309473</v>
      </c>
      <c r="FC332" s="239">
        <v>164899515</v>
      </c>
      <c r="FD332" s="239">
        <v>-281321</v>
      </c>
      <c r="FE332" s="239">
        <v>164618194</v>
      </c>
      <c r="FF332" s="239">
        <v>-2130347225</v>
      </c>
      <c r="FG332" s="239">
        <v>-2949330</v>
      </c>
      <c r="FH332" s="239">
        <v>-2133296555</v>
      </c>
      <c r="FI332" s="239">
        <v>-985139752</v>
      </c>
      <c r="FJ332" s="239">
        <v>-13940505</v>
      </c>
      <c r="FK332" s="239">
        <v>-999080257</v>
      </c>
      <c r="FL332" s="239">
        <v>-95702906</v>
      </c>
      <c r="FM332" s="239">
        <v>-8739180</v>
      </c>
      <c r="FN332" s="239">
        <v>-104442086</v>
      </c>
      <c r="FO332" s="239">
        <v>-336764584</v>
      </c>
      <c r="FP332" s="239">
        <v>-809770</v>
      </c>
      <c r="FQ332" s="239">
        <v>-337574354</v>
      </c>
      <c r="FR332" s="239">
        <v>-2882767</v>
      </c>
      <c r="FS332" s="239">
        <v>0</v>
      </c>
      <c r="FT332" s="239">
        <v>-2882767</v>
      </c>
      <c r="FU332" s="239">
        <v>-3385937719</v>
      </c>
      <c r="FV332" s="239">
        <v>-26720106</v>
      </c>
      <c r="FW332" s="239">
        <v>-3412657825</v>
      </c>
      <c r="FX332" s="239">
        <v>23099611870</v>
      </c>
      <c r="FY332" s="239">
        <v>111039778</v>
      </c>
      <c r="FZ332" s="239">
        <v>23210651648</v>
      </c>
    </row>
    <row r="333" spans="2:183" s="214" customFormat="1" x14ac:dyDescent="0.2">
      <c r="B333"/>
      <c r="C333"/>
      <c r="D333" s="239">
        <v>0</v>
      </c>
      <c r="E333" s="239">
        <v>0</v>
      </c>
      <c r="F333" s="239">
        <v>0</v>
      </c>
      <c r="G333" s="239">
        <v>109512834.18000001</v>
      </c>
      <c r="H333" s="239">
        <v>-331074</v>
      </c>
      <c r="I333" s="239">
        <v>109181760.18000001</v>
      </c>
      <c r="J333" s="239">
        <v>0</v>
      </c>
      <c r="K333" s="239">
        <v>0</v>
      </c>
      <c r="L333" s="239">
        <v>0</v>
      </c>
      <c r="M333" s="239">
        <v>55386680.340000011</v>
      </c>
      <c r="N333" s="239">
        <v>49753</v>
      </c>
      <c r="O333" s="239">
        <v>55436433.340000011</v>
      </c>
      <c r="P333" s="239">
        <v>164899515</v>
      </c>
      <c r="Q333" s="239">
        <v>-281321</v>
      </c>
      <c r="R333" s="239">
        <v>164618194</v>
      </c>
      <c r="S333" s="239">
        <v>-1121298768.99</v>
      </c>
      <c r="T333" s="239">
        <v>-1709334</v>
      </c>
      <c r="U333" s="239">
        <v>-1123008102.99</v>
      </c>
      <c r="V333" s="239">
        <v>-3499502</v>
      </c>
      <c r="W333" s="239">
        <v>-7897</v>
      </c>
      <c r="X333" s="239">
        <v>-3507399</v>
      </c>
      <c r="Y333" s="239">
        <v>-53945390.729999997</v>
      </c>
      <c r="Z333" s="239">
        <v>-194129</v>
      </c>
      <c r="AA333" s="239">
        <v>-54139519.729999997</v>
      </c>
      <c r="AB333" s="239">
        <v>-30623148.459999997</v>
      </c>
      <c r="AC333" s="239">
        <v>-99999</v>
      </c>
      <c r="AD333" s="239">
        <v>-30723147.459999997</v>
      </c>
      <c r="AE333" s="239">
        <v>-358703</v>
      </c>
      <c r="AF333" s="239">
        <v>-1597</v>
      </c>
      <c r="AG333" s="239">
        <v>-360300</v>
      </c>
      <c r="AH333" s="239">
        <v>641774678</v>
      </c>
      <c r="AI333" s="239">
        <v>3822648</v>
      </c>
      <c r="AJ333" s="239">
        <v>645597326</v>
      </c>
      <c r="AK333" s="239">
        <v>-7200955.6500000004</v>
      </c>
      <c r="AL333" s="239">
        <v>-6897</v>
      </c>
      <c r="AM333" s="239">
        <v>-7207852.6500000004</v>
      </c>
      <c r="AN333" s="239">
        <v>-1552842957.76</v>
      </c>
      <c r="AO333" s="239">
        <v>-4849071</v>
      </c>
      <c r="AP333" s="239">
        <v>-1557692028.76</v>
      </c>
      <c r="AQ333" s="239">
        <v>-9658351.370000001</v>
      </c>
      <c r="AR333" s="239">
        <v>-12547</v>
      </c>
      <c r="AS333" s="239">
        <v>-9670898.370000001</v>
      </c>
      <c r="AT333" s="239">
        <v>-20457612.439999998</v>
      </c>
      <c r="AU333" s="239">
        <v>0</v>
      </c>
      <c r="AV333" s="239">
        <v>-20457612.439999998</v>
      </c>
      <c r="AW333" s="239">
        <v>-682461.2</v>
      </c>
      <c r="AX333" s="239">
        <v>0</v>
      </c>
      <c r="AY333" s="239">
        <v>-682461.2</v>
      </c>
      <c r="AZ333" s="239">
        <v>-6040724</v>
      </c>
      <c r="BA333" s="239">
        <v>0</v>
      </c>
      <c r="BB333" s="239">
        <v>-6040724</v>
      </c>
      <c r="BC333" s="239">
        <v>5319</v>
      </c>
      <c r="BD333" s="239">
        <v>0</v>
      </c>
      <c r="BE333" s="239">
        <v>5319</v>
      </c>
      <c r="BF333" s="239">
        <v>-2130347225</v>
      </c>
      <c r="BG333" s="239">
        <v>-2949330</v>
      </c>
      <c r="BH333" s="239">
        <v>-2133296555</v>
      </c>
      <c r="BI333" s="239">
        <v>-32205798.52</v>
      </c>
      <c r="BJ333" s="239">
        <v>-190697</v>
      </c>
      <c r="BK333" s="239">
        <v>-32396495.52</v>
      </c>
      <c r="BL333" s="239">
        <v>-12842893.460000001</v>
      </c>
      <c r="BM333" s="239">
        <v>-544</v>
      </c>
      <c r="BN333" s="239">
        <v>-12843437.460000001</v>
      </c>
      <c r="BO333" s="239">
        <v>-921098597.79999995</v>
      </c>
      <c r="BP333" s="239">
        <v>-13807541</v>
      </c>
      <c r="BQ333" s="239">
        <v>-934906138.79999995</v>
      </c>
      <c r="BR333" s="239">
        <v>-18992462.59</v>
      </c>
      <c r="BS333" s="239">
        <v>58277</v>
      </c>
      <c r="BT333" s="239">
        <v>-18934185.59</v>
      </c>
      <c r="BU333" s="239">
        <v>-985139752</v>
      </c>
      <c r="BV333" s="239">
        <v>-13940505</v>
      </c>
      <c r="BW333" s="239">
        <v>-999080257</v>
      </c>
      <c r="BX333" s="239">
        <v>-43669363.230000004</v>
      </c>
      <c r="BY333" s="239">
        <v>-31309</v>
      </c>
      <c r="BZ333" s="239">
        <v>-43700672.230000004</v>
      </c>
      <c r="CA333" s="239">
        <v>-86801.669999999984</v>
      </c>
      <c r="CB333" s="239">
        <v>-6529</v>
      </c>
      <c r="CC333" s="239">
        <v>-93330.669999999984</v>
      </c>
      <c r="CD333" s="239">
        <v>-38119893.450000003</v>
      </c>
      <c r="CE333" s="239">
        <v>-316543</v>
      </c>
      <c r="CF333" s="239">
        <v>-38436436.450000003</v>
      </c>
      <c r="CG333" s="239">
        <v>-2296358.46</v>
      </c>
      <c r="CH333" s="239">
        <v>-7430</v>
      </c>
      <c r="CI333" s="239">
        <v>-2303788.46</v>
      </c>
      <c r="CJ333" s="239">
        <v>-1283613.3700000001</v>
      </c>
      <c r="CK333" s="239">
        <v>0</v>
      </c>
      <c r="CL333" s="239">
        <v>-1283613.3700000001</v>
      </c>
      <c r="CM333" s="239">
        <v>-34162</v>
      </c>
      <c r="CN333" s="239">
        <v>0</v>
      </c>
      <c r="CO333" s="239">
        <v>-34162</v>
      </c>
      <c r="CP333" s="239">
        <v>-2868579</v>
      </c>
      <c r="CQ333" s="239">
        <v>0</v>
      </c>
      <c r="CR333" s="239">
        <v>-2868579</v>
      </c>
      <c r="CS333" s="239">
        <v>19742</v>
      </c>
      <c r="CT333" s="239">
        <v>0</v>
      </c>
      <c r="CU333" s="239">
        <v>19742</v>
      </c>
      <c r="CV333" s="239">
        <v>-1696454</v>
      </c>
      <c r="CW333" s="239">
        <v>0</v>
      </c>
      <c r="CX333" s="239">
        <v>-1696454</v>
      </c>
      <c r="CY333" s="239">
        <v>11386</v>
      </c>
      <c r="CZ333" s="239">
        <v>0</v>
      </c>
      <c r="DA333" s="239">
        <v>11386</v>
      </c>
      <c r="DB333" s="239">
        <v>-5298244</v>
      </c>
      <c r="DC333" s="239">
        <v>-7887296</v>
      </c>
      <c r="DD333" s="239">
        <v>-13185540</v>
      </c>
      <c r="DE333" s="239">
        <v>-380565</v>
      </c>
      <c r="DF333" s="239">
        <v>-490073</v>
      </c>
      <c r="DG333" s="239">
        <v>-870638</v>
      </c>
      <c r="DH333" s="239">
        <v>-7978636</v>
      </c>
      <c r="DI333" s="239">
        <v>-3131523</v>
      </c>
      <c r="DJ333" s="239">
        <v>-95702906</v>
      </c>
      <c r="DK333" s="239">
        <v>-8739180</v>
      </c>
      <c r="DL333" s="239">
        <v>-104442086</v>
      </c>
      <c r="DM333" s="239">
        <v>-7065762</v>
      </c>
      <c r="DN333" s="239">
        <v>-119013</v>
      </c>
      <c r="DO333" s="239">
        <v>-7184775</v>
      </c>
      <c r="DP333" s="239">
        <v>-613504</v>
      </c>
      <c r="DQ333" s="239">
        <v>-110233</v>
      </c>
      <c r="DR333" s="239">
        <v>-723737</v>
      </c>
      <c r="DS333" s="239">
        <v>-13405533.23</v>
      </c>
      <c r="DT333" s="239">
        <v>-18750</v>
      </c>
      <c r="DU333" s="239">
        <v>-13424283.23</v>
      </c>
      <c r="DV333" s="239">
        <v>-1151626.7</v>
      </c>
      <c r="DW333" s="239">
        <v>0</v>
      </c>
      <c r="DX333" s="239">
        <v>-1151626.7</v>
      </c>
      <c r="DY333" s="239">
        <v>-295218908</v>
      </c>
      <c r="DZ333" s="239">
        <v>-512478</v>
      </c>
      <c r="EA333" s="239">
        <v>-295731386</v>
      </c>
      <c r="EB333" s="239">
        <v>-7802648.1600000011</v>
      </c>
      <c r="EC333" s="239">
        <v>-31676</v>
      </c>
      <c r="ED333" s="239">
        <v>-7834324.1600000011</v>
      </c>
      <c r="EE333" s="239">
        <v>-6877775</v>
      </c>
      <c r="EF333" s="239">
        <v>0</v>
      </c>
      <c r="EG333" s="239">
        <v>-6877775</v>
      </c>
      <c r="EH333" s="239">
        <v>-194950.05</v>
      </c>
      <c r="EI333" s="239">
        <v>0</v>
      </c>
      <c r="EJ333" s="239">
        <v>-194950.05</v>
      </c>
      <c r="EK333" s="239">
        <v>-4433876.5199999996</v>
      </c>
      <c r="EL333" s="239">
        <v>-17620</v>
      </c>
      <c r="EM333" s="239">
        <v>-4451496.5199999996</v>
      </c>
      <c r="EN333" s="239">
        <v>-336764584</v>
      </c>
      <c r="EO333" s="239">
        <v>-809770</v>
      </c>
      <c r="EP333" s="239">
        <v>-337574354</v>
      </c>
      <c r="EQ333" s="239">
        <v>-2473081</v>
      </c>
      <c r="ER333" s="239">
        <v>0</v>
      </c>
      <c r="ES333" s="239">
        <v>-2473081</v>
      </c>
      <c r="ET333" s="239">
        <v>-409685.97</v>
      </c>
      <c r="EU333" s="239">
        <v>0</v>
      </c>
      <c r="EV333" s="239">
        <v>-409685.97</v>
      </c>
      <c r="EW333" s="239">
        <v>-2882767</v>
      </c>
      <c r="EX333" s="239">
        <v>0</v>
      </c>
      <c r="EY333" s="239">
        <v>-2882767</v>
      </c>
      <c r="EZ333" s="239">
        <v>26485549589</v>
      </c>
      <c r="FA333" s="239">
        <v>137759884</v>
      </c>
      <c r="FB333" s="239">
        <v>26623309473</v>
      </c>
      <c r="FC333" s="239">
        <v>164899515</v>
      </c>
      <c r="FD333" s="239">
        <v>-281321</v>
      </c>
      <c r="FE333" s="239">
        <v>164618194</v>
      </c>
      <c r="FF333" s="239">
        <v>-2130347225</v>
      </c>
      <c r="FG333" s="239">
        <v>-2949330</v>
      </c>
      <c r="FH333" s="239">
        <v>-2133296555</v>
      </c>
      <c r="FI333" s="239">
        <v>-985139752</v>
      </c>
      <c r="FJ333" s="239">
        <v>-13940505</v>
      </c>
      <c r="FK333" s="239">
        <v>-999080257</v>
      </c>
      <c r="FL333" s="239">
        <v>-95702906</v>
      </c>
      <c r="FM333" s="239">
        <v>-8739180</v>
      </c>
      <c r="FN333" s="239">
        <v>-104442086</v>
      </c>
      <c r="FO333" s="239">
        <v>-336764584</v>
      </c>
      <c r="FP333" s="239">
        <v>-809770</v>
      </c>
      <c r="FQ333" s="239">
        <v>-337574354</v>
      </c>
      <c r="FR333" s="239">
        <v>-2882767</v>
      </c>
      <c r="FS333" s="239">
        <v>0</v>
      </c>
      <c r="FT333" s="239">
        <v>-2882767</v>
      </c>
      <c r="FU333" s="239">
        <v>-3385937719</v>
      </c>
      <c r="FV333" s="239">
        <v>-26720106</v>
      </c>
      <c r="FW333" s="239">
        <v>-3412657825</v>
      </c>
      <c r="FX333" s="239">
        <v>23099611870</v>
      </c>
      <c r="FY333" s="239">
        <v>111039778</v>
      </c>
      <c r="FZ333" s="239">
        <v>23210651648</v>
      </c>
    </row>
  </sheetData>
  <mergeCells count="59">
    <mergeCell ref="AK2:AM2"/>
    <mergeCell ref="D2:F2"/>
    <mergeCell ref="G2:I2"/>
    <mergeCell ref="J2:L2"/>
    <mergeCell ref="M2:O2"/>
    <mergeCell ref="P2:R2"/>
    <mergeCell ref="S2:U2"/>
    <mergeCell ref="V2:X2"/>
    <mergeCell ref="Y2:AA2"/>
    <mergeCell ref="AB2:AD2"/>
    <mergeCell ref="AE2:AG2"/>
    <mergeCell ref="AH2:AJ2"/>
    <mergeCell ref="BU2:BW2"/>
    <mergeCell ref="AN2:AP2"/>
    <mergeCell ref="AQ2:AS2"/>
    <mergeCell ref="AT2:AV2"/>
    <mergeCell ref="AW2:AY2"/>
    <mergeCell ref="AZ2:BB2"/>
    <mergeCell ref="BC2:BE2"/>
    <mergeCell ref="BF2:BH2"/>
    <mergeCell ref="BI2:BK2"/>
    <mergeCell ref="BL2:BN2"/>
    <mergeCell ref="BO2:BQ2"/>
    <mergeCell ref="BR2:BT2"/>
    <mergeCell ref="DE2:DG2"/>
    <mergeCell ref="BX2:BZ2"/>
    <mergeCell ref="CA2:CC2"/>
    <mergeCell ref="CD2:CF2"/>
    <mergeCell ref="CG2:CI2"/>
    <mergeCell ref="CJ2:CL2"/>
    <mergeCell ref="CM2:CO2"/>
    <mergeCell ref="CP2:CR2"/>
    <mergeCell ref="CS2:CU2"/>
    <mergeCell ref="CV2:CX2"/>
    <mergeCell ref="CY2:DA2"/>
    <mergeCell ref="DB2:DD2"/>
    <mergeCell ref="EN2:EP2"/>
    <mergeCell ref="DJ2:DL2"/>
    <mergeCell ref="DM2:DO2"/>
    <mergeCell ref="DP2:DR2"/>
    <mergeCell ref="DS2:DU2"/>
    <mergeCell ref="DV2:DX2"/>
    <mergeCell ref="DY2:EA2"/>
    <mergeCell ref="EB2:ED2"/>
    <mergeCell ref="EE2:EG2"/>
    <mergeCell ref="EH2:EJ2"/>
    <mergeCell ref="EK2:EM2"/>
    <mergeCell ref="EQ2:ES2"/>
    <mergeCell ref="ET2:EV2"/>
    <mergeCell ref="EW2:EY2"/>
    <mergeCell ref="EZ2:FB2"/>
    <mergeCell ref="FC2:FE2"/>
    <mergeCell ref="FX2:FZ2"/>
    <mergeCell ref="FF2:FH2"/>
    <mergeCell ref="FI2:FK2"/>
    <mergeCell ref="FL2:FN2"/>
    <mergeCell ref="FO2:FQ2"/>
    <mergeCell ref="FR2:FT2"/>
    <mergeCell ref="FU2:FW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33"/>
  <sheetViews>
    <sheetView workbookViewId="0">
      <selection activeCell="R15" sqref="R15"/>
    </sheetView>
  </sheetViews>
  <sheetFormatPr defaultRowHeight="12.75" x14ac:dyDescent="0.2"/>
  <cols>
    <col min="1" max="1" width="3.85546875" customWidth="1"/>
    <col min="3" max="3" width="30.42578125" customWidth="1"/>
    <col min="4" max="4" width="11.7109375" bestFit="1" customWidth="1"/>
    <col min="5" max="5" width="9.28515625" bestFit="1" customWidth="1"/>
    <col min="6" max="6" width="11.7109375" bestFit="1" customWidth="1"/>
    <col min="7" max="9" width="9.28515625" bestFit="1" customWidth="1"/>
    <col min="10" max="10" width="11.7109375" bestFit="1" customWidth="1"/>
    <col min="11" max="11" width="9.28515625" bestFit="1" customWidth="1"/>
    <col min="12" max="12" width="12.140625" customWidth="1"/>
    <col min="13" max="13" width="11.85546875" customWidth="1"/>
    <col min="14" max="14" width="10.140625" bestFit="1" customWidth="1"/>
    <col min="15" max="15" width="10.42578125" customWidth="1"/>
    <col min="16" max="16" width="11.85546875" customWidth="1"/>
    <col min="17" max="17" width="11" customWidth="1"/>
    <col min="18" max="18" width="12" customWidth="1"/>
    <col min="19" max="19" width="10.140625" bestFit="1" customWidth="1"/>
    <col min="20" max="20" width="9.28515625" bestFit="1" customWidth="1"/>
    <col min="21" max="21" width="10.140625" bestFit="1" customWidth="1"/>
    <col min="22" max="22" width="9.28515625" bestFit="1" customWidth="1"/>
    <col min="23" max="23" width="10.140625" bestFit="1" customWidth="1"/>
    <col min="24" max="24" width="10.140625" customWidth="1"/>
    <col min="25" max="36" width="9.28515625" bestFit="1" customWidth="1"/>
    <col min="37" max="37" width="11.140625" bestFit="1" customWidth="1"/>
    <col min="38" max="38" width="10.140625" bestFit="1" customWidth="1"/>
    <col min="39" max="39" width="9.28515625" bestFit="1" customWidth="1"/>
    <col min="40" max="40" width="11.140625" bestFit="1" customWidth="1"/>
    <col min="41" max="41" width="10.140625" bestFit="1" customWidth="1"/>
    <col min="42" max="42" width="9.28515625" bestFit="1" customWidth="1"/>
    <col min="43" max="43" width="10.140625" bestFit="1" customWidth="1"/>
    <col min="44" max="72" width="9.28515625" bestFit="1" customWidth="1"/>
    <col min="73" max="73" width="11.140625" bestFit="1" customWidth="1"/>
    <col min="74" max="74" width="10.140625" bestFit="1" customWidth="1"/>
    <col min="75" max="75" width="9.28515625" bestFit="1" customWidth="1"/>
    <col min="76" max="76" width="11.140625" bestFit="1" customWidth="1"/>
    <col min="77" max="77" width="10.140625" bestFit="1" customWidth="1"/>
    <col min="78" max="78" width="9.28515625" bestFit="1" customWidth="1"/>
    <col min="79" max="79" width="9.7109375" bestFit="1" customWidth="1"/>
    <col min="80" max="87" width="9.28515625" bestFit="1" customWidth="1"/>
    <col min="88" max="88" width="9.7109375" bestFit="1" customWidth="1"/>
    <col min="89" max="99" width="9.28515625" bestFit="1" customWidth="1"/>
    <col min="100" max="100" width="11.140625" bestFit="1" customWidth="1"/>
    <col min="101" max="101" width="10.140625" bestFit="1" customWidth="1"/>
    <col min="102" max="102" width="9.28515625" bestFit="1" customWidth="1"/>
    <col min="103" max="103" width="11.140625" bestFit="1" customWidth="1"/>
    <col min="104" max="104" width="10.140625" bestFit="1" customWidth="1"/>
    <col min="105" max="105" width="9.28515625" bestFit="1" customWidth="1"/>
    <col min="106" max="106" width="9.7109375" bestFit="1" customWidth="1"/>
    <col min="107" max="108" width="9.28515625" bestFit="1" customWidth="1"/>
  </cols>
  <sheetData>
    <row r="1" spans="2:113" s="214" customFormat="1" x14ac:dyDescent="0.2">
      <c r="D1" s="214">
        <v>3</v>
      </c>
      <c r="E1" s="214">
        <v>4</v>
      </c>
      <c r="F1" s="214">
        <v>5</v>
      </c>
      <c r="G1" s="214">
        <v>6</v>
      </c>
      <c r="H1" s="214">
        <v>7</v>
      </c>
      <c r="I1" s="214">
        <v>8</v>
      </c>
      <c r="J1" s="214">
        <v>9</v>
      </c>
      <c r="K1" s="214">
        <v>10</v>
      </c>
      <c r="L1" s="214">
        <v>11</v>
      </c>
      <c r="M1" s="214">
        <v>12</v>
      </c>
      <c r="N1" s="214">
        <v>13</v>
      </c>
      <c r="O1" s="214">
        <v>14</v>
      </c>
      <c r="P1" s="214">
        <v>15</v>
      </c>
      <c r="Q1" s="214">
        <v>16</v>
      </c>
      <c r="R1" s="214">
        <v>17</v>
      </c>
      <c r="S1" s="214">
        <v>18</v>
      </c>
      <c r="T1" s="214">
        <v>19</v>
      </c>
      <c r="U1" s="214">
        <v>20</v>
      </c>
      <c r="V1" s="214">
        <v>21</v>
      </c>
      <c r="W1" s="214">
        <v>22</v>
      </c>
      <c r="X1" s="214">
        <v>23</v>
      </c>
      <c r="Y1" s="214">
        <v>24</v>
      </c>
      <c r="Z1" s="214">
        <v>25</v>
      </c>
      <c r="AA1" s="214">
        <v>26</v>
      </c>
      <c r="AB1" s="214">
        <v>27</v>
      </c>
      <c r="AC1" s="214">
        <v>28</v>
      </c>
      <c r="AD1" s="214">
        <v>29</v>
      </c>
      <c r="AE1" s="214">
        <v>30</v>
      </c>
      <c r="AF1" s="214">
        <v>31</v>
      </c>
      <c r="AG1" s="214">
        <v>32</v>
      </c>
      <c r="AH1" s="214">
        <v>33</v>
      </c>
      <c r="AI1" s="214">
        <v>34</v>
      </c>
      <c r="AJ1" s="214">
        <v>35</v>
      </c>
      <c r="AK1" s="214">
        <v>36</v>
      </c>
      <c r="AL1" s="214">
        <v>37</v>
      </c>
      <c r="AM1" s="214">
        <v>38</v>
      </c>
      <c r="AN1" s="214">
        <v>39</v>
      </c>
      <c r="AO1" s="214">
        <v>40</v>
      </c>
      <c r="AP1" s="214">
        <v>41</v>
      </c>
      <c r="AQ1" s="214">
        <v>42</v>
      </c>
      <c r="AR1" s="214">
        <v>43</v>
      </c>
      <c r="AS1" s="214">
        <v>44</v>
      </c>
      <c r="AT1" s="214">
        <v>45</v>
      </c>
      <c r="AU1" s="214">
        <v>46</v>
      </c>
      <c r="AV1" s="214">
        <v>47</v>
      </c>
      <c r="AW1" s="214">
        <v>48</v>
      </c>
      <c r="AX1" s="214">
        <v>49</v>
      </c>
      <c r="AY1" s="214">
        <v>50</v>
      </c>
      <c r="AZ1" s="214">
        <v>51</v>
      </c>
      <c r="BA1" s="214">
        <v>52</v>
      </c>
      <c r="BB1" s="214">
        <v>53</v>
      </c>
      <c r="BC1" s="214">
        <v>54</v>
      </c>
      <c r="BD1" s="214">
        <v>55</v>
      </c>
      <c r="BE1" s="214">
        <v>56</v>
      </c>
      <c r="BF1" s="214">
        <v>57</v>
      </c>
      <c r="BG1" s="214">
        <v>58</v>
      </c>
      <c r="BH1" s="214">
        <v>59</v>
      </c>
      <c r="BI1" s="214">
        <v>60</v>
      </c>
      <c r="BJ1" s="214">
        <v>61</v>
      </c>
      <c r="BK1" s="214">
        <v>62</v>
      </c>
      <c r="BL1" s="214">
        <v>63</v>
      </c>
      <c r="BM1" s="214">
        <v>64</v>
      </c>
      <c r="BN1" s="214">
        <v>65</v>
      </c>
      <c r="BO1" s="214">
        <v>66</v>
      </c>
      <c r="BP1" s="214">
        <v>67</v>
      </c>
      <c r="BQ1" s="214">
        <v>68</v>
      </c>
      <c r="BR1" s="214">
        <v>69</v>
      </c>
      <c r="BS1" s="214">
        <v>70</v>
      </c>
      <c r="BT1" s="214">
        <v>71</v>
      </c>
      <c r="BU1" s="214">
        <v>72</v>
      </c>
      <c r="BV1" s="214">
        <v>73</v>
      </c>
      <c r="BW1" s="214">
        <v>74</v>
      </c>
      <c r="BX1" s="214">
        <v>75</v>
      </c>
      <c r="BY1" s="214">
        <v>76</v>
      </c>
      <c r="BZ1" s="214">
        <v>77</v>
      </c>
      <c r="CA1" s="214">
        <v>78</v>
      </c>
      <c r="CB1" s="214">
        <v>79</v>
      </c>
      <c r="CC1" s="214">
        <v>80</v>
      </c>
      <c r="CD1" s="214">
        <v>81</v>
      </c>
      <c r="CE1" s="214">
        <v>82</v>
      </c>
      <c r="CF1" s="214">
        <v>83</v>
      </c>
      <c r="CG1" s="214">
        <v>84</v>
      </c>
      <c r="CH1" s="214">
        <v>85</v>
      </c>
      <c r="CI1" s="214">
        <v>86</v>
      </c>
      <c r="CJ1" s="214">
        <v>87</v>
      </c>
      <c r="CK1" s="214">
        <v>88</v>
      </c>
      <c r="CL1" s="214">
        <v>89</v>
      </c>
      <c r="CM1" s="214">
        <v>90</v>
      </c>
      <c r="CN1" s="214">
        <v>91</v>
      </c>
      <c r="CO1" s="214">
        <v>92</v>
      </c>
      <c r="CP1" s="214">
        <v>93</v>
      </c>
      <c r="CQ1" s="214">
        <v>94</v>
      </c>
      <c r="CR1" s="214">
        <v>95</v>
      </c>
      <c r="CS1" s="214">
        <v>96</v>
      </c>
      <c r="CT1" s="214">
        <v>97</v>
      </c>
      <c r="CU1" s="214">
        <v>98</v>
      </c>
      <c r="CV1" s="214">
        <v>99</v>
      </c>
      <c r="CW1" s="214">
        <v>100</v>
      </c>
      <c r="CX1" s="214">
        <v>101</v>
      </c>
      <c r="CY1" s="214">
        <v>102</v>
      </c>
      <c r="CZ1" s="214">
        <v>103</v>
      </c>
      <c r="DA1" s="214">
        <v>104</v>
      </c>
      <c r="DB1" s="214">
        <v>105</v>
      </c>
      <c r="DC1" s="214">
        <v>106</v>
      </c>
      <c r="DD1" s="214">
        <v>107</v>
      </c>
      <c r="DE1" s="214">
        <v>108</v>
      </c>
      <c r="DF1" s="214">
        <v>109</v>
      </c>
      <c r="DG1" s="214">
        <v>110</v>
      </c>
      <c r="DH1" s="214">
        <v>111</v>
      </c>
    </row>
    <row r="2" spans="2:113" s="609" customFormat="1" ht="102" customHeight="1" x14ac:dyDescent="0.2">
      <c r="B2" s="635"/>
      <c r="C2" s="611"/>
      <c r="D2" s="809" t="s">
        <v>1216</v>
      </c>
      <c r="E2" s="809"/>
      <c r="F2" s="809"/>
      <c r="G2" s="809" t="s">
        <v>1217</v>
      </c>
      <c r="H2" s="809"/>
      <c r="I2" s="809"/>
      <c r="J2" s="809" t="s">
        <v>1218</v>
      </c>
      <c r="K2" s="809"/>
      <c r="L2" s="809"/>
      <c r="M2" s="612" t="s">
        <v>1219</v>
      </c>
      <c r="N2" s="612" t="s">
        <v>1220</v>
      </c>
      <c r="O2" s="612" t="s">
        <v>1221</v>
      </c>
      <c r="P2" s="612" t="s">
        <v>1222</v>
      </c>
      <c r="Q2" s="612" t="s">
        <v>1223</v>
      </c>
      <c r="R2" s="612" t="s">
        <v>1224</v>
      </c>
      <c r="S2" s="809" t="s">
        <v>1225</v>
      </c>
      <c r="T2" s="809"/>
      <c r="U2" s="809" t="s">
        <v>1226</v>
      </c>
      <c r="V2" s="809"/>
      <c r="W2" s="809" t="s">
        <v>1227</v>
      </c>
      <c r="X2" s="809"/>
      <c r="Y2" s="809" t="s">
        <v>1228</v>
      </c>
      <c r="Z2" s="809"/>
      <c r="AA2" s="809"/>
      <c r="AB2" s="809"/>
      <c r="AC2" s="809" t="s">
        <v>1229</v>
      </c>
      <c r="AD2" s="809"/>
      <c r="AE2" s="809"/>
      <c r="AF2" s="809"/>
      <c r="AG2" s="809" t="s">
        <v>1230</v>
      </c>
      <c r="AH2" s="809"/>
      <c r="AI2" s="809"/>
      <c r="AJ2" s="809"/>
      <c r="AK2" s="809" t="s">
        <v>1231</v>
      </c>
      <c r="AL2" s="809"/>
      <c r="AM2" s="809"/>
      <c r="AN2" s="809" t="s">
        <v>1232</v>
      </c>
      <c r="AO2" s="809"/>
      <c r="AP2" s="809"/>
      <c r="AQ2" s="809" t="s">
        <v>1233</v>
      </c>
      <c r="AR2" s="809"/>
      <c r="AS2" s="809"/>
      <c r="AT2" s="809" t="s">
        <v>1234</v>
      </c>
      <c r="AU2" s="809"/>
      <c r="AV2" s="809"/>
      <c r="AW2" s="809" t="s">
        <v>1235</v>
      </c>
      <c r="AX2" s="809"/>
      <c r="AY2" s="809"/>
      <c r="AZ2" s="809" t="s">
        <v>1236</v>
      </c>
      <c r="BA2" s="809"/>
      <c r="BB2" s="809"/>
      <c r="BC2" s="809" t="s">
        <v>1237</v>
      </c>
      <c r="BD2" s="809"/>
      <c r="BE2" s="809"/>
      <c r="BF2" s="809" t="s">
        <v>1238</v>
      </c>
      <c r="BG2" s="809"/>
      <c r="BH2" s="809"/>
      <c r="BI2" s="810" t="s">
        <v>1239</v>
      </c>
      <c r="BJ2" s="810"/>
      <c r="BK2" s="810"/>
      <c r="BL2" s="809" t="s">
        <v>1240</v>
      </c>
      <c r="BM2" s="809"/>
      <c r="BN2" s="809"/>
      <c r="BO2" s="809" t="s">
        <v>1241</v>
      </c>
      <c r="BP2" s="809"/>
      <c r="BQ2" s="809"/>
      <c r="BR2" s="809" t="s">
        <v>1242</v>
      </c>
      <c r="BS2" s="809"/>
      <c r="BT2" s="809"/>
      <c r="BU2" s="809" t="s">
        <v>1243</v>
      </c>
      <c r="BV2" s="809"/>
      <c r="BW2" s="809"/>
      <c r="BX2" s="809" t="s">
        <v>1244</v>
      </c>
      <c r="BY2" s="809"/>
      <c r="BZ2" s="809"/>
      <c r="CA2" s="809" t="s">
        <v>1245</v>
      </c>
      <c r="CB2" s="809"/>
      <c r="CC2" s="809"/>
      <c r="CD2" s="809" t="s">
        <v>1246</v>
      </c>
      <c r="CE2" s="809"/>
      <c r="CF2" s="809"/>
      <c r="CG2" s="809" t="s">
        <v>1247</v>
      </c>
      <c r="CH2" s="809"/>
      <c r="CI2" s="809"/>
      <c r="CJ2" s="809" t="s">
        <v>1248</v>
      </c>
      <c r="CK2" s="809"/>
      <c r="CL2" s="809"/>
      <c r="CM2" s="809" t="s">
        <v>1249</v>
      </c>
      <c r="CN2" s="809"/>
      <c r="CO2" s="809"/>
      <c r="CP2" s="809" t="s">
        <v>1250</v>
      </c>
      <c r="CQ2" s="809"/>
      <c r="CR2" s="809"/>
      <c r="CS2" s="809" t="s">
        <v>1251</v>
      </c>
      <c r="CT2" s="809"/>
      <c r="CU2" s="809"/>
      <c r="CV2" s="809" t="s">
        <v>1252</v>
      </c>
      <c r="CW2" s="809"/>
      <c r="CX2" s="809"/>
      <c r="CY2" s="809" t="s">
        <v>1253</v>
      </c>
      <c r="CZ2" s="809"/>
      <c r="DA2" s="809"/>
      <c r="DB2" s="809" t="s">
        <v>1254</v>
      </c>
      <c r="DC2" s="809"/>
      <c r="DD2" s="809"/>
      <c r="DE2" s="809" t="s">
        <v>943</v>
      </c>
      <c r="DF2" s="809"/>
      <c r="DG2" s="809"/>
      <c r="DH2" s="809"/>
    </row>
    <row r="3" spans="2:113" s="214" customFormat="1" x14ac:dyDescent="0.2">
      <c r="C3" s="214" t="s">
        <v>1128</v>
      </c>
      <c r="D3" s="214">
        <v>1</v>
      </c>
      <c r="G3" s="214">
        <v>2</v>
      </c>
      <c r="J3" s="214">
        <v>3</v>
      </c>
      <c r="M3" s="214">
        <v>4</v>
      </c>
      <c r="N3" s="214">
        <v>5</v>
      </c>
      <c r="O3" s="214">
        <v>6</v>
      </c>
      <c r="P3" s="214">
        <v>7</v>
      </c>
      <c r="Q3" s="214">
        <v>8</v>
      </c>
      <c r="R3" s="214">
        <v>9</v>
      </c>
      <c r="S3" s="214">
        <v>10</v>
      </c>
      <c r="U3" s="214">
        <v>11</v>
      </c>
      <c r="W3" s="214">
        <v>12</v>
      </c>
      <c r="Y3" s="214">
        <v>13</v>
      </c>
      <c r="AC3" s="214">
        <v>14</v>
      </c>
      <c r="AG3" s="214">
        <v>15</v>
      </c>
      <c r="AK3" s="214">
        <v>16</v>
      </c>
      <c r="AN3" s="214">
        <v>17</v>
      </c>
      <c r="AQ3" s="214">
        <v>18</v>
      </c>
      <c r="AT3" s="214">
        <v>19</v>
      </c>
      <c r="AW3" s="214">
        <v>20</v>
      </c>
      <c r="AZ3" s="214">
        <v>21</v>
      </c>
      <c r="BC3" s="214">
        <v>22</v>
      </c>
      <c r="BF3" s="214">
        <v>23</v>
      </c>
      <c r="BI3" s="214">
        <v>24</v>
      </c>
      <c r="BL3" s="214">
        <v>25</v>
      </c>
      <c r="BO3" s="214">
        <v>26</v>
      </c>
      <c r="BR3" s="214">
        <v>27</v>
      </c>
      <c r="BU3" s="214">
        <v>28</v>
      </c>
      <c r="BX3" s="214">
        <v>29</v>
      </c>
      <c r="CA3" s="214">
        <v>30</v>
      </c>
      <c r="CD3" s="214">
        <v>31</v>
      </c>
      <c r="CG3" s="214">
        <v>32</v>
      </c>
      <c r="CJ3" s="214">
        <v>33</v>
      </c>
      <c r="CM3" s="214">
        <v>34</v>
      </c>
      <c r="CP3" s="214">
        <v>35</v>
      </c>
      <c r="CS3" s="214">
        <v>36</v>
      </c>
      <c r="CV3" s="214">
        <v>37</v>
      </c>
      <c r="CY3" s="214">
        <v>38</v>
      </c>
      <c r="DB3" s="214">
        <v>39</v>
      </c>
      <c r="DE3" s="214">
        <v>40</v>
      </c>
    </row>
    <row r="4" spans="2:113" s="214" customFormat="1" x14ac:dyDescent="0.2">
      <c r="C4" s="214" t="s">
        <v>1141</v>
      </c>
      <c r="D4" s="214">
        <v>1</v>
      </c>
      <c r="E4" s="214">
        <v>2</v>
      </c>
      <c r="F4" s="214">
        <v>3</v>
      </c>
      <c r="G4" s="214">
        <v>1</v>
      </c>
      <c r="H4" s="214">
        <v>2</v>
      </c>
      <c r="I4" s="214">
        <v>3</v>
      </c>
      <c r="J4" s="214">
        <v>1</v>
      </c>
      <c r="K4" s="214">
        <v>2</v>
      </c>
      <c r="L4" s="214">
        <v>3</v>
      </c>
      <c r="M4" s="214">
        <v>5</v>
      </c>
      <c r="N4" s="214">
        <v>5</v>
      </c>
      <c r="O4" s="214">
        <v>5</v>
      </c>
      <c r="P4" s="214">
        <v>5</v>
      </c>
      <c r="Q4" s="214">
        <v>5</v>
      </c>
      <c r="R4" s="214">
        <v>5</v>
      </c>
      <c r="S4" s="214">
        <v>5</v>
      </c>
      <c r="T4" s="214">
        <v>6</v>
      </c>
      <c r="U4" s="214">
        <v>5</v>
      </c>
      <c r="V4" s="214">
        <v>6</v>
      </c>
      <c r="W4" s="214">
        <v>5</v>
      </c>
      <c r="X4" s="214">
        <v>6</v>
      </c>
      <c r="Y4" s="214">
        <v>4</v>
      </c>
      <c r="Z4" s="214">
        <v>5</v>
      </c>
      <c r="AA4" s="214">
        <v>6</v>
      </c>
      <c r="AB4" s="214">
        <v>7</v>
      </c>
      <c r="AC4" s="214">
        <v>4</v>
      </c>
      <c r="AD4" s="214">
        <v>5</v>
      </c>
      <c r="AE4" s="214">
        <v>6</v>
      </c>
      <c r="AF4" s="214">
        <v>7</v>
      </c>
      <c r="AG4" s="214">
        <v>4</v>
      </c>
      <c r="AH4" s="214">
        <v>5</v>
      </c>
      <c r="AI4" s="214">
        <v>6</v>
      </c>
      <c r="AJ4" s="214">
        <v>7</v>
      </c>
      <c r="AK4" s="214">
        <v>5</v>
      </c>
      <c r="AL4" s="214">
        <v>6</v>
      </c>
      <c r="AM4" s="214">
        <v>7</v>
      </c>
      <c r="AN4" s="214">
        <v>5</v>
      </c>
      <c r="AO4" s="214">
        <v>6</v>
      </c>
      <c r="AP4" s="214">
        <v>7</v>
      </c>
      <c r="AQ4" s="214">
        <v>5</v>
      </c>
      <c r="AR4" s="214">
        <v>6</v>
      </c>
      <c r="AS4" s="214">
        <v>7</v>
      </c>
      <c r="AT4" s="214">
        <v>5</v>
      </c>
      <c r="AU4" s="214">
        <v>6</v>
      </c>
      <c r="AV4" s="214">
        <v>7</v>
      </c>
      <c r="AW4" s="214">
        <v>5</v>
      </c>
      <c r="AX4" s="214">
        <v>6</v>
      </c>
      <c r="AY4" s="214">
        <v>7</v>
      </c>
      <c r="AZ4" s="214">
        <v>5</v>
      </c>
      <c r="BA4" s="214">
        <v>6</v>
      </c>
      <c r="BB4" s="214">
        <v>7</v>
      </c>
      <c r="BC4" s="214">
        <v>5</v>
      </c>
      <c r="BD4" s="214">
        <v>6</v>
      </c>
      <c r="BE4" s="214">
        <v>7</v>
      </c>
      <c r="BF4" s="214">
        <v>5</v>
      </c>
      <c r="BG4" s="214">
        <v>6</v>
      </c>
      <c r="BH4" s="214">
        <v>7</v>
      </c>
      <c r="BI4" s="214">
        <v>5</v>
      </c>
      <c r="BJ4" s="214">
        <v>6</v>
      </c>
      <c r="BK4" s="214">
        <v>7</v>
      </c>
      <c r="BL4" s="214">
        <v>5</v>
      </c>
      <c r="BM4" s="214">
        <v>6</v>
      </c>
      <c r="BN4" s="214">
        <v>7</v>
      </c>
      <c r="BO4" s="214">
        <v>5</v>
      </c>
      <c r="BP4" s="214">
        <v>6</v>
      </c>
      <c r="BQ4" s="214">
        <v>7</v>
      </c>
      <c r="BR4" s="214">
        <v>5</v>
      </c>
      <c r="BS4" s="214">
        <v>6</v>
      </c>
      <c r="BT4" s="214">
        <v>7</v>
      </c>
      <c r="BU4" s="214">
        <v>5</v>
      </c>
      <c r="BV4" s="214">
        <v>6</v>
      </c>
      <c r="BW4" s="214">
        <v>7</v>
      </c>
      <c r="BX4" s="214">
        <v>5</v>
      </c>
      <c r="BY4" s="214">
        <v>6</v>
      </c>
      <c r="BZ4" s="214">
        <v>7</v>
      </c>
      <c r="CA4" s="214">
        <v>5</v>
      </c>
      <c r="CB4" s="214">
        <v>6</v>
      </c>
      <c r="CC4" s="214">
        <v>7</v>
      </c>
      <c r="CD4" s="214">
        <v>5</v>
      </c>
      <c r="CE4" s="214">
        <v>6</v>
      </c>
      <c r="CF4" s="214">
        <v>7</v>
      </c>
      <c r="CG4" s="214">
        <v>5</v>
      </c>
      <c r="CH4" s="214">
        <v>6</v>
      </c>
      <c r="CI4" s="214">
        <v>7</v>
      </c>
      <c r="CJ4" s="214">
        <v>5</v>
      </c>
      <c r="CK4" s="214">
        <v>6</v>
      </c>
      <c r="CL4" s="214">
        <v>7</v>
      </c>
      <c r="CM4" s="214">
        <v>5</v>
      </c>
      <c r="CN4" s="214">
        <v>6</v>
      </c>
      <c r="CO4" s="214">
        <v>7</v>
      </c>
      <c r="CP4" s="214">
        <v>5</v>
      </c>
      <c r="CQ4" s="214">
        <v>6</v>
      </c>
      <c r="CR4" s="214">
        <v>7</v>
      </c>
      <c r="CS4" s="214">
        <v>5</v>
      </c>
      <c r="CT4" s="214">
        <v>6</v>
      </c>
      <c r="CU4" s="214">
        <v>7</v>
      </c>
      <c r="CV4" s="214">
        <v>5</v>
      </c>
      <c r="CW4" s="214">
        <v>6</v>
      </c>
      <c r="CX4" s="214">
        <v>7</v>
      </c>
      <c r="CY4" s="214">
        <v>5</v>
      </c>
      <c r="CZ4" s="214">
        <v>6</v>
      </c>
      <c r="DA4" s="214">
        <v>7</v>
      </c>
      <c r="DB4" s="214">
        <v>5</v>
      </c>
      <c r="DC4" s="214">
        <v>6</v>
      </c>
      <c r="DD4" s="214">
        <v>7</v>
      </c>
      <c r="DE4" s="214">
        <v>8</v>
      </c>
      <c r="DF4" s="214">
        <v>9</v>
      </c>
      <c r="DG4" s="214">
        <v>10</v>
      </c>
      <c r="DH4" s="214">
        <v>11</v>
      </c>
    </row>
    <row r="5" spans="2:113" s="635" customFormat="1" x14ac:dyDescent="0.2">
      <c r="B5" s="635" t="s">
        <v>1142</v>
      </c>
      <c r="C5" s="635" t="s">
        <v>1143</v>
      </c>
      <c r="DI5" s="635" t="s">
        <v>1293</v>
      </c>
    </row>
    <row r="6" spans="2:113" s="214" customFormat="1" x14ac:dyDescent="0.2">
      <c r="B6" s="610" t="s">
        <v>95</v>
      </c>
      <c r="C6" s="610" t="s">
        <v>94</v>
      </c>
      <c r="D6" s="239">
        <v>47172</v>
      </c>
      <c r="E6" s="239">
        <v>0</v>
      </c>
      <c r="F6" s="239">
        <v>47172</v>
      </c>
      <c r="G6" s="239">
        <v>0</v>
      </c>
      <c r="H6" s="239">
        <v>0</v>
      </c>
      <c r="I6" s="239">
        <v>0</v>
      </c>
      <c r="J6" s="239">
        <v>47172</v>
      </c>
      <c r="K6" s="239">
        <v>0</v>
      </c>
      <c r="L6" s="239">
        <v>47172</v>
      </c>
      <c r="M6" s="239">
        <v>85284</v>
      </c>
      <c r="N6" s="239">
        <v>85284</v>
      </c>
      <c r="O6" s="239">
        <v>0</v>
      </c>
      <c r="P6" s="239">
        <v>0</v>
      </c>
      <c r="Q6" s="239">
        <v>0</v>
      </c>
      <c r="R6" s="239">
        <v>0</v>
      </c>
      <c r="S6" s="239">
        <v>0</v>
      </c>
      <c r="T6" s="239">
        <v>0</v>
      </c>
      <c r="U6" s="239">
        <v>0</v>
      </c>
      <c r="V6" s="239">
        <v>0</v>
      </c>
      <c r="W6" s="239">
        <v>0</v>
      </c>
      <c r="X6" s="239">
        <v>0</v>
      </c>
      <c r="Y6" s="239">
        <v>0</v>
      </c>
      <c r="Z6" s="239">
        <v>0</v>
      </c>
      <c r="AA6" s="239">
        <v>0</v>
      </c>
      <c r="AB6" s="239">
        <v>0</v>
      </c>
      <c r="AC6" s="239">
        <v>0</v>
      </c>
      <c r="AD6" s="239">
        <v>0</v>
      </c>
      <c r="AE6" s="239">
        <v>0</v>
      </c>
      <c r="AF6" s="239">
        <v>0</v>
      </c>
      <c r="AG6" s="239">
        <v>0</v>
      </c>
      <c r="AH6" s="239">
        <v>0</v>
      </c>
      <c r="AI6" s="239">
        <v>0</v>
      </c>
      <c r="AJ6" s="239">
        <v>0</v>
      </c>
      <c r="AK6" s="239">
        <v>276458.94250000006</v>
      </c>
      <c r="AL6" s="239">
        <v>69114.735625000016</v>
      </c>
      <c r="AM6" s="239">
        <v>0</v>
      </c>
      <c r="AN6" s="239">
        <v>255504</v>
      </c>
      <c r="AO6" s="239">
        <v>63876</v>
      </c>
      <c r="AP6" s="239">
        <v>0</v>
      </c>
      <c r="AQ6" s="239">
        <v>20955</v>
      </c>
      <c r="AR6" s="239">
        <v>5239</v>
      </c>
      <c r="AS6" s="239">
        <v>0</v>
      </c>
      <c r="AT6" s="239">
        <v>0</v>
      </c>
      <c r="AU6" s="239">
        <v>0</v>
      </c>
      <c r="AV6" s="239">
        <v>0</v>
      </c>
      <c r="AW6" s="239">
        <v>0</v>
      </c>
      <c r="AX6" s="239">
        <v>0</v>
      </c>
      <c r="AY6" s="239">
        <v>0</v>
      </c>
      <c r="AZ6" s="239">
        <v>0</v>
      </c>
      <c r="BA6" s="239">
        <v>0</v>
      </c>
      <c r="BB6" s="239">
        <v>0</v>
      </c>
      <c r="BC6" s="239">
        <v>4517.7366666666667</v>
      </c>
      <c r="BD6" s="239">
        <v>1129.4341666666667</v>
      </c>
      <c r="BE6" s="239">
        <v>0</v>
      </c>
      <c r="BF6" s="239">
        <v>0</v>
      </c>
      <c r="BG6" s="239">
        <v>0</v>
      </c>
      <c r="BH6" s="239">
        <v>0</v>
      </c>
      <c r="BI6" s="239">
        <v>4518</v>
      </c>
      <c r="BJ6" s="239">
        <v>1129</v>
      </c>
      <c r="BK6" s="239">
        <v>0</v>
      </c>
      <c r="BL6" s="239">
        <v>847.38</v>
      </c>
      <c r="BM6" s="239">
        <v>211.845</v>
      </c>
      <c r="BN6" s="239">
        <v>0</v>
      </c>
      <c r="BO6" s="239">
        <v>0</v>
      </c>
      <c r="BP6" s="239">
        <v>0</v>
      </c>
      <c r="BQ6" s="239">
        <v>0</v>
      </c>
      <c r="BR6" s="239">
        <v>847</v>
      </c>
      <c r="BS6" s="239">
        <v>212</v>
      </c>
      <c r="BT6" s="239">
        <v>0</v>
      </c>
      <c r="BU6" s="239">
        <v>103089.78333333334</v>
      </c>
      <c r="BV6" s="239">
        <v>25772.445833333335</v>
      </c>
      <c r="BW6" s="239">
        <v>0</v>
      </c>
      <c r="BX6" s="239">
        <v>111700</v>
      </c>
      <c r="BY6" s="239">
        <v>27924</v>
      </c>
      <c r="BZ6" s="239">
        <v>0</v>
      </c>
      <c r="CA6" s="239">
        <v>-8610</v>
      </c>
      <c r="CB6" s="239">
        <v>-2152</v>
      </c>
      <c r="CC6" s="239">
        <v>0</v>
      </c>
      <c r="CD6" s="239">
        <v>0</v>
      </c>
      <c r="CE6" s="239">
        <v>0</v>
      </c>
      <c r="CF6" s="239">
        <v>0</v>
      </c>
      <c r="CG6" s="239">
        <v>0</v>
      </c>
      <c r="CH6" s="239">
        <v>0</v>
      </c>
      <c r="CI6" s="239">
        <v>0</v>
      </c>
      <c r="CJ6" s="239">
        <v>0</v>
      </c>
      <c r="CK6" s="239">
        <v>0</v>
      </c>
      <c r="CL6" s="239">
        <v>0</v>
      </c>
      <c r="CM6" s="239">
        <v>1535.6733333333334</v>
      </c>
      <c r="CN6" s="239">
        <v>383.91833333333335</v>
      </c>
      <c r="CO6" s="239">
        <v>0</v>
      </c>
      <c r="CP6" s="239">
        <v>0</v>
      </c>
      <c r="CQ6" s="239">
        <v>0</v>
      </c>
      <c r="CR6" s="239">
        <v>0</v>
      </c>
      <c r="CS6" s="239">
        <v>1536</v>
      </c>
      <c r="CT6" s="239">
        <v>384</v>
      </c>
      <c r="CU6" s="239">
        <v>0</v>
      </c>
      <c r="CV6" s="239">
        <v>106771.20416666666</v>
      </c>
      <c r="CW6" s="239">
        <v>26692.801041666666</v>
      </c>
      <c r="CX6" s="239">
        <v>0</v>
      </c>
      <c r="CY6" s="239">
        <v>101567</v>
      </c>
      <c r="CZ6" s="239">
        <v>25392</v>
      </c>
      <c r="DA6" s="239">
        <v>0</v>
      </c>
      <c r="DB6" s="239">
        <v>5204</v>
      </c>
      <c r="DC6" s="239">
        <v>1301</v>
      </c>
      <c r="DD6" s="239">
        <v>0</v>
      </c>
      <c r="DE6" s="214">
        <v>0.5</v>
      </c>
      <c r="DF6" s="214">
        <v>0.4</v>
      </c>
      <c r="DG6" s="214">
        <v>0.1</v>
      </c>
      <c r="DH6" s="214">
        <v>0</v>
      </c>
      <c r="DI6" s="214" t="s">
        <v>1294</v>
      </c>
    </row>
    <row r="7" spans="2:113" s="214" customFormat="1" x14ac:dyDescent="0.2">
      <c r="B7" s="610" t="s">
        <v>97</v>
      </c>
      <c r="C7" s="610" t="s">
        <v>96</v>
      </c>
      <c r="D7" s="239">
        <v>-333878</v>
      </c>
      <c r="E7" s="239">
        <v>0</v>
      </c>
      <c r="F7" s="239">
        <v>-333878</v>
      </c>
      <c r="G7" s="239">
        <v>0</v>
      </c>
      <c r="H7" s="239">
        <v>0</v>
      </c>
      <c r="I7" s="239">
        <v>0</v>
      </c>
      <c r="J7" s="239">
        <v>-333878</v>
      </c>
      <c r="K7" s="239">
        <v>0</v>
      </c>
      <c r="L7" s="239">
        <v>-333878</v>
      </c>
      <c r="M7" s="239">
        <v>182667</v>
      </c>
      <c r="N7" s="239">
        <v>182667</v>
      </c>
      <c r="O7" s="239">
        <v>0</v>
      </c>
      <c r="P7" s="239">
        <v>0</v>
      </c>
      <c r="Q7" s="239">
        <v>0</v>
      </c>
      <c r="R7" s="239">
        <v>0</v>
      </c>
      <c r="S7" s="239">
        <v>420937</v>
      </c>
      <c r="T7" s="239">
        <v>0</v>
      </c>
      <c r="U7" s="239">
        <v>347812</v>
      </c>
      <c r="V7" s="239">
        <v>0</v>
      </c>
      <c r="W7" s="239">
        <v>73125</v>
      </c>
      <c r="X7" s="239">
        <v>0</v>
      </c>
      <c r="Y7" s="239">
        <v>0</v>
      </c>
      <c r="Z7" s="239">
        <v>0</v>
      </c>
      <c r="AA7" s="239">
        <v>0</v>
      </c>
      <c r="AB7" s="239">
        <v>0</v>
      </c>
      <c r="AC7" s="239">
        <v>0</v>
      </c>
      <c r="AD7" s="239">
        <v>0</v>
      </c>
      <c r="AE7" s="239">
        <v>0</v>
      </c>
      <c r="AF7" s="239">
        <v>0</v>
      </c>
      <c r="AG7" s="239">
        <v>0</v>
      </c>
      <c r="AH7" s="239">
        <v>0</v>
      </c>
      <c r="AI7" s="239">
        <v>0</v>
      </c>
      <c r="AJ7" s="239">
        <v>0</v>
      </c>
      <c r="AK7" s="239">
        <v>713485.23458333337</v>
      </c>
      <c r="AL7" s="239">
        <v>178371.30864583334</v>
      </c>
      <c r="AM7" s="239">
        <v>0</v>
      </c>
      <c r="AN7" s="239">
        <v>669256</v>
      </c>
      <c r="AO7" s="239">
        <v>167314</v>
      </c>
      <c r="AP7" s="239">
        <v>0</v>
      </c>
      <c r="AQ7" s="239">
        <v>44229</v>
      </c>
      <c r="AR7" s="239">
        <v>11057</v>
      </c>
      <c r="AS7" s="239">
        <v>0</v>
      </c>
      <c r="AT7" s="239">
        <v>4021.4025000000001</v>
      </c>
      <c r="AU7" s="239">
        <v>1005.350625</v>
      </c>
      <c r="AV7" s="239">
        <v>0</v>
      </c>
      <c r="AW7" s="239">
        <v>4059</v>
      </c>
      <c r="AX7" s="239">
        <v>1014</v>
      </c>
      <c r="AY7" s="239">
        <v>0</v>
      </c>
      <c r="AZ7" s="239">
        <v>-38</v>
      </c>
      <c r="BA7" s="239">
        <v>-9</v>
      </c>
      <c r="BB7" s="239">
        <v>0</v>
      </c>
      <c r="BC7" s="239">
        <v>0</v>
      </c>
      <c r="BD7" s="239">
        <v>0</v>
      </c>
      <c r="BE7" s="239">
        <v>0</v>
      </c>
      <c r="BF7" s="239">
        <v>0</v>
      </c>
      <c r="BG7" s="239">
        <v>0</v>
      </c>
      <c r="BH7" s="239">
        <v>0</v>
      </c>
      <c r="BI7" s="239">
        <v>0</v>
      </c>
      <c r="BJ7" s="239">
        <v>0</v>
      </c>
      <c r="BK7" s="239">
        <v>0</v>
      </c>
      <c r="BL7" s="239">
        <v>13701.339166666667</v>
      </c>
      <c r="BM7" s="239">
        <v>3425.3347916666667</v>
      </c>
      <c r="BN7" s="239">
        <v>0</v>
      </c>
      <c r="BO7" s="239">
        <v>10644</v>
      </c>
      <c r="BP7" s="239">
        <v>2662</v>
      </c>
      <c r="BQ7" s="239">
        <v>0</v>
      </c>
      <c r="BR7" s="239">
        <v>3057</v>
      </c>
      <c r="BS7" s="239">
        <v>763</v>
      </c>
      <c r="BT7" s="239">
        <v>0</v>
      </c>
      <c r="BU7" s="239">
        <v>272667.2416666667</v>
      </c>
      <c r="BV7" s="239">
        <v>68166.810416666674</v>
      </c>
      <c r="BW7" s="239">
        <v>0</v>
      </c>
      <c r="BX7" s="239">
        <v>282510</v>
      </c>
      <c r="BY7" s="239">
        <v>70628</v>
      </c>
      <c r="BZ7" s="239">
        <v>0</v>
      </c>
      <c r="CA7" s="239">
        <v>-9843</v>
      </c>
      <c r="CB7" s="239">
        <v>-2461</v>
      </c>
      <c r="CC7" s="239">
        <v>0</v>
      </c>
      <c r="CD7" s="239">
        <v>171553.46083333335</v>
      </c>
      <c r="CE7" s="239">
        <v>42888.365208333336</v>
      </c>
      <c r="CF7" s="239">
        <v>0</v>
      </c>
      <c r="CG7" s="239">
        <v>780209</v>
      </c>
      <c r="CH7" s="239">
        <v>0</v>
      </c>
      <c r="CI7" s="239">
        <v>0</v>
      </c>
      <c r="CJ7" s="239">
        <v>-608656</v>
      </c>
      <c r="CK7" s="239">
        <v>42888</v>
      </c>
      <c r="CL7" s="239">
        <v>0</v>
      </c>
      <c r="CM7" s="239">
        <v>6178.4066666666668</v>
      </c>
      <c r="CN7" s="239">
        <v>1544.6016666666667</v>
      </c>
      <c r="CO7" s="239">
        <v>0</v>
      </c>
      <c r="CP7" s="239">
        <v>0</v>
      </c>
      <c r="CQ7" s="239">
        <v>0</v>
      </c>
      <c r="CR7" s="239">
        <v>0</v>
      </c>
      <c r="CS7" s="239">
        <v>6178</v>
      </c>
      <c r="CT7" s="239">
        <v>1545</v>
      </c>
      <c r="CU7" s="239">
        <v>0</v>
      </c>
      <c r="CV7" s="239">
        <v>153811.60958333334</v>
      </c>
      <c r="CW7" s="239">
        <v>36918.236250000002</v>
      </c>
      <c r="CX7" s="239">
        <v>0</v>
      </c>
      <c r="CY7" s="239">
        <v>159846</v>
      </c>
      <c r="CZ7" s="239">
        <v>38693</v>
      </c>
      <c r="DA7" s="239">
        <v>0</v>
      </c>
      <c r="DB7" s="239">
        <v>-6034</v>
      </c>
      <c r="DC7" s="239">
        <v>-1775</v>
      </c>
      <c r="DD7" s="239">
        <v>0</v>
      </c>
      <c r="DE7" s="214">
        <v>0.5</v>
      </c>
      <c r="DF7" s="214">
        <v>0.4</v>
      </c>
      <c r="DG7" s="214">
        <v>0.1</v>
      </c>
      <c r="DH7" s="214">
        <v>0</v>
      </c>
      <c r="DI7" s="214" t="s">
        <v>1294</v>
      </c>
    </row>
    <row r="8" spans="2:113" s="214" customFormat="1" x14ac:dyDescent="0.2">
      <c r="B8" s="610" t="s">
        <v>99</v>
      </c>
      <c r="C8" s="610" t="s">
        <v>98</v>
      </c>
      <c r="D8" s="239">
        <v>53519</v>
      </c>
      <c r="E8" s="239">
        <v>0</v>
      </c>
      <c r="F8" s="239">
        <v>53519</v>
      </c>
      <c r="G8" s="239">
        <v>0</v>
      </c>
      <c r="H8" s="239">
        <v>0</v>
      </c>
      <c r="I8" s="239">
        <v>0</v>
      </c>
      <c r="J8" s="239">
        <v>53519</v>
      </c>
      <c r="K8" s="239">
        <v>0</v>
      </c>
      <c r="L8" s="239">
        <v>53519</v>
      </c>
      <c r="M8" s="239">
        <v>152618</v>
      </c>
      <c r="N8" s="239">
        <v>152618</v>
      </c>
      <c r="O8" s="239">
        <v>0</v>
      </c>
      <c r="P8" s="239">
        <v>0</v>
      </c>
      <c r="Q8" s="239">
        <v>0</v>
      </c>
      <c r="R8" s="239">
        <v>0</v>
      </c>
      <c r="S8" s="239">
        <v>0</v>
      </c>
      <c r="T8" s="239">
        <v>0</v>
      </c>
      <c r="U8" s="239">
        <v>0</v>
      </c>
      <c r="V8" s="239">
        <v>0</v>
      </c>
      <c r="W8" s="239">
        <v>0</v>
      </c>
      <c r="X8" s="239">
        <v>0</v>
      </c>
      <c r="Y8" s="239">
        <v>0</v>
      </c>
      <c r="Z8" s="239">
        <v>0</v>
      </c>
      <c r="AA8" s="239">
        <v>0</v>
      </c>
      <c r="AB8" s="239">
        <v>0</v>
      </c>
      <c r="AC8" s="239">
        <v>0</v>
      </c>
      <c r="AD8" s="239">
        <v>0</v>
      </c>
      <c r="AE8" s="239">
        <v>0</v>
      </c>
      <c r="AF8" s="239">
        <v>0</v>
      </c>
      <c r="AG8" s="239">
        <v>0</v>
      </c>
      <c r="AH8" s="239">
        <v>0</v>
      </c>
      <c r="AI8" s="239">
        <v>0</v>
      </c>
      <c r="AJ8" s="239">
        <v>0</v>
      </c>
      <c r="AK8" s="239">
        <v>578244.32000000007</v>
      </c>
      <c r="AL8" s="239">
        <v>130104.97199999999</v>
      </c>
      <c r="AM8" s="239">
        <v>14456.108</v>
      </c>
      <c r="AN8" s="239">
        <v>531780</v>
      </c>
      <c r="AO8" s="239">
        <v>119650</v>
      </c>
      <c r="AP8" s="239">
        <v>13294</v>
      </c>
      <c r="AQ8" s="239">
        <v>46464</v>
      </c>
      <c r="AR8" s="239">
        <v>10455</v>
      </c>
      <c r="AS8" s="239">
        <v>1162</v>
      </c>
      <c r="AT8" s="239">
        <v>380.26583333333338</v>
      </c>
      <c r="AU8" s="239">
        <v>85.559812499999992</v>
      </c>
      <c r="AV8" s="239">
        <v>9.5066458333333337</v>
      </c>
      <c r="AW8" s="239">
        <v>4057</v>
      </c>
      <c r="AX8" s="239">
        <v>914</v>
      </c>
      <c r="AY8" s="239">
        <v>102</v>
      </c>
      <c r="AZ8" s="239">
        <v>-3677</v>
      </c>
      <c r="BA8" s="239">
        <v>-828</v>
      </c>
      <c r="BB8" s="239">
        <v>-92</v>
      </c>
      <c r="BC8" s="239">
        <v>0</v>
      </c>
      <c r="BD8" s="239">
        <v>0</v>
      </c>
      <c r="BE8" s="239">
        <v>0</v>
      </c>
      <c r="BF8" s="239">
        <v>0</v>
      </c>
      <c r="BG8" s="239">
        <v>0</v>
      </c>
      <c r="BH8" s="239">
        <v>0</v>
      </c>
      <c r="BI8" s="239">
        <v>0</v>
      </c>
      <c r="BJ8" s="239">
        <v>0</v>
      </c>
      <c r="BK8" s="239">
        <v>0</v>
      </c>
      <c r="BL8" s="239">
        <v>10366.606666666668</v>
      </c>
      <c r="BM8" s="239">
        <v>2332.4865</v>
      </c>
      <c r="BN8" s="239">
        <v>259.16516666666666</v>
      </c>
      <c r="BO8" s="239">
        <v>4870</v>
      </c>
      <c r="BP8" s="239">
        <v>1096</v>
      </c>
      <c r="BQ8" s="239">
        <v>122</v>
      </c>
      <c r="BR8" s="239">
        <v>5497</v>
      </c>
      <c r="BS8" s="239">
        <v>1236</v>
      </c>
      <c r="BT8" s="239">
        <v>137</v>
      </c>
      <c r="BU8" s="239">
        <v>267813.06916666665</v>
      </c>
      <c r="BV8" s="239">
        <v>60257.9405625</v>
      </c>
      <c r="BW8" s="239">
        <v>6695.3267291666671</v>
      </c>
      <c r="BX8" s="239">
        <v>282054</v>
      </c>
      <c r="BY8" s="239">
        <v>63462</v>
      </c>
      <c r="BZ8" s="239">
        <v>7052</v>
      </c>
      <c r="CA8" s="239">
        <v>-14241</v>
      </c>
      <c r="CB8" s="239">
        <v>-3204</v>
      </c>
      <c r="CC8" s="239">
        <v>-357</v>
      </c>
      <c r="CD8" s="239">
        <v>0</v>
      </c>
      <c r="CE8" s="239">
        <v>0</v>
      </c>
      <c r="CF8" s="239">
        <v>0</v>
      </c>
      <c r="CG8" s="239">
        <v>0</v>
      </c>
      <c r="CH8" s="239">
        <v>0</v>
      </c>
      <c r="CI8" s="239">
        <v>0</v>
      </c>
      <c r="CJ8" s="239">
        <v>0</v>
      </c>
      <c r="CK8" s="239">
        <v>0</v>
      </c>
      <c r="CL8" s="239">
        <v>0</v>
      </c>
      <c r="CM8" s="239">
        <v>9162.0933333333342</v>
      </c>
      <c r="CN8" s="239">
        <v>2061.471</v>
      </c>
      <c r="CO8" s="239">
        <v>229.05233333333334</v>
      </c>
      <c r="CP8" s="239">
        <v>0</v>
      </c>
      <c r="CQ8" s="239">
        <v>0</v>
      </c>
      <c r="CR8" s="239">
        <v>0</v>
      </c>
      <c r="CS8" s="239">
        <v>9162</v>
      </c>
      <c r="CT8" s="239">
        <v>2061</v>
      </c>
      <c r="CU8" s="239">
        <v>229</v>
      </c>
      <c r="CV8" s="239">
        <v>178581.42166666669</v>
      </c>
      <c r="CW8" s="239">
        <v>40180.819875000001</v>
      </c>
      <c r="CX8" s="239">
        <v>4464.5355416666671</v>
      </c>
      <c r="CY8" s="239">
        <v>173058</v>
      </c>
      <c r="CZ8" s="239">
        <v>38938</v>
      </c>
      <c r="DA8" s="239">
        <v>4326</v>
      </c>
      <c r="DB8" s="239">
        <v>5523</v>
      </c>
      <c r="DC8" s="239">
        <v>1243</v>
      </c>
      <c r="DD8" s="239">
        <v>139</v>
      </c>
      <c r="DE8" s="214">
        <v>0.5</v>
      </c>
      <c r="DF8" s="214">
        <v>0.4</v>
      </c>
      <c r="DG8" s="214">
        <v>0.09</v>
      </c>
      <c r="DH8" s="214">
        <v>0.01</v>
      </c>
      <c r="DI8" s="214" t="s">
        <v>1294</v>
      </c>
    </row>
    <row r="9" spans="2:113" s="214" customFormat="1" x14ac:dyDescent="0.2">
      <c r="B9" s="610" t="s">
        <v>101</v>
      </c>
      <c r="C9" s="610" t="s">
        <v>100</v>
      </c>
      <c r="D9" s="239">
        <v>50291</v>
      </c>
      <c r="E9" s="239">
        <v>0</v>
      </c>
      <c r="F9" s="239">
        <v>50291</v>
      </c>
      <c r="G9" s="239">
        <v>0</v>
      </c>
      <c r="H9" s="239">
        <v>0</v>
      </c>
      <c r="I9" s="239">
        <v>0</v>
      </c>
      <c r="J9" s="239">
        <v>50291</v>
      </c>
      <c r="K9" s="239">
        <v>0</v>
      </c>
      <c r="L9" s="239">
        <v>50291</v>
      </c>
      <c r="M9" s="239">
        <v>174317</v>
      </c>
      <c r="N9" s="239">
        <v>174317</v>
      </c>
      <c r="O9" s="239">
        <v>0</v>
      </c>
      <c r="P9" s="239">
        <v>0</v>
      </c>
      <c r="Q9" s="239">
        <v>0</v>
      </c>
      <c r="R9" s="239">
        <v>0</v>
      </c>
      <c r="S9" s="239">
        <v>0</v>
      </c>
      <c r="T9" s="239">
        <v>0</v>
      </c>
      <c r="U9" s="239">
        <v>0</v>
      </c>
      <c r="V9" s="239">
        <v>0</v>
      </c>
      <c r="W9" s="239">
        <v>0</v>
      </c>
      <c r="X9" s="239">
        <v>0</v>
      </c>
      <c r="Y9" s="239">
        <v>0</v>
      </c>
      <c r="Z9" s="239">
        <v>0</v>
      </c>
      <c r="AA9" s="239">
        <v>0</v>
      </c>
      <c r="AB9" s="239">
        <v>0</v>
      </c>
      <c r="AC9" s="239">
        <v>0</v>
      </c>
      <c r="AD9" s="239">
        <v>0</v>
      </c>
      <c r="AE9" s="239">
        <v>0</v>
      </c>
      <c r="AF9" s="239">
        <v>0</v>
      </c>
      <c r="AG9" s="239">
        <v>0</v>
      </c>
      <c r="AH9" s="239">
        <v>0</v>
      </c>
      <c r="AI9" s="239">
        <v>0</v>
      </c>
      <c r="AJ9" s="239">
        <v>0</v>
      </c>
      <c r="AK9" s="239">
        <v>718779.93916666671</v>
      </c>
      <c r="AL9" s="239">
        <v>179694.98479166668</v>
      </c>
      <c r="AM9" s="239">
        <v>0</v>
      </c>
      <c r="AN9" s="239">
        <v>650463</v>
      </c>
      <c r="AO9" s="239">
        <v>162616</v>
      </c>
      <c r="AP9" s="239">
        <v>0</v>
      </c>
      <c r="AQ9" s="239">
        <v>68317</v>
      </c>
      <c r="AR9" s="239">
        <v>17079</v>
      </c>
      <c r="AS9" s="239">
        <v>0</v>
      </c>
      <c r="AT9" s="239">
        <v>7359.7874999999995</v>
      </c>
      <c r="AU9" s="239">
        <v>1839.9468749999999</v>
      </c>
      <c r="AV9" s="239">
        <v>0</v>
      </c>
      <c r="AW9" s="239">
        <v>4085</v>
      </c>
      <c r="AX9" s="239">
        <v>1022</v>
      </c>
      <c r="AY9" s="239">
        <v>0</v>
      </c>
      <c r="AZ9" s="239">
        <v>3275</v>
      </c>
      <c r="BA9" s="239">
        <v>818</v>
      </c>
      <c r="BB9" s="239">
        <v>0</v>
      </c>
      <c r="BC9" s="239">
        <v>0</v>
      </c>
      <c r="BD9" s="239">
        <v>0</v>
      </c>
      <c r="BE9" s="239">
        <v>0</v>
      </c>
      <c r="BF9" s="239">
        <v>2444</v>
      </c>
      <c r="BG9" s="239">
        <v>612</v>
      </c>
      <c r="BH9" s="239">
        <v>0</v>
      </c>
      <c r="BI9" s="239">
        <v>-2444</v>
      </c>
      <c r="BJ9" s="239">
        <v>-612</v>
      </c>
      <c r="BK9" s="239">
        <v>0</v>
      </c>
      <c r="BL9" s="239">
        <v>7897.1108333333332</v>
      </c>
      <c r="BM9" s="239">
        <v>1974.2777083333333</v>
      </c>
      <c r="BN9" s="239">
        <v>0</v>
      </c>
      <c r="BO9" s="239">
        <v>3249</v>
      </c>
      <c r="BP9" s="239">
        <v>812</v>
      </c>
      <c r="BQ9" s="239">
        <v>0</v>
      </c>
      <c r="BR9" s="239">
        <v>4648</v>
      </c>
      <c r="BS9" s="239">
        <v>1162</v>
      </c>
      <c r="BT9" s="239">
        <v>0</v>
      </c>
      <c r="BU9" s="239">
        <v>364562.11250000005</v>
      </c>
      <c r="BV9" s="239">
        <v>91140.528125000012</v>
      </c>
      <c r="BW9" s="239">
        <v>0</v>
      </c>
      <c r="BX9" s="239">
        <v>430549</v>
      </c>
      <c r="BY9" s="239">
        <v>107638</v>
      </c>
      <c r="BZ9" s="239">
        <v>0</v>
      </c>
      <c r="CA9" s="239">
        <v>-65987</v>
      </c>
      <c r="CB9" s="239">
        <v>-16497</v>
      </c>
      <c r="CC9" s="239">
        <v>0</v>
      </c>
      <c r="CD9" s="239">
        <v>0</v>
      </c>
      <c r="CE9" s="239">
        <v>0</v>
      </c>
      <c r="CF9" s="239">
        <v>0</v>
      </c>
      <c r="CG9" s="239">
        <v>0</v>
      </c>
      <c r="CH9" s="239">
        <v>0</v>
      </c>
      <c r="CI9" s="239">
        <v>0</v>
      </c>
      <c r="CJ9" s="239">
        <v>0</v>
      </c>
      <c r="CK9" s="239">
        <v>0</v>
      </c>
      <c r="CL9" s="239">
        <v>0</v>
      </c>
      <c r="CM9" s="239">
        <v>2144.8291666666669</v>
      </c>
      <c r="CN9" s="239">
        <v>536.20729166666672</v>
      </c>
      <c r="CO9" s="239">
        <v>0</v>
      </c>
      <c r="CP9" s="239">
        <v>0</v>
      </c>
      <c r="CQ9" s="239">
        <v>0</v>
      </c>
      <c r="CR9" s="239">
        <v>0</v>
      </c>
      <c r="CS9" s="239">
        <v>2145</v>
      </c>
      <c r="CT9" s="239">
        <v>536</v>
      </c>
      <c r="CU9" s="239">
        <v>0</v>
      </c>
      <c r="CV9" s="239">
        <v>184694.33499999999</v>
      </c>
      <c r="CW9" s="239">
        <v>46173.583749999998</v>
      </c>
      <c r="CX9" s="239">
        <v>0</v>
      </c>
      <c r="CY9" s="239">
        <v>197946</v>
      </c>
      <c r="CZ9" s="239">
        <v>49486</v>
      </c>
      <c r="DA9" s="239">
        <v>0</v>
      </c>
      <c r="DB9" s="239">
        <v>-13252</v>
      </c>
      <c r="DC9" s="239">
        <v>-3312</v>
      </c>
      <c r="DD9" s="239">
        <v>0</v>
      </c>
      <c r="DE9" s="214">
        <v>0.5</v>
      </c>
      <c r="DF9" s="214">
        <v>0.4</v>
      </c>
      <c r="DG9" s="214">
        <v>0.1</v>
      </c>
      <c r="DH9" s="214">
        <v>0</v>
      </c>
      <c r="DI9" s="214" t="s">
        <v>1294</v>
      </c>
    </row>
    <row r="10" spans="2:113" s="214" customFormat="1" x14ac:dyDescent="0.2">
      <c r="B10" s="610" t="s">
        <v>103</v>
      </c>
      <c r="C10" s="610" t="s">
        <v>102</v>
      </c>
      <c r="D10" s="239">
        <v>-12857</v>
      </c>
      <c r="E10" s="239">
        <v>0</v>
      </c>
      <c r="F10" s="239">
        <v>-12857</v>
      </c>
      <c r="G10" s="239">
        <v>0</v>
      </c>
      <c r="H10" s="239">
        <v>0</v>
      </c>
      <c r="I10" s="239">
        <v>0</v>
      </c>
      <c r="J10" s="239">
        <v>-12857</v>
      </c>
      <c r="K10" s="239">
        <v>0</v>
      </c>
      <c r="L10" s="239">
        <v>-12857</v>
      </c>
      <c r="M10" s="239">
        <v>129357</v>
      </c>
      <c r="N10" s="239">
        <v>129357</v>
      </c>
      <c r="O10" s="239">
        <v>0</v>
      </c>
      <c r="P10" s="239">
        <v>0</v>
      </c>
      <c r="Q10" s="239">
        <v>0</v>
      </c>
      <c r="R10" s="239">
        <v>0</v>
      </c>
      <c r="S10" s="239">
        <v>0</v>
      </c>
      <c r="T10" s="239">
        <v>0</v>
      </c>
      <c r="U10" s="239">
        <v>0</v>
      </c>
      <c r="V10" s="239">
        <v>0</v>
      </c>
      <c r="W10" s="239">
        <v>0</v>
      </c>
      <c r="X10" s="239">
        <v>0</v>
      </c>
      <c r="Y10" s="239">
        <v>0</v>
      </c>
      <c r="Z10" s="239">
        <v>0</v>
      </c>
      <c r="AA10" s="239">
        <v>0</v>
      </c>
      <c r="AB10" s="239">
        <v>0</v>
      </c>
      <c r="AC10" s="239">
        <v>0</v>
      </c>
      <c r="AD10" s="239">
        <v>0</v>
      </c>
      <c r="AE10" s="239">
        <v>0</v>
      </c>
      <c r="AF10" s="239">
        <v>0</v>
      </c>
      <c r="AG10" s="239">
        <v>0</v>
      </c>
      <c r="AH10" s="239">
        <v>0</v>
      </c>
      <c r="AI10" s="239">
        <v>0</v>
      </c>
      <c r="AJ10" s="239">
        <v>0</v>
      </c>
      <c r="AK10" s="239">
        <v>380522.92875000002</v>
      </c>
      <c r="AL10" s="239">
        <v>85617.658968749995</v>
      </c>
      <c r="AM10" s="239">
        <v>9513.0732187500016</v>
      </c>
      <c r="AN10" s="239">
        <v>371792</v>
      </c>
      <c r="AO10" s="239">
        <v>83652</v>
      </c>
      <c r="AP10" s="239">
        <v>9294</v>
      </c>
      <c r="AQ10" s="239">
        <v>8731</v>
      </c>
      <c r="AR10" s="239">
        <v>1966</v>
      </c>
      <c r="AS10" s="239">
        <v>219</v>
      </c>
      <c r="AT10" s="239">
        <v>46759.305</v>
      </c>
      <c r="AU10" s="239">
        <v>10520.843625</v>
      </c>
      <c r="AV10" s="239">
        <v>1168.9826250000001</v>
      </c>
      <c r="AW10" s="239">
        <v>2030</v>
      </c>
      <c r="AX10" s="239">
        <v>456</v>
      </c>
      <c r="AY10" s="239">
        <v>50</v>
      </c>
      <c r="AZ10" s="239">
        <v>44729</v>
      </c>
      <c r="BA10" s="239">
        <v>10065</v>
      </c>
      <c r="BB10" s="239">
        <v>1119</v>
      </c>
      <c r="BC10" s="239">
        <v>0</v>
      </c>
      <c r="BD10" s="239">
        <v>0</v>
      </c>
      <c r="BE10" s="239">
        <v>0</v>
      </c>
      <c r="BF10" s="239">
        <v>14203</v>
      </c>
      <c r="BG10" s="239">
        <v>3196</v>
      </c>
      <c r="BH10" s="239">
        <v>356</v>
      </c>
      <c r="BI10" s="239">
        <v>-14203</v>
      </c>
      <c r="BJ10" s="239">
        <v>-3196</v>
      </c>
      <c r="BK10" s="239">
        <v>-356</v>
      </c>
      <c r="BL10" s="239">
        <v>0</v>
      </c>
      <c r="BM10" s="239">
        <v>0</v>
      </c>
      <c r="BN10" s="239">
        <v>0</v>
      </c>
      <c r="BO10" s="239">
        <v>6087</v>
      </c>
      <c r="BP10" s="239">
        <v>1370</v>
      </c>
      <c r="BQ10" s="239">
        <v>152</v>
      </c>
      <c r="BR10" s="239">
        <v>-6087</v>
      </c>
      <c r="BS10" s="239">
        <v>-1370</v>
      </c>
      <c r="BT10" s="239">
        <v>-152</v>
      </c>
      <c r="BU10" s="239">
        <v>156579.42833333334</v>
      </c>
      <c r="BV10" s="239">
        <v>35230.371375000002</v>
      </c>
      <c r="BW10" s="239">
        <v>3914.4857083333336</v>
      </c>
      <c r="BX10" s="239">
        <v>81166</v>
      </c>
      <c r="BY10" s="239">
        <v>18262</v>
      </c>
      <c r="BZ10" s="239">
        <v>2030</v>
      </c>
      <c r="CA10" s="239">
        <v>75413</v>
      </c>
      <c r="CB10" s="239">
        <v>16968</v>
      </c>
      <c r="CC10" s="239">
        <v>1884</v>
      </c>
      <c r="CD10" s="239">
        <v>0</v>
      </c>
      <c r="CE10" s="239">
        <v>0</v>
      </c>
      <c r="CF10" s="239">
        <v>0</v>
      </c>
      <c r="CG10" s="239">
        <v>0</v>
      </c>
      <c r="CH10" s="239">
        <v>0</v>
      </c>
      <c r="CI10" s="239">
        <v>0</v>
      </c>
      <c r="CJ10" s="239">
        <v>0</v>
      </c>
      <c r="CK10" s="239">
        <v>0</v>
      </c>
      <c r="CL10" s="239">
        <v>0</v>
      </c>
      <c r="CM10" s="239">
        <v>1590.0550000000001</v>
      </c>
      <c r="CN10" s="239">
        <v>357.76237499999996</v>
      </c>
      <c r="CO10" s="239">
        <v>39.751374999999996</v>
      </c>
      <c r="CP10" s="239">
        <v>0</v>
      </c>
      <c r="CQ10" s="239">
        <v>0</v>
      </c>
      <c r="CR10" s="239">
        <v>0</v>
      </c>
      <c r="CS10" s="239">
        <v>1590</v>
      </c>
      <c r="CT10" s="239">
        <v>358</v>
      </c>
      <c r="CU10" s="239">
        <v>40</v>
      </c>
      <c r="CV10" s="239">
        <v>197713.36083333337</v>
      </c>
      <c r="CW10" s="239">
        <v>44485.506187499996</v>
      </c>
      <c r="CX10" s="239">
        <v>4942.8340208333339</v>
      </c>
      <c r="CY10" s="239">
        <v>200542</v>
      </c>
      <c r="CZ10" s="239">
        <v>45122</v>
      </c>
      <c r="DA10" s="239">
        <v>5014</v>
      </c>
      <c r="DB10" s="239">
        <v>-2829</v>
      </c>
      <c r="DC10" s="239">
        <v>-636</v>
      </c>
      <c r="DD10" s="239">
        <v>-71</v>
      </c>
      <c r="DE10" s="214">
        <v>0.5</v>
      </c>
      <c r="DF10" s="214">
        <v>0.4</v>
      </c>
      <c r="DG10" s="214">
        <v>0.09</v>
      </c>
      <c r="DH10" s="214">
        <v>0.01</v>
      </c>
      <c r="DI10" s="214" t="s">
        <v>1294</v>
      </c>
    </row>
    <row r="11" spans="2:113" s="214" customFormat="1" x14ac:dyDescent="0.2">
      <c r="B11" s="610" t="s">
        <v>105</v>
      </c>
      <c r="C11" s="610" t="s">
        <v>104</v>
      </c>
      <c r="D11" s="239">
        <v>-460445</v>
      </c>
      <c r="E11" s="239">
        <v>0</v>
      </c>
      <c r="F11" s="239">
        <v>-460445</v>
      </c>
      <c r="G11" s="239">
        <v>0</v>
      </c>
      <c r="H11" s="239">
        <v>0</v>
      </c>
      <c r="I11" s="239">
        <v>0</v>
      </c>
      <c r="J11" s="239">
        <v>-460445</v>
      </c>
      <c r="K11" s="239">
        <v>0</v>
      </c>
      <c r="L11" s="239">
        <v>-460445</v>
      </c>
      <c r="M11" s="239">
        <v>181615</v>
      </c>
      <c r="N11" s="239">
        <v>181615</v>
      </c>
      <c r="O11" s="239">
        <v>0</v>
      </c>
      <c r="P11" s="239">
        <v>0</v>
      </c>
      <c r="Q11" s="239">
        <v>0</v>
      </c>
      <c r="R11" s="239">
        <v>0</v>
      </c>
      <c r="S11" s="239">
        <v>0</v>
      </c>
      <c r="T11" s="239">
        <v>56656</v>
      </c>
      <c r="U11" s="239">
        <v>0</v>
      </c>
      <c r="V11" s="239">
        <v>0</v>
      </c>
      <c r="W11" s="239">
        <v>0</v>
      </c>
      <c r="X11" s="239">
        <v>56656</v>
      </c>
      <c r="Y11" s="239">
        <v>0</v>
      </c>
      <c r="Z11" s="239">
        <v>0</v>
      </c>
      <c r="AA11" s="239">
        <v>0</v>
      </c>
      <c r="AB11" s="239">
        <v>0</v>
      </c>
      <c r="AC11" s="239">
        <v>0</v>
      </c>
      <c r="AD11" s="239">
        <v>0</v>
      </c>
      <c r="AE11" s="239">
        <v>0</v>
      </c>
      <c r="AF11" s="239">
        <v>0</v>
      </c>
      <c r="AG11" s="239">
        <v>0</v>
      </c>
      <c r="AH11" s="239">
        <v>0</v>
      </c>
      <c r="AI11" s="239">
        <v>0</v>
      </c>
      <c r="AJ11" s="239">
        <v>0</v>
      </c>
      <c r="AK11" s="239">
        <v>556022.51000000013</v>
      </c>
      <c r="AL11" s="239">
        <v>125105.06475000001</v>
      </c>
      <c r="AM11" s="239">
        <v>13900.562750000001</v>
      </c>
      <c r="AN11" s="239">
        <v>510254</v>
      </c>
      <c r="AO11" s="239">
        <v>114806</v>
      </c>
      <c r="AP11" s="239">
        <v>12756</v>
      </c>
      <c r="AQ11" s="239">
        <v>45769</v>
      </c>
      <c r="AR11" s="239">
        <v>10299</v>
      </c>
      <c r="AS11" s="239">
        <v>1145</v>
      </c>
      <c r="AT11" s="239">
        <v>4746.2208333333328</v>
      </c>
      <c r="AU11" s="239">
        <v>1067.8996875</v>
      </c>
      <c r="AV11" s="239">
        <v>118.65552083333333</v>
      </c>
      <c r="AW11" s="239">
        <v>3586</v>
      </c>
      <c r="AX11" s="239">
        <v>808</v>
      </c>
      <c r="AY11" s="239">
        <v>90</v>
      </c>
      <c r="AZ11" s="239">
        <v>1160</v>
      </c>
      <c r="BA11" s="239">
        <v>260</v>
      </c>
      <c r="BB11" s="239">
        <v>29</v>
      </c>
      <c r="BC11" s="239">
        <v>23395.885833333337</v>
      </c>
      <c r="BD11" s="239">
        <v>5264.0743124999999</v>
      </c>
      <c r="BE11" s="239">
        <v>584.89714583333341</v>
      </c>
      <c r="BF11" s="239">
        <v>405</v>
      </c>
      <c r="BG11" s="239">
        <v>92</v>
      </c>
      <c r="BH11" s="239">
        <v>10</v>
      </c>
      <c r="BI11" s="239">
        <v>22991</v>
      </c>
      <c r="BJ11" s="239">
        <v>5172</v>
      </c>
      <c r="BK11" s="239">
        <v>575</v>
      </c>
      <c r="BL11" s="239">
        <v>16938.671666666669</v>
      </c>
      <c r="BM11" s="239">
        <v>3811.2011249999996</v>
      </c>
      <c r="BN11" s="239">
        <v>423.46679166666667</v>
      </c>
      <c r="BO11" s="239">
        <v>10146</v>
      </c>
      <c r="BP11" s="239">
        <v>2282</v>
      </c>
      <c r="BQ11" s="239">
        <v>254</v>
      </c>
      <c r="BR11" s="239">
        <v>6793</v>
      </c>
      <c r="BS11" s="239">
        <v>1529</v>
      </c>
      <c r="BT11" s="239">
        <v>169</v>
      </c>
      <c r="BU11" s="239">
        <v>287409.94916666666</v>
      </c>
      <c r="BV11" s="239">
        <v>64667.238562499995</v>
      </c>
      <c r="BW11" s="239">
        <v>7185.2487291666666</v>
      </c>
      <c r="BX11" s="239">
        <v>316550</v>
      </c>
      <c r="BY11" s="239">
        <v>71224</v>
      </c>
      <c r="BZ11" s="239">
        <v>7914</v>
      </c>
      <c r="CA11" s="239">
        <v>-29140</v>
      </c>
      <c r="CB11" s="239">
        <v>-6557</v>
      </c>
      <c r="CC11" s="239">
        <v>-729</v>
      </c>
      <c r="CD11" s="239">
        <v>0</v>
      </c>
      <c r="CE11" s="239">
        <v>0</v>
      </c>
      <c r="CF11" s="239">
        <v>0</v>
      </c>
      <c r="CG11" s="239">
        <v>0</v>
      </c>
      <c r="CH11" s="239">
        <v>0</v>
      </c>
      <c r="CI11" s="239">
        <v>0</v>
      </c>
      <c r="CJ11" s="239">
        <v>0</v>
      </c>
      <c r="CK11" s="239">
        <v>0</v>
      </c>
      <c r="CL11" s="239">
        <v>0</v>
      </c>
      <c r="CM11" s="239">
        <v>1965.8566666666666</v>
      </c>
      <c r="CN11" s="239">
        <v>442.31774999999999</v>
      </c>
      <c r="CO11" s="239">
        <v>49.146416666666667</v>
      </c>
      <c r="CP11" s="239">
        <v>0</v>
      </c>
      <c r="CQ11" s="239">
        <v>0</v>
      </c>
      <c r="CR11" s="239">
        <v>0</v>
      </c>
      <c r="CS11" s="239">
        <v>1966</v>
      </c>
      <c r="CT11" s="239">
        <v>442</v>
      </c>
      <c r="CU11" s="239">
        <v>49</v>
      </c>
      <c r="CV11" s="239">
        <v>264403.77250000002</v>
      </c>
      <c r="CW11" s="239">
        <v>60317.08214583333</v>
      </c>
      <c r="CX11" s="239">
        <v>6610.0943125000003</v>
      </c>
      <c r="CY11" s="239">
        <v>271415</v>
      </c>
      <c r="CZ11" s="239">
        <v>61068</v>
      </c>
      <c r="DA11" s="239">
        <v>6785</v>
      </c>
      <c r="DB11" s="239">
        <v>-7011</v>
      </c>
      <c r="DC11" s="239">
        <v>-751</v>
      </c>
      <c r="DD11" s="239">
        <v>-175</v>
      </c>
      <c r="DE11" s="214">
        <v>0.5</v>
      </c>
      <c r="DF11" s="214">
        <v>0.4</v>
      </c>
      <c r="DG11" s="214">
        <v>0.09</v>
      </c>
      <c r="DH11" s="214">
        <v>0.01</v>
      </c>
      <c r="DI11" s="214" t="s">
        <v>1294</v>
      </c>
    </row>
    <row r="12" spans="2:113" s="214" customFormat="1" x14ac:dyDescent="0.2">
      <c r="B12" s="610" t="s">
        <v>107</v>
      </c>
      <c r="C12" s="610" t="s">
        <v>106</v>
      </c>
      <c r="D12" s="239">
        <v>-567995</v>
      </c>
      <c r="E12" s="239">
        <v>0</v>
      </c>
      <c r="F12" s="239">
        <v>-567995</v>
      </c>
      <c r="G12" s="239">
        <v>0</v>
      </c>
      <c r="H12" s="239">
        <v>0</v>
      </c>
      <c r="I12" s="239">
        <v>0</v>
      </c>
      <c r="J12" s="239">
        <v>-567995</v>
      </c>
      <c r="K12" s="239">
        <v>0</v>
      </c>
      <c r="L12" s="239">
        <v>-567995</v>
      </c>
      <c r="M12" s="239">
        <v>226811</v>
      </c>
      <c r="N12" s="239">
        <v>226811</v>
      </c>
      <c r="O12" s="239">
        <v>0</v>
      </c>
      <c r="P12" s="239">
        <v>0</v>
      </c>
      <c r="Q12" s="239">
        <v>0</v>
      </c>
      <c r="R12" s="239">
        <v>0</v>
      </c>
      <c r="S12" s="239">
        <v>0</v>
      </c>
      <c r="T12" s="239">
        <v>0</v>
      </c>
      <c r="U12" s="239">
        <v>0</v>
      </c>
      <c r="V12" s="239">
        <v>0</v>
      </c>
      <c r="W12" s="239">
        <v>0</v>
      </c>
      <c r="X12" s="239">
        <v>0</v>
      </c>
      <c r="Y12" s="239">
        <v>0</v>
      </c>
      <c r="Z12" s="239">
        <v>0</v>
      </c>
      <c r="AA12" s="239">
        <v>0</v>
      </c>
      <c r="AB12" s="239">
        <v>0</v>
      </c>
      <c r="AC12" s="239">
        <v>0</v>
      </c>
      <c r="AD12" s="239">
        <v>0</v>
      </c>
      <c r="AE12" s="239">
        <v>0</v>
      </c>
      <c r="AF12" s="239">
        <v>0</v>
      </c>
      <c r="AG12" s="239">
        <v>0</v>
      </c>
      <c r="AH12" s="239">
        <v>0</v>
      </c>
      <c r="AI12" s="239">
        <v>0</v>
      </c>
      <c r="AJ12" s="239">
        <v>0</v>
      </c>
      <c r="AK12" s="239">
        <v>677929.16166666674</v>
      </c>
      <c r="AL12" s="239">
        <v>152534.06137499999</v>
      </c>
      <c r="AM12" s="239">
        <v>16948.229041666666</v>
      </c>
      <c r="AN12" s="239">
        <v>674606</v>
      </c>
      <c r="AO12" s="239">
        <v>151786</v>
      </c>
      <c r="AP12" s="239">
        <v>16866</v>
      </c>
      <c r="AQ12" s="239">
        <v>3323</v>
      </c>
      <c r="AR12" s="239">
        <v>748</v>
      </c>
      <c r="AS12" s="239">
        <v>82</v>
      </c>
      <c r="AT12" s="239">
        <v>8928.3333333333321</v>
      </c>
      <c r="AU12" s="239">
        <v>2008.8749999999998</v>
      </c>
      <c r="AV12" s="239">
        <v>223.20833333333331</v>
      </c>
      <c r="AW12" s="239">
        <v>2316</v>
      </c>
      <c r="AX12" s="239">
        <v>520</v>
      </c>
      <c r="AY12" s="239">
        <v>58</v>
      </c>
      <c r="AZ12" s="239">
        <v>6612</v>
      </c>
      <c r="BA12" s="239">
        <v>1489</v>
      </c>
      <c r="BB12" s="239">
        <v>165</v>
      </c>
      <c r="BC12" s="239">
        <v>24520.855833333335</v>
      </c>
      <c r="BD12" s="239">
        <v>5517.1925625000003</v>
      </c>
      <c r="BE12" s="239">
        <v>613.02139583333337</v>
      </c>
      <c r="BF12" s="239">
        <v>33787</v>
      </c>
      <c r="BG12" s="239">
        <v>7602</v>
      </c>
      <c r="BH12" s="239">
        <v>844</v>
      </c>
      <c r="BI12" s="239">
        <v>-9266</v>
      </c>
      <c r="BJ12" s="239">
        <v>-2085</v>
      </c>
      <c r="BK12" s="239">
        <v>-231</v>
      </c>
      <c r="BL12" s="239">
        <v>5527.4500000000007</v>
      </c>
      <c r="BM12" s="239">
        <v>1243.67625</v>
      </c>
      <c r="BN12" s="239">
        <v>138.18625</v>
      </c>
      <c r="BO12" s="239">
        <v>0</v>
      </c>
      <c r="BP12" s="239">
        <v>0</v>
      </c>
      <c r="BQ12" s="239">
        <v>0</v>
      </c>
      <c r="BR12" s="239">
        <v>5527</v>
      </c>
      <c r="BS12" s="239">
        <v>1244</v>
      </c>
      <c r="BT12" s="239">
        <v>138</v>
      </c>
      <c r="BU12" s="239">
        <v>311987.6216666667</v>
      </c>
      <c r="BV12" s="239">
        <v>70197.214875000005</v>
      </c>
      <c r="BW12" s="239">
        <v>7799.6905416666668</v>
      </c>
      <c r="BX12" s="239">
        <v>333208</v>
      </c>
      <c r="BY12" s="239">
        <v>74972</v>
      </c>
      <c r="BZ12" s="239">
        <v>8330</v>
      </c>
      <c r="CA12" s="239">
        <v>-21220</v>
      </c>
      <c r="CB12" s="239">
        <v>-4775</v>
      </c>
      <c r="CC12" s="239">
        <v>-530</v>
      </c>
      <c r="CD12" s="239">
        <v>0</v>
      </c>
      <c r="CE12" s="239">
        <v>0</v>
      </c>
      <c r="CF12" s="239">
        <v>0</v>
      </c>
      <c r="CG12" s="239">
        <v>0</v>
      </c>
      <c r="CH12" s="239">
        <v>0</v>
      </c>
      <c r="CI12" s="239">
        <v>0</v>
      </c>
      <c r="CJ12" s="239">
        <v>0</v>
      </c>
      <c r="CK12" s="239">
        <v>0</v>
      </c>
      <c r="CL12" s="239">
        <v>0</v>
      </c>
      <c r="CM12" s="239">
        <v>3350.9658333333336</v>
      </c>
      <c r="CN12" s="239">
        <v>753.96731249999993</v>
      </c>
      <c r="CO12" s="239">
        <v>83.774145833333336</v>
      </c>
      <c r="CP12" s="239">
        <v>0</v>
      </c>
      <c r="CQ12" s="239">
        <v>0</v>
      </c>
      <c r="CR12" s="239">
        <v>0</v>
      </c>
      <c r="CS12" s="239">
        <v>3351</v>
      </c>
      <c r="CT12" s="239">
        <v>754</v>
      </c>
      <c r="CU12" s="239">
        <v>84</v>
      </c>
      <c r="CV12" s="239">
        <v>287637.86333333334</v>
      </c>
      <c r="CW12" s="239">
        <v>64718.519250000005</v>
      </c>
      <c r="CX12" s="239">
        <v>7190.9465833333334</v>
      </c>
      <c r="CY12" s="239">
        <v>289471</v>
      </c>
      <c r="CZ12" s="239">
        <v>65131</v>
      </c>
      <c r="DA12" s="239">
        <v>7237</v>
      </c>
      <c r="DB12" s="239">
        <v>-1833</v>
      </c>
      <c r="DC12" s="239">
        <v>-412</v>
      </c>
      <c r="DD12" s="239">
        <v>-46</v>
      </c>
      <c r="DE12" s="214">
        <v>0.5</v>
      </c>
      <c r="DF12" s="214">
        <v>0.4</v>
      </c>
      <c r="DG12" s="214">
        <v>0.09</v>
      </c>
      <c r="DH12" s="214">
        <v>0.01</v>
      </c>
      <c r="DI12" s="214" t="s">
        <v>1294</v>
      </c>
    </row>
    <row r="13" spans="2:113" s="214" customFormat="1" x14ac:dyDescent="0.2">
      <c r="B13" s="610" t="s">
        <v>109</v>
      </c>
      <c r="C13" s="610" t="s">
        <v>108</v>
      </c>
      <c r="D13" s="239">
        <v>-18378</v>
      </c>
      <c r="E13" s="239">
        <v>0</v>
      </c>
      <c r="F13" s="239">
        <v>-18378</v>
      </c>
      <c r="G13" s="239">
        <v>0</v>
      </c>
      <c r="H13" s="239">
        <v>0</v>
      </c>
      <c r="I13" s="239">
        <v>0</v>
      </c>
      <c r="J13" s="239">
        <v>-18378</v>
      </c>
      <c r="K13" s="239">
        <v>0</v>
      </c>
      <c r="L13" s="239">
        <v>-18378</v>
      </c>
      <c r="M13" s="239">
        <v>126114</v>
      </c>
      <c r="N13" s="239">
        <v>126114</v>
      </c>
      <c r="O13" s="239">
        <v>0</v>
      </c>
      <c r="P13" s="239">
        <v>0</v>
      </c>
      <c r="Q13" s="239">
        <v>0</v>
      </c>
      <c r="R13" s="239">
        <v>0</v>
      </c>
      <c r="S13" s="239">
        <v>0</v>
      </c>
      <c r="T13" s="239">
        <v>0</v>
      </c>
      <c r="U13" s="239">
        <v>0</v>
      </c>
      <c r="V13" s="239">
        <v>0</v>
      </c>
      <c r="W13" s="239">
        <v>0</v>
      </c>
      <c r="X13" s="239">
        <v>0</v>
      </c>
      <c r="Y13" s="239">
        <v>0</v>
      </c>
      <c r="Z13" s="239">
        <v>0</v>
      </c>
      <c r="AA13" s="239">
        <v>0</v>
      </c>
      <c r="AB13" s="239">
        <v>0</v>
      </c>
      <c r="AC13" s="239">
        <v>0</v>
      </c>
      <c r="AD13" s="239">
        <v>0</v>
      </c>
      <c r="AE13" s="239">
        <v>0</v>
      </c>
      <c r="AF13" s="239">
        <v>0</v>
      </c>
      <c r="AG13" s="239">
        <v>0</v>
      </c>
      <c r="AH13" s="239">
        <v>0</v>
      </c>
      <c r="AI13" s="239">
        <v>0</v>
      </c>
      <c r="AJ13" s="239">
        <v>0</v>
      </c>
      <c r="AK13" s="239">
        <v>485001.67666666664</v>
      </c>
      <c r="AL13" s="239">
        <v>121250.41916666666</v>
      </c>
      <c r="AM13" s="239">
        <v>0</v>
      </c>
      <c r="AN13" s="239">
        <v>440507</v>
      </c>
      <c r="AO13" s="239">
        <v>110126</v>
      </c>
      <c r="AP13" s="239">
        <v>0</v>
      </c>
      <c r="AQ13" s="239">
        <v>44495</v>
      </c>
      <c r="AR13" s="239">
        <v>11124</v>
      </c>
      <c r="AS13" s="239">
        <v>0</v>
      </c>
      <c r="AT13" s="239">
        <v>1859.5283333333336</v>
      </c>
      <c r="AU13" s="239">
        <v>464.88208333333341</v>
      </c>
      <c r="AV13" s="239">
        <v>0</v>
      </c>
      <c r="AW13" s="239">
        <v>2335</v>
      </c>
      <c r="AX13" s="239">
        <v>584</v>
      </c>
      <c r="AY13" s="239">
        <v>0</v>
      </c>
      <c r="AZ13" s="239">
        <v>-475</v>
      </c>
      <c r="BA13" s="239">
        <v>-119</v>
      </c>
      <c r="BB13" s="239">
        <v>0</v>
      </c>
      <c r="BC13" s="239">
        <v>1636.7258333333334</v>
      </c>
      <c r="BD13" s="239">
        <v>409.18145833333335</v>
      </c>
      <c r="BE13" s="239">
        <v>0</v>
      </c>
      <c r="BF13" s="239">
        <v>0</v>
      </c>
      <c r="BG13" s="239">
        <v>0</v>
      </c>
      <c r="BH13" s="239">
        <v>0</v>
      </c>
      <c r="BI13" s="239">
        <v>1637</v>
      </c>
      <c r="BJ13" s="239">
        <v>409</v>
      </c>
      <c r="BK13" s="239">
        <v>0</v>
      </c>
      <c r="BL13" s="239">
        <v>4328.6183333333338</v>
      </c>
      <c r="BM13" s="239">
        <v>1082.1545833333334</v>
      </c>
      <c r="BN13" s="239">
        <v>0</v>
      </c>
      <c r="BO13" s="239">
        <v>3170</v>
      </c>
      <c r="BP13" s="239">
        <v>792</v>
      </c>
      <c r="BQ13" s="239">
        <v>0</v>
      </c>
      <c r="BR13" s="239">
        <v>1159</v>
      </c>
      <c r="BS13" s="239">
        <v>290</v>
      </c>
      <c r="BT13" s="239">
        <v>0</v>
      </c>
      <c r="BU13" s="239">
        <v>208880.38750000001</v>
      </c>
      <c r="BV13" s="239">
        <v>52220.096875000003</v>
      </c>
      <c r="BW13" s="239">
        <v>0</v>
      </c>
      <c r="BX13" s="239">
        <v>162065</v>
      </c>
      <c r="BY13" s="239">
        <v>40516</v>
      </c>
      <c r="BZ13" s="239">
        <v>0</v>
      </c>
      <c r="CA13" s="239">
        <v>46815</v>
      </c>
      <c r="CB13" s="239">
        <v>11704</v>
      </c>
      <c r="CC13" s="239">
        <v>0</v>
      </c>
      <c r="CD13" s="239">
        <v>0</v>
      </c>
      <c r="CE13" s="239">
        <v>0</v>
      </c>
      <c r="CF13" s="239">
        <v>0</v>
      </c>
      <c r="CG13" s="239">
        <v>0</v>
      </c>
      <c r="CH13" s="239">
        <v>0</v>
      </c>
      <c r="CI13" s="239">
        <v>0</v>
      </c>
      <c r="CJ13" s="239">
        <v>0</v>
      </c>
      <c r="CK13" s="239">
        <v>0</v>
      </c>
      <c r="CL13" s="239">
        <v>0</v>
      </c>
      <c r="CM13" s="239">
        <v>4822.1116666666667</v>
      </c>
      <c r="CN13" s="239">
        <v>1205.5279166666667</v>
      </c>
      <c r="CO13" s="239">
        <v>0</v>
      </c>
      <c r="CP13" s="239">
        <v>0</v>
      </c>
      <c r="CQ13" s="239">
        <v>0</v>
      </c>
      <c r="CR13" s="239">
        <v>0</v>
      </c>
      <c r="CS13" s="239">
        <v>4822</v>
      </c>
      <c r="CT13" s="239">
        <v>1206</v>
      </c>
      <c r="CU13" s="239">
        <v>0</v>
      </c>
      <c r="CV13" s="239">
        <v>127917.45750000002</v>
      </c>
      <c r="CW13" s="239">
        <v>31979.364375000005</v>
      </c>
      <c r="CX13" s="239">
        <v>0</v>
      </c>
      <c r="CY13" s="239">
        <v>134815</v>
      </c>
      <c r="CZ13" s="239">
        <v>33704</v>
      </c>
      <c r="DA13" s="239">
        <v>0</v>
      </c>
      <c r="DB13" s="239">
        <v>-6898</v>
      </c>
      <c r="DC13" s="239">
        <v>-1725</v>
      </c>
      <c r="DD13" s="239">
        <v>0</v>
      </c>
      <c r="DE13" s="214">
        <v>0.5</v>
      </c>
      <c r="DF13" s="214">
        <v>0.4</v>
      </c>
      <c r="DG13" s="214">
        <v>0.1</v>
      </c>
      <c r="DH13" s="214">
        <v>0</v>
      </c>
      <c r="DI13" s="214" t="s">
        <v>1294</v>
      </c>
    </row>
    <row r="14" spans="2:113" s="214" customFormat="1" x14ac:dyDescent="0.2">
      <c r="B14" s="610" t="s">
        <v>111</v>
      </c>
      <c r="C14" s="610" t="s">
        <v>110</v>
      </c>
      <c r="D14" s="239">
        <v>-212510</v>
      </c>
      <c r="E14" s="239">
        <v>0</v>
      </c>
      <c r="F14" s="239">
        <v>-212510</v>
      </c>
      <c r="G14" s="239">
        <v>0</v>
      </c>
      <c r="H14" s="239">
        <v>0</v>
      </c>
      <c r="I14" s="239">
        <v>0</v>
      </c>
      <c r="J14" s="239">
        <v>-212510</v>
      </c>
      <c r="K14" s="239">
        <v>0</v>
      </c>
      <c r="L14" s="239">
        <v>-212510</v>
      </c>
      <c r="M14" s="239">
        <v>204717</v>
      </c>
      <c r="N14" s="239">
        <v>204717</v>
      </c>
      <c r="O14" s="239">
        <v>0</v>
      </c>
      <c r="P14" s="239">
        <v>0</v>
      </c>
      <c r="Q14" s="239">
        <v>0</v>
      </c>
      <c r="R14" s="239">
        <v>0</v>
      </c>
      <c r="S14" s="239">
        <v>0</v>
      </c>
      <c r="T14" s="239">
        <v>0</v>
      </c>
      <c r="U14" s="239">
        <v>0</v>
      </c>
      <c r="V14" s="239">
        <v>0</v>
      </c>
      <c r="W14" s="239">
        <v>0</v>
      </c>
      <c r="X14" s="239">
        <v>0</v>
      </c>
      <c r="Y14" s="239">
        <v>0</v>
      </c>
      <c r="Z14" s="239">
        <v>0</v>
      </c>
      <c r="AA14" s="239">
        <v>0</v>
      </c>
      <c r="AB14" s="239">
        <v>0</v>
      </c>
      <c r="AC14" s="239">
        <v>0</v>
      </c>
      <c r="AD14" s="239">
        <v>0</v>
      </c>
      <c r="AE14" s="239">
        <v>0</v>
      </c>
      <c r="AF14" s="239">
        <v>0</v>
      </c>
      <c r="AG14" s="239">
        <v>0</v>
      </c>
      <c r="AH14" s="239">
        <v>0</v>
      </c>
      <c r="AI14" s="239">
        <v>0</v>
      </c>
      <c r="AJ14" s="239">
        <v>0</v>
      </c>
      <c r="AK14" s="239">
        <v>414471.39437499992</v>
      </c>
      <c r="AL14" s="239">
        <v>276314.26291666669</v>
      </c>
      <c r="AM14" s="239">
        <v>0</v>
      </c>
      <c r="AN14" s="239">
        <v>379982</v>
      </c>
      <c r="AO14" s="239">
        <v>253322</v>
      </c>
      <c r="AP14" s="239">
        <v>0</v>
      </c>
      <c r="AQ14" s="239">
        <v>34489</v>
      </c>
      <c r="AR14" s="239">
        <v>22992</v>
      </c>
      <c r="AS14" s="239">
        <v>0</v>
      </c>
      <c r="AT14" s="239">
        <v>840.98812499999997</v>
      </c>
      <c r="AU14" s="239">
        <v>560.65874999999994</v>
      </c>
      <c r="AV14" s="239">
        <v>0</v>
      </c>
      <c r="AW14" s="239">
        <v>0</v>
      </c>
      <c r="AX14" s="239">
        <v>0</v>
      </c>
      <c r="AY14" s="239">
        <v>0</v>
      </c>
      <c r="AZ14" s="239">
        <v>841</v>
      </c>
      <c r="BA14" s="239">
        <v>561</v>
      </c>
      <c r="BB14" s="239">
        <v>0</v>
      </c>
      <c r="BC14" s="239">
        <v>-14228.618124999999</v>
      </c>
      <c r="BD14" s="239">
        <v>-9485.7454166666666</v>
      </c>
      <c r="BE14" s="239">
        <v>0</v>
      </c>
      <c r="BF14" s="239">
        <v>18007</v>
      </c>
      <c r="BG14" s="239">
        <v>12004</v>
      </c>
      <c r="BH14" s="239">
        <v>0</v>
      </c>
      <c r="BI14" s="239">
        <v>-32236</v>
      </c>
      <c r="BJ14" s="239">
        <v>-21490</v>
      </c>
      <c r="BK14" s="239">
        <v>0</v>
      </c>
      <c r="BL14" s="239">
        <v>353.37937500000004</v>
      </c>
      <c r="BM14" s="239">
        <v>235.58625000000004</v>
      </c>
      <c r="BN14" s="239">
        <v>0</v>
      </c>
      <c r="BO14" s="239">
        <v>29699</v>
      </c>
      <c r="BP14" s="239">
        <v>19800</v>
      </c>
      <c r="BQ14" s="239">
        <v>0</v>
      </c>
      <c r="BR14" s="239">
        <v>-29346</v>
      </c>
      <c r="BS14" s="239">
        <v>-19564</v>
      </c>
      <c r="BT14" s="239">
        <v>0</v>
      </c>
      <c r="BU14" s="239">
        <v>288833.61249999999</v>
      </c>
      <c r="BV14" s="239">
        <v>192555.74166666667</v>
      </c>
      <c r="BW14" s="239">
        <v>0</v>
      </c>
      <c r="BX14" s="239">
        <v>284395</v>
      </c>
      <c r="BY14" s="239">
        <v>189598</v>
      </c>
      <c r="BZ14" s="239">
        <v>0</v>
      </c>
      <c r="CA14" s="239">
        <v>4439</v>
      </c>
      <c r="CB14" s="239">
        <v>2958</v>
      </c>
      <c r="CC14" s="239">
        <v>0</v>
      </c>
      <c r="CD14" s="239">
        <v>0</v>
      </c>
      <c r="CE14" s="239">
        <v>0</v>
      </c>
      <c r="CF14" s="239">
        <v>0</v>
      </c>
      <c r="CG14" s="239">
        <v>0</v>
      </c>
      <c r="CH14" s="239">
        <v>0</v>
      </c>
      <c r="CI14" s="239">
        <v>0</v>
      </c>
      <c r="CJ14" s="239">
        <v>0</v>
      </c>
      <c r="CK14" s="239">
        <v>0</v>
      </c>
      <c r="CL14" s="239">
        <v>0</v>
      </c>
      <c r="CM14" s="239">
        <v>68.788749999999993</v>
      </c>
      <c r="CN14" s="239">
        <v>45.859166666666667</v>
      </c>
      <c r="CO14" s="239">
        <v>0</v>
      </c>
      <c r="CP14" s="239">
        <v>0</v>
      </c>
      <c r="CQ14" s="239">
        <v>0</v>
      </c>
      <c r="CR14" s="239">
        <v>0</v>
      </c>
      <c r="CS14" s="239">
        <v>69</v>
      </c>
      <c r="CT14" s="239">
        <v>46</v>
      </c>
      <c r="CU14" s="239">
        <v>0</v>
      </c>
      <c r="CV14" s="239">
        <v>221406.793125</v>
      </c>
      <c r="CW14" s="239">
        <v>147604.52875</v>
      </c>
      <c r="CX14" s="239">
        <v>0</v>
      </c>
      <c r="CY14" s="239">
        <v>227288</v>
      </c>
      <c r="CZ14" s="239">
        <v>151525</v>
      </c>
      <c r="DA14" s="239">
        <v>0</v>
      </c>
      <c r="DB14" s="239">
        <v>-5881</v>
      </c>
      <c r="DC14" s="239">
        <v>-3920</v>
      </c>
      <c r="DD14" s="239">
        <v>0</v>
      </c>
      <c r="DE14" s="214">
        <v>0.5</v>
      </c>
      <c r="DF14" s="214">
        <v>0.3</v>
      </c>
      <c r="DG14" s="214">
        <v>0.2</v>
      </c>
      <c r="DH14" s="214">
        <v>0</v>
      </c>
      <c r="DI14" s="214" t="s">
        <v>1295</v>
      </c>
    </row>
    <row r="15" spans="2:113" s="214" customFormat="1" x14ac:dyDescent="0.2">
      <c r="B15" s="610" t="s">
        <v>113</v>
      </c>
      <c r="C15" s="610" t="s">
        <v>112</v>
      </c>
      <c r="D15" s="239">
        <v>-322025</v>
      </c>
      <c r="E15" s="239">
        <v>0</v>
      </c>
      <c r="F15" s="239">
        <v>-322025</v>
      </c>
      <c r="G15" s="239">
        <v>0</v>
      </c>
      <c r="H15" s="239">
        <v>0</v>
      </c>
      <c r="I15" s="239">
        <v>0</v>
      </c>
      <c r="J15" s="239">
        <v>-322025</v>
      </c>
      <c r="K15" s="239">
        <v>0</v>
      </c>
      <c r="L15" s="239">
        <v>-322025</v>
      </c>
      <c r="M15" s="239">
        <v>417855</v>
      </c>
      <c r="N15" s="239">
        <v>417855</v>
      </c>
      <c r="O15" s="239">
        <v>0</v>
      </c>
      <c r="P15" s="239">
        <v>0</v>
      </c>
      <c r="Q15" s="239">
        <v>0</v>
      </c>
      <c r="R15" s="239">
        <v>0</v>
      </c>
      <c r="S15" s="239">
        <v>0</v>
      </c>
      <c r="T15" s="239">
        <v>0</v>
      </c>
      <c r="U15" s="239">
        <v>0</v>
      </c>
      <c r="V15" s="239">
        <v>0</v>
      </c>
      <c r="W15" s="239">
        <v>0</v>
      </c>
      <c r="X15" s="239">
        <v>0</v>
      </c>
      <c r="Y15" s="239">
        <v>0</v>
      </c>
      <c r="Z15" s="239">
        <v>0</v>
      </c>
      <c r="AA15" s="239">
        <v>0</v>
      </c>
      <c r="AB15" s="239">
        <v>0</v>
      </c>
      <c r="AC15" s="239">
        <v>0</v>
      </c>
      <c r="AD15" s="239">
        <v>0</v>
      </c>
      <c r="AE15" s="239">
        <v>0</v>
      </c>
      <c r="AF15" s="239">
        <v>0</v>
      </c>
      <c r="AG15" s="239">
        <v>0</v>
      </c>
      <c r="AH15" s="239">
        <v>0</v>
      </c>
      <c r="AI15" s="239">
        <v>0</v>
      </c>
      <c r="AJ15" s="239">
        <v>0</v>
      </c>
      <c r="AK15" s="239">
        <v>629225.30625000002</v>
      </c>
      <c r="AL15" s="239">
        <v>419483.53750000003</v>
      </c>
      <c r="AM15" s="239">
        <v>0</v>
      </c>
      <c r="AN15" s="239">
        <v>540575</v>
      </c>
      <c r="AO15" s="239">
        <v>360382</v>
      </c>
      <c r="AP15" s="239">
        <v>0</v>
      </c>
      <c r="AQ15" s="239">
        <v>88650</v>
      </c>
      <c r="AR15" s="239">
        <v>59102</v>
      </c>
      <c r="AS15" s="239">
        <v>0</v>
      </c>
      <c r="AT15" s="239">
        <v>0</v>
      </c>
      <c r="AU15" s="239">
        <v>0</v>
      </c>
      <c r="AV15" s="239">
        <v>0</v>
      </c>
      <c r="AW15" s="239">
        <v>0</v>
      </c>
      <c r="AX15" s="239">
        <v>0</v>
      </c>
      <c r="AY15" s="239">
        <v>0</v>
      </c>
      <c r="AZ15" s="239">
        <v>0</v>
      </c>
      <c r="BA15" s="239">
        <v>0</v>
      </c>
      <c r="BB15" s="239">
        <v>0</v>
      </c>
      <c r="BC15" s="239">
        <v>0</v>
      </c>
      <c r="BD15" s="239">
        <v>0</v>
      </c>
      <c r="BE15" s="239">
        <v>0</v>
      </c>
      <c r="BF15" s="239">
        <v>0</v>
      </c>
      <c r="BG15" s="239">
        <v>0</v>
      </c>
      <c r="BH15" s="239">
        <v>0</v>
      </c>
      <c r="BI15" s="239">
        <v>0</v>
      </c>
      <c r="BJ15" s="239">
        <v>0</v>
      </c>
      <c r="BK15" s="239">
        <v>0</v>
      </c>
      <c r="BL15" s="239">
        <v>26740.256874999999</v>
      </c>
      <c r="BM15" s="239">
        <v>17826.837916666667</v>
      </c>
      <c r="BN15" s="239">
        <v>0</v>
      </c>
      <c r="BO15" s="239">
        <v>4855</v>
      </c>
      <c r="BP15" s="239">
        <v>3238</v>
      </c>
      <c r="BQ15" s="239">
        <v>0</v>
      </c>
      <c r="BR15" s="239">
        <v>21885</v>
      </c>
      <c r="BS15" s="239">
        <v>14589</v>
      </c>
      <c r="BT15" s="239">
        <v>0</v>
      </c>
      <c r="BU15" s="239">
        <v>902123.06125000003</v>
      </c>
      <c r="BV15" s="239">
        <v>601415.37416666665</v>
      </c>
      <c r="BW15" s="239">
        <v>0</v>
      </c>
      <c r="BX15" s="239">
        <v>644536</v>
      </c>
      <c r="BY15" s="239">
        <v>429692</v>
      </c>
      <c r="BZ15" s="239">
        <v>0</v>
      </c>
      <c r="CA15" s="239">
        <v>257587</v>
      </c>
      <c r="CB15" s="239">
        <v>171723</v>
      </c>
      <c r="CC15" s="239">
        <v>0</v>
      </c>
      <c r="CD15" s="239">
        <v>0</v>
      </c>
      <c r="CE15" s="239">
        <v>0</v>
      </c>
      <c r="CF15" s="239">
        <v>0</v>
      </c>
      <c r="CG15" s="239">
        <v>0</v>
      </c>
      <c r="CH15" s="239">
        <v>0</v>
      </c>
      <c r="CI15" s="239">
        <v>0</v>
      </c>
      <c r="CJ15" s="239">
        <v>0</v>
      </c>
      <c r="CK15" s="239">
        <v>0</v>
      </c>
      <c r="CL15" s="239">
        <v>0</v>
      </c>
      <c r="CM15" s="239">
        <v>10020.329374999999</v>
      </c>
      <c r="CN15" s="239">
        <v>6680.2195833333335</v>
      </c>
      <c r="CO15" s="239">
        <v>0</v>
      </c>
      <c r="CP15" s="239">
        <v>0</v>
      </c>
      <c r="CQ15" s="239">
        <v>0</v>
      </c>
      <c r="CR15" s="239">
        <v>0</v>
      </c>
      <c r="CS15" s="239">
        <v>10020</v>
      </c>
      <c r="CT15" s="239">
        <v>6680</v>
      </c>
      <c r="CU15" s="239">
        <v>0</v>
      </c>
      <c r="CV15" s="239">
        <v>458705.88750000001</v>
      </c>
      <c r="CW15" s="239">
        <v>305803.92499999999</v>
      </c>
      <c r="CX15" s="239">
        <v>0</v>
      </c>
      <c r="CY15" s="239">
        <v>485944</v>
      </c>
      <c r="CZ15" s="239">
        <v>323962</v>
      </c>
      <c r="DA15" s="239">
        <v>0</v>
      </c>
      <c r="DB15" s="239">
        <v>-27238</v>
      </c>
      <c r="DC15" s="239">
        <v>-18158</v>
      </c>
      <c r="DD15" s="239">
        <v>0</v>
      </c>
      <c r="DE15" s="214">
        <v>0.5</v>
      </c>
      <c r="DF15" s="214">
        <v>0.3</v>
      </c>
      <c r="DG15" s="214">
        <v>0.2</v>
      </c>
      <c r="DH15" s="214">
        <v>0</v>
      </c>
      <c r="DI15" s="214" t="s">
        <v>1295</v>
      </c>
    </row>
    <row r="16" spans="2:113" s="214" customFormat="1" x14ac:dyDescent="0.2">
      <c r="B16" s="610" t="s">
        <v>115</v>
      </c>
      <c r="C16" s="610" t="s">
        <v>114</v>
      </c>
      <c r="D16" s="239">
        <v>-90147</v>
      </c>
      <c r="E16" s="239">
        <v>0</v>
      </c>
      <c r="F16" s="239">
        <v>-90147</v>
      </c>
      <c r="G16" s="239">
        <v>0</v>
      </c>
      <c r="H16" s="239">
        <v>0</v>
      </c>
      <c r="I16" s="239">
        <v>0</v>
      </c>
      <c r="J16" s="239">
        <v>-90147</v>
      </c>
      <c r="K16" s="239">
        <v>0</v>
      </c>
      <c r="L16" s="239">
        <v>-90147</v>
      </c>
      <c r="M16" s="239">
        <v>270547</v>
      </c>
      <c r="N16" s="239">
        <v>270547</v>
      </c>
      <c r="O16" s="239">
        <v>0</v>
      </c>
      <c r="P16" s="239">
        <v>222681</v>
      </c>
      <c r="Q16" s="239">
        <v>382506</v>
      </c>
      <c r="R16" s="239">
        <v>-159825</v>
      </c>
      <c r="S16" s="239">
        <v>16563</v>
      </c>
      <c r="T16" s="239">
        <v>0</v>
      </c>
      <c r="U16" s="239">
        <v>0</v>
      </c>
      <c r="V16" s="239">
        <v>0</v>
      </c>
      <c r="W16" s="239">
        <v>16563</v>
      </c>
      <c r="X16" s="239">
        <v>0</v>
      </c>
      <c r="Y16" s="239">
        <v>283047.44375000003</v>
      </c>
      <c r="Z16" s="239">
        <v>283047.44375000003</v>
      </c>
      <c r="AA16" s="239">
        <v>0</v>
      </c>
      <c r="AB16" s="239">
        <v>0</v>
      </c>
      <c r="AC16" s="239">
        <v>86526</v>
      </c>
      <c r="AD16" s="239">
        <v>86526</v>
      </c>
      <c r="AE16" s="239">
        <v>0</v>
      </c>
      <c r="AF16" s="239">
        <v>0</v>
      </c>
      <c r="AG16" s="239">
        <v>196521</v>
      </c>
      <c r="AH16" s="239">
        <v>196521</v>
      </c>
      <c r="AI16" s="239">
        <v>0</v>
      </c>
      <c r="AJ16" s="239">
        <v>0</v>
      </c>
      <c r="AK16" s="239">
        <v>1264279.3886770834</v>
      </c>
      <c r="AL16" s="239">
        <v>0</v>
      </c>
      <c r="AM16" s="239">
        <v>25801.620177083336</v>
      </c>
      <c r="AN16" s="239">
        <v>1202577</v>
      </c>
      <c r="AO16" s="239">
        <v>0</v>
      </c>
      <c r="AP16" s="239">
        <v>24542</v>
      </c>
      <c r="AQ16" s="239">
        <v>61702</v>
      </c>
      <c r="AR16" s="239">
        <v>0</v>
      </c>
      <c r="AS16" s="239">
        <v>1260</v>
      </c>
      <c r="AT16" s="239">
        <v>0</v>
      </c>
      <c r="AU16" s="239">
        <v>0</v>
      </c>
      <c r="AV16" s="239">
        <v>0</v>
      </c>
      <c r="AW16" s="239">
        <v>0</v>
      </c>
      <c r="AX16" s="239">
        <v>0</v>
      </c>
      <c r="AY16" s="239">
        <v>0</v>
      </c>
      <c r="AZ16" s="239">
        <v>0</v>
      </c>
      <c r="BA16" s="239">
        <v>0</v>
      </c>
      <c r="BB16" s="239">
        <v>0</v>
      </c>
      <c r="BC16" s="239">
        <v>0</v>
      </c>
      <c r="BD16" s="239">
        <v>0</v>
      </c>
      <c r="BE16" s="239">
        <v>0</v>
      </c>
      <c r="BF16" s="239">
        <v>1672</v>
      </c>
      <c r="BG16" s="239">
        <v>0</v>
      </c>
      <c r="BH16" s="239">
        <v>34</v>
      </c>
      <c r="BI16" s="239">
        <v>-1672</v>
      </c>
      <c r="BJ16" s="239">
        <v>0</v>
      </c>
      <c r="BK16" s="239">
        <v>-34</v>
      </c>
      <c r="BL16" s="239">
        <v>7147.4656458333329</v>
      </c>
      <c r="BM16" s="239">
        <v>0</v>
      </c>
      <c r="BN16" s="239">
        <v>145.86664583333334</v>
      </c>
      <c r="BO16" s="239">
        <v>0</v>
      </c>
      <c r="BP16" s="239">
        <v>0</v>
      </c>
      <c r="BQ16" s="239">
        <v>0</v>
      </c>
      <c r="BR16" s="239">
        <v>7147</v>
      </c>
      <c r="BS16" s="239">
        <v>0</v>
      </c>
      <c r="BT16" s="239">
        <v>146</v>
      </c>
      <c r="BU16" s="239">
        <v>503273.15572916664</v>
      </c>
      <c r="BV16" s="239">
        <v>0</v>
      </c>
      <c r="BW16" s="239">
        <v>10270.880729166667</v>
      </c>
      <c r="BX16" s="239">
        <v>523759</v>
      </c>
      <c r="BY16" s="239">
        <v>0</v>
      </c>
      <c r="BZ16" s="239">
        <v>10688</v>
      </c>
      <c r="CA16" s="239">
        <v>-20486</v>
      </c>
      <c r="CB16" s="239">
        <v>0</v>
      </c>
      <c r="CC16" s="239">
        <v>-417</v>
      </c>
      <c r="CD16" s="239">
        <v>0</v>
      </c>
      <c r="CE16" s="239">
        <v>0</v>
      </c>
      <c r="CF16" s="239">
        <v>0</v>
      </c>
      <c r="CG16" s="239">
        <v>0</v>
      </c>
      <c r="CH16" s="239">
        <v>0</v>
      </c>
      <c r="CI16" s="239">
        <v>0</v>
      </c>
      <c r="CJ16" s="239">
        <v>0</v>
      </c>
      <c r="CK16" s="239">
        <v>0</v>
      </c>
      <c r="CL16" s="239">
        <v>0</v>
      </c>
      <c r="CM16" s="239">
        <v>10102.997625</v>
      </c>
      <c r="CN16" s="239">
        <v>0</v>
      </c>
      <c r="CO16" s="239">
        <v>206.18362500000001</v>
      </c>
      <c r="CP16" s="239">
        <v>0</v>
      </c>
      <c r="CQ16" s="239">
        <v>0</v>
      </c>
      <c r="CR16" s="239">
        <v>0</v>
      </c>
      <c r="CS16" s="239">
        <v>10103</v>
      </c>
      <c r="CT16" s="239">
        <v>0</v>
      </c>
      <c r="CU16" s="239">
        <v>206</v>
      </c>
      <c r="CV16" s="239">
        <v>365411.40606249997</v>
      </c>
      <c r="CW16" s="239">
        <v>0</v>
      </c>
      <c r="CX16" s="239">
        <v>7386.1720624999998</v>
      </c>
      <c r="CY16" s="239">
        <v>366109</v>
      </c>
      <c r="CZ16" s="239">
        <v>0</v>
      </c>
      <c r="DA16" s="239">
        <v>7332</v>
      </c>
      <c r="DB16" s="239">
        <v>-698</v>
      </c>
      <c r="DC16" s="239">
        <v>0</v>
      </c>
      <c r="DD16" s="239">
        <v>54</v>
      </c>
      <c r="DE16" s="214">
        <v>0.5</v>
      </c>
      <c r="DF16" s="214">
        <v>0.49</v>
      </c>
      <c r="DG16" s="214">
        <v>0</v>
      </c>
      <c r="DH16" s="214">
        <v>0.01</v>
      </c>
      <c r="DI16" s="214" t="s">
        <v>1296</v>
      </c>
    </row>
    <row r="17" spans="2:113" s="214" customFormat="1" x14ac:dyDescent="0.2">
      <c r="B17" s="610" t="s">
        <v>117</v>
      </c>
      <c r="C17" s="610" t="s">
        <v>116</v>
      </c>
      <c r="D17" s="239">
        <v>-29142</v>
      </c>
      <c r="E17" s="239">
        <v>0</v>
      </c>
      <c r="F17" s="239">
        <v>-29142</v>
      </c>
      <c r="G17" s="239">
        <v>0</v>
      </c>
      <c r="H17" s="239">
        <v>0</v>
      </c>
      <c r="I17" s="239">
        <v>0</v>
      </c>
      <c r="J17" s="239">
        <v>-29142</v>
      </c>
      <c r="K17" s="239">
        <v>0</v>
      </c>
      <c r="L17" s="239">
        <v>-29142</v>
      </c>
      <c r="M17" s="239">
        <v>96916</v>
      </c>
      <c r="N17" s="239">
        <v>96916</v>
      </c>
      <c r="O17" s="239">
        <v>0</v>
      </c>
      <c r="P17" s="239">
        <v>0</v>
      </c>
      <c r="Q17" s="239">
        <v>0</v>
      </c>
      <c r="R17" s="239">
        <v>0</v>
      </c>
      <c r="S17" s="239">
        <v>43067</v>
      </c>
      <c r="T17" s="239">
        <v>0</v>
      </c>
      <c r="U17" s="239">
        <v>0</v>
      </c>
      <c r="V17" s="239">
        <v>0</v>
      </c>
      <c r="W17" s="239">
        <v>43067</v>
      </c>
      <c r="X17" s="239">
        <v>0</v>
      </c>
      <c r="Y17" s="239">
        <v>0</v>
      </c>
      <c r="Z17" s="239">
        <v>0</v>
      </c>
      <c r="AA17" s="239">
        <v>0</v>
      </c>
      <c r="AB17" s="239">
        <v>0</v>
      </c>
      <c r="AC17" s="239">
        <v>0</v>
      </c>
      <c r="AD17" s="239">
        <v>0</v>
      </c>
      <c r="AE17" s="239">
        <v>0</v>
      </c>
      <c r="AF17" s="239">
        <v>0</v>
      </c>
      <c r="AG17" s="239">
        <v>0</v>
      </c>
      <c r="AH17" s="239">
        <v>0</v>
      </c>
      <c r="AI17" s="239">
        <v>0</v>
      </c>
      <c r="AJ17" s="239">
        <v>0</v>
      </c>
      <c r="AK17" s="239">
        <v>291692.70833333337</v>
      </c>
      <c r="AL17" s="239">
        <v>72923.177083333343</v>
      </c>
      <c r="AM17" s="239">
        <v>0</v>
      </c>
      <c r="AN17" s="239">
        <v>271404</v>
      </c>
      <c r="AO17" s="239">
        <v>67852</v>
      </c>
      <c r="AP17" s="239">
        <v>0</v>
      </c>
      <c r="AQ17" s="239">
        <v>20289</v>
      </c>
      <c r="AR17" s="239">
        <v>5071</v>
      </c>
      <c r="AS17" s="239">
        <v>0</v>
      </c>
      <c r="AT17" s="239">
        <v>221.17916666666667</v>
      </c>
      <c r="AU17" s="239">
        <v>55.294791666666669</v>
      </c>
      <c r="AV17" s="239">
        <v>0</v>
      </c>
      <c r="AW17" s="239">
        <v>746</v>
      </c>
      <c r="AX17" s="239">
        <v>186</v>
      </c>
      <c r="AY17" s="239">
        <v>0</v>
      </c>
      <c r="AZ17" s="239">
        <v>-525</v>
      </c>
      <c r="BA17" s="239">
        <v>-131</v>
      </c>
      <c r="BB17" s="239">
        <v>0</v>
      </c>
      <c r="BC17" s="239">
        <v>38.148333333333333</v>
      </c>
      <c r="BD17" s="239">
        <v>9.5370833333333334</v>
      </c>
      <c r="BE17" s="239">
        <v>0</v>
      </c>
      <c r="BF17" s="239">
        <v>994</v>
      </c>
      <c r="BG17" s="239">
        <v>248</v>
      </c>
      <c r="BH17" s="239">
        <v>0</v>
      </c>
      <c r="BI17" s="239">
        <v>-956</v>
      </c>
      <c r="BJ17" s="239">
        <v>-238</v>
      </c>
      <c r="BK17" s="239">
        <v>0</v>
      </c>
      <c r="BL17" s="239">
        <v>1581.9383333333333</v>
      </c>
      <c r="BM17" s="239">
        <v>395.48458333333332</v>
      </c>
      <c r="BN17" s="239">
        <v>0</v>
      </c>
      <c r="BO17" s="239">
        <v>3326</v>
      </c>
      <c r="BP17" s="239">
        <v>832</v>
      </c>
      <c r="BQ17" s="239">
        <v>0</v>
      </c>
      <c r="BR17" s="239">
        <v>-1744</v>
      </c>
      <c r="BS17" s="239">
        <v>-437</v>
      </c>
      <c r="BT17" s="239">
        <v>0</v>
      </c>
      <c r="BU17" s="239">
        <v>158091.96916666665</v>
      </c>
      <c r="BV17" s="239">
        <v>39522.992291666662</v>
      </c>
      <c r="BW17" s="239">
        <v>0</v>
      </c>
      <c r="BX17" s="239">
        <v>124396</v>
      </c>
      <c r="BY17" s="239">
        <v>31098</v>
      </c>
      <c r="BZ17" s="239">
        <v>0</v>
      </c>
      <c r="CA17" s="239">
        <v>33696</v>
      </c>
      <c r="CB17" s="239">
        <v>8425</v>
      </c>
      <c r="CC17" s="239">
        <v>0</v>
      </c>
      <c r="CD17" s="239">
        <v>577.50083333333339</v>
      </c>
      <c r="CE17" s="239">
        <v>144.37520833333335</v>
      </c>
      <c r="CF17" s="239">
        <v>0</v>
      </c>
      <c r="CG17" s="239">
        <v>0</v>
      </c>
      <c r="CH17" s="239">
        <v>0</v>
      </c>
      <c r="CI17" s="239">
        <v>0</v>
      </c>
      <c r="CJ17" s="239">
        <v>578</v>
      </c>
      <c r="CK17" s="239">
        <v>144</v>
      </c>
      <c r="CL17" s="239">
        <v>0</v>
      </c>
      <c r="CM17" s="239">
        <v>2072.9966666666669</v>
      </c>
      <c r="CN17" s="239">
        <v>518.24916666666672</v>
      </c>
      <c r="CO17" s="239">
        <v>0</v>
      </c>
      <c r="CP17" s="239">
        <v>0</v>
      </c>
      <c r="CQ17" s="239">
        <v>0</v>
      </c>
      <c r="CR17" s="239">
        <v>0</v>
      </c>
      <c r="CS17" s="239">
        <v>2073</v>
      </c>
      <c r="CT17" s="239">
        <v>518</v>
      </c>
      <c r="CU17" s="239">
        <v>0</v>
      </c>
      <c r="CV17" s="239">
        <v>128423.59541666668</v>
      </c>
      <c r="CW17" s="239">
        <v>31948.883750000001</v>
      </c>
      <c r="CX17" s="239">
        <v>0</v>
      </c>
      <c r="CY17" s="239">
        <v>141426</v>
      </c>
      <c r="CZ17" s="239">
        <v>35357</v>
      </c>
      <c r="DA17" s="239">
        <v>0</v>
      </c>
      <c r="DB17" s="239">
        <v>-13002</v>
      </c>
      <c r="DC17" s="239">
        <v>-3408</v>
      </c>
      <c r="DD17" s="239">
        <v>0</v>
      </c>
      <c r="DE17" s="214">
        <v>0.5</v>
      </c>
      <c r="DF17" s="214">
        <v>0.4</v>
      </c>
      <c r="DG17" s="214">
        <v>0.1</v>
      </c>
      <c r="DH17" s="214">
        <v>0</v>
      </c>
      <c r="DI17" s="214" t="s">
        <v>1294</v>
      </c>
    </row>
    <row r="18" spans="2:113" s="214" customFormat="1" x14ac:dyDescent="0.2">
      <c r="B18" s="610" t="s">
        <v>119</v>
      </c>
      <c r="C18" s="610" t="s">
        <v>118</v>
      </c>
      <c r="D18" s="239">
        <v>-314652</v>
      </c>
      <c r="E18" s="239">
        <v>0</v>
      </c>
      <c r="F18" s="239">
        <v>-314652</v>
      </c>
      <c r="G18" s="239">
        <v>0</v>
      </c>
      <c r="H18" s="239">
        <v>0</v>
      </c>
      <c r="I18" s="239">
        <v>0</v>
      </c>
      <c r="J18" s="239">
        <v>-314652</v>
      </c>
      <c r="K18" s="239">
        <v>0</v>
      </c>
      <c r="L18" s="239">
        <v>-314652</v>
      </c>
      <c r="M18" s="239">
        <v>233738</v>
      </c>
      <c r="N18" s="239">
        <v>233738</v>
      </c>
      <c r="O18" s="239">
        <v>0</v>
      </c>
      <c r="P18" s="239">
        <v>0</v>
      </c>
      <c r="Q18" s="239">
        <v>0</v>
      </c>
      <c r="R18" s="239">
        <v>0</v>
      </c>
      <c r="S18" s="239">
        <v>54</v>
      </c>
      <c r="T18" s="239">
        <v>0</v>
      </c>
      <c r="U18" s="239">
        <v>54</v>
      </c>
      <c r="V18" s="239">
        <v>0</v>
      </c>
      <c r="W18" s="239">
        <v>0</v>
      </c>
      <c r="X18" s="239">
        <v>0</v>
      </c>
      <c r="Y18" s="239">
        <v>0</v>
      </c>
      <c r="Z18" s="239">
        <v>0</v>
      </c>
      <c r="AA18" s="239">
        <v>0</v>
      </c>
      <c r="AB18" s="239">
        <v>0</v>
      </c>
      <c r="AC18" s="239">
        <v>0</v>
      </c>
      <c r="AD18" s="239">
        <v>0</v>
      </c>
      <c r="AE18" s="239">
        <v>0</v>
      </c>
      <c r="AF18" s="239">
        <v>0</v>
      </c>
      <c r="AG18" s="239">
        <v>0</v>
      </c>
      <c r="AH18" s="239">
        <v>0</v>
      </c>
      <c r="AI18" s="239">
        <v>0</v>
      </c>
      <c r="AJ18" s="239">
        <v>0</v>
      </c>
      <c r="AK18" s="239">
        <v>532096.80875000008</v>
      </c>
      <c r="AL18" s="239">
        <v>119721.78196874999</v>
      </c>
      <c r="AM18" s="239">
        <v>13302.420218750001</v>
      </c>
      <c r="AN18" s="239">
        <v>495896</v>
      </c>
      <c r="AO18" s="239">
        <v>111576</v>
      </c>
      <c r="AP18" s="239">
        <v>12398</v>
      </c>
      <c r="AQ18" s="239">
        <v>36201</v>
      </c>
      <c r="AR18" s="239">
        <v>8146</v>
      </c>
      <c r="AS18" s="239">
        <v>904</v>
      </c>
      <c r="AT18" s="239">
        <v>3957.686666666667</v>
      </c>
      <c r="AU18" s="239">
        <v>890.47949999999992</v>
      </c>
      <c r="AV18" s="239">
        <v>98.942166666666665</v>
      </c>
      <c r="AW18" s="239">
        <v>0</v>
      </c>
      <c r="AX18" s="239">
        <v>0</v>
      </c>
      <c r="AY18" s="239">
        <v>0</v>
      </c>
      <c r="AZ18" s="239">
        <v>3958</v>
      </c>
      <c r="BA18" s="239">
        <v>890</v>
      </c>
      <c r="BB18" s="239">
        <v>99</v>
      </c>
      <c r="BC18" s="239">
        <v>11989.939999999999</v>
      </c>
      <c r="BD18" s="239">
        <v>2697.7365</v>
      </c>
      <c r="BE18" s="239">
        <v>299.74849999999998</v>
      </c>
      <c r="BF18" s="239">
        <v>0</v>
      </c>
      <c r="BG18" s="239">
        <v>0</v>
      </c>
      <c r="BH18" s="239">
        <v>0</v>
      </c>
      <c r="BI18" s="239">
        <v>11990</v>
      </c>
      <c r="BJ18" s="239">
        <v>2698</v>
      </c>
      <c r="BK18" s="239">
        <v>300</v>
      </c>
      <c r="BL18" s="239">
        <v>0</v>
      </c>
      <c r="BM18" s="239">
        <v>0</v>
      </c>
      <c r="BN18" s="239">
        <v>0</v>
      </c>
      <c r="BO18" s="239">
        <v>0</v>
      </c>
      <c r="BP18" s="239">
        <v>0</v>
      </c>
      <c r="BQ18" s="239">
        <v>0</v>
      </c>
      <c r="BR18" s="239">
        <v>0</v>
      </c>
      <c r="BS18" s="239">
        <v>0</v>
      </c>
      <c r="BT18" s="239">
        <v>0</v>
      </c>
      <c r="BU18" s="239">
        <v>317663.20083333337</v>
      </c>
      <c r="BV18" s="239">
        <v>71474.220187500003</v>
      </c>
      <c r="BW18" s="239">
        <v>7941.580020833333</v>
      </c>
      <c r="BX18" s="239">
        <v>293833</v>
      </c>
      <c r="BY18" s="239">
        <v>66112</v>
      </c>
      <c r="BZ18" s="239">
        <v>7346</v>
      </c>
      <c r="CA18" s="239">
        <v>23830</v>
      </c>
      <c r="CB18" s="239">
        <v>5362</v>
      </c>
      <c r="CC18" s="239">
        <v>596</v>
      </c>
      <c r="CD18" s="239">
        <v>0</v>
      </c>
      <c r="CE18" s="239">
        <v>0</v>
      </c>
      <c r="CF18" s="239">
        <v>0</v>
      </c>
      <c r="CG18" s="239">
        <v>0</v>
      </c>
      <c r="CH18" s="239">
        <v>0</v>
      </c>
      <c r="CI18" s="239">
        <v>0</v>
      </c>
      <c r="CJ18" s="239">
        <v>0</v>
      </c>
      <c r="CK18" s="239">
        <v>0</v>
      </c>
      <c r="CL18" s="239">
        <v>0</v>
      </c>
      <c r="CM18" s="239">
        <v>2023.8908333333334</v>
      </c>
      <c r="CN18" s="239">
        <v>455.37543749999998</v>
      </c>
      <c r="CO18" s="239">
        <v>50.597270833333333</v>
      </c>
      <c r="CP18" s="239">
        <v>0</v>
      </c>
      <c r="CQ18" s="239">
        <v>0</v>
      </c>
      <c r="CR18" s="239">
        <v>0</v>
      </c>
      <c r="CS18" s="239">
        <v>2024</v>
      </c>
      <c r="CT18" s="239">
        <v>455</v>
      </c>
      <c r="CU18" s="239">
        <v>51</v>
      </c>
      <c r="CV18" s="239">
        <v>446566.14333333337</v>
      </c>
      <c r="CW18" s="239">
        <v>100477.20506249998</v>
      </c>
      <c r="CX18" s="239">
        <v>11164.133895833333</v>
      </c>
      <c r="CY18" s="239">
        <v>474052</v>
      </c>
      <c r="CZ18" s="239">
        <v>106661</v>
      </c>
      <c r="DA18" s="239">
        <v>11851</v>
      </c>
      <c r="DB18" s="239">
        <v>-27486</v>
      </c>
      <c r="DC18" s="239">
        <v>-6184</v>
      </c>
      <c r="DD18" s="239">
        <v>-687</v>
      </c>
      <c r="DE18" s="214">
        <v>0.5</v>
      </c>
      <c r="DF18" s="214">
        <v>0.4</v>
      </c>
      <c r="DG18" s="214">
        <v>0.09</v>
      </c>
      <c r="DH18" s="214">
        <v>0.01</v>
      </c>
      <c r="DI18" s="214" t="s">
        <v>1294</v>
      </c>
    </row>
    <row r="19" spans="2:113" s="214" customFormat="1" x14ac:dyDescent="0.2">
      <c r="B19" s="610" t="s">
        <v>121</v>
      </c>
      <c r="C19" s="610" t="s">
        <v>120</v>
      </c>
      <c r="D19" s="239">
        <v>855919</v>
      </c>
      <c r="E19" s="239">
        <v>0</v>
      </c>
      <c r="F19" s="239">
        <v>855919</v>
      </c>
      <c r="G19" s="239">
        <v>0</v>
      </c>
      <c r="H19" s="239">
        <v>0</v>
      </c>
      <c r="I19" s="239">
        <v>0</v>
      </c>
      <c r="J19" s="239">
        <v>855919</v>
      </c>
      <c r="K19" s="239">
        <v>0</v>
      </c>
      <c r="L19" s="239">
        <v>855919</v>
      </c>
      <c r="M19" s="239">
        <v>204740</v>
      </c>
      <c r="N19" s="239">
        <v>204740</v>
      </c>
      <c r="O19" s="239">
        <v>0</v>
      </c>
      <c r="P19" s="239">
        <v>0</v>
      </c>
      <c r="Q19" s="239">
        <v>0</v>
      </c>
      <c r="R19" s="239">
        <v>0</v>
      </c>
      <c r="S19" s="239">
        <v>68794</v>
      </c>
      <c r="T19" s="239">
        <v>202049</v>
      </c>
      <c r="U19" s="239">
        <v>28555</v>
      </c>
      <c r="V19" s="239">
        <v>236880</v>
      </c>
      <c r="W19" s="239">
        <v>40239</v>
      </c>
      <c r="X19" s="239">
        <v>-34831</v>
      </c>
      <c r="Y19" s="239">
        <v>0</v>
      </c>
      <c r="Z19" s="239">
        <v>0</v>
      </c>
      <c r="AA19" s="239">
        <v>0</v>
      </c>
      <c r="AB19" s="239">
        <v>0</v>
      </c>
      <c r="AC19" s="239">
        <v>0</v>
      </c>
      <c r="AD19" s="239">
        <v>0</v>
      </c>
      <c r="AE19" s="239">
        <v>0</v>
      </c>
      <c r="AF19" s="239">
        <v>0</v>
      </c>
      <c r="AG19" s="239">
        <v>0</v>
      </c>
      <c r="AH19" s="239">
        <v>0</v>
      </c>
      <c r="AI19" s="239">
        <v>0</v>
      </c>
      <c r="AJ19" s="239">
        <v>0</v>
      </c>
      <c r="AK19" s="239">
        <v>348097.04833333334</v>
      </c>
      <c r="AL19" s="239">
        <v>78321.835875000004</v>
      </c>
      <c r="AM19" s="239">
        <v>8702.4262083333324</v>
      </c>
      <c r="AN19" s="239">
        <v>338637</v>
      </c>
      <c r="AO19" s="239">
        <v>76194</v>
      </c>
      <c r="AP19" s="239">
        <v>8466</v>
      </c>
      <c r="AQ19" s="239">
        <v>9460</v>
      </c>
      <c r="AR19" s="239">
        <v>2128</v>
      </c>
      <c r="AS19" s="239">
        <v>236</v>
      </c>
      <c r="AT19" s="239">
        <v>8744.8966666666656</v>
      </c>
      <c r="AU19" s="239">
        <v>1967.6017499999998</v>
      </c>
      <c r="AV19" s="239">
        <v>218.62241666666665</v>
      </c>
      <c r="AW19" s="239">
        <v>0</v>
      </c>
      <c r="AX19" s="239">
        <v>0</v>
      </c>
      <c r="AY19" s="239">
        <v>0</v>
      </c>
      <c r="AZ19" s="239">
        <v>8745</v>
      </c>
      <c r="BA19" s="239">
        <v>1968</v>
      </c>
      <c r="BB19" s="239">
        <v>219</v>
      </c>
      <c r="BC19" s="239">
        <v>0</v>
      </c>
      <c r="BD19" s="239">
        <v>0</v>
      </c>
      <c r="BE19" s="239">
        <v>0</v>
      </c>
      <c r="BF19" s="239">
        <v>0</v>
      </c>
      <c r="BG19" s="239">
        <v>0</v>
      </c>
      <c r="BH19" s="239">
        <v>0</v>
      </c>
      <c r="BI19" s="239">
        <v>0</v>
      </c>
      <c r="BJ19" s="239">
        <v>0</v>
      </c>
      <c r="BK19" s="239">
        <v>0</v>
      </c>
      <c r="BL19" s="239">
        <v>26332.901666666668</v>
      </c>
      <c r="BM19" s="239">
        <v>5924.9028749999998</v>
      </c>
      <c r="BN19" s="239">
        <v>658.32254166666667</v>
      </c>
      <c r="BO19" s="239">
        <v>10063</v>
      </c>
      <c r="BP19" s="239">
        <v>2264</v>
      </c>
      <c r="BQ19" s="239">
        <v>252</v>
      </c>
      <c r="BR19" s="239">
        <v>16270</v>
      </c>
      <c r="BS19" s="239">
        <v>3661</v>
      </c>
      <c r="BT19" s="239">
        <v>406</v>
      </c>
      <c r="BU19" s="239">
        <v>160700.26</v>
      </c>
      <c r="BV19" s="239">
        <v>36157.558499999999</v>
      </c>
      <c r="BW19" s="239">
        <v>4017.5065</v>
      </c>
      <c r="BX19" s="239">
        <v>153752</v>
      </c>
      <c r="BY19" s="239">
        <v>34594</v>
      </c>
      <c r="BZ19" s="239">
        <v>3844</v>
      </c>
      <c r="CA19" s="239">
        <v>6948</v>
      </c>
      <c r="CB19" s="239">
        <v>1564</v>
      </c>
      <c r="CC19" s="239">
        <v>174</v>
      </c>
      <c r="CD19" s="239">
        <v>0</v>
      </c>
      <c r="CE19" s="239">
        <v>0</v>
      </c>
      <c r="CF19" s="239">
        <v>0</v>
      </c>
      <c r="CG19" s="239">
        <v>0</v>
      </c>
      <c r="CH19" s="239">
        <v>0</v>
      </c>
      <c r="CI19" s="239">
        <v>0</v>
      </c>
      <c r="CJ19" s="239">
        <v>0</v>
      </c>
      <c r="CK19" s="239">
        <v>0</v>
      </c>
      <c r="CL19" s="239">
        <v>0</v>
      </c>
      <c r="CM19" s="239">
        <v>2881.0108333333337</v>
      </c>
      <c r="CN19" s="239">
        <v>648.22743749999995</v>
      </c>
      <c r="CO19" s="239">
        <v>72.025270833333337</v>
      </c>
      <c r="CP19" s="239">
        <v>0</v>
      </c>
      <c r="CQ19" s="239">
        <v>0</v>
      </c>
      <c r="CR19" s="239">
        <v>0</v>
      </c>
      <c r="CS19" s="239">
        <v>2881</v>
      </c>
      <c r="CT19" s="239">
        <v>648</v>
      </c>
      <c r="CU19" s="239">
        <v>72</v>
      </c>
      <c r="CV19" s="239">
        <v>426553.05</v>
      </c>
      <c r="CW19" s="239">
        <v>98695.253854166673</v>
      </c>
      <c r="CX19" s="239">
        <v>10638.745104166668</v>
      </c>
      <c r="CY19" s="239">
        <v>436726</v>
      </c>
      <c r="CZ19" s="239">
        <v>101624</v>
      </c>
      <c r="DA19" s="239">
        <v>10908</v>
      </c>
      <c r="DB19" s="239">
        <v>-10173</v>
      </c>
      <c r="DC19" s="239">
        <v>-2929</v>
      </c>
      <c r="DD19" s="239">
        <v>-269</v>
      </c>
      <c r="DE19" s="214">
        <v>0.5</v>
      </c>
      <c r="DF19" s="214">
        <v>0.4</v>
      </c>
      <c r="DG19" s="214">
        <v>0.09</v>
      </c>
      <c r="DH19" s="214">
        <v>0.01</v>
      </c>
      <c r="DI19" s="214" t="s">
        <v>1294</v>
      </c>
    </row>
    <row r="20" spans="2:113" s="214" customFormat="1" x14ac:dyDescent="0.2">
      <c r="B20" s="610" t="s">
        <v>123</v>
      </c>
      <c r="C20" s="610" t="s">
        <v>122</v>
      </c>
      <c r="D20" s="239">
        <v>-194456</v>
      </c>
      <c r="E20" s="239">
        <v>0</v>
      </c>
      <c r="F20" s="239">
        <v>-194456</v>
      </c>
      <c r="G20" s="239">
        <v>0</v>
      </c>
      <c r="H20" s="239">
        <v>0</v>
      </c>
      <c r="I20" s="239">
        <v>0</v>
      </c>
      <c r="J20" s="239">
        <v>-194456</v>
      </c>
      <c r="K20" s="239">
        <v>0</v>
      </c>
      <c r="L20" s="239">
        <v>-194456</v>
      </c>
      <c r="M20" s="239">
        <v>172206</v>
      </c>
      <c r="N20" s="239">
        <v>172206</v>
      </c>
      <c r="O20" s="239">
        <v>0</v>
      </c>
      <c r="P20" s="239">
        <v>0</v>
      </c>
      <c r="Q20" s="239">
        <v>0</v>
      </c>
      <c r="R20" s="239">
        <v>0</v>
      </c>
      <c r="S20" s="239">
        <v>541112</v>
      </c>
      <c r="T20" s="239">
        <v>0</v>
      </c>
      <c r="U20" s="239">
        <v>146160</v>
      </c>
      <c r="V20" s="239">
        <v>0</v>
      </c>
      <c r="W20" s="239">
        <v>394952</v>
      </c>
      <c r="X20" s="239">
        <v>0</v>
      </c>
      <c r="Y20" s="239">
        <v>0</v>
      </c>
      <c r="Z20" s="239">
        <v>0</v>
      </c>
      <c r="AA20" s="239">
        <v>0</v>
      </c>
      <c r="AB20" s="239">
        <v>0</v>
      </c>
      <c r="AC20" s="239">
        <v>0</v>
      </c>
      <c r="AD20" s="239">
        <v>0</v>
      </c>
      <c r="AE20" s="239">
        <v>0</v>
      </c>
      <c r="AF20" s="239">
        <v>0</v>
      </c>
      <c r="AG20" s="239">
        <v>0</v>
      </c>
      <c r="AH20" s="239">
        <v>0</v>
      </c>
      <c r="AI20" s="239">
        <v>0</v>
      </c>
      <c r="AJ20" s="239">
        <v>0</v>
      </c>
      <c r="AK20" s="239">
        <v>533069.38833333331</v>
      </c>
      <c r="AL20" s="239">
        <v>119940.612375</v>
      </c>
      <c r="AM20" s="239">
        <v>13326.734708333333</v>
      </c>
      <c r="AN20" s="239">
        <v>500890</v>
      </c>
      <c r="AO20" s="239">
        <v>112700</v>
      </c>
      <c r="AP20" s="239">
        <v>12522</v>
      </c>
      <c r="AQ20" s="239">
        <v>32179</v>
      </c>
      <c r="AR20" s="239">
        <v>7241</v>
      </c>
      <c r="AS20" s="239">
        <v>805</v>
      </c>
      <c r="AT20" s="239">
        <v>5585.4841666666671</v>
      </c>
      <c r="AU20" s="239">
        <v>1256.7339375000001</v>
      </c>
      <c r="AV20" s="239">
        <v>139.63710416666669</v>
      </c>
      <c r="AW20" s="239">
        <v>6311</v>
      </c>
      <c r="AX20" s="239">
        <v>1420</v>
      </c>
      <c r="AY20" s="239">
        <v>158</v>
      </c>
      <c r="AZ20" s="239">
        <v>-726</v>
      </c>
      <c r="BA20" s="239">
        <v>-163</v>
      </c>
      <c r="BB20" s="239">
        <v>-18</v>
      </c>
      <c r="BC20" s="239">
        <v>15656.238333333335</v>
      </c>
      <c r="BD20" s="239">
        <v>3522.6536249999999</v>
      </c>
      <c r="BE20" s="239">
        <v>391.40595833333333</v>
      </c>
      <c r="BF20" s="239">
        <v>16415</v>
      </c>
      <c r="BG20" s="239">
        <v>3694</v>
      </c>
      <c r="BH20" s="239">
        <v>410</v>
      </c>
      <c r="BI20" s="239">
        <v>-759</v>
      </c>
      <c r="BJ20" s="239">
        <v>-171</v>
      </c>
      <c r="BK20" s="239">
        <v>-19</v>
      </c>
      <c r="BL20" s="239">
        <v>8370.3125</v>
      </c>
      <c r="BM20" s="239">
        <v>1883.3203125</v>
      </c>
      <c r="BN20" s="239">
        <v>209.2578125</v>
      </c>
      <c r="BO20" s="239">
        <v>9735</v>
      </c>
      <c r="BP20" s="239">
        <v>2190</v>
      </c>
      <c r="BQ20" s="239">
        <v>244</v>
      </c>
      <c r="BR20" s="239">
        <v>-1365</v>
      </c>
      <c r="BS20" s="239">
        <v>-307</v>
      </c>
      <c r="BT20" s="239">
        <v>-35</v>
      </c>
      <c r="BU20" s="239">
        <v>195944.85583333333</v>
      </c>
      <c r="BV20" s="239">
        <v>44087.592562500002</v>
      </c>
      <c r="BW20" s="239">
        <v>4898.6213958333337</v>
      </c>
      <c r="BX20" s="239">
        <v>182523</v>
      </c>
      <c r="BY20" s="239">
        <v>41068</v>
      </c>
      <c r="BZ20" s="239">
        <v>4564</v>
      </c>
      <c r="CA20" s="239">
        <v>13422</v>
      </c>
      <c r="CB20" s="239">
        <v>3020</v>
      </c>
      <c r="CC20" s="239">
        <v>335</v>
      </c>
      <c r="CD20" s="239">
        <v>0</v>
      </c>
      <c r="CE20" s="239">
        <v>0</v>
      </c>
      <c r="CF20" s="239">
        <v>0</v>
      </c>
      <c r="CG20" s="239">
        <v>0</v>
      </c>
      <c r="CH20" s="239">
        <v>0</v>
      </c>
      <c r="CI20" s="239">
        <v>0</v>
      </c>
      <c r="CJ20" s="239">
        <v>0</v>
      </c>
      <c r="CK20" s="239">
        <v>0</v>
      </c>
      <c r="CL20" s="239">
        <v>0</v>
      </c>
      <c r="CM20" s="239">
        <v>7191.7725000000009</v>
      </c>
      <c r="CN20" s="239">
        <v>1618.1488125000001</v>
      </c>
      <c r="CO20" s="239">
        <v>179.79431250000002</v>
      </c>
      <c r="CP20" s="239">
        <v>0</v>
      </c>
      <c r="CQ20" s="239">
        <v>0</v>
      </c>
      <c r="CR20" s="239">
        <v>0</v>
      </c>
      <c r="CS20" s="239">
        <v>7192</v>
      </c>
      <c r="CT20" s="239">
        <v>1618</v>
      </c>
      <c r="CU20" s="239">
        <v>180</v>
      </c>
      <c r="CV20" s="239">
        <v>278779.94666666666</v>
      </c>
      <c r="CW20" s="239">
        <v>60949.96424999999</v>
      </c>
      <c r="CX20" s="239">
        <v>6772.2182499999999</v>
      </c>
      <c r="CY20" s="239">
        <v>281298</v>
      </c>
      <c r="CZ20" s="239">
        <v>62812</v>
      </c>
      <c r="DA20" s="239">
        <v>6979</v>
      </c>
      <c r="DB20" s="239">
        <v>-2518</v>
      </c>
      <c r="DC20" s="239">
        <v>-1862</v>
      </c>
      <c r="DD20" s="239">
        <v>-207</v>
      </c>
      <c r="DE20" s="214">
        <v>0.5</v>
      </c>
      <c r="DF20" s="214">
        <v>0.4</v>
      </c>
      <c r="DG20" s="214">
        <v>0.09</v>
      </c>
      <c r="DH20" s="214">
        <v>0.01</v>
      </c>
      <c r="DI20" s="214" t="s">
        <v>1294</v>
      </c>
    </row>
    <row r="21" spans="2:113" s="214" customFormat="1" x14ac:dyDescent="0.2">
      <c r="B21" s="610" t="s">
        <v>125</v>
      </c>
      <c r="C21" s="610" t="s">
        <v>124</v>
      </c>
      <c r="D21" s="239">
        <v>-74076</v>
      </c>
      <c r="E21" s="239">
        <v>-1450</v>
      </c>
      <c r="F21" s="239">
        <v>-75526</v>
      </c>
      <c r="G21" s="239">
        <v>0</v>
      </c>
      <c r="H21" s="239">
        <v>0</v>
      </c>
      <c r="I21" s="239">
        <v>0</v>
      </c>
      <c r="J21" s="239">
        <v>-74076</v>
      </c>
      <c r="K21" s="239">
        <v>-1450</v>
      </c>
      <c r="L21" s="239">
        <v>-75526</v>
      </c>
      <c r="M21" s="239">
        <v>260297</v>
      </c>
      <c r="N21" s="239">
        <v>260297</v>
      </c>
      <c r="O21" s="239">
        <v>0</v>
      </c>
      <c r="P21" s="239">
        <v>533649</v>
      </c>
      <c r="Q21" s="239">
        <v>747619</v>
      </c>
      <c r="R21" s="239">
        <v>-213970</v>
      </c>
      <c r="S21" s="239">
        <v>1461</v>
      </c>
      <c r="T21" s="239">
        <v>0</v>
      </c>
      <c r="U21" s="239">
        <v>19740</v>
      </c>
      <c r="V21" s="239">
        <v>0</v>
      </c>
      <c r="W21" s="239">
        <v>-18279</v>
      </c>
      <c r="X21" s="239">
        <v>0</v>
      </c>
      <c r="Y21" s="239">
        <v>0</v>
      </c>
      <c r="Z21" s="239">
        <v>0</v>
      </c>
      <c r="AA21" s="239">
        <v>0</v>
      </c>
      <c r="AB21" s="239">
        <v>0</v>
      </c>
      <c r="AC21" s="239">
        <v>0</v>
      </c>
      <c r="AD21" s="239">
        <v>0</v>
      </c>
      <c r="AE21" s="239">
        <v>0</v>
      </c>
      <c r="AF21" s="239">
        <v>0</v>
      </c>
      <c r="AG21" s="239">
        <v>0</v>
      </c>
      <c r="AH21" s="239">
        <v>0</v>
      </c>
      <c r="AI21" s="239">
        <v>0</v>
      </c>
      <c r="AJ21" s="239">
        <v>0</v>
      </c>
      <c r="AK21" s="239">
        <v>1014403.8129583333</v>
      </c>
      <c r="AL21" s="239">
        <v>0</v>
      </c>
      <c r="AM21" s="239">
        <v>19603.718291666668</v>
      </c>
      <c r="AN21" s="239">
        <v>927026</v>
      </c>
      <c r="AO21" s="239">
        <v>0</v>
      </c>
      <c r="AP21" s="239">
        <v>18918</v>
      </c>
      <c r="AQ21" s="239">
        <v>87378</v>
      </c>
      <c r="AR21" s="239">
        <v>0</v>
      </c>
      <c r="AS21" s="239">
        <v>686</v>
      </c>
      <c r="AT21" s="239">
        <v>3689.8163750000003</v>
      </c>
      <c r="AU21" s="239">
        <v>0</v>
      </c>
      <c r="AV21" s="239">
        <v>75.302374999999998</v>
      </c>
      <c r="AW21" s="239">
        <v>4358</v>
      </c>
      <c r="AX21" s="239">
        <v>0</v>
      </c>
      <c r="AY21" s="239">
        <v>88</v>
      </c>
      <c r="AZ21" s="239">
        <v>-668</v>
      </c>
      <c r="BA21" s="239">
        <v>0</v>
      </c>
      <c r="BB21" s="239">
        <v>-13</v>
      </c>
      <c r="BC21" s="239">
        <v>0</v>
      </c>
      <c r="BD21" s="239">
        <v>0</v>
      </c>
      <c r="BE21" s="239">
        <v>0</v>
      </c>
      <c r="BF21" s="239">
        <v>0</v>
      </c>
      <c r="BG21" s="239">
        <v>0</v>
      </c>
      <c r="BH21" s="239">
        <v>0</v>
      </c>
      <c r="BI21" s="239">
        <v>0</v>
      </c>
      <c r="BJ21" s="239">
        <v>0</v>
      </c>
      <c r="BK21" s="239">
        <v>0</v>
      </c>
      <c r="BL21" s="239">
        <v>32042.043250000002</v>
      </c>
      <c r="BM21" s="239">
        <v>0</v>
      </c>
      <c r="BN21" s="239">
        <v>653.91925000000003</v>
      </c>
      <c r="BO21" s="239">
        <v>5126</v>
      </c>
      <c r="BP21" s="239">
        <v>0</v>
      </c>
      <c r="BQ21" s="239">
        <v>104</v>
      </c>
      <c r="BR21" s="239">
        <v>26916</v>
      </c>
      <c r="BS21" s="239">
        <v>0</v>
      </c>
      <c r="BT21" s="239">
        <v>550</v>
      </c>
      <c r="BU21" s="239">
        <v>635189.37204166665</v>
      </c>
      <c r="BV21" s="239">
        <v>0</v>
      </c>
      <c r="BW21" s="239">
        <v>11947.388374999999</v>
      </c>
      <c r="BX21" s="239">
        <v>648101</v>
      </c>
      <c r="BY21" s="239">
        <v>0</v>
      </c>
      <c r="BZ21" s="239">
        <v>13226</v>
      </c>
      <c r="CA21" s="239">
        <v>-12912</v>
      </c>
      <c r="CB21" s="239">
        <v>0</v>
      </c>
      <c r="CC21" s="239">
        <v>-1279</v>
      </c>
      <c r="CD21" s="239">
        <v>0</v>
      </c>
      <c r="CE21" s="239">
        <v>0</v>
      </c>
      <c r="CF21" s="239">
        <v>0</v>
      </c>
      <c r="CG21" s="239">
        <v>0</v>
      </c>
      <c r="CH21" s="239">
        <v>0</v>
      </c>
      <c r="CI21" s="239">
        <v>0</v>
      </c>
      <c r="CJ21" s="239">
        <v>0</v>
      </c>
      <c r="CK21" s="239">
        <v>0</v>
      </c>
      <c r="CL21" s="239">
        <v>0</v>
      </c>
      <c r="CM21" s="239">
        <v>4841.7032708333327</v>
      </c>
      <c r="CN21" s="239">
        <v>0</v>
      </c>
      <c r="CO21" s="239">
        <v>98.810270833333334</v>
      </c>
      <c r="CP21" s="239">
        <v>0</v>
      </c>
      <c r="CQ21" s="239">
        <v>0</v>
      </c>
      <c r="CR21" s="239">
        <v>0</v>
      </c>
      <c r="CS21" s="239">
        <v>4842</v>
      </c>
      <c r="CT21" s="239">
        <v>0</v>
      </c>
      <c r="CU21" s="239">
        <v>99</v>
      </c>
      <c r="CV21" s="239">
        <v>447558.94254166662</v>
      </c>
      <c r="CW21" s="239">
        <v>0</v>
      </c>
      <c r="CX21" s="239">
        <v>8974.597041666666</v>
      </c>
      <c r="CY21" s="239">
        <v>471750</v>
      </c>
      <c r="CZ21" s="239">
        <v>0</v>
      </c>
      <c r="DA21" s="239">
        <v>9399</v>
      </c>
      <c r="DB21" s="239">
        <v>-24191</v>
      </c>
      <c r="DC21" s="239">
        <v>0</v>
      </c>
      <c r="DD21" s="239">
        <v>-424</v>
      </c>
      <c r="DE21" s="214">
        <v>0.5</v>
      </c>
      <c r="DF21" s="214">
        <v>0.49</v>
      </c>
      <c r="DG21" s="214">
        <v>0</v>
      </c>
      <c r="DH21" s="214">
        <v>0.01</v>
      </c>
      <c r="DI21" s="214" t="s">
        <v>748</v>
      </c>
    </row>
    <row r="22" spans="2:113" s="214" customFormat="1" x14ac:dyDescent="0.2">
      <c r="B22" s="610" t="s">
        <v>127</v>
      </c>
      <c r="C22" s="610" t="s">
        <v>126</v>
      </c>
      <c r="D22" s="239">
        <v>-488421</v>
      </c>
      <c r="E22" s="239">
        <v>0</v>
      </c>
      <c r="F22" s="239">
        <v>-488421</v>
      </c>
      <c r="G22" s="239">
        <v>0</v>
      </c>
      <c r="H22" s="239">
        <v>0</v>
      </c>
      <c r="I22" s="239">
        <v>0</v>
      </c>
      <c r="J22" s="239">
        <v>-488421</v>
      </c>
      <c r="K22" s="239">
        <v>0</v>
      </c>
      <c r="L22" s="239">
        <v>-488421</v>
      </c>
      <c r="M22" s="239">
        <v>232529</v>
      </c>
      <c r="N22" s="239">
        <v>232529</v>
      </c>
      <c r="O22" s="239">
        <v>0</v>
      </c>
      <c r="P22" s="239">
        <v>0</v>
      </c>
      <c r="Q22" s="239">
        <v>0</v>
      </c>
      <c r="R22" s="239">
        <v>0</v>
      </c>
      <c r="S22" s="239">
        <v>250744</v>
      </c>
      <c r="T22" s="239">
        <v>0</v>
      </c>
      <c r="U22" s="239">
        <v>0</v>
      </c>
      <c r="V22" s="239">
        <v>0</v>
      </c>
      <c r="W22" s="239">
        <v>250744</v>
      </c>
      <c r="X22" s="239">
        <v>0</v>
      </c>
      <c r="Y22" s="239">
        <v>0</v>
      </c>
      <c r="Z22" s="239">
        <v>0</v>
      </c>
      <c r="AA22" s="239">
        <v>0</v>
      </c>
      <c r="AB22" s="239">
        <v>0</v>
      </c>
      <c r="AC22" s="239">
        <v>0</v>
      </c>
      <c r="AD22" s="239">
        <v>0</v>
      </c>
      <c r="AE22" s="239">
        <v>0</v>
      </c>
      <c r="AF22" s="239">
        <v>0</v>
      </c>
      <c r="AG22" s="239">
        <v>0</v>
      </c>
      <c r="AH22" s="239">
        <v>0</v>
      </c>
      <c r="AI22" s="239">
        <v>0</v>
      </c>
      <c r="AJ22" s="239">
        <v>0</v>
      </c>
      <c r="AK22" s="239">
        <v>815609.2512604167</v>
      </c>
      <c r="AL22" s="239">
        <v>0</v>
      </c>
      <c r="AM22" s="239">
        <v>16645.086760416667</v>
      </c>
      <c r="AN22" s="239">
        <v>773207</v>
      </c>
      <c r="AO22" s="239">
        <v>0</v>
      </c>
      <c r="AP22" s="239">
        <v>15780</v>
      </c>
      <c r="AQ22" s="239">
        <v>42402</v>
      </c>
      <c r="AR22" s="239">
        <v>0</v>
      </c>
      <c r="AS22" s="239">
        <v>865</v>
      </c>
      <c r="AT22" s="239">
        <v>4153.6534374999992</v>
      </c>
      <c r="AU22" s="239">
        <v>0</v>
      </c>
      <c r="AV22" s="239">
        <v>84.76843749999999</v>
      </c>
      <c r="AW22" s="239">
        <v>995</v>
      </c>
      <c r="AX22" s="239">
        <v>0</v>
      </c>
      <c r="AY22" s="239">
        <v>20</v>
      </c>
      <c r="AZ22" s="239">
        <v>3159</v>
      </c>
      <c r="BA22" s="239">
        <v>0</v>
      </c>
      <c r="BB22" s="239">
        <v>65</v>
      </c>
      <c r="BC22" s="239">
        <v>24462.060729166667</v>
      </c>
      <c r="BD22" s="239">
        <v>0</v>
      </c>
      <c r="BE22" s="239">
        <v>499.22572916666667</v>
      </c>
      <c r="BF22" s="239">
        <v>4971</v>
      </c>
      <c r="BG22" s="239">
        <v>0</v>
      </c>
      <c r="BH22" s="239">
        <v>102</v>
      </c>
      <c r="BI22" s="239">
        <v>19491</v>
      </c>
      <c r="BJ22" s="239">
        <v>0</v>
      </c>
      <c r="BK22" s="239">
        <v>397</v>
      </c>
      <c r="BL22" s="239">
        <v>14907.912104166666</v>
      </c>
      <c r="BM22" s="239">
        <v>0</v>
      </c>
      <c r="BN22" s="239">
        <v>304.24310416666668</v>
      </c>
      <c r="BO22" s="239">
        <v>7457</v>
      </c>
      <c r="BP22" s="239">
        <v>0</v>
      </c>
      <c r="BQ22" s="239">
        <v>152</v>
      </c>
      <c r="BR22" s="239">
        <v>7451</v>
      </c>
      <c r="BS22" s="239">
        <v>0</v>
      </c>
      <c r="BT22" s="239">
        <v>152</v>
      </c>
      <c r="BU22" s="239">
        <v>398105.93185416673</v>
      </c>
      <c r="BV22" s="239">
        <v>0</v>
      </c>
      <c r="BW22" s="239">
        <v>8124.6108541666672</v>
      </c>
      <c r="BX22" s="239">
        <v>349991</v>
      </c>
      <c r="BY22" s="239">
        <v>0</v>
      </c>
      <c r="BZ22" s="239">
        <v>7142</v>
      </c>
      <c r="CA22" s="239">
        <v>48115</v>
      </c>
      <c r="CB22" s="239">
        <v>0</v>
      </c>
      <c r="CC22" s="239">
        <v>983</v>
      </c>
      <c r="CD22" s="239">
        <v>0</v>
      </c>
      <c r="CE22" s="239">
        <v>0</v>
      </c>
      <c r="CF22" s="239">
        <v>0</v>
      </c>
      <c r="CG22" s="239">
        <v>0</v>
      </c>
      <c r="CH22" s="239">
        <v>0</v>
      </c>
      <c r="CI22" s="239">
        <v>0</v>
      </c>
      <c r="CJ22" s="239">
        <v>0</v>
      </c>
      <c r="CK22" s="239">
        <v>0</v>
      </c>
      <c r="CL22" s="239">
        <v>0</v>
      </c>
      <c r="CM22" s="239">
        <v>0</v>
      </c>
      <c r="CN22" s="239">
        <v>0</v>
      </c>
      <c r="CO22" s="239">
        <v>0</v>
      </c>
      <c r="CP22" s="239">
        <v>0</v>
      </c>
      <c r="CQ22" s="239">
        <v>0</v>
      </c>
      <c r="CR22" s="239">
        <v>0</v>
      </c>
      <c r="CS22" s="239">
        <v>0</v>
      </c>
      <c r="CT22" s="239">
        <v>0</v>
      </c>
      <c r="CU22" s="239">
        <v>0</v>
      </c>
      <c r="CV22" s="239">
        <v>456356.35106249998</v>
      </c>
      <c r="CW22" s="239">
        <v>0</v>
      </c>
      <c r="CX22" s="239">
        <v>9238.768729166668</v>
      </c>
      <c r="CY22" s="239">
        <v>462889</v>
      </c>
      <c r="CZ22" s="239">
        <v>0</v>
      </c>
      <c r="DA22" s="239">
        <v>9447</v>
      </c>
      <c r="DB22" s="239">
        <v>-6533</v>
      </c>
      <c r="DC22" s="239">
        <v>0</v>
      </c>
      <c r="DD22" s="239">
        <v>-208</v>
      </c>
      <c r="DE22" s="214">
        <v>0.5</v>
      </c>
      <c r="DF22" s="214">
        <v>0.49</v>
      </c>
      <c r="DG22" s="214">
        <v>0</v>
      </c>
      <c r="DH22" s="214">
        <v>0.01</v>
      </c>
      <c r="DI22" s="214" t="s">
        <v>748</v>
      </c>
    </row>
    <row r="23" spans="2:113" s="214" customFormat="1" x14ac:dyDescent="0.2">
      <c r="B23" s="610" t="s">
        <v>129</v>
      </c>
      <c r="C23" s="610" t="s">
        <v>128</v>
      </c>
      <c r="D23" s="239">
        <v>-137452</v>
      </c>
      <c r="E23" s="239">
        <v>0</v>
      </c>
      <c r="F23" s="239">
        <v>-137452</v>
      </c>
      <c r="G23" s="239">
        <v>0</v>
      </c>
      <c r="H23" s="239">
        <v>0</v>
      </c>
      <c r="I23" s="239">
        <v>0</v>
      </c>
      <c r="J23" s="239">
        <v>-137452</v>
      </c>
      <c r="K23" s="239">
        <v>0</v>
      </c>
      <c r="L23" s="239">
        <v>-137452</v>
      </c>
      <c r="M23" s="239">
        <v>255418</v>
      </c>
      <c r="N23" s="239">
        <v>255418</v>
      </c>
      <c r="O23" s="239">
        <v>0</v>
      </c>
      <c r="P23" s="239">
        <v>0</v>
      </c>
      <c r="Q23" s="239">
        <v>0</v>
      </c>
      <c r="R23" s="239">
        <v>0</v>
      </c>
      <c r="S23" s="239">
        <v>0</v>
      </c>
      <c r="T23" s="239">
        <v>0</v>
      </c>
      <c r="U23" s="239">
        <v>0</v>
      </c>
      <c r="V23" s="239">
        <v>0</v>
      </c>
      <c r="W23" s="239">
        <v>0</v>
      </c>
      <c r="X23" s="239">
        <v>0</v>
      </c>
      <c r="Y23" s="239">
        <v>0</v>
      </c>
      <c r="Z23" s="239">
        <v>0</v>
      </c>
      <c r="AA23" s="239">
        <v>0</v>
      </c>
      <c r="AB23" s="239">
        <v>0</v>
      </c>
      <c r="AC23" s="239">
        <v>0</v>
      </c>
      <c r="AD23" s="239">
        <v>0</v>
      </c>
      <c r="AE23" s="239">
        <v>0</v>
      </c>
      <c r="AF23" s="239">
        <v>0</v>
      </c>
      <c r="AG23" s="239">
        <v>0</v>
      </c>
      <c r="AH23" s="239">
        <v>0</v>
      </c>
      <c r="AI23" s="239">
        <v>0</v>
      </c>
      <c r="AJ23" s="239">
        <v>0</v>
      </c>
      <c r="AK23" s="239">
        <v>622432.11281249986</v>
      </c>
      <c r="AL23" s="239">
        <v>414954.74187500001</v>
      </c>
      <c r="AM23" s="239">
        <v>0</v>
      </c>
      <c r="AN23" s="239">
        <v>602195</v>
      </c>
      <c r="AO23" s="239">
        <v>401464</v>
      </c>
      <c r="AP23" s="239">
        <v>0</v>
      </c>
      <c r="AQ23" s="239">
        <v>20237</v>
      </c>
      <c r="AR23" s="239">
        <v>13491</v>
      </c>
      <c r="AS23" s="239">
        <v>0</v>
      </c>
      <c r="AT23" s="239">
        <v>0</v>
      </c>
      <c r="AU23" s="239">
        <v>0</v>
      </c>
      <c r="AV23" s="239">
        <v>0</v>
      </c>
      <c r="AW23" s="239">
        <v>0</v>
      </c>
      <c r="AX23" s="239">
        <v>0</v>
      </c>
      <c r="AY23" s="239">
        <v>0</v>
      </c>
      <c r="AZ23" s="239">
        <v>0</v>
      </c>
      <c r="BA23" s="239">
        <v>0</v>
      </c>
      <c r="BB23" s="239">
        <v>0</v>
      </c>
      <c r="BC23" s="239">
        <v>0</v>
      </c>
      <c r="BD23" s="239">
        <v>0</v>
      </c>
      <c r="BE23" s="239">
        <v>0</v>
      </c>
      <c r="BF23" s="239">
        <v>0</v>
      </c>
      <c r="BG23" s="239">
        <v>0</v>
      </c>
      <c r="BH23" s="239">
        <v>0</v>
      </c>
      <c r="BI23" s="239">
        <v>0</v>
      </c>
      <c r="BJ23" s="239">
        <v>0</v>
      </c>
      <c r="BK23" s="239">
        <v>0</v>
      </c>
      <c r="BL23" s="239">
        <v>5026.7531249999993</v>
      </c>
      <c r="BM23" s="239">
        <v>3351.1687500000003</v>
      </c>
      <c r="BN23" s="239">
        <v>0</v>
      </c>
      <c r="BO23" s="239">
        <v>1669</v>
      </c>
      <c r="BP23" s="239">
        <v>1114</v>
      </c>
      <c r="BQ23" s="239">
        <v>0</v>
      </c>
      <c r="BR23" s="239">
        <v>3358</v>
      </c>
      <c r="BS23" s="239">
        <v>2237</v>
      </c>
      <c r="BT23" s="239">
        <v>0</v>
      </c>
      <c r="BU23" s="239">
        <v>401346.44</v>
      </c>
      <c r="BV23" s="239">
        <v>267564.29333333333</v>
      </c>
      <c r="BW23" s="239">
        <v>0</v>
      </c>
      <c r="BX23" s="239">
        <v>349592</v>
      </c>
      <c r="BY23" s="239">
        <v>233060</v>
      </c>
      <c r="BZ23" s="239">
        <v>0</v>
      </c>
      <c r="CA23" s="239">
        <v>51754</v>
      </c>
      <c r="CB23" s="239">
        <v>34504</v>
      </c>
      <c r="CC23" s="239">
        <v>0</v>
      </c>
      <c r="CD23" s="239">
        <v>0</v>
      </c>
      <c r="CE23" s="239">
        <v>0</v>
      </c>
      <c r="CF23" s="239">
        <v>0</v>
      </c>
      <c r="CG23" s="239">
        <v>0</v>
      </c>
      <c r="CH23" s="239">
        <v>0</v>
      </c>
      <c r="CI23" s="239">
        <v>0</v>
      </c>
      <c r="CJ23" s="239">
        <v>0</v>
      </c>
      <c r="CK23" s="239">
        <v>0</v>
      </c>
      <c r="CL23" s="239">
        <v>0</v>
      </c>
      <c r="CM23" s="239">
        <v>70.310625000000002</v>
      </c>
      <c r="CN23" s="239">
        <v>46.873750000000001</v>
      </c>
      <c r="CO23" s="239">
        <v>0</v>
      </c>
      <c r="CP23" s="239">
        <v>0</v>
      </c>
      <c r="CQ23" s="239">
        <v>0</v>
      </c>
      <c r="CR23" s="239">
        <v>0</v>
      </c>
      <c r="CS23" s="239">
        <v>70</v>
      </c>
      <c r="CT23" s="239">
        <v>47</v>
      </c>
      <c r="CU23" s="239">
        <v>0</v>
      </c>
      <c r="CV23" s="239">
        <v>297229.60749999998</v>
      </c>
      <c r="CW23" s="239">
        <v>198153.07166666668</v>
      </c>
      <c r="CX23" s="239">
        <v>0</v>
      </c>
      <c r="CY23" s="239">
        <v>297001</v>
      </c>
      <c r="CZ23" s="239">
        <v>198001</v>
      </c>
      <c r="DA23" s="239">
        <v>0</v>
      </c>
      <c r="DB23" s="239">
        <v>229</v>
      </c>
      <c r="DC23" s="239">
        <v>152</v>
      </c>
      <c r="DD23" s="239">
        <v>0</v>
      </c>
      <c r="DE23" s="214">
        <v>0.5</v>
      </c>
      <c r="DF23" s="214">
        <v>0.3</v>
      </c>
      <c r="DG23" s="214">
        <v>0.2</v>
      </c>
      <c r="DH23" s="214">
        <v>0</v>
      </c>
      <c r="DI23" s="214" t="s">
        <v>1295</v>
      </c>
    </row>
    <row r="24" spans="2:113" s="214" customFormat="1" x14ac:dyDescent="0.2">
      <c r="B24" s="610" t="s">
        <v>131</v>
      </c>
      <c r="C24" s="610" t="s">
        <v>130</v>
      </c>
      <c r="D24" s="239">
        <v>-1498782</v>
      </c>
      <c r="E24" s="239">
        <v>425422</v>
      </c>
      <c r="F24" s="239">
        <v>-1073360</v>
      </c>
      <c r="G24" s="239">
        <v>0</v>
      </c>
      <c r="H24" s="239">
        <v>0</v>
      </c>
      <c r="I24" s="239">
        <v>0</v>
      </c>
      <c r="J24" s="239">
        <v>-1498782</v>
      </c>
      <c r="K24" s="239">
        <v>425422</v>
      </c>
      <c r="L24" s="239">
        <v>-1073360</v>
      </c>
      <c r="M24" s="239">
        <v>1942039</v>
      </c>
      <c r="N24" s="239">
        <v>1942039</v>
      </c>
      <c r="O24" s="239">
        <v>0</v>
      </c>
      <c r="P24" s="239">
        <v>1376595</v>
      </c>
      <c r="Q24" s="239">
        <v>4976341</v>
      </c>
      <c r="R24" s="239">
        <v>-3599746</v>
      </c>
      <c r="S24" s="239">
        <v>0</v>
      </c>
      <c r="T24" s="239">
        <v>0</v>
      </c>
      <c r="U24" s="239">
        <v>0</v>
      </c>
      <c r="V24" s="239">
        <v>0</v>
      </c>
      <c r="W24" s="239">
        <v>0</v>
      </c>
      <c r="X24" s="239">
        <v>0</v>
      </c>
      <c r="Y24" s="239">
        <v>413007.45208333334</v>
      </c>
      <c r="Z24" s="239">
        <v>413007.45208333334</v>
      </c>
      <c r="AA24" s="239">
        <v>0</v>
      </c>
      <c r="AB24" s="239">
        <v>0</v>
      </c>
      <c r="AC24" s="239">
        <v>524900</v>
      </c>
      <c r="AD24" s="239">
        <v>524900</v>
      </c>
      <c r="AE24" s="239">
        <v>0</v>
      </c>
      <c r="AF24" s="239">
        <v>0</v>
      </c>
      <c r="AG24" s="239">
        <v>-111893</v>
      </c>
      <c r="AH24" s="239">
        <v>-111893</v>
      </c>
      <c r="AI24" s="239">
        <v>0</v>
      </c>
      <c r="AJ24" s="239">
        <v>0</v>
      </c>
      <c r="AK24" s="239">
        <v>6205437.5610833317</v>
      </c>
      <c r="AL24" s="239">
        <v>0</v>
      </c>
      <c r="AM24" s="239">
        <v>124535.17329166667</v>
      </c>
      <c r="AN24" s="239">
        <v>5672134</v>
      </c>
      <c r="AO24" s="239">
        <v>0</v>
      </c>
      <c r="AP24" s="239">
        <v>115758</v>
      </c>
      <c r="AQ24" s="239">
        <v>533304</v>
      </c>
      <c r="AR24" s="239">
        <v>0</v>
      </c>
      <c r="AS24" s="239">
        <v>8777</v>
      </c>
      <c r="AT24" s="239">
        <v>41088.60597916667</v>
      </c>
      <c r="AU24" s="239">
        <v>0</v>
      </c>
      <c r="AV24" s="239">
        <v>838.54297916666656</v>
      </c>
      <c r="AW24" s="239">
        <v>0</v>
      </c>
      <c r="AX24" s="239">
        <v>0</v>
      </c>
      <c r="AY24" s="239">
        <v>0</v>
      </c>
      <c r="AZ24" s="239">
        <v>41089</v>
      </c>
      <c r="BA24" s="239">
        <v>0</v>
      </c>
      <c r="BB24" s="239">
        <v>839</v>
      </c>
      <c r="BC24" s="239">
        <v>38622.803229166668</v>
      </c>
      <c r="BD24" s="239">
        <v>0</v>
      </c>
      <c r="BE24" s="239">
        <v>795.28114583333331</v>
      </c>
      <c r="BF24" s="239">
        <v>2902</v>
      </c>
      <c r="BG24" s="239">
        <v>0</v>
      </c>
      <c r="BH24" s="239">
        <v>60</v>
      </c>
      <c r="BI24" s="239">
        <v>35721</v>
      </c>
      <c r="BJ24" s="239">
        <v>0</v>
      </c>
      <c r="BK24" s="239">
        <v>735</v>
      </c>
      <c r="BL24" s="239">
        <v>37779.603312500003</v>
      </c>
      <c r="BM24" s="239">
        <v>0</v>
      </c>
      <c r="BN24" s="239">
        <v>771.01231250000001</v>
      </c>
      <c r="BO24" s="239">
        <v>0</v>
      </c>
      <c r="BP24" s="239">
        <v>0</v>
      </c>
      <c r="BQ24" s="239">
        <v>0</v>
      </c>
      <c r="BR24" s="239">
        <v>37780</v>
      </c>
      <c r="BS24" s="239">
        <v>0</v>
      </c>
      <c r="BT24" s="239">
        <v>771</v>
      </c>
      <c r="BU24" s="239">
        <v>2453285.9470208334</v>
      </c>
      <c r="BV24" s="239">
        <v>0</v>
      </c>
      <c r="BW24" s="239">
        <v>49102.170687500002</v>
      </c>
      <c r="BX24" s="239">
        <v>3835306</v>
      </c>
      <c r="BY24" s="239">
        <v>0</v>
      </c>
      <c r="BZ24" s="239">
        <v>78272</v>
      </c>
      <c r="CA24" s="239">
        <v>-1382020</v>
      </c>
      <c r="CB24" s="239">
        <v>0</v>
      </c>
      <c r="CC24" s="239">
        <v>-29170</v>
      </c>
      <c r="CD24" s="239">
        <v>0</v>
      </c>
      <c r="CE24" s="239">
        <v>0</v>
      </c>
      <c r="CF24" s="239">
        <v>0</v>
      </c>
      <c r="CG24" s="239">
        <v>0</v>
      </c>
      <c r="CH24" s="239">
        <v>0</v>
      </c>
      <c r="CI24" s="239">
        <v>0</v>
      </c>
      <c r="CJ24" s="239">
        <v>0</v>
      </c>
      <c r="CK24" s="239">
        <v>0</v>
      </c>
      <c r="CL24" s="239">
        <v>0</v>
      </c>
      <c r="CM24" s="239">
        <v>0</v>
      </c>
      <c r="CN24" s="239">
        <v>0</v>
      </c>
      <c r="CO24" s="239">
        <v>0</v>
      </c>
      <c r="CP24" s="239">
        <v>0</v>
      </c>
      <c r="CQ24" s="239">
        <v>0</v>
      </c>
      <c r="CR24" s="239">
        <v>0</v>
      </c>
      <c r="CS24" s="239">
        <v>0</v>
      </c>
      <c r="CT24" s="239">
        <v>0</v>
      </c>
      <c r="CU24" s="239">
        <v>0</v>
      </c>
      <c r="CV24" s="239">
        <v>2736602.75875</v>
      </c>
      <c r="CW24" s="239">
        <v>0</v>
      </c>
      <c r="CX24" s="239">
        <v>55439.334999999999</v>
      </c>
      <c r="CY24" s="239">
        <v>2973393</v>
      </c>
      <c r="CZ24" s="239">
        <v>0</v>
      </c>
      <c r="DA24" s="239">
        <v>59044</v>
      </c>
      <c r="DB24" s="239">
        <v>-236790</v>
      </c>
      <c r="DC24" s="239">
        <v>0</v>
      </c>
      <c r="DD24" s="239">
        <v>-3605</v>
      </c>
      <c r="DE24" s="214">
        <v>0.5</v>
      </c>
      <c r="DF24" s="214">
        <v>0.49</v>
      </c>
      <c r="DG24" s="214">
        <v>0</v>
      </c>
      <c r="DH24" s="214">
        <v>0.01</v>
      </c>
      <c r="DI24" s="214" t="s">
        <v>1296</v>
      </c>
    </row>
    <row r="25" spans="2:113" s="214" customFormat="1" x14ac:dyDescent="0.2">
      <c r="B25" s="610" t="s">
        <v>133</v>
      </c>
      <c r="C25" s="610" t="s">
        <v>132</v>
      </c>
      <c r="D25" s="239">
        <v>-81197</v>
      </c>
      <c r="E25" s="239">
        <v>0</v>
      </c>
      <c r="F25" s="239">
        <v>-81197</v>
      </c>
      <c r="G25" s="239">
        <v>0</v>
      </c>
      <c r="H25" s="239">
        <v>0</v>
      </c>
      <c r="I25" s="239">
        <v>0</v>
      </c>
      <c r="J25" s="239">
        <v>-81197</v>
      </c>
      <c r="K25" s="239">
        <v>0</v>
      </c>
      <c r="L25" s="239">
        <v>-81197</v>
      </c>
      <c r="M25" s="239">
        <v>101936</v>
      </c>
      <c r="N25" s="239">
        <v>101936</v>
      </c>
      <c r="O25" s="239">
        <v>0</v>
      </c>
      <c r="P25" s="239">
        <v>0</v>
      </c>
      <c r="Q25" s="239">
        <v>0</v>
      </c>
      <c r="R25" s="239">
        <v>0</v>
      </c>
      <c r="S25" s="239">
        <v>0</v>
      </c>
      <c r="T25" s="239">
        <v>0</v>
      </c>
      <c r="U25" s="239">
        <v>0</v>
      </c>
      <c r="V25" s="239">
        <v>0</v>
      </c>
      <c r="W25" s="239">
        <v>0</v>
      </c>
      <c r="X25" s="239">
        <v>0</v>
      </c>
      <c r="Y25" s="239">
        <v>0</v>
      </c>
      <c r="Z25" s="239">
        <v>0</v>
      </c>
      <c r="AA25" s="239">
        <v>0</v>
      </c>
      <c r="AB25" s="239">
        <v>0</v>
      </c>
      <c r="AC25" s="239">
        <v>0</v>
      </c>
      <c r="AD25" s="239">
        <v>0</v>
      </c>
      <c r="AE25" s="239">
        <v>0</v>
      </c>
      <c r="AF25" s="239">
        <v>0</v>
      </c>
      <c r="AG25" s="239">
        <v>0</v>
      </c>
      <c r="AH25" s="239">
        <v>0</v>
      </c>
      <c r="AI25" s="239">
        <v>0</v>
      </c>
      <c r="AJ25" s="239">
        <v>0</v>
      </c>
      <c r="AK25" s="239">
        <v>260366.23041666669</v>
      </c>
      <c r="AL25" s="239">
        <v>58582.401843750005</v>
      </c>
      <c r="AM25" s="239">
        <v>6509.1557604166674</v>
      </c>
      <c r="AN25" s="239">
        <v>244369</v>
      </c>
      <c r="AO25" s="239">
        <v>54984</v>
      </c>
      <c r="AP25" s="239">
        <v>6110</v>
      </c>
      <c r="AQ25" s="239">
        <v>15997</v>
      </c>
      <c r="AR25" s="239">
        <v>3598</v>
      </c>
      <c r="AS25" s="239">
        <v>399</v>
      </c>
      <c r="AT25" s="239">
        <v>3977.5725000000002</v>
      </c>
      <c r="AU25" s="239">
        <v>894.95381249999991</v>
      </c>
      <c r="AV25" s="239">
        <v>99.4393125</v>
      </c>
      <c r="AW25" s="239">
        <v>0</v>
      </c>
      <c r="AX25" s="239">
        <v>0</v>
      </c>
      <c r="AY25" s="239">
        <v>0</v>
      </c>
      <c r="AZ25" s="239">
        <v>3978</v>
      </c>
      <c r="BA25" s="239">
        <v>895</v>
      </c>
      <c r="BB25" s="239">
        <v>99</v>
      </c>
      <c r="BC25" s="239">
        <v>239.8475</v>
      </c>
      <c r="BD25" s="239">
        <v>53.965687499999994</v>
      </c>
      <c r="BE25" s="239">
        <v>5.9961874999999996</v>
      </c>
      <c r="BF25" s="239">
        <v>0</v>
      </c>
      <c r="BG25" s="239">
        <v>0</v>
      </c>
      <c r="BH25" s="239">
        <v>0</v>
      </c>
      <c r="BI25" s="239">
        <v>240</v>
      </c>
      <c r="BJ25" s="239">
        <v>54</v>
      </c>
      <c r="BK25" s="239">
        <v>6</v>
      </c>
      <c r="BL25" s="239">
        <v>161.92750000000001</v>
      </c>
      <c r="BM25" s="239">
        <v>36.433687499999998</v>
      </c>
      <c r="BN25" s="239">
        <v>4.0481875</v>
      </c>
      <c r="BO25" s="239">
        <v>0</v>
      </c>
      <c r="BP25" s="239">
        <v>0</v>
      </c>
      <c r="BQ25" s="239">
        <v>0</v>
      </c>
      <c r="BR25" s="239">
        <v>162</v>
      </c>
      <c r="BS25" s="239">
        <v>36</v>
      </c>
      <c r="BT25" s="239">
        <v>4</v>
      </c>
      <c r="BU25" s="239">
        <v>58615.72583333333</v>
      </c>
      <c r="BV25" s="239">
        <v>13188.538312499999</v>
      </c>
      <c r="BW25" s="239">
        <v>1465.3931458333332</v>
      </c>
      <c r="BX25" s="239">
        <v>41342</v>
      </c>
      <c r="BY25" s="239">
        <v>9302</v>
      </c>
      <c r="BZ25" s="239">
        <v>1034</v>
      </c>
      <c r="CA25" s="239">
        <v>17274</v>
      </c>
      <c r="CB25" s="239">
        <v>3887</v>
      </c>
      <c r="CC25" s="239">
        <v>431</v>
      </c>
      <c r="CD25" s="239">
        <v>0</v>
      </c>
      <c r="CE25" s="239">
        <v>0</v>
      </c>
      <c r="CF25" s="239">
        <v>0</v>
      </c>
      <c r="CG25" s="239">
        <v>0</v>
      </c>
      <c r="CH25" s="239">
        <v>0</v>
      </c>
      <c r="CI25" s="239">
        <v>0</v>
      </c>
      <c r="CJ25" s="239">
        <v>0</v>
      </c>
      <c r="CK25" s="239">
        <v>0</v>
      </c>
      <c r="CL25" s="239">
        <v>0</v>
      </c>
      <c r="CM25" s="239">
        <v>0</v>
      </c>
      <c r="CN25" s="239">
        <v>0</v>
      </c>
      <c r="CO25" s="239">
        <v>0</v>
      </c>
      <c r="CP25" s="239">
        <v>0</v>
      </c>
      <c r="CQ25" s="239">
        <v>0</v>
      </c>
      <c r="CR25" s="239">
        <v>0</v>
      </c>
      <c r="CS25" s="239">
        <v>0</v>
      </c>
      <c r="CT25" s="239">
        <v>0</v>
      </c>
      <c r="CU25" s="239">
        <v>0</v>
      </c>
      <c r="CV25" s="239">
        <v>248911.10416666666</v>
      </c>
      <c r="CW25" s="239">
        <v>56004.998437499999</v>
      </c>
      <c r="CX25" s="239">
        <v>6222.7776041666666</v>
      </c>
      <c r="CY25" s="239">
        <v>249092</v>
      </c>
      <c r="CZ25" s="239">
        <v>56046</v>
      </c>
      <c r="DA25" s="239">
        <v>6227</v>
      </c>
      <c r="DB25" s="239">
        <v>-181</v>
      </c>
      <c r="DC25" s="239">
        <v>-41</v>
      </c>
      <c r="DD25" s="239">
        <v>-4</v>
      </c>
      <c r="DE25" s="214">
        <v>0.5</v>
      </c>
      <c r="DF25" s="214">
        <v>0.4</v>
      </c>
      <c r="DG25" s="214">
        <v>0.09</v>
      </c>
      <c r="DH25" s="214">
        <v>0.01</v>
      </c>
      <c r="DI25" s="214" t="s">
        <v>1294</v>
      </c>
    </row>
    <row r="26" spans="2:113" s="214" customFormat="1" x14ac:dyDescent="0.2">
      <c r="B26" s="610" t="s">
        <v>135</v>
      </c>
      <c r="C26" s="610" t="s">
        <v>134</v>
      </c>
      <c r="D26" s="239">
        <v>-147949</v>
      </c>
      <c r="E26" s="239">
        <v>0</v>
      </c>
      <c r="F26" s="239">
        <v>-147949</v>
      </c>
      <c r="G26" s="239">
        <v>0</v>
      </c>
      <c r="H26" s="239">
        <v>0</v>
      </c>
      <c r="I26" s="239">
        <v>0</v>
      </c>
      <c r="J26" s="239">
        <v>-147949</v>
      </c>
      <c r="K26" s="239">
        <v>0</v>
      </c>
      <c r="L26" s="239">
        <v>-147949</v>
      </c>
      <c r="M26" s="239">
        <v>252776</v>
      </c>
      <c r="N26" s="239">
        <v>252776</v>
      </c>
      <c r="O26" s="239">
        <v>0</v>
      </c>
      <c r="P26" s="239">
        <v>0</v>
      </c>
      <c r="Q26" s="239">
        <v>0</v>
      </c>
      <c r="R26" s="239">
        <v>0</v>
      </c>
      <c r="S26" s="239">
        <v>0</v>
      </c>
      <c r="T26" s="239">
        <v>0</v>
      </c>
      <c r="U26" s="239">
        <v>0</v>
      </c>
      <c r="V26" s="239">
        <v>0</v>
      </c>
      <c r="W26" s="239">
        <v>0</v>
      </c>
      <c r="X26" s="239">
        <v>0</v>
      </c>
      <c r="Y26" s="239">
        <v>0</v>
      </c>
      <c r="Z26" s="239">
        <v>0</v>
      </c>
      <c r="AA26" s="239">
        <v>0</v>
      </c>
      <c r="AB26" s="239">
        <v>0</v>
      </c>
      <c r="AC26" s="239">
        <v>0</v>
      </c>
      <c r="AD26" s="239">
        <v>0</v>
      </c>
      <c r="AE26" s="239">
        <v>0</v>
      </c>
      <c r="AF26" s="239">
        <v>0</v>
      </c>
      <c r="AG26" s="239">
        <v>0</v>
      </c>
      <c r="AH26" s="239">
        <v>0</v>
      </c>
      <c r="AI26" s="239">
        <v>0</v>
      </c>
      <c r="AJ26" s="239">
        <v>0</v>
      </c>
      <c r="AK26" s="239">
        <v>1345491.6405729165</v>
      </c>
      <c r="AL26" s="239">
        <v>0</v>
      </c>
      <c r="AM26" s="239">
        <v>27459.013072916667</v>
      </c>
      <c r="AN26" s="239">
        <v>1260264</v>
      </c>
      <c r="AO26" s="239">
        <v>0</v>
      </c>
      <c r="AP26" s="239">
        <v>25720</v>
      </c>
      <c r="AQ26" s="239">
        <v>85228</v>
      </c>
      <c r="AR26" s="239">
        <v>0</v>
      </c>
      <c r="AS26" s="239">
        <v>1739</v>
      </c>
      <c r="AT26" s="239">
        <v>9755.4926875000001</v>
      </c>
      <c r="AU26" s="239">
        <v>0</v>
      </c>
      <c r="AV26" s="239">
        <v>199.09168750000001</v>
      </c>
      <c r="AW26" s="239">
        <v>14915</v>
      </c>
      <c r="AX26" s="239">
        <v>0</v>
      </c>
      <c r="AY26" s="239">
        <v>304</v>
      </c>
      <c r="AZ26" s="239">
        <v>-5160</v>
      </c>
      <c r="BA26" s="239">
        <v>0</v>
      </c>
      <c r="BB26" s="239">
        <v>-105</v>
      </c>
      <c r="BC26" s="239">
        <v>36957.324104166662</v>
      </c>
      <c r="BD26" s="239">
        <v>0</v>
      </c>
      <c r="BE26" s="239">
        <v>754.23110416666668</v>
      </c>
      <c r="BF26" s="239">
        <v>0</v>
      </c>
      <c r="BG26" s="239">
        <v>0</v>
      </c>
      <c r="BH26" s="239">
        <v>0</v>
      </c>
      <c r="BI26" s="239">
        <v>36957</v>
      </c>
      <c r="BJ26" s="239">
        <v>0</v>
      </c>
      <c r="BK26" s="239">
        <v>754</v>
      </c>
      <c r="BL26" s="239">
        <v>77681.522187499999</v>
      </c>
      <c r="BM26" s="239">
        <v>0</v>
      </c>
      <c r="BN26" s="239">
        <v>1585.3371875000003</v>
      </c>
      <c r="BO26" s="239">
        <v>49715</v>
      </c>
      <c r="BP26" s="239">
        <v>0</v>
      </c>
      <c r="BQ26" s="239">
        <v>1014</v>
      </c>
      <c r="BR26" s="239">
        <v>27967</v>
      </c>
      <c r="BS26" s="239">
        <v>0</v>
      </c>
      <c r="BT26" s="239">
        <v>571</v>
      </c>
      <c r="BU26" s="239">
        <v>365500.12522916665</v>
      </c>
      <c r="BV26" s="239">
        <v>0</v>
      </c>
      <c r="BW26" s="239">
        <v>7459.1862291666675</v>
      </c>
      <c r="BX26" s="239">
        <v>365401</v>
      </c>
      <c r="BY26" s="239">
        <v>0</v>
      </c>
      <c r="BZ26" s="239">
        <v>7458</v>
      </c>
      <c r="CA26" s="239">
        <v>99</v>
      </c>
      <c r="CB26" s="239">
        <v>0</v>
      </c>
      <c r="CC26" s="239">
        <v>1</v>
      </c>
      <c r="CD26" s="239">
        <v>0</v>
      </c>
      <c r="CE26" s="239">
        <v>0</v>
      </c>
      <c r="CF26" s="239">
        <v>0</v>
      </c>
      <c r="CG26" s="239">
        <v>2492</v>
      </c>
      <c r="CH26" s="239">
        <v>0</v>
      </c>
      <c r="CI26" s="239">
        <v>0</v>
      </c>
      <c r="CJ26" s="239">
        <v>-2492</v>
      </c>
      <c r="CK26" s="239">
        <v>0</v>
      </c>
      <c r="CL26" s="239">
        <v>0</v>
      </c>
      <c r="CM26" s="239">
        <v>3458.6435624999999</v>
      </c>
      <c r="CN26" s="239">
        <v>0</v>
      </c>
      <c r="CO26" s="239">
        <v>70.584562500000004</v>
      </c>
      <c r="CP26" s="239">
        <v>0</v>
      </c>
      <c r="CQ26" s="239">
        <v>0</v>
      </c>
      <c r="CR26" s="239">
        <v>0</v>
      </c>
      <c r="CS26" s="239">
        <v>3459</v>
      </c>
      <c r="CT26" s="239">
        <v>0</v>
      </c>
      <c r="CU26" s="239">
        <v>71</v>
      </c>
      <c r="CV26" s="239">
        <v>321067.12939583336</v>
      </c>
      <c r="CW26" s="239">
        <v>0</v>
      </c>
      <c r="CX26" s="239">
        <v>6552.390395833334</v>
      </c>
      <c r="CY26" s="239">
        <v>332111</v>
      </c>
      <c r="CZ26" s="239">
        <v>0</v>
      </c>
      <c r="DA26" s="239">
        <v>6778</v>
      </c>
      <c r="DB26" s="239">
        <v>-11044</v>
      </c>
      <c r="DC26" s="239">
        <v>0</v>
      </c>
      <c r="DD26" s="239">
        <v>-226</v>
      </c>
      <c r="DE26" s="214">
        <v>0.5</v>
      </c>
      <c r="DF26" s="214">
        <v>0.49</v>
      </c>
      <c r="DG26" s="214">
        <v>0</v>
      </c>
      <c r="DH26" s="214">
        <v>0.01</v>
      </c>
      <c r="DI26" s="214" t="s">
        <v>748</v>
      </c>
    </row>
    <row r="27" spans="2:113" s="214" customFormat="1" x14ac:dyDescent="0.2">
      <c r="B27" s="610" t="s">
        <v>137</v>
      </c>
      <c r="C27" s="610" t="s">
        <v>136</v>
      </c>
      <c r="D27" s="239">
        <v>-340272</v>
      </c>
      <c r="E27" s="239">
        <v>0</v>
      </c>
      <c r="F27" s="239">
        <v>-340272</v>
      </c>
      <c r="G27" s="239">
        <v>0</v>
      </c>
      <c r="H27" s="239">
        <v>0</v>
      </c>
      <c r="I27" s="239">
        <v>0</v>
      </c>
      <c r="J27" s="239">
        <v>-340272</v>
      </c>
      <c r="K27" s="239">
        <v>0</v>
      </c>
      <c r="L27" s="239">
        <v>-340272</v>
      </c>
      <c r="M27" s="239">
        <v>274824</v>
      </c>
      <c r="N27" s="239">
        <v>274824</v>
      </c>
      <c r="O27" s="239">
        <v>0</v>
      </c>
      <c r="P27" s="239">
        <v>0</v>
      </c>
      <c r="Q27" s="239">
        <v>0</v>
      </c>
      <c r="R27" s="239">
        <v>0</v>
      </c>
      <c r="S27" s="239">
        <v>0</v>
      </c>
      <c r="T27" s="239">
        <v>0</v>
      </c>
      <c r="U27" s="239">
        <v>0</v>
      </c>
      <c r="V27" s="239">
        <v>0</v>
      </c>
      <c r="W27" s="239">
        <v>0</v>
      </c>
      <c r="X27" s="239">
        <v>0</v>
      </c>
      <c r="Y27" s="239">
        <v>0</v>
      </c>
      <c r="Z27" s="239">
        <v>0</v>
      </c>
      <c r="AA27" s="239">
        <v>0</v>
      </c>
      <c r="AB27" s="239">
        <v>0</v>
      </c>
      <c r="AC27" s="239">
        <v>0</v>
      </c>
      <c r="AD27" s="239">
        <v>0</v>
      </c>
      <c r="AE27" s="239">
        <v>0</v>
      </c>
      <c r="AF27" s="239">
        <v>0</v>
      </c>
      <c r="AG27" s="239">
        <v>0</v>
      </c>
      <c r="AH27" s="239">
        <v>0</v>
      </c>
      <c r="AI27" s="239">
        <v>0</v>
      </c>
      <c r="AJ27" s="239">
        <v>0</v>
      </c>
      <c r="AK27" s="239">
        <v>1574175.2438854168</v>
      </c>
      <c r="AL27" s="239">
        <v>0</v>
      </c>
      <c r="AM27" s="239">
        <v>32126.025385416669</v>
      </c>
      <c r="AN27" s="239">
        <v>1534860</v>
      </c>
      <c r="AO27" s="239">
        <v>0</v>
      </c>
      <c r="AP27" s="239">
        <v>31324</v>
      </c>
      <c r="AQ27" s="239">
        <v>39315</v>
      </c>
      <c r="AR27" s="239">
        <v>0</v>
      </c>
      <c r="AS27" s="239">
        <v>802</v>
      </c>
      <c r="AT27" s="239">
        <v>965.95435416666658</v>
      </c>
      <c r="AU27" s="239">
        <v>0</v>
      </c>
      <c r="AV27" s="239">
        <v>19.713354166666665</v>
      </c>
      <c r="AW27" s="239">
        <v>2170</v>
      </c>
      <c r="AX27" s="239">
        <v>0</v>
      </c>
      <c r="AY27" s="239">
        <v>44</v>
      </c>
      <c r="AZ27" s="239">
        <v>-1204</v>
      </c>
      <c r="BA27" s="239">
        <v>0</v>
      </c>
      <c r="BB27" s="239">
        <v>-24</v>
      </c>
      <c r="BC27" s="239">
        <v>-707.93566666666663</v>
      </c>
      <c r="BD27" s="239">
        <v>0</v>
      </c>
      <c r="BE27" s="239">
        <v>-14.447666666666667</v>
      </c>
      <c r="BF27" s="239">
        <v>3431</v>
      </c>
      <c r="BG27" s="239">
        <v>0</v>
      </c>
      <c r="BH27" s="239">
        <v>70</v>
      </c>
      <c r="BI27" s="239">
        <v>-4139</v>
      </c>
      <c r="BJ27" s="239">
        <v>0</v>
      </c>
      <c r="BK27" s="239">
        <v>-84</v>
      </c>
      <c r="BL27" s="239">
        <v>81364.87566666666</v>
      </c>
      <c r="BM27" s="239">
        <v>0</v>
      </c>
      <c r="BN27" s="239">
        <v>1660.5076666666666</v>
      </c>
      <c r="BO27" s="239">
        <v>57096</v>
      </c>
      <c r="BP27" s="239">
        <v>0</v>
      </c>
      <c r="BQ27" s="239">
        <v>1166</v>
      </c>
      <c r="BR27" s="239">
        <v>24269</v>
      </c>
      <c r="BS27" s="239">
        <v>0</v>
      </c>
      <c r="BT27" s="239">
        <v>495</v>
      </c>
      <c r="BU27" s="239">
        <v>465109.75583333336</v>
      </c>
      <c r="BV27" s="239">
        <v>0</v>
      </c>
      <c r="BW27" s="239">
        <v>9492.0358333333334</v>
      </c>
      <c r="BX27" s="239">
        <v>420704</v>
      </c>
      <c r="BY27" s="239">
        <v>0</v>
      </c>
      <c r="BZ27" s="239">
        <v>8586</v>
      </c>
      <c r="CA27" s="239">
        <v>44406</v>
      </c>
      <c r="CB27" s="239">
        <v>0</v>
      </c>
      <c r="CC27" s="239">
        <v>906</v>
      </c>
      <c r="CD27" s="239">
        <v>0</v>
      </c>
      <c r="CE27" s="239">
        <v>0</v>
      </c>
      <c r="CF27" s="239">
        <v>0</v>
      </c>
      <c r="CG27" s="239">
        <v>0</v>
      </c>
      <c r="CH27" s="239">
        <v>0</v>
      </c>
      <c r="CI27" s="239">
        <v>0</v>
      </c>
      <c r="CJ27" s="239">
        <v>0</v>
      </c>
      <c r="CK27" s="239">
        <v>0</v>
      </c>
      <c r="CL27" s="239">
        <v>0</v>
      </c>
      <c r="CM27" s="239">
        <v>2511.0836041666666</v>
      </c>
      <c r="CN27" s="239">
        <v>0</v>
      </c>
      <c r="CO27" s="239">
        <v>51.246604166666664</v>
      </c>
      <c r="CP27" s="239">
        <v>0</v>
      </c>
      <c r="CQ27" s="239">
        <v>0</v>
      </c>
      <c r="CR27" s="239">
        <v>0</v>
      </c>
      <c r="CS27" s="239">
        <v>2511</v>
      </c>
      <c r="CT27" s="239">
        <v>0</v>
      </c>
      <c r="CU27" s="239">
        <v>51</v>
      </c>
      <c r="CV27" s="239">
        <v>344535.06077083328</v>
      </c>
      <c r="CW27" s="239">
        <v>0</v>
      </c>
      <c r="CX27" s="239">
        <v>7031.3277708333335</v>
      </c>
      <c r="CY27" s="239">
        <v>349957</v>
      </c>
      <c r="CZ27" s="239">
        <v>0</v>
      </c>
      <c r="DA27" s="239">
        <v>7142</v>
      </c>
      <c r="DB27" s="239">
        <v>-5422</v>
      </c>
      <c r="DC27" s="239">
        <v>0</v>
      </c>
      <c r="DD27" s="239">
        <v>-111</v>
      </c>
      <c r="DE27" s="214">
        <v>0.5</v>
      </c>
      <c r="DF27" s="214">
        <v>0.49</v>
      </c>
      <c r="DG27" s="214">
        <v>0</v>
      </c>
      <c r="DH27" s="214">
        <v>0.01</v>
      </c>
      <c r="DI27" s="214" t="s">
        <v>748</v>
      </c>
    </row>
    <row r="28" spans="2:113" s="214" customFormat="1" x14ac:dyDescent="0.2">
      <c r="B28" s="610" t="s">
        <v>139</v>
      </c>
      <c r="C28" s="610" t="s">
        <v>138</v>
      </c>
      <c r="D28" s="239">
        <v>422158</v>
      </c>
      <c r="E28" s="239">
        <v>0</v>
      </c>
      <c r="F28" s="239">
        <v>422158</v>
      </c>
      <c r="G28" s="239">
        <v>0</v>
      </c>
      <c r="H28" s="239">
        <v>0</v>
      </c>
      <c r="I28" s="239">
        <v>0</v>
      </c>
      <c r="J28" s="239">
        <v>422158</v>
      </c>
      <c r="K28" s="239">
        <v>0</v>
      </c>
      <c r="L28" s="239">
        <v>422158</v>
      </c>
      <c r="M28" s="239">
        <v>94839</v>
      </c>
      <c r="N28" s="239">
        <v>94839</v>
      </c>
      <c r="O28" s="239">
        <v>0</v>
      </c>
      <c r="P28" s="239">
        <v>0</v>
      </c>
      <c r="Q28" s="239">
        <v>0</v>
      </c>
      <c r="R28" s="239">
        <v>0</v>
      </c>
      <c r="S28" s="239">
        <v>0</v>
      </c>
      <c r="T28" s="239">
        <v>0</v>
      </c>
      <c r="U28" s="239">
        <v>19200</v>
      </c>
      <c r="V28" s="239">
        <v>0</v>
      </c>
      <c r="W28" s="239">
        <v>-19200</v>
      </c>
      <c r="X28" s="239">
        <v>0</v>
      </c>
      <c r="Y28" s="239">
        <v>0</v>
      </c>
      <c r="Z28" s="239">
        <v>0</v>
      </c>
      <c r="AA28" s="239">
        <v>0</v>
      </c>
      <c r="AB28" s="239">
        <v>0</v>
      </c>
      <c r="AC28" s="239">
        <v>0</v>
      </c>
      <c r="AD28" s="239">
        <v>0</v>
      </c>
      <c r="AE28" s="239">
        <v>0</v>
      </c>
      <c r="AF28" s="239">
        <v>0</v>
      </c>
      <c r="AG28" s="239">
        <v>0</v>
      </c>
      <c r="AH28" s="239">
        <v>0</v>
      </c>
      <c r="AI28" s="239">
        <v>0</v>
      </c>
      <c r="AJ28" s="239">
        <v>0</v>
      </c>
      <c r="AK28" s="239">
        <v>283032.42791666667</v>
      </c>
      <c r="AL28" s="239">
        <v>63682.296281249997</v>
      </c>
      <c r="AM28" s="239">
        <v>7075.810697916666</v>
      </c>
      <c r="AN28" s="239">
        <v>258193</v>
      </c>
      <c r="AO28" s="239">
        <v>58094</v>
      </c>
      <c r="AP28" s="239">
        <v>6454</v>
      </c>
      <c r="AQ28" s="239">
        <v>24839</v>
      </c>
      <c r="AR28" s="239">
        <v>5588</v>
      </c>
      <c r="AS28" s="239">
        <v>622</v>
      </c>
      <c r="AT28" s="239">
        <v>0</v>
      </c>
      <c r="AU28" s="239">
        <v>0</v>
      </c>
      <c r="AV28" s="239">
        <v>0</v>
      </c>
      <c r="AW28" s="239">
        <v>0</v>
      </c>
      <c r="AX28" s="239">
        <v>0</v>
      </c>
      <c r="AY28" s="239">
        <v>0</v>
      </c>
      <c r="AZ28" s="239">
        <v>0</v>
      </c>
      <c r="BA28" s="239">
        <v>0</v>
      </c>
      <c r="BB28" s="239">
        <v>0</v>
      </c>
      <c r="BC28" s="239">
        <v>4425.2066666666669</v>
      </c>
      <c r="BD28" s="239">
        <v>995.67149999999992</v>
      </c>
      <c r="BE28" s="239">
        <v>110.63016666666667</v>
      </c>
      <c r="BF28" s="239">
        <v>0</v>
      </c>
      <c r="BG28" s="239">
        <v>0</v>
      </c>
      <c r="BH28" s="239">
        <v>0</v>
      </c>
      <c r="BI28" s="239">
        <v>4425</v>
      </c>
      <c r="BJ28" s="239">
        <v>996</v>
      </c>
      <c r="BK28" s="239">
        <v>111</v>
      </c>
      <c r="BL28" s="239">
        <v>0</v>
      </c>
      <c r="BM28" s="239">
        <v>0</v>
      </c>
      <c r="BN28" s="239">
        <v>0</v>
      </c>
      <c r="BO28" s="239">
        <v>0</v>
      </c>
      <c r="BP28" s="239">
        <v>0</v>
      </c>
      <c r="BQ28" s="239">
        <v>0</v>
      </c>
      <c r="BR28" s="239">
        <v>0</v>
      </c>
      <c r="BS28" s="239">
        <v>0</v>
      </c>
      <c r="BT28" s="239">
        <v>0</v>
      </c>
      <c r="BU28" s="239">
        <v>77407.838333333348</v>
      </c>
      <c r="BV28" s="239">
        <v>17416.763625</v>
      </c>
      <c r="BW28" s="239">
        <v>1935.1959583333335</v>
      </c>
      <c r="BX28" s="239">
        <v>82867</v>
      </c>
      <c r="BY28" s="239">
        <v>18646</v>
      </c>
      <c r="BZ28" s="239">
        <v>2072</v>
      </c>
      <c r="CA28" s="239">
        <v>-5459</v>
      </c>
      <c r="CB28" s="239">
        <v>-1229</v>
      </c>
      <c r="CC28" s="239">
        <v>-137</v>
      </c>
      <c r="CD28" s="239">
        <v>0</v>
      </c>
      <c r="CE28" s="239">
        <v>0</v>
      </c>
      <c r="CF28" s="239">
        <v>0</v>
      </c>
      <c r="CG28" s="239">
        <v>0</v>
      </c>
      <c r="CH28" s="239">
        <v>0</v>
      </c>
      <c r="CI28" s="239">
        <v>0</v>
      </c>
      <c r="CJ28" s="239">
        <v>0</v>
      </c>
      <c r="CK28" s="239">
        <v>0</v>
      </c>
      <c r="CL28" s="239">
        <v>0</v>
      </c>
      <c r="CM28" s="239">
        <v>0</v>
      </c>
      <c r="CN28" s="239">
        <v>0</v>
      </c>
      <c r="CO28" s="239">
        <v>0</v>
      </c>
      <c r="CP28" s="239">
        <v>0</v>
      </c>
      <c r="CQ28" s="239">
        <v>0</v>
      </c>
      <c r="CR28" s="239">
        <v>0</v>
      </c>
      <c r="CS28" s="239">
        <v>0</v>
      </c>
      <c r="CT28" s="239">
        <v>0</v>
      </c>
      <c r="CU28" s="239">
        <v>0</v>
      </c>
      <c r="CV28" s="239">
        <v>140587.73749999999</v>
      </c>
      <c r="CW28" s="239">
        <v>31632.240937499995</v>
      </c>
      <c r="CX28" s="239">
        <v>3514.6934375000001</v>
      </c>
      <c r="CY28" s="239">
        <v>140067</v>
      </c>
      <c r="CZ28" s="239">
        <v>31452</v>
      </c>
      <c r="DA28" s="239">
        <v>3495</v>
      </c>
      <c r="DB28" s="239">
        <v>521</v>
      </c>
      <c r="DC28" s="239">
        <v>180</v>
      </c>
      <c r="DD28" s="239">
        <v>20</v>
      </c>
      <c r="DE28" s="214">
        <v>0.5</v>
      </c>
      <c r="DF28" s="214">
        <v>0.4</v>
      </c>
      <c r="DG28" s="214">
        <v>0.09</v>
      </c>
      <c r="DH28" s="214">
        <v>0.01</v>
      </c>
      <c r="DI28" s="214" t="s">
        <v>1294</v>
      </c>
    </row>
    <row r="29" spans="2:113" s="214" customFormat="1" x14ac:dyDescent="0.2">
      <c r="B29" s="610" t="s">
        <v>141</v>
      </c>
      <c r="C29" s="610" t="s">
        <v>140</v>
      </c>
      <c r="D29" s="239">
        <v>-84815</v>
      </c>
      <c r="E29" s="239">
        <v>0</v>
      </c>
      <c r="F29" s="239">
        <v>-84815</v>
      </c>
      <c r="G29" s="239">
        <v>0</v>
      </c>
      <c r="H29" s="239">
        <v>0</v>
      </c>
      <c r="I29" s="239">
        <v>0</v>
      </c>
      <c r="J29" s="239">
        <v>-84815</v>
      </c>
      <c r="K29" s="239">
        <v>0</v>
      </c>
      <c r="L29" s="239">
        <v>-84815</v>
      </c>
      <c r="M29" s="239">
        <v>403449</v>
      </c>
      <c r="N29" s="239">
        <v>403449</v>
      </c>
      <c r="O29" s="239">
        <v>0</v>
      </c>
      <c r="P29" s="239">
        <v>0</v>
      </c>
      <c r="Q29" s="239">
        <v>0</v>
      </c>
      <c r="R29" s="239">
        <v>0</v>
      </c>
      <c r="S29" s="239">
        <v>0</v>
      </c>
      <c r="T29" s="239">
        <v>0</v>
      </c>
      <c r="U29" s="239">
        <v>0</v>
      </c>
      <c r="V29" s="239">
        <v>0</v>
      </c>
      <c r="W29" s="239">
        <v>0</v>
      </c>
      <c r="X29" s="239">
        <v>0</v>
      </c>
      <c r="Y29" s="239">
        <v>0</v>
      </c>
      <c r="Z29" s="239">
        <v>0</v>
      </c>
      <c r="AA29" s="239">
        <v>0</v>
      </c>
      <c r="AB29" s="239">
        <v>0</v>
      </c>
      <c r="AC29" s="239">
        <v>0</v>
      </c>
      <c r="AD29" s="239">
        <v>0</v>
      </c>
      <c r="AE29" s="239">
        <v>0</v>
      </c>
      <c r="AF29" s="239">
        <v>0</v>
      </c>
      <c r="AG29" s="239">
        <v>0</v>
      </c>
      <c r="AH29" s="239">
        <v>0</v>
      </c>
      <c r="AI29" s="239">
        <v>0</v>
      </c>
      <c r="AJ29" s="239">
        <v>0</v>
      </c>
      <c r="AK29" s="239">
        <v>2012942.4848749998</v>
      </c>
      <c r="AL29" s="239">
        <v>0</v>
      </c>
      <c r="AM29" s="239">
        <v>41080.458875000004</v>
      </c>
      <c r="AN29" s="239">
        <v>1864298</v>
      </c>
      <c r="AO29" s="239">
        <v>0</v>
      </c>
      <c r="AP29" s="239">
        <v>38046</v>
      </c>
      <c r="AQ29" s="239">
        <v>148644</v>
      </c>
      <c r="AR29" s="239">
        <v>0</v>
      </c>
      <c r="AS29" s="239">
        <v>3034</v>
      </c>
      <c r="AT29" s="239">
        <v>0</v>
      </c>
      <c r="AU29" s="239">
        <v>0</v>
      </c>
      <c r="AV29" s="239">
        <v>0</v>
      </c>
      <c r="AW29" s="239">
        <v>0</v>
      </c>
      <c r="AX29" s="239">
        <v>0</v>
      </c>
      <c r="AY29" s="239">
        <v>0</v>
      </c>
      <c r="AZ29" s="239">
        <v>0</v>
      </c>
      <c r="BA29" s="239">
        <v>0</v>
      </c>
      <c r="BB29" s="239">
        <v>0</v>
      </c>
      <c r="BC29" s="239">
        <v>-1162.824104166667</v>
      </c>
      <c r="BD29" s="239">
        <v>0</v>
      </c>
      <c r="BE29" s="239">
        <v>-23.731104166666668</v>
      </c>
      <c r="BF29" s="239">
        <v>4971</v>
      </c>
      <c r="BG29" s="239">
        <v>0</v>
      </c>
      <c r="BH29" s="239">
        <v>102</v>
      </c>
      <c r="BI29" s="239">
        <v>-6134</v>
      </c>
      <c r="BJ29" s="239">
        <v>0</v>
      </c>
      <c r="BK29" s="239">
        <v>-126</v>
      </c>
      <c r="BL29" s="239">
        <v>94495.491416666657</v>
      </c>
      <c r="BM29" s="239">
        <v>0</v>
      </c>
      <c r="BN29" s="239">
        <v>1928.4794166666668</v>
      </c>
      <c r="BO29" s="239">
        <v>54686</v>
      </c>
      <c r="BP29" s="239">
        <v>0</v>
      </c>
      <c r="BQ29" s="239">
        <v>1116</v>
      </c>
      <c r="BR29" s="239">
        <v>39809</v>
      </c>
      <c r="BS29" s="239">
        <v>0</v>
      </c>
      <c r="BT29" s="239">
        <v>812</v>
      </c>
      <c r="BU29" s="239">
        <v>859231.06383333332</v>
      </c>
      <c r="BV29" s="239">
        <v>0</v>
      </c>
      <c r="BW29" s="239">
        <v>17535.327833333333</v>
      </c>
      <c r="BX29" s="239">
        <v>606518</v>
      </c>
      <c r="BY29" s="239">
        <v>0</v>
      </c>
      <c r="BZ29" s="239">
        <v>12378</v>
      </c>
      <c r="CA29" s="239">
        <v>252713</v>
      </c>
      <c r="CB29" s="239">
        <v>0</v>
      </c>
      <c r="CC29" s="239">
        <v>5157</v>
      </c>
      <c r="CD29" s="239">
        <v>4715.4282291666659</v>
      </c>
      <c r="CE29" s="239">
        <v>0</v>
      </c>
      <c r="CF29" s="239">
        <v>96.233229166666661</v>
      </c>
      <c r="CG29" s="239">
        <v>0</v>
      </c>
      <c r="CH29" s="239">
        <v>0</v>
      </c>
      <c r="CI29" s="239">
        <v>0</v>
      </c>
      <c r="CJ29" s="239">
        <v>4715</v>
      </c>
      <c r="CK29" s="239">
        <v>0</v>
      </c>
      <c r="CL29" s="239">
        <v>96</v>
      </c>
      <c r="CM29" s="239">
        <v>30965.225375000002</v>
      </c>
      <c r="CN29" s="239">
        <v>0</v>
      </c>
      <c r="CO29" s="239">
        <v>631.94337500000006</v>
      </c>
      <c r="CP29" s="239">
        <v>0</v>
      </c>
      <c r="CQ29" s="239">
        <v>0</v>
      </c>
      <c r="CR29" s="239">
        <v>0</v>
      </c>
      <c r="CS29" s="239">
        <v>30965</v>
      </c>
      <c r="CT29" s="239">
        <v>0</v>
      </c>
      <c r="CU29" s="239">
        <v>632</v>
      </c>
      <c r="CV29" s="239">
        <v>582268.93958333333</v>
      </c>
      <c r="CW29" s="239">
        <v>0</v>
      </c>
      <c r="CX29" s="239">
        <v>11883.039583333333</v>
      </c>
      <c r="CY29" s="239">
        <v>624132</v>
      </c>
      <c r="CZ29" s="239">
        <v>0</v>
      </c>
      <c r="DA29" s="239">
        <v>12737</v>
      </c>
      <c r="DB29" s="239">
        <v>-41863</v>
      </c>
      <c r="DC29" s="239">
        <v>0</v>
      </c>
      <c r="DD29" s="239">
        <v>-854</v>
      </c>
      <c r="DE29" s="214">
        <v>0.5</v>
      </c>
      <c r="DF29" s="214">
        <v>0.49</v>
      </c>
      <c r="DG29" s="214">
        <v>0</v>
      </c>
      <c r="DH29" s="214">
        <v>0.01</v>
      </c>
      <c r="DI29" s="214" t="s">
        <v>1296</v>
      </c>
    </row>
    <row r="30" spans="2:113" s="214" customFormat="1" x14ac:dyDescent="0.2">
      <c r="B30" s="610" t="s">
        <v>143</v>
      </c>
      <c r="C30" s="610" t="s">
        <v>142</v>
      </c>
      <c r="D30" s="239">
        <v>-175094</v>
      </c>
      <c r="E30" s="239">
        <v>0</v>
      </c>
      <c r="F30" s="239">
        <v>-175094</v>
      </c>
      <c r="G30" s="239">
        <v>0</v>
      </c>
      <c r="H30" s="239">
        <v>0</v>
      </c>
      <c r="I30" s="239">
        <v>0</v>
      </c>
      <c r="J30" s="239">
        <v>-175094</v>
      </c>
      <c r="K30" s="239">
        <v>0</v>
      </c>
      <c r="L30" s="239">
        <v>-175094</v>
      </c>
      <c r="M30" s="239">
        <v>87533</v>
      </c>
      <c r="N30" s="239">
        <v>87533</v>
      </c>
      <c r="O30" s="239">
        <v>0</v>
      </c>
      <c r="P30" s="239">
        <v>0</v>
      </c>
      <c r="Q30" s="239">
        <v>0</v>
      </c>
      <c r="R30" s="239">
        <v>0</v>
      </c>
      <c r="S30" s="239">
        <v>110374</v>
      </c>
      <c r="T30" s="239">
        <v>0</v>
      </c>
      <c r="U30" s="239">
        <v>70414</v>
      </c>
      <c r="V30" s="239">
        <v>0</v>
      </c>
      <c r="W30" s="239">
        <v>39960</v>
      </c>
      <c r="X30" s="239">
        <v>0</v>
      </c>
      <c r="Y30" s="239">
        <v>0</v>
      </c>
      <c r="Z30" s="239">
        <v>0</v>
      </c>
      <c r="AA30" s="239">
        <v>0</v>
      </c>
      <c r="AB30" s="239">
        <v>0</v>
      </c>
      <c r="AC30" s="239">
        <v>0</v>
      </c>
      <c r="AD30" s="239">
        <v>0</v>
      </c>
      <c r="AE30" s="239">
        <v>0</v>
      </c>
      <c r="AF30" s="239">
        <v>0</v>
      </c>
      <c r="AG30" s="239">
        <v>0</v>
      </c>
      <c r="AH30" s="239">
        <v>0</v>
      </c>
      <c r="AI30" s="239">
        <v>0</v>
      </c>
      <c r="AJ30" s="239">
        <v>0</v>
      </c>
      <c r="AK30" s="239">
        <v>337118.24208333337</v>
      </c>
      <c r="AL30" s="239">
        <v>84279.560520833344</v>
      </c>
      <c r="AM30" s="239">
        <v>0</v>
      </c>
      <c r="AN30" s="239">
        <v>287461</v>
      </c>
      <c r="AO30" s="239">
        <v>71866</v>
      </c>
      <c r="AP30" s="239">
        <v>0</v>
      </c>
      <c r="AQ30" s="239">
        <v>49657</v>
      </c>
      <c r="AR30" s="239">
        <v>12414</v>
      </c>
      <c r="AS30" s="239">
        <v>0</v>
      </c>
      <c r="AT30" s="239">
        <v>0</v>
      </c>
      <c r="AU30" s="239">
        <v>0</v>
      </c>
      <c r="AV30" s="239">
        <v>0</v>
      </c>
      <c r="AW30" s="239">
        <v>0</v>
      </c>
      <c r="AX30" s="239">
        <v>0</v>
      </c>
      <c r="AY30" s="239">
        <v>0</v>
      </c>
      <c r="AZ30" s="239">
        <v>0</v>
      </c>
      <c r="BA30" s="239">
        <v>0</v>
      </c>
      <c r="BB30" s="239">
        <v>0</v>
      </c>
      <c r="BC30" s="239">
        <v>9219.315833333334</v>
      </c>
      <c r="BD30" s="239">
        <v>2304.8289583333335</v>
      </c>
      <c r="BE30" s="239">
        <v>0</v>
      </c>
      <c r="BF30" s="239">
        <v>3181</v>
      </c>
      <c r="BG30" s="239">
        <v>796</v>
      </c>
      <c r="BH30" s="239">
        <v>0</v>
      </c>
      <c r="BI30" s="239">
        <v>6038</v>
      </c>
      <c r="BJ30" s="239">
        <v>1509</v>
      </c>
      <c r="BK30" s="239">
        <v>0</v>
      </c>
      <c r="BL30" s="239">
        <v>948.02666666666664</v>
      </c>
      <c r="BM30" s="239">
        <v>237.00666666666666</v>
      </c>
      <c r="BN30" s="239">
        <v>0</v>
      </c>
      <c r="BO30" s="239">
        <v>0</v>
      </c>
      <c r="BP30" s="239">
        <v>0</v>
      </c>
      <c r="BQ30" s="239">
        <v>0</v>
      </c>
      <c r="BR30" s="239">
        <v>948</v>
      </c>
      <c r="BS30" s="239">
        <v>237</v>
      </c>
      <c r="BT30" s="239">
        <v>0</v>
      </c>
      <c r="BU30" s="239">
        <v>110853.78083333335</v>
      </c>
      <c r="BV30" s="239">
        <v>27713.445208333338</v>
      </c>
      <c r="BW30" s="239">
        <v>0</v>
      </c>
      <c r="BX30" s="239">
        <v>111603</v>
      </c>
      <c r="BY30" s="239">
        <v>27902</v>
      </c>
      <c r="BZ30" s="239">
        <v>0</v>
      </c>
      <c r="CA30" s="239">
        <v>-749</v>
      </c>
      <c r="CB30" s="239">
        <v>-189</v>
      </c>
      <c r="CC30" s="239">
        <v>0</v>
      </c>
      <c r="CD30" s="239">
        <v>504.85666666666668</v>
      </c>
      <c r="CE30" s="239">
        <v>126.21416666666667</v>
      </c>
      <c r="CF30" s="239">
        <v>0</v>
      </c>
      <c r="CG30" s="239">
        <v>0</v>
      </c>
      <c r="CH30" s="239">
        <v>0</v>
      </c>
      <c r="CI30" s="239">
        <v>0</v>
      </c>
      <c r="CJ30" s="239">
        <v>505</v>
      </c>
      <c r="CK30" s="239">
        <v>126</v>
      </c>
      <c r="CL30" s="239">
        <v>0</v>
      </c>
      <c r="CM30" s="239">
        <v>245.935</v>
      </c>
      <c r="CN30" s="239">
        <v>61.483750000000001</v>
      </c>
      <c r="CO30" s="239">
        <v>0</v>
      </c>
      <c r="CP30" s="239">
        <v>0</v>
      </c>
      <c r="CQ30" s="239">
        <v>0</v>
      </c>
      <c r="CR30" s="239">
        <v>0</v>
      </c>
      <c r="CS30" s="239">
        <v>246</v>
      </c>
      <c r="CT30" s="239">
        <v>61</v>
      </c>
      <c r="CU30" s="239">
        <v>0</v>
      </c>
      <c r="CV30" s="239">
        <v>106719.32833333335</v>
      </c>
      <c r="CW30" s="239">
        <v>26277.426875000005</v>
      </c>
      <c r="CX30" s="239">
        <v>0</v>
      </c>
      <c r="CY30" s="239">
        <v>111625</v>
      </c>
      <c r="CZ30" s="239">
        <v>27650</v>
      </c>
      <c r="DA30" s="239">
        <v>0</v>
      </c>
      <c r="DB30" s="239">
        <v>-4906</v>
      </c>
      <c r="DC30" s="239">
        <v>-1373</v>
      </c>
      <c r="DD30" s="239">
        <v>0</v>
      </c>
      <c r="DE30" s="214">
        <v>0.5</v>
      </c>
      <c r="DF30" s="214">
        <v>0.4</v>
      </c>
      <c r="DG30" s="214">
        <v>0.1</v>
      </c>
      <c r="DH30" s="214">
        <v>0</v>
      </c>
      <c r="DI30" s="214" t="s">
        <v>1294</v>
      </c>
    </row>
    <row r="31" spans="2:113" s="214" customFormat="1" x14ac:dyDescent="0.2">
      <c r="B31" s="610" t="s">
        <v>145</v>
      </c>
      <c r="C31" s="610" t="s">
        <v>144</v>
      </c>
      <c r="D31" s="239">
        <v>-241825</v>
      </c>
      <c r="E31" s="239">
        <v>0</v>
      </c>
      <c r="F31" s="239">
        <v>-241825</v>
      </c>
      <c r="G31" s="239">
        <v>0</v>
      </c>
      <c r="H31" s="239">
        <v>0</v>
      </c>
      <c r="I31" s="239">
        <v>0</v>
      </c>
      <c r="J31" s="239">
        <v>-241825</v>
      </c>
      <c r="K31" s="239">
        <v>0</v>
      </c>
      <c r="L31" s="239">
        <v>-241825</v>
      </c>
      <c r="M31" s="239">
        <v>302552</v>
      </c>
      <c r="N31" s="239">
        <v>302552</v>
      </c>
      <c r="O31" s="239">
        <v>0</v>
      </c>
      <c r="P31" s="239">
        <v>0</v>
      </c>
      <c r="Q31" s="239">
        <v>0</v>
      </c>
      <c r="R31" s="239">
        <v>0</v>
      </c>
      <c r="S31" s="239">
        <v>189</v>
      </c>
      <c r="T31" s="239">
        <v>0</v>
      </c>
      <c r="U31" s="239">
        <v>189</v>
      </c>
      <c r="V31" s="239">
        <v>0</v>
      </c>
      <c r="W31" s="239">
        <v>0</v>
      </c>
      <c r="X31" s="239">
        <v>0</v>
      </c>
      <c r="Y31" s="239">
        <v>0</v>
      </c>
      <c r="Z31" s="239">
        <v>0</v>
      </c>
      <c r="AA31" s="239">
        <v>0</v>
      </c>
      <c r="AB31" s="239">
        <v>0</v>
      </c>
      <c r="AC31" s="239">
        <v>0</v>
      </c>
      <c r="AD31" s="239">
        <v>0</v>
      </c>
      <c r="AE31" s="239">
        <v>0</v>
      </c>
      <c r="AF31" s="239">
        <v>0</v>
      </c>
      <c r="AG31" s="239">
        <v>0</v>
      </c>
      <c r="AH31" s="239">
        <v>0</v>
      </c>
      <c r="AI31" s="239">
        <v>0</v>
      </c>
      <c r="AJ31" s="239">
        <v>0</v>
      </c>
      <c r="AK31" s="239">
        <v>1139758.5260833334</v>
      </c>
      <c r="AL31" s="239">
        <v>0</v>
      </c>
      <c r="AM31" s="239">
        <v>23260.378083333337</v>
      </c>
      <c r="AN31" s="239">
        <v>1121736</v>
      </c>
      <c r="AO31" s="239">
        <v>0</v>
      </c>
      <c r="AP31" s="239">
        <v>22892</v>
      </c>
      <c r="AQ31" s="239">
        <v>18023</v>
      </c>
      <c r="AR31" s="239">
        <v>0</v>
      </c>
      <c r="AS31" s="239">
        <v>368</v>
      </c>
      <c r="AT31" s="239">
        <v>11198.707041666667</v>
      </c>
      <c r="AU31" s="239">
        <v>0</v>
      </c>
      <c r="AV31" s="239">
        <v>228.54504166666666</v>
      </c>
      <c r="AW31" s="239">
        <v>1747</v>
      </c>
      <c r="AX31" s="239">
        <v>0</v>
      </c>
      <c r="AY31" s="239">
        <v>36</v>
      </c>
      <c r="AZ31" s="239">
        <v>9452</v>
      </c>
      <c r="BA31" s="239">
        <v>0</v>
      </c>
      <c r="BB31" s="239">
        <v>193</v>
      </c>
      <c r="BC31" s="239">
        <v>0</v>
      </c>
      <c r="BD31" s="239">
        <v>0</v>
      </c>
      <c r="BE31" s="239">
        <v>0</v>
      </c>
      <c r="BF31" s="239">
        <v>0</v>
      </c>
      <c r="BG31" s="239">
        <v>0</v>
      </c>
      <c r="BH31" s="239">
        <v>0</v>
      </c>
      <c r="BI31" s="239">
        <v>0</v>
      </c>
      <c r="BJ31" s="239">
        <v>0</v>
      </c>
      <c r="BK31" s="239">
        <v>0</v>
      </c>
      <c r="BL31" s="239">
        <v>50133.67727083333</v>
      </c>
      <c r="BM31" s="239">
        <v>0</v>
      </c>
      <c r="BN31" s="239">
        <v>1023.1362708333334</v>
      </c>
      <c r="BO31" s="239">
        <v>37287</v>
      </c>
      <c r="BP31" s="239">
        <v>0</v>
      </c>
      <c r="BQ31" s="239">
        <v>760</v>
      </c>
      <c r="BR31" s="239">
        <v>12847</v>
      </c>
      <c r="BS31" s="239">
        <v>0</v>
      </c>
      <c r="BT31" s="239">
        <v>263</v>
      </c>
      <c r="BU31" s="239">
        <v>693386.19670833333</v>
      </c>
      <c r="BV31" s="239">
        <v>0</v>
      </c>
      <c r="BW31" s="239">
        <v>14150.738708333334</v>
      </c>
      <c r="BX31" s="239">
        <v>682675</v>
      </c>
      <c r="BY31" s="239">
        <v>0</v>
      </c>
      <c r="BZ31" s="239">
        <v>13932</v>
      </c>
      <c r="CA31" s="239">
        <v>10711</v>
      </c>
      <c r="CB31" s="239">
        <v>0</v>
      </c>
      <c r="CC31" s="239">
        <v>219</v>
      </c>
      <c r="CD31" s="239">
        <v>10167.626583333335</v>
      </c>
      <c r="CE31" s="239">
        <v>0</v>
      </c>
      <c r="CF31" s="239">
        <v>207.50258333333335</v>
      </c>
      <c r="CG31" s="239">
        <v>0</v>
      </c>
      <c r="CH31" s="239">
        <v>0</v>
      </c>
      <c r="CI31" s="239">
        <v>0</v>
      </c>
      <c r="CJ31" s="239">
        <v>10168</v>
      </c>
      <c r="CK31" s="239">
        <v>0</v>
      </c>
      <c r="CL31" s="239">
        <v>208</v>
      </c>
      <c r="CM31" s="239">
        <v>780.51895833333333</v>
      </c>
      <c r="CN31" s="239">
        <v>0</v>
      </c>
      <c r="CO31" s="239">
        <v>15.928958333333332</v>
      </c>
      <c r="CP31" s="239">
        <v>0</v>
      </c>
      <c r="CQ31" s="239">
        <v>0</v>
      </c>
      <c r="CR31" s="239">
        <v>0</v>
      </c>
      <c r="CS31" s="239">
        <v>781</v>
      </c>
      <c r="CT31" s="239">
        <v>0</v>
      </c>
      <c r="CU31" s="239">
        <v>16</v>
      </c>
      <c r="CV31" s="239">
        <v>475820.14520833333</v>
      </c>
      <c r="CW31" s="239">
        <v>0</v>
      </c>
      <c r="CX31" s="239">
        <v>9710.5589583333331</v>
      </c>
      <c r="CY31" s="239">
        <v>473333</v>
      </c>
      <c r="CZ31" s="239">
        <v>0</v>
      </c>
      <c r="DA31" s="239">
        <v>9660</v>
      </c>
      <c r="DB31" s="239">
        <v>2487</v>
      </c>
      <c r="DC31" s="239">
        <v>0</v>
      </c>
      <c r="DD31" s="239">
        <v>51</v>
      </c>
      <c r="DE31" s="214">
        <v>0.5</v>
      </c>
      <c r="DF31" s="214">
        <v>0.49</v>
      </c>
      <c r="DG31" s="214">
        <v>0</v>
      </c>
      <c r="DH31" s="214">
        <v>0.01</v>
      </c>
      <c r="DI31" s="214" t="s">
        <v>748</v>
      </c>
    </row>
    <row r="32" spans="2:113" s="214" customFormat="1" x14ac:dyDescent="0.2">
      <c r="B32" s="610" t="s">
        <v>147</v>
      </c>
      <c r="C32" s="610" t="s">
        <v>146</v>
      </c>
      <c r="D32" s="239">
        <v>-660033</v>
      </c>
      <c r="E32" s="239">
        <v>0</v>
      </c>
      <c r="F32" s="239">
        <v>-660033</v>
      </c>
      <c r="G32" s="239">
        <v>0</v>
      </c>
      <c r="H32" s="239">
        <v>0</v>
      </c>
      <c r="I32" s="239">
        <v>0</v>
      </c>
      <c r="J32" s="239">
        <v>-660033</v>
      </c>
      <c r="K32" s="239">
        <v>0</v>
      </c>
      <c r="L32" s="239">
        <v>-660033</v>
      </c>
      <c r="M32" s="239">
        <v>150666</v>
      </c>
      <c r="N32" s="239">
        <v>150666</v>
      </c>
      <c r="O32" s="239">
        <v>0</v>
      </c>
      <c r="P32" s="239">
        <v>0</v>
      </c>
      <c r="Q32" s="239">
        <v>0</v>
      </c>
      <c r="R32" s="239">
        <v>0</v>
      </c>
      <c r="S32" s="239">
        <v>758</v>
      </c>
      <c r="T32" s="239">
        <v>0</v>
      </c>
      <c r="U32" s="239">
        <v>760</v>
      </c>
      <c r="V32" s="239">
        <v>0</v>
      </c>
      <c r="W32" s="239">
        <v>-2</v>
      </c>
      <c r="X32" s="239">
        <v>0</v>
      </c>
      <c r="Y32" s="239">
        <v>0</v>
      </c>
      <c r="Z32" s="239">
        <v>0</v>
      </c>
      <c r="AA32" s="239">
        <v>0</v>
      </c>
      <c r="AB32" s="239">
        <v>0</v>
      </c>
      <c r="AC32" s="239">
        <v>0</v>
      </c>
      <c r="AD32" s="239">
        <v>0</v>
      </c>
      <c r="AE32" s="239">
        <v>0</v>
      </c>
      <c r="AF32" s="239">
        <v>0</v>
      </c>
      <c r="AG32" s="239">
        <v>0</v>
      </c>
      <c r="AH32" s="239">
        <v>0</v>
      </c>
      <c r="AI32" s="239">
        <v>0</v>
      </c>
      <c r="AJ32" s="239">
        <v>0</v>
      </c>
      <c r="AK32" s="239">
        <v>270288.24666666664</v>
      </c>
      <c r="AL32" s="239">
        <v>0</v>
      </c>
      <c r="AM32" s="239">
        <v>5516.0866666666661</v>
      </c>
      <c r="AN32" s="239">
        <v>240898</v>
      </c>
      <c r="AO32" s="239">
        <v>0</v>
      </c>
      <c r="AP32" s="239">
        <v>4916</v>
      </c>
      <c r="AQ32" s="239">
        <v>29390</v>
      </c>
      <c r="AR32" s="239">
        <v>0</v>
      </c>
      <c r="AS32" s="239">
        <v>600</v>
      </c>
      <c r="AT32" s="239">
        <v>4234.1910625</v>
      </c>
      <c r="AU32" s="239">
        <v>0</v>
      </c>
      <c r="AV32" s="239">
        <v>86.41206249999999</v>
      </c>
      <c r="AW32" s="239">
        <v>9944</v>
      </c>
      <c r="AX32" s="239">
        <v>0</v>
      </c>
      <c r="AY32" s="239">
        <v>202</v>
      </c>
      <c r="AZ32" s="239">
        <v>-5710</v>
      </c>
      <c r="BA32" s="239">
        <v>0</v>
      </c>
      <c r="BB32" s="239">
        <v>-116</v>
      </c>
      <c r="BC32" s="239">
        <v>0</v>
      </c>
      <c r="BD32" s="239">
        <v>0</v>
      </c>
      <c r="BE32" s="239">
        <v>0</v>
      </c>
      <c r="BF32" s="239">
        <v>0</v>
      </c>
      <c r="BG32" s="239">
        <v>0</v>
      </c>
      <c r="BH32" s="239">
        <v>0</v>
      </c>
      <c r="BI32" s="239">
        <v>0</v>
      </c>
      <c r="BJ32" s="239">
        <v>0</v>
      </c>
      <c r="BK32" s="239">
        <v>0</v>
      </c>
      <c r="BL32" s="239">
        <v>2845.1656041666665</v>
      </c>
      <c r="BM32" s="239">
        <v>0</v>
      </c>
      <c r="BN32" s="239">
        <v>58.064604166666669</v>
      </c>
      <c r="BO32" s="239">
        <v>24857</v>
      </c>
      <c r="BP32" s="239">
        <v>0</v>
      </c>
      <c r="BQ32" s="239">
        <v>508</v>
      </c>
      <c r="BR32" s="239">
        <v>-22012</v>
      </c>
      <c r="BS32" s="239">
        <v>0</v>
      </c>
      <c r="BT32" s="239">
        <v>-450</v>
      </c>
      <c r="BU32" s="239">
        <v>150087.33279166665</v>
      </c>
      <c r="BV32" s="239">
        <v>0</v>
      </c>
      <c r="BW32" s="239">
        <v>3063.0067916666667</v>
      </c>
      <c r="BX32" s="239">
        <v>174000</v>
      </c>
      <c r="BY32" s="239">
        <v>0</v>
      </c>
      <c r="BZ32" s="239">
        <v>3552</v>
      </c>
      <c r="CA32" s="239">
        <v>-23913</v>
      </c>
      <c r="CB32" s="239">
        <v>0</v>
      </c>
      <c r="CC32" s="239">
        <v>-489</v>
      </c>
      <c r="CD32" s="239">
        <v>0</v>
      </c>
      <c r="CE32" s="239">
        <v>0</v>
      </c>
      <c r="CF32" s="239">
        <v>0</v>
      </c>
      <c r="CG32" s="239">
        <v>0</v>
      </c>
      <c r="CH32" s="239">
        <v>0</v>
      </c>
      <c r="CI32" s="239">
        <v>0</v>
      </c>
      <c r="CJ32" s="239">
        <v>0</v>
      </c>
      <c r="CK32" s="239">
        <v>0</v>
      </c>
      <c r="CL32" s="239">
        <v>0</v>
      </c>
      <c r="CM32" s="239">
        <v>687.55268750000005</v>
      </c>
      <c r="CN32" s="239">
        <v>0</v>
      </c>
      <c r="CO32" s="239">
        <v>14.0316875</v>
      </c>
      <c r="CP32" s="239">
        <v>0</v>
      </c>
      <c r="CQ32" s="239">
        <v>0</v>
      </c>
      <c r="CR32" s="239">
        <v>0</v>
      </c>
      <c r="CS32" s="239">
        <v>688</v>
      </c>
      <c r="CT32" s="239">
        <v>0</v>
      </c>
      <c r="CU32" s="239">
        <v>14</v>
      </c>
      <c r="CV32" s="239">
        <v>517884.73070833337</v>
      </c>
      <c r="CW32" s="239">
        <v>0</v>
      </c>
      <c r="CX32" s="239">
        <v>10568.850541666669</v>
      </c>
      <c r="CY32" s="239">
        <v>514593</v>
      </c>
      <c r="CZ32" s="239">
        <v>0</v>
      </c>
      <c r="DA32" s="239">
        <v>10502</v>
      </c>
      <c r="DB32" s="239">
        <v>3292</v>
      </c>
      <c r="DC32" s="239">
        <v>0</v>
      </c>
      <c r="DD32" s="239">
        <v>67</v>
      </c>
      <c r="DE32" s="214">
        <v>0.5</v>
      </c>
      <c r="DF32" s="214">
        <v>0.49</v>
      </c>
      <c r="DG32" s="214">
        <v>0</v>
      </c>
      <c r="DH32" s="214">
        <v>0.01</v>
      </c>
      <c r="DI32" s="214" t="s">
        <v>748</v>
      </c>
    </row>
    <row r="33" spans="1:113" s="214" customFormat="1" x14ac:dyDescent="0.2">
      <c r="B33" s="610" t="s">
        <v>149</v>
      </c>
      <c r="C33" s="610" t="s">
        <v>148</v>
      </c>
      <c r="D33" s="239">
        <v>-703277</v>
      </c>
      <c r="E33" s="239">
        <v>0</v>
      </c>
      <c r="F33" s="239">
        <v>-703277</v>
      </c>
      <c r="G33" s="239">
        <v>0</v>
      </c>
      <c r="H33" s="239">
        <v>0</v>
      </c>
      <c r="I33" s="239">
        <v>0</v>
      </c>
      <c r="J33" s="239">
        <v>-703277</v>
      </c>
      <c r="K33" s="239">
        <v>0</v>
      </c>
      <c r="L33" s="239">
        <v>-703277</v>
      </c>
      <c r="M33" s="239">
        <v>738017</v>
      </c>
      <c r="N33" s="239">
        <v>738017</v>
      </c>
      <c r="O33" s="239">
        <v>0</v>
      </c>
      <c r="P33" s="239">
        <v>0</v>
      </c>
      <c r="Q33" s="239">
        <v>0</v>
      </c>
      <c r="R33" s="239">
        <v>0</v>
      </c>
      <c r="S33" s="239">
        <v>0</v>
      </c>
      <c r="T33" s="239">
        <v>0</v>
      </c>
      <c r="U33" s="239">
        <v>0</v>
      </c>
      <c r="V33" s="239">
        <v>0</v>
      </c>
      <c r="W33" s="239">
        <v>0</v>
      </c>
      <c r="X33" s="239">
        <v>0</v>
      </c>
      <c r="Y33" s="239">
        <v>0</v>
      </c>
      <c r="Z33" s="239">
        <v>0</v>
      </c>
      <c r="AA33" s="239">
        <v>0</v>
      </c>
      <c r="AB33" s="239">
        <v>0</v>
      </c>
      <c r="AC33" s="239">
        <v>0</v>
      </c>
      <c r="AD33" s="239">
        <v>0</v>
      </c>
      <c r="AE33" s="239">
        <v>0</v>
      </c>
      <c r="AF33" s="239">
        <v>0</v>
      </c>
      <c r="AG33" s="239">
        <v>0</v>
      </c>
      <c r="AH33" s="239">
        <v>0</v>
      </c>
      <c r="AI33" s="239">
        <v>0</v>
      </c>
      <c r="AJ33" s="239">
        <v>0</v>
      </c>
      <c r="AK33" s="239">
        <v>3879546.3651145832</v>
      </c>
      <c r="AL33" s="239">
        <v>0</v>
      </c>
      <c r="AM33" s="239">
        <v>79174.41561458334</v>
      </c>
      <c r="AN33" s="239">
        <v>3927452</v>
      </c>
      <c r="AO33" s="239">
        <v>0</v>
      </c>
      <c r="AP33" s="239">
        <v>80152</v>
      </c>
      <c r="AQ33" s="239">
        <v>-47906</v>
      </c>
      <c r="AR33" s="239">
        <v>0</v>
      </c>
      <c r="AS33" s="239">
        <v>-978</v>
      </c>
      <c r="AT33" s="239">
        <v>38242.446083333329</v>
      </c>
      <c r="AU33" s="239">
        <v>0</v>
      </c>
      <c r="AV33" s="239">
        <v>780.45808333333332</v>
      </c>
      <c r="AW33" s="239">
        <v>0</v>
      </c>
      <c r="AX33" s="239">
        <v>0</v>
      </c>
      <c r="AY33" s="239">
        <v>0</v>
      </c>
      <c r="AZ33" s="239">
        <v>38242</v>
      </c>
      <c r="BA33" s="239">
        <v>0</v>
      </c>
      <c r="BB33" s="239">
        <v>780</v>
      </c>
      <c r="BC33" s="239">
        <v>4846.1775833333331</v>
      </c>
      <c r="BD33" s="239">
        <v>0</v>
      </c>
      <c r="BE33" s="239">
        <v>98.901583333333349</v>
      </c>
      <c r="BF33" s="239">
        <v>22372</v>
      </c>
      <c r="BG33" s="239">
        <v>0</v>
      </c>
      <c r="BH33" s="239">
        <v>456</v>
      </c>
      <c r="BI33" s="239">
        <v>-17526</v>
      </c>
      <c r="BJ33" s="239">
        <v>0</v>
      </c>
      <c r="BK33" s="239">
        <v>-357</v>
      </c>
      <c r="BL33" s="239">
        <v>61530.248354166666</v>
      </c>
      <c r="BM33" s="239">
        <v>0</v>
      </c>
      <c r="BN33" s="239">
        <v>1255.7193541666668</v>
      </c>
      <c r="BO33" s="239">
        <v>9944</v>
      </c>
      <c r="BP33" s="239">
        <v>0</v>
      </c>
      <c r="BQ33" s="239">
        <v>202</v>
      </c>
      <c r="BR33" s="239">
        <v>51586</v>
      </c>
      <c r="BS33" s="239">
        <v>0</v>
      </c>
      <c r="BT33" s="239">
        <v>1054</v>
      </c>
      <c r="BU33" s="239">
        <v>1653605.4765416668</v>
      </c>
      <c r="BV33" s="239">
        <v>0</v>
      </c>
      <c r="BW33" s="239">
        <v>33747.050541666671</v>
      </c>
      <c r="BX33" s="239">
        <v>1613241</v>
      </c>
      <c r="BY33" s="239">
        <v>0</v>
      </c>
      <c r="BZ33" s="239">
        <v>32924</v>
      </c>
      <c r="CA33" s="239">
        <v>40364</v>
      </c>
      <c r="CB33" s="239">
        <v>0</v>
      </c>
      <c r="CC33" s="239">
        <v>823</v>
      </c>
      <c r="CD33" s="239">
        <v>289076.38200000004</v>
      </c>
      <c r="CE33" s="239">
        <v>0</v>
      </c>
      <c r="CF33" s="239">
        <v>5899.5180000000009</v>
      </c>
      <c r="CG33" s="239">
        <v>62300</v>
      </c>
      <c r="CH33" s="239">
        <v>0</v>
      </c>
      <c r="CI33" s="239">
        <v>0</v>
      </c>
      <c r="CJ33" s="239">
        <v>226776</v>
      </c>
      <c r="CK33" s="239">
        <v>0</v>
      </c>
      <c r="CL33" s="239">
        <v>5900</v>
      </c>
      <c r="CM33" s="239">
        <v>23041.217937500001</v>
      </c>
      <c r="CN33" s="239">
        <v>0</v>
      </c>
      <c r="CO33" s="239">
        <v>470.22893750000003</v>
      </c>
      <c r="CP33" s="239">
        <v>0</v>
      </c>
      <c r="CQ33" s="239">
        <v>0</v>
      </c>
      <c r="CR33" s="239">
        <v>0</v>
      </c>
      <c r="CS33" s="239">
        <v>23041</v>
      </c>
      <c r="CT33" s="239">
        <v>0</v>
      </c>
      <c r="CU33" s="239">
        <v>470</v>
      </c>
      <c r="CV33" s="239">
        <v>935512.56312499999</v>
      </c>
      <c r="CW33" s="239">
        <v>0</v>
      </c>
      <c r="CX33" s="239">
        <v>19092.093125000003</v>
      </c>
      <c r="CY33" s="239">
        <v>999222</v>
      </c>
      <c r="CZ33" s="239">
        <v>0</v>
      </c>
      <c r="DA33" s="239">
        <v>20392</v>
      </c>
      <c r="DB33" s="239">
        <v>-63709</v>
      </c>
      <c r="DC33" s="239">
        <v>0</v>
      </c>
      <c r="DD33" s="239">
        <v>-1300</v>
      </c>
      <c r="DE33" s="214">
        <v>0.5</v>
      </c>
      <c r="DF33" s="214">
        <v>0.49</v>
      </c>
      <c r="DG33" s="214">
        <v>0</v>
      </c>
      <c r="DH33" s="214">
        <v>0.01</v>
      </c>
      <c r="DI33" s="214" t="s">
        <v>1296</v>
      </c>
    </row>
    <row r="34" spans="1:113" s="214" customFormat="1" x14ac:dyDescent="0.2">
      <c r="B34" s="610" t="s">
        <v>151</v>
      </c>
      <c r="C34" s="610" t="s">
        <v>150</v>
      </c>
      <c r="D34" s="239">
        <v>-211214</v>
      </c>
      <c r="E34" s="239">
        <v>0</v>
      </c>
      <c r="F34" s="239">
        <v>-211214</v>
      </c>
      <c r="G34" s="239">
        <v>0</v>
      </c>
      <c r="H34" s="239">
        <v>0</v>
      </c>
      <c r="I34" s="239">
        <v>0</v>
      </c>
      <c r="J34" s="239">
        <v>-211214</v>
      </c>
      <c r="K34" s="239">
        <v>0</v>
      </c>
      <c r="L34" s="239">
        <v>-211214</v>
      </c>
      <c r="M34" s="239">
        <v>188104</v>
      </c>
      <c r="N34" s="239">
        <v>188104</v>
      </c>
      <c r="O34" s="239">
        <v>0</v>
      </c>
      <c r="P34" s="239">
        <v>0</v>
      </c>
      <c r="Q34" s="239">
        <v>0</v>
      </c>
      <c r="R34" s="239">
        <v>0</v>
      </c>
      <c r="S34" s="239">
        <v>0</v>
      </c>
      <c r="T34" s="239">
        <v>0</v>
      </c>
      <c r="U34" s="239">
        <v>0</v>
      </c>
      <c r="V34" s="239">
        <v>0</v>
      </c>
      <c r="W34" s="239">
        <v>0</v>
      </c>
      <c r="X34" s="239">
        <v>0</v>
      </c>
      <c r="Y34" s="239">
        <v>0</v>
      </c>
      <c r="Z34" s="239">
        <v>0</v>
      </c>
      <c r="AA34" s="239">
        <v>0</v>
      </c>
      <c r="AB34" s="239">
        <v>0</v>
      </c>
      <c r="AC34" s="239">
        <v>0</v>
      </c>
      <c r="AD34" s="239">
        <v>0</v>
      </c>
      <c r="AE34" s="239">
        <v>0</v>
      </c>
      <c r="AF34" s="239">
        <v>0</v>
      </c>
      <c r="AG34" s="239">
        <v>0</v>
      </c>
      <c r="AH34" s="239">
        <v>0</v>
      </c>
      <c r="AI34" s="239">
        <v>0</v>
      </c>
      <c r="AJ34" s="239">
        <v>0</v>
      </c>
      <c r="AK34" s="239">
        <v>693105.09625000006</v>
      </c>
      <c r="AL34" s="239">
        <v>155948.64665625</v>
      </c>
      <c r="AM34" s="239">
        <v>17327.627406250002</v>
      </c>
      <c r="AN34" s="239">
        <v>644686</v>
      </c>
      <c r="AO34" s="239">
        <v>145054</v>
      </c>
      <c r="AP34" s="239">
        <v>16118</v>
      </c>
      <c r="AQ34" s="239">
        <v>48419</v>
      </c>
      <c r="AR34" s="239">
        <v>10895</v>
      </c>
      <c r="AS34" s="239">
        <v>1210</v>
      </c>
      <c r="AT34" s="239">
        <v>0</v>
      </c>
      <c r="AU34" s="239">
        <v>0</v>
      </c>
      <c r="AV34" s="239">
        <v>0</v>
      </c>
      <c r="AW34" s="239">
        <v>0</v>
      </c>
      <c r="AX34" s="239">
        <v>0</v>
      </c>
      <c r="AY34" s="239">
        <v>0</v>
      </c>
      <c r="AZ34" s="239">
        <v>0</v>
      </c>
      <c r="BA34" s="239">
        <v>0</v>
      </c>
      <c r="BB34" s="239">
        <v>0</v>
      </c>
      <c r="BC34" s="239">
        <v>19667.089166666665</v>
      </c>
      <c r="BD34" s="239">
        <v>4425.0950624999996</v>
      </c>
      <c r="BE34" s="239">
        <v>491.67722916666668</v>
      </c>
      <c r="BF34" s="239">
        <v>0</v>
      </c>
      <c r="BG34" s="239">
        <v>0</v>
      </c>
      <c r="BH34" s="239">
        <v>0</v>
      </c>
      <c r="BI34" s="239">
        <v>19667</v>
      </c>
      <c r="BJ34" s="239">
        <v>4425</v>
      </c>
      <c r="BK34" s="239">
        <v>492</v>
      </c>
      <c r="BL34" s="239">
        <v>8923.4633333333331</v>
      </c>
      <c r="BM34" s="239">
        <v>2007.7792499999998</v>
      </c>
      <c r="BN34" s="239">
        <v>223.08658333333335</v>
      </c>
      <c r="BO34" s="239">
        <v>1302</v>
      </c>
      <c r="BP34" s="239">
        <v>294</v>
      </c>
      <c r="BQ34" s="239">
        <v>32</v>
      </c>
      <c r="BR34" s="239">
        <v>7621</v>
      </c>
      <c r="BS34" s="239">
        <v>1714</v>
      </c>
      <c r="BT34" s="239">
        <v>191</v>
      </c>
      <c r="BU34" s="239">
        <v>290866.4316666667</v>
      </c>
      <c r="BV34" s="239">
        <v>65444.947124999999</v>
      </c>
      <c r="BW34" s="239">
        <v>7271.6607916666671</v>
      </c>
      <c r="BX34" s="239">
        <v>223692</v>
      </c>
      <c r="BY34" s="239">
        <v>50330</v>
      </c>
      <c r="BZ34" s="239">
        <v>5592</v>
      </c>
      <c r="CA34" s="239">
        <v>67174</v>
      </c>
      <c r="CB34" s="239">
        <v>15115</v>
      </c>
      <c r="CC34" s="239">
        <v>1680</v>
      </c>
      <c r="CD34" s="239">
        <v>0</v>
      </c>
      <c r="CE34" s="239">
        <v>0</v>
      </c>
      <c r="CF34" s="239">
        <v>0</v>
      </c>
      <c r="CG34" s="239">
        <v>0</v>
      </c>
      <c r="CH34" s="239">
        <v>0</v>
      </c>
      <c r="CI34" s="239">
        <v>0</v>
      </c>
      <c r="CJ34" s="239">
        <v>0</v>
      </c>
      <c r="CK34" s="239">
        <v>0</v>
      </c>
      <c r="CL34" s="239">
        <v>0</v>
      </c>
      <c r="CM34" s="239">
        <v>3736.9133333333334</v>
      </c>
      <c r="CN34" s="239">
        <v>840.80549999999994</v>
      </c>
      <c r="CO34" s="239">
        <v>93.42283333333333</v>
      </c>
      <c r="CP34" s="239">
        <v>0</v>
      </c>
      <c r="CQ34" s="239">
        <v>0</v>
      </c>
      <c r="CR34" s="239">
        <v>0</v>
      </c>
      <c r="CS34" s="239">
        <v>3737</v>
      </c>
      <c r="CT34" s="239">
        <v>841</v>
      </c>
      <c r="CU34" s="239">
        <v>93</v>
      </c>
      <c r="CV34" s="239">
        <v>247066.80250000005</v>
      </c>
      <c r="CW34" s="239">
        <v>55590.030562500004</v>
      </c>
      <c r="CX34" s="239">
        <v>6176.6700625000003</v>
      </c>
      <c r="CY34" s="239">
        <v>236822</v>
      </c>
      <c r="CZ34" s="239">
        <v>53285</v>
      </c>
      <c r="DA34" s="239">
        <v>5921</v>
      </c>
      <c r="DB34" s="239">
        <v>10245</v>
      </c>
      <c r="DC34" s="239">
        <v>2305</v>
      </c>
      <c r="DD34" s="239">
        <v>256</v>
      </c>
      <c r="DE34" s="214">
        <v>0.5</v>
      </c>
      <c r="DF34" s="214">
        <v>0.4</v>
      </c>
      <c r="DG34" s="214">
        <v>0.09</v>
      </c>
      <c r="DH34" s="214">
        <v>0.01</v>
      </c>
      <c r="DI34" s="214" t="s">
        <v>1294</v>
      </c>
    </row>
    <row r="35" spans="1:113" s="214" customFormat="1" x14ac:dyDescent="0.2">
      <c r="B35" s="610" t="s">
        <v>153</v>
      </c>
      <c r="C35" s="610" t="s">
        <v>152</v>
      </c>
      <c r="D35" s="239">
        <v>-125053</v>
      </c>
      <c r="E35" s="239">
        <v>0</v>
      </c>
      <c r="F35" s="239">
        <v>-125053</v>
      </c>
      <c r="G35" s="239">
        <v>0</v>
      </c>
      <c r="H35" s="239">
        <v>0</v>
      </c>
      <c r="I35" s="239">
        <v>0</v>
      </c>
      <c r="J35" s="239">
        <v>-125053</v>
      </c>
      <c r="K35" s="239">
        <v>0</v>
      </c>
      <c r="L35" s="239">
        <v>-125053</v>
      </c>
      <c r="M35" s="239">
        <v>167596</v>
      </c>
      <c r="N35" s="239">
        <v>167596</v>
      </c>
      <c r="O35" s="239">
        <v>0</v>
      </c>
      <c r="P35" s="239">
        <v>0</v>
      </c>
      <c r="Q35" s="239">
        <v>0</v>
      </c>
      <c r="R35" s="239">
        <v>0</v>
      </c>
      <c r="S35" s="239">
        <v>181483</v>
      </c>
      <c r="T35" s="239">
        <v>0</v>
      </c>
      <c r="U35" s="239">
        <v>103530</v>
      </c>
      <c r="V35" s="239">
        <v>0</v>
      </c>
      <c r="W35" s="239">
        <v>77953</v>
      </c>
      <c r="X35" s="239">
        <v>0</v>
      </c>
      <c r="Y35" s="239">
        <v>0</v>
      </c>
      <c r="Z35" s="239">
        <v>0</v>
      </c>
      <c r="AA35" s="239">
        <v>0</v>
      </c>
      <c r="AB35" s="239">
        <v>0</v>
      </c>
      <c r="AC35" s="239">
        <v>0</v>
      </c>
      <c r="AD35" s="239">
        <v>0</v>
      </c>
      <c r="AE35" s="239">
        <v>0</v>
      </c>
      <c r="AF35" s="239">
        <v>0</v>
      </c>
      <c r="AG35" s="239">
        <v>0</v>
      </c>
      <c r="AH35" s="239">
        <v>0</v>
      </c>
      <c r="AI35" s="239">
        <v>0</v>
      </c>
      <c r="AJ35" s="239">
        <v>0</v>
      </c>
      <c r="AK35" s="239">
        <v>611321.76583333337</v>
      </c>
      <c r="AL35" s="239">
        <v>152830.44145833334</v>
      </c>
      <c r="AM35" s="239">
        <v>0</v>
      </c>
      <c r="AN35" s="239">
        <v>589532</v>
      </c>
      <c r="AO35" s="239">
        <v>147384</v>
      </c>
      <c r="AP35" s="239">
        <v>0</v>
      </c>
      <c r="AQ35" s="239">
        <v>21790</v>
      </c>
      <c r="AR35" s="239">
        <v>5446</v>
      </c>
      <c r="AS35" s="239">
        <v>0</v>
      </c>
      <c r="AT35" s="239">
        <v>774.33000000000015</v>
      </c>
      <c r="AU35" s="239">
        <v>193.58250000000004</v>
      </c>
      <c r="AV35" s="239">
        <v>0</v>
      </c>
      <c r="AW35" s="239">
        <v>5076</v>
      </c>
      <c r="AX35" s="239">
        <v>1268</v>
      </c>
      <c r="AY35" s="239">
        <v>0</v>
      </c>
      <c r="AZ35" s="239">
        <v>-4302</v>
      </c>
      <c r="BA35" s="239">
        <v>-1074</v>
      </c>
      <c r="BB35" s="239">
        <v>0</v>
      </c>
      <c r="BC35" s="239">
        <v>0</v>
      </c>
      <c r="BD35" s="239">
        <v>0</v>
      </c>
      <c r="BE35" s="239">
        <v>0</v>
      </c>
      <c r="BF35" s="239">
        <v>0</v>
      </c>
      <c r="BG35" s="239">
        <v>0</v>
      </c>
      <c r="BH35" s="239">
        <v>0</v>
      </c>
      <c r="BI35" s="239">
        <v>0</v>
      </c>
      <c r="BJ35" s="239">
        <v>0</v>
      </c>
      <c r="BK35" s="239">
        <v>0</v>
      </c>
      <c r="BL35" s="239">
        <v>8854.4716666666664</v>
      </c>
      <c r="BM35" s="239">
        <v>2213.6179166666666</v>
      </c>
      <c r="BN35" s="239">
        <v>0</v>
      </c>
      <c r="BO35" s="239">
        <v>1316</v>
      </c>
      <c r="BP35" s="239">
        <v>328</v>
      </c>
      <c r="BQ35" s="239">
        <v>0</v>
      </c>
      <c r="BR35" s="239">
        <v>7538</v>
      </c>
      <c r="BS35" s="239">
        <v>1886</v>
      </c>
      <c r="BT35" s="239">
        <v>0</v>
      </c>
      <c r="BU35" s="239">
        <v>261267.78916666665</v>
      </c>
      <c r="BV35" s="239">
        <v>65316.947291666664</v>
      </c>
      <c r="BW35" s="239">
        <v>0</v>
      </c>
      <c r="BX35" s="239">
        <v>257111</v>
      </c>
      <c r="BY35" s="239">
        <v>64278</v>
      </c>
      <c r="BZ35" s="239">
        <v>0</v>
      </c>
      <c r="CA35" s="239">
        <v>4157</v>
      </c>
      <c r="CB35" s="239">
        <v>1039</v>
      </c>
      <c r="CC35" s="239">
        <v>0</v>
      </c>
      <c r="CD35" s="239">
        <v>0</v>
      </c>
      <c r="CE35" s="239">
        <v>0</v>
      </c>
      <c r="CF35" s="239">
        <v>0</v>
      </c>
      <c r="CG35" s="239">
        <v>0</v>
      </c>
      <c r="CH35" s="239">
        <v>0</v>
      </c>
      <c r="CI35" s="239">
        <v>0</v>
      </c>
      <c r="CJ35" s="239">
        <v>0</v>
      </c>
      <c r="CK35" s="239">
        <v>0</v>
      </c>
      <c r="CL35" s="239">
        <v>0</v>
      </c>
      <c r="CM35" s="239">
        <v>12319.8825</v>
      </c>
      <c r="CN35" s="239">
        <v>3079.9706249999999</v>
      </c>
      <c r="CO35" s="239">
        <v>0</v>
      </c>
      <c r="CP35" s="239">
        <v>0</v>
      </c>
      <c r="CQ35" s="239">
        <v>0</v>
      </c>
      <c r="CR35" s="239">
        <v>0</v>
      </c>
      <c r="CS35" s="239">
        <v>12320</v>
      </c>
      <c r="CT35" s="239">
        <v>3080</v>
      </c>
      <c r="CU35" s="239">
        <v>0</v>
      </c>
      <c r="CV35" s="239">
        <v>163808.23958333334</v>
      </c>
      <c r="CW35" s="239">
        <v>40290.403124999997</v>
      </c>
      <c r="CX35" s="239">
        <v>0</v>
      </c>
      <c r="CY35" s="239">
        <v>178754</v>
      </c>
      <c r="CZ35" s="239">
        <v>44311</v>
      </c>
      <c r="DA35" s="239">
        <v>0</v>
      </c>
      <c r="DB35" s="239">
        <v>-14946</v>
      </c>
      <c r="DC35" s="239">
        <v>-4021</v>
      </c>
      <c r="DD35" s="239">
        <v>0</v>
      </c>
      <c r="DE35" s="214">
        <v>0.5</v>
      </c>
      <c r="DF35" s="214">
        <v>0.4</v>
      </c>
      <c r="DG35" s="214">
        <v>0.1</v>
      </c>
      <c r="DH35" s="214">
        <v>0</v>
      </c>
      <c r="DI35" s="214" t="s">
        <v>1294</v>
      </c>
    </row>
    <row r="36" spans="1:113" s="214" customFormat="1" x14ac:dyDescent="0.2">
      <c r="B36" s="610" t="s">
        <v>155</v>
      </c>
      <c r="C36" s="610" t="s">
        <v>154</v>
      </c>
      <c r="D36" s="239">
        <v>-255122</v>
      </c>
      <c r="E36" s="239">
        <v>0</v>
      </c>
      <c r="F36" s="239">
        <v>-255122</v>
      </c>
      <c r="G36" s="239">
        <v>0</v>
      </c>
      <c r="H36" s="239">
        <v>0</v>
      </c>
      <c r="I36" s="239">
        <v>0</v>
      </c>
      <c r="J36" s="239">
        <v>-255122</v>
      </c>
      <c r="K36" s="239">
        <v>0</v>
      </c>
      <c r="L36" s="239">
        <v>-255122</v>
      </c>
      <c r="M36" s="239">
        <v>419777</v>
      </c>
      <c r="N36" s="239">
        <v>419777</v>
      </c>
      <c r="O36" s="239">
        <v>0</v>
      </c>
      <c r="P36" s="239">
        <v>0</v>
      </c>
      <c r="Q36" s="239">
        <v>0</v>
      </c>
      <c r="R36" s="239">
        <v>0</v>
      </c>
      <c r="S36" s="239">
        <v>0</v>
      </c>
      <c r="T36" s="239">
        <v>0</v>
      </c>
      <c r="U36" s="239">
        <v>0</v>
      </c>
      <c r="V36" s="239">
        <v>0</v>
      </c>
      <c r="W36" s="239">
        <v>0</v>
      </c>
      <c r="X36" s="239">
        <v>0</v>
      </c>
      <c r="Y36" s="239">
        <v>0</v>
      </c>
      <c r="Z36" s="239">
        <v>0</v>
      </c>
      <c r="AA36" s="239">
        <v>0</v>
      </c>
      <c r="AB36" s="239">
        <v>0</v>
      </c>
      <c r="AC36" s="239">
        <v>0</v>
      </c>
      <c r="AD36" s="239">
        <v>0</v>
      </c>
      <c r="AE36" s="239">
        <v>0</v>
      </c>
      <c r="AF36" s="239">
        <v>0</v>
      </c>
      <c r="AG36" s="239">
        <v>0</v>
      </c>
      <c r="AH36" s="239">
        <v>0</v>
      </c>
      <c r="AI36" s="239">
        <v>0</v>
      </c>
      <c r="AJ36" s="239">
        <v>0</v>
      </c>
      <c r="AK36" s="239">
        <v>702505.10937500012</v>
      </c>
      <c r="AL36" s="239">
        <v>468336.73958333343</v>
      </c>
      <c r="AM36" s="239">
        <v>0</v>
      </c>
      <c r="AN36" s="239">
        <v>670406</v>
      </c>
      <c r="AO36" s="239">
        <v>446938</v>
      </c>
      <c r="AP36" s="239">
        <v>0</v>
      </c>
      <c r="AQ36" s="239">
        <v>32099</v>
      </c>
      <c r="AR36" s="239">
        <v>21399</v>
      </c>
      <c r="AS36" s="239">
        <v>0</v>
      </c>
      <c r="AT36" s="239">
        <v>1668.58375</v>
      </c>
      <c r="AU36" s="239">
        <v>1112.3891666666668</v>
      </c>
      <c r="AV36" s="239">
        <v>0</v>
      </c>
      <c r="AW36" s="239">
        <v>0</v>
      </c>
      <c r="AX36" s="239">
        <v>0</v>
      </c>
      <c r="AY36" s="239">
        <v>0</v>
      </c>
      <c r="AZ36" s="239">
        <v>1669</v>
      </c>
      <c r="BA36" s="239">
        <v>1112</v>
      </c>
      <c r="BB36" s="239">
        <v>0</v>
      </c>
      <c r="BC36" s="239">
        <v>0</v>
      </c>
      <c r="BD36" s="239">
        <v>0</v>
      </c>
      <c r="BE36" s="239">
        <v>0</v>
      </c>
      <c r="BF36" s="239">
        <v>30437</v>
      </c>
      <c r="BG36" s="239">
        <v>20292</v>
      </c>
      <c r="BH36" s="239">
        <v>0</v>
      </c>
      <c r="BI36" s="239">
        <v>-30437</v>
      </c>
      <c r="BJ36" s="239">
        <v>-20292</v>
      </c>
      <c r="BK36" s="239">
        <v>0</v>
      </c>
      <c r="BL36" s="239">
        <v>18739.455624999999</v>
      </c>
      <c r="BM36" s="239">
        <v>12492.970416666667</v>
      </c>
      <c r="BN36" s="239">
        <v>0</v>
      </c>
      <c r="BO36" s="239">
        <v>22829</v>
      </c>
      <c r="BP36" s="239">
        <v>15218</v>
      </c>
      <c r="BQ36" s="239">
        <v>0</v>
      </c>
      <c r="BR36" s="239">
        <v>-4090</v>
      </c>
      <c r="BS36" s="239">
        <v>-2725</v>
      </c>
      <c r="BT36" s="239">
        <v>0</v>
      </c>
      <c r="BU36" s="239">
        <v>747138.65937500005</v>
      </c>
      <c r="BV36" s="239">
        <v>498092.43958333338</v>
      </c>
      <c r="BW36" s="239">
        <v>0</v>
      </c>
      <c r="BX36" s="239">
        <v>664450</v>
      </c>
      <c r="BY36" s="239">
        <v>442968</v>
      </c>
      <c r="BZ36" s="239">
        <v>0</v>
      </c>
      <c r="CA36" s="239">
        <v>82689</v>
      </c>
      <c r="CB36" s="239">
        <v>55124</v>
      </c>
      <c r="CC36" s="239">
        <v>0</v>
      </c>
      <c r="CD36" s="239">
        <v>0</v>
      </c>
      <c r="CE36" s="239">
        <v>0</v>
      </c>
      <c r="CF36" s="239">
        <v>0</v>
      </c>
      <c r="CG36" s="239">
        <v>0</v>
      </c>
      <c r="CH36" s="239">
        <v>0</v>
      </c>
      <c r="CI36" s="239">
        <v>0</v>
      </c>
      <c r="CJ36" s="239">
        <v>0</v>
      </c>
      <c r="CK36" s="239">
        <v>0</v>
      </c>
      <c r="CL36" s="239">
        <v>0</v>
      </c>
      <c r="CM36" s="239">
        <v>2490.0918749999996</v>
      </c>
      <c r="CN36" s="239">
        <v>1660.06125</v>
      </c>
      <c r="CO36" s="239">
        <v>0</v>
      </c>
      <c r="CP36" s="239">
        <v>0</v>
      </c>
      <c r="CQ36" s="239">
        <v>0</v>
      </c>
      <c r="CR36" s="239">
        <v>0</v>
      </c>
      <c r="CS36" s="239">
        <v>2490</v>
      </c>
      <c r="CT36" s="239">
        <v>1660</v>
      </c>
      <c r="CU36" s="239">
        <v>0</v>
      </c>
      <c r="CV36" s="239">
        <v>494935.26687499991</v>
      </c>
      <c r="CW36" s="239">
        <v>329956.84458333341</v>
      </c>
      <c r="CX36" s="239">
        <v>0</v>
      </c>
      <c r="CY36" s="239">
        <v>500893</v>
      </c>
      <c r="CZ36" s="239">
        <v>333928</v>
      </c>
      <c r="DA36" s="239">
        <v>0</v>
      </c>
      <c r="DB36" s="239">
        <v>-5958</v>
      </c>
      <c r="DC36" s="239">
        <v>-3971</v>
      </c>
      <c r="DD36" s="239">
        <v>0</v>
      </c>
      <c r="DE36" s="214">
        <v>0.5</v>
      </c>
      <c r="DF36" s="214">
        <v>0.3</v>
      </c>
      <c r="DG36" s="214">
        <v>0.2</v>
      </c>
      <c r="DH36" s="214">
        <v>0</v>
      </c>
      <c r="DI36" s="214" t="s">
        <v>1295</v>
      </c>
    </row>
    <row r="37" spans="1:113" s="214" customFormat="1" x14ac:dyDescent="0.2">
      <c r="B37" s="610" t="s">
        <v>157</v>
      </c>
      <c r="C37" s="610" t="s">
        <v>156</v>
      </c>
      <c r="D37" s="239">
        <v>220068</v>
      </c>
      <c r="E37" s="239">
        <v>0</v>
      </c>
      <c r="F37" s="239">
        <v>220068</v>
      </c>
      <c r="G37" s="239">
        <v>0</v>
      </c>
      <c r="H37" s="239">
        <v>0</v>
      </c>
      <c r="I37" s="239">
        <v>0</v>
      </c>
      <c r="J37" s="239">
        <v>220068</v>
      </c>
      <c r="K37" s="239">
        <v>0</v>
      </c>
      <c r="L37" s="239">
        <v>220068</v>
      </c>
      <c r="M37" s="239">
        <v>105408</v>
      </c>
      <c r="N37" s="239">
        <v>105408</v>
      </c>
      <c r="O37" s="239">
        <v>0</v>
      </c>
      <c r="P37" s="239">
        <v>0</v>
      </c>
      <c r="Q37" s="239">
        <v>0</v>
      </c>
      <c r="R37" s="239">
        <v>0</v>
      </c>
      <c r="S37" s="239">
        <v>0</v>
      </c>
      <c r="T37" s="239">
        <v>0</v>
      </c>
      <c r="U37" s="239">
        <v>0</v>
      </c>
      <c r="V37" s="239">
        <v>0</v>
      </c>
      <c r="W37" s="239">
        <v>0</v>
      </c>
      <c r="X37" s="239">
        <v>0</v>
      </c>
      <c r="Y37" s="239">
        <v>0</v>
      </c>
      <c r="Z37" s="239">
        <v>0</v>
      </c>
      <c r="AA37" s="239">
        <v>0</v>
      </c>
      <c r="AB37" s="239">
        <v>0</v>
      </c>
      <c r="AC37" s="239">
        <v>0</v>
      </c>
      <c r="AD37" s="239">
        <v>0</v>
      </c>
      <c r="AE37" s="239">
        <v>0</v>
      </c>
      <c r="AF37" s="239">
        <v>0</v>
      </c>
      <c r="AG37" s="239">
        <v>0</v>
      </c>
      <c r="AH37" s="239">
        <v>0</v>
      </c>
      <c r="AI37" s="239">
        <v>0</v>
      </c>
      <c r="AJ37" s="239">
        <v>0</v>
      </c>
      <c r="AK37" s="239">
        <v>265542.02583333338</v>
      </c>
      <c r="AL37" s="239">
        <v>59746.955812499997</v>
      </c>
      <c r="AM37" s="239">
        <v>6638.5506458333339</v>
      </c>
      <c r="AN37" s="239">
        <v>231162</v>
      </c>
      <c r="AO37" s="239">
        <v>52012</v>
      </c>
      <c r="AP37" s="239">
        <v>5780</v>
      </c>
      <c r="AQ37" s="239">
        <v>34380</v>
      </c>
      <c r="AR37" s="239">
        <v>7735</v>
      </c>
      <c r="AS37" s="239">
        <v>859</v>
      </c>
      <c r="AT37" s="239">
        <v>0</v>
      </c>
      <c r="AU37" s="239">
        <v>0</v>
      </c>
      <c r="AV37" s="239">
        <v>0</v>
      </c>
      <c r="AW37" s="239">
        <v>0</v>
      </c>
      <c r="AX37" s="239">
        <v>0</v>
      </c>
      <c r="AY37" s="239">
        <v>0</v>
      </c>
      <c r="AZ37" s="239">
        <v>0</v>
      </c>
      <c r="BA37" s="239">
        <v>0</v>
      </c>
      <c r="BB37" s="239">
        <v>0</v>
      </c>
      <c r="BC37" s="239">
        <v>0</v>
      </c>
      <c r="BD37" s="239">
        <v>0</v>
      </c>
      <c r="BE37" s="239">
        <v>0</v>
      </c>
      <c r="BF37" s="239">
        <v>0</v>
      </c>
      <c r="BG37" s="239">
        <v>0</v>
      </c>
      <c r="BH37" s="239">
        <v>0</v>
      </c>
      <c r="BI37" s="239">
        <v>0</v>
      </c>
      <c r="BJ37" s="239">
        <v>0</v>
      </c>
      <c r="BK37" s="239">
        <v>0</v>
      </c>
      <c r="BL37" s="239">
        <v>17128.601666666666</v>
      </c>
      <c r="BM37" s="239">
        <v>3853.9353749999996</v>
      </c>
      <c r="BN37" s="239">
        <v>428.21504166666665</v>
      </c>
      <c r="BO37" s="239">
        <v>2976</v>
      </c>
      <c r="BP37" s="239">
        <v>670</v>
      </c>
      <c r="BQ37" s="239">
        <v>74</v>
      </c>
      <c r="BR37" s="239">
        <v>14153</v>
      </c>
      <c r="BS37" s="239">
        <v>3184</v>
      </c>
      <c r="BT37" s="239">
        <v>354</v>
      </c>
      <c r="BU37" s="239">
        <v>210204.21583333332</v>
      </c>
      <c r="BV37" s="239">
        <v>47295.948562499994</v>
      </c>
      <c r="BW37" s="239">
        <v>5255.1053958333332</v>
      </c>
      <c r="BX37" s="239">
        <v>216583</v>
      </c>
      <c r="BY37" s="239">
        <v>48732</v>
      </c>
      <c r="BZ37" s="239">
        <v>5414</v>
      </c>
      <c r="CA37" s="239">
        <v>-6379</v>
      </c>
      <c r="CB37" s="239">
        <v>-1436</v>
      </c>
      <c r="CC37" s="239">
        <v>-159</v>
      </c>
      <c r="CD37" s="239">
        <v>0</v>
      </c>
      <c r="CE37" s="239">
        <v>0</v>
      </c>
      <c r="CF37" s="239">
        <v>0</v>
      </c>
      <c r="CG37" s="239">
        <v>0</v>
      </c>
      <c r="CH37" s="239">
        <v>0</v>
      </c>
      <c r="CI37" s="239">
        <v>0</v>
      </c>
      <c r="CJ37" s="239">
        <v>0</v>
      </c>
      <c r="CK37" s="239">
        <v>0</v>
      </c>
      <c r="CL37" s="239">
        <v>0</v>
      </c>
      <c r="CM37" s="239">
        <v>1322.6108333333334</v>
      </c>
      <c r="CN37" s="239">
        <v>297.58743750000002</v>
      </c>
      <c r="CO37" s="239">
        <v>33.065270833333336</v>
      </c>
      <c r="CP37" s="239">
        <v>0</v>
      </c>
      <c r="CQ37" s="239">
        <v>0</v>
      </c>
      <c r="CR37" s="239">
        <v>0</v>
      </c>
      <c r="CS37" s="239">
        <v>1323</v>
      </c>
      <c r="CT37" s="239">
        <v>298</v>
      </c>
      <c r="CU37" s="239">
        <v>33</v>
      </c>
      <c r="CV37" s="239">
        <v>166242.03750000001</v>
      </c>
      <c r="CW37" s="239">
        <v>37404.458437500005</v>
      </c>
      <c r="CX37" s="239">
        <v>4156.0509375000001</v>
      </c>
      <c r="CY37" s="239">
        <v>175825</v>
      </c>
      <c r="CZ37" s="239">
        <v>39561</v>
      </c>
      <c r="DA37" s="239">
        <v>4396</v>
      </c>
      <c r="DB37" s="239">
        <v>-9583</v>
      </c>
      <c r="DC37" s="239">
        <v>-2157</v>
      </c>
      <c r="DD37" s="239">
        <v>-240</v>
      </c>
      <c r="DE37" s="214">
        <v>0.5</v>
      </c>
      <c r="DF37" s="214">
        <v>0.4</v>
      </c>
      <c r="DG37" s="214">
        <v>0.09</v>
      </c>
      <c r="DH37" s="214">
        <v>0.01</v>
      </c>
      <c r="DI37" s="214" t="s">
        <v>1294</v>
      </c>
    </row>
    <row r="38" spans="1:113" s="214" customFormat="1" x14ac:dyDescent="0.2">
      <c r="B38" s="610" t="s">
        <v>159</v>
      </c>
      <c r="C38" s="610" t="s">
        <v>158</v>
      </c>
      <c r="D38" s="239">
        <v>-178824</v>
      </c>
      <c r="E38" s="239">
        <v>0</v>
      </c>
      <c r="F38" s="239">
        <v>-178824</v>
      </c>
      <c r="G38" s="239">
        <v>0</v>
      </c>
      <c r="H38" s="239">
        <v>0</v>
      </c>
      <c r="I38" s="239">
        <v>0</v>
      </c>
      <c r="J38" s="239">
        <v>-178824</v>
      </c>
      <c r="K38" s="239">
        <v>0</v>
      </c>
      <c r="L38" s="239">
        <v>-178824</v>
      </c>
      <c r="M38" s="239">
        <v>422367</v>
      </c>
      <c r="N38" s="239">
        <v>422367</v>
      </c>
      <c r="O38" s="239">
        <v>0</v>
      </c>
      <c r="P38" s="239">
        <v>0</v>
      </c>
      <c r="Q38" s="239">
        <v>0</v>
      </c>
      <c r="R38" s="239">
        <v>0</v>
      </c>
      <c r="S38" s="239">
        <v>0</v>
      </c>
      <c r="T38" s="239">
        <v>0</v>
      </c>
      <c r="U38" s="239">
        <v>0</v>
      </c>
      <c r="V38" s="239">
        <v>0</v>
      </c>
      <c r="W38" s="239">
        <v>0</v>
      </c>
      <c r="X38" s="239">
        <v>0</v>
      </c>
      <c r="Y38" s="239">
        <v>0</v>
      </c>
      <c r="Z38" s="239">
        <v>0</v>
      </c>
      <c r="AA38" s="239">
        <v>0</v>
      </c>
      <c r="AB38" s="239">
        <v>0</v>
      </c>
      <c r="AC38" s="239">
        <v>0</v>
      </c>
      <c r="AD38" s="239">
        <v>0</v>
      </c>
      <c r="AE38" s="239">
        <v>0</v>
      </c>
      <c r="AF38" s="239">
        <v>0</v>
      </c>
      <c r="AG38" s="239">
        <v>0</v>
      </c>
      <c r="AH38" s="239">
        <v>0</v>
      </c>
      <c r="AI38" s="239">
        <v>0</v>
      </c>
      <c r="AJ38" s="239">
        <v>0</v>
      </c>
      <c r="AK38" s="239">
        <v>1656383.2788854167</v>
      </c>
      <c r="AL38" s="239">
        <v>0</v>
      </c>
      <c r="AM38" s="239">
        <v>33803.74038541667</v>
      </c>
      <c r="AN38" s="239">
        <v>1567568</v>
      </c>
      <c r="AO38" s="239">
        <v>0</v>
      </c>
      <c r="AP38" s="239">
        <v>31992</v>
      </c>
      <c r="AQ38" s="239">
        <v>88815</v>
      </c>
      <c r="AR38" s="239">
        <v>0</v>
      </c>
      <c r="AS38" s="239">
        <v>1812</v>
      </c>
      <c r="AT38" s="239">
        <v>28238.380479166666</v>
      </c>
      <c r="AU38" s="239">
        <v>0</v>
      </c>
      <c r="AV38" s="239">
        <v>576.29347916666666</v>
      </c>
      <c r="AW38" s="239">
        <v>4971</v>
      </c>
      <c r="AX38" s="239">
        <v>0</v>
      </c>
      <c r="AY38" s="239">
        <v>102</v>
      </c>
      <c r="AZ38" s="239">
        <v>23267</v>
      </c>
      <c r="BA38" s="239">
        <v>0</v>
      </c>
      <c r="BB38" s="239">
        <v>474</v>
      </c>
      <c r="BC38" s="239">
        <v>28071.339479166669</v>
      </c>
      <c r="BD38" s="239">
        <v>0</v>
      </c>
      <c r="BE38" s="239">
        <v>572.88447916666678</v>
      </c>
      <c r="BF38" s="239">
        <v>39771</v>
      </c>
      <c r="BG38" s="239">
        <v>0</v>
      </c>
      <c r="BH38" s="239">
        <v>812</v>
      </c>
      <c r="BI38" s="239">
        <v>-11700</v>
      </c>
      <c r="BJ38" s="239">
        <v>0</v>
      </c>
      <c r="BK38" s="239">
        <v>-239</v>
      </c>
      <c r="BL38" s="239">
        <v>78950.23835416665</v>
      </c>
      <c r="BM38" s="239">
        <v>0</v>
      </c>
      <c r="BN38" s="239">
        <v>1611.2293541666666</v>
      </c>
      <c r="BO38" s="239">
        <v>27343</v>
      </c>
      <c r="BP38" s="239">
        <v>0</v>
      </c>
      <c r="BQ38" s="239">
        <v>558</v>
      </c>
      <c r="BR38" s="239">
        <v>51607</v>
      </c>
      <c r="BS38" s="239">
        <v>0</v>
      </c>
      <c r="BT38" s="239">
        <v>1053</v>
      </c>
      <c r="BU38" s="239">
        <v>1563239.2784166667</v>
      </c>
      <c r="BV38" s="239">
        <v>0</v>
      </c>
      <c r="BW38" s="239">
        <v>31902.84241666667</v>
      </c>
      <c r="BX38" s="239">
        <v>1760331</v>
      </c>
      <c r="BY38" s="239">
        <v>0</v>
      </c>
      <c r="BZ38" s="239">
        <v>35926</v>
      </c>
      <c r="CA38" s="239">
        <v>-197092</v>
      </c>
      <c r="CB38" s="239">
        <v>0</v>
      </c>
      <c r="CC38" s="239">
        <v>-4023</v>
      </c>
      <c r="CD38" s="239">
        <v>12.925791666666667</v>
      </c>
      <c r="CE38" s="239">
        <v>0</v>
      </c>
      <c r="CF38" s="239">
        <v>0.26379166666666665</v>
      </c>
      <c r="CG38" s="239">
        <v>0</v>
      </c>
      <c r="CH38" s="239">
        <v>0</v>
      </c>
      <c r="CI38" s="239">
        <v>0</v>
      </c>
      <c r="CJ38" s="239">
        <v>13</v>
      </c>
      <c r="CK38" s="239">
        <v>0</v>
      </c>
      <c r="CL38" s="239">
        <v>0</v>
      </c>
      <c r="CM38" s="239">
        <v>3809.1313749999999</v>
      </c>
      <c r="CN38" s="239">
        <v>0</v>
      </c>
      <c r="CO38" s="239">
        <v>77.737375</v>
      </c>
      <c r="CP38" s="239">
        <v>0</v>
      </c>
      <c r="CQ38" s="239">
        <v>0</v>
      </c>
      <c r="CR38" s="239">
        <v>0</v>
      </c>
      <c r="CS38" s="239">
        <v>3809</v>
      </c>
      <c r="CT38" s="239">
        <v>0</v>
      </c>
      <c r="CU38" s="239">
        <v>78</v>
      </c>
      <c r="CV38" s="239">
        <v>739684.15908333322</v>
      </c>
      <c r="CW38" s="239">
        <v>0</v>
      </c>
      <c r="CX38" s="239">
        <v>15095.595083333335</v>
      </c>
      <c r="CY38" s="239">
        <v>763874</v>
      </c>
      <c r="CZ38" s="239">
        <v>0</v>
      </c>
      <c r="DA38" s="239">
        <v>15589</v>
      </c>
      <c r="DB38" s="239">
        <v>-24190</v>
      </c>
      <c r="DC38" s="239">
        <v>0</v>
      </c>
      <c r="DD38" s="239">
        <v>-493</v>
      </c>
      <c r="DE38" s="214">
        <v>0.5</v>
      </c>
      <c r="DF38" s="214">
        <v>0.49</v>
      </c>
      <c r="DG38" s="214">
        <v>0</v>
      </c>
      <c r="DH38" s="214">
        <v>0.01</v>
      </c>
      <c r="DI38" s="214" t="s">
        <v>748</v>
      </c>
    </row>
    <row r="39" spans="1:113" s="214" customFormat="1" x14ac:dyDescent="0.2">
      <c r="B39" s="610" t="s">
        <v>161</v>
      </c>
      <c r="C39" s="610" t="s">
        <v>160</v>
      </c>
      <c r="D39" s="239">
        <v>2706708</v>
      </c>
      <c r="E39" s="239">
        <v>380</v>
      </c>
      <c r="F39" s="239">
        <v>2707088</v>
      </c>
      <c r="G39" s="239">
        <v>0</v>
      </c>
      <c r="H39" s="239">
        <v>0</v>
      </c>
      <c r="I39" s="239">
        <v>0</v>
      </c>
      <c r="J39" s="239">
        <v>2706708</v>
      </c>
      <c r="K39" s="239">
        <v>380</v>
      </c>
      <c r="L39" s="239">
        <v>2707088</v>
      </c>
      <c r="M39" s="239">
        <v>720642</v>
      </c>
      <c r="N39" s="239">
        <v>720642</v>
      </c>
      <c r="O39" s="239">
        <v>0</v>
      </c>
      <c r="P39" s="239">
        <v>0</v>
      </c>
      <c r="Q39" s="239">
        <v>6133815</v>
      </c>
      <c r="R39" s="239">
        <v>-6133815</v>
      </c>
      <c r="S39" s="239">
        <v>264</v>
      </c>
      <c r="T39" s="239">
        <v>0</v>
      </c>
      <c r="U39" s="239">
        <v>264</v>
      </c>
      <c r="V39" s="239">
        <v>0</v>
      </c>
      <c r="W39" s="239">
        <v>0</v>
      </c>
      <c r="X39" s="239">
        <v>0</v>
      </c>
      <c r="Y39" s="239">
        <v>821366.08333333337</v>
      </c>
      <c r="Z39" s="239">
        <v>821366.08333333337</v>
      </c>
      <c r="AA39" s="239">
        <v>0</v>
      </c>
      <c r="AB39" s="239">
        <v>0</v>
      </c>
      <c r="AC39" s="239">
        <v>440579</v>
      </c>
      <c r="AD39" s="239">
        <v>440579</v>
      </c>
      <c r="AE39" s="239">
        <v>0</v>
      </c>
      <c r="AF39" s="239">
        <v>0</v>
      </c>
      <c r="AG39" s="239">
        <v>380787</v>
      </c>
      <c r="AH39" s="239">
        <v>380787</v>
      </c>
      <c r="AI39" s="239">
        <v>0</v>
      </c>
      <c r="AJ39" s="239">
        <v>0</v>
      </c>
      <c r="AK39" s="239">
        <v>2464760.2199687501</v>
      </c>
      <c r="AL39" s="239">
        <v>0</v>
      </c>
      <c r="AM39" s="239">
        <v>49280.640968749998</v>
      </c>
      <c r="AN39" s="239">
        <v>1414364</v>
      </c>
      <c r="AO39" s="239">
        <v>0</v>
      </c>
      <c r="AP39" s="239">
        <v>28864</v>
      </c>
      <c r="AQ39" s="239">
        <v>1050396</v>
      </c>
      <c r="AR39" s="239">
        <v>0</v>
      </c>
      <c r="AS39" s="239">
        <v>20417</v>
      </c>
      <c r="AT39" s="239">
        <v>60290.863791666663</v>
      </c>
      <c r="AU39" s="239">
        <v>0</v>
      </c>
      <c r="AV39" s="239">
        <v>1230.4257916666666</v>
      </c>
      <c r="AW39" s="239">
        <v>381</v>
      </c>
      <c r="AX39" s="239">
        <v>0</v>
      </c>
      <c r="AY39" s="239">
        <v>8</v>
      </c>
      <c r="AZ39" s="239">
        <v>59910</v>
      </c>
      <c r="BA39" s="239">
        <v>0</v>
      </c>
      <c r="BB39" s="239">
        <v>1222</v>
      </c>
      <c r="BC39" s="239">
        <v>0</v>
      </c>
      <c r="BD39" s="239">
        <v>0</v>
      </c>
      <c r="BE39" s="239">
        <v>0</v>
      </c>
      <c r="BF39" s="239">
        <v>0</v>
      </c>
      <c r="BG39" s="239">
        <v>0</v>
      </c>
      <c r="BH39" s="239">
        <v>0</v>
      </c>
      <c r="BI39" s="239">
        <v>0</v>
      </c>
      <c r="BJ39" s="239">
        <v>0</v>
      </c>
      <c r="BK39" s="239">
        <v>0</v>
      </c>
      <c r="BL39" s="239">
        <v>72952.173875000008</v>
      </c>
      <c r="BM39" s="239">
        <v>0</v>
      </c>
      <c r="BN39" s="239">
        <v>1488.8198750000001</v>
      </c>
      <c r="BO39" s="239">
        <v>635600</v>
      </c>
      <c r="BP39" s="239">
        <v>0</v>
      </c>
      <c r="BQ39" s="239">
        <v>12972</v>
      </c>
      <c r="BR39" s="239">
        <v>-562648</v>
      </c>
      <c r="BS39" s="239">
        <v>0</v>
      </c>
      <c r="BT39" s="239">
        <v>-11483</v>
      </c>
      <c r="BU39" s="239">
        <v>1578696.8308958334</v>
      </c>
      <c r="BV39" s="239">
        <v>0</v>
      </c>
      <c r="BW39" s="239">
        <v>31632.080562499999</v>
      </c>
      <c r="BX39" s="239">
        <v>309283</v>
      </c>
      <c r="BY39" s="239">
        <v>0</v>
      </c>
      <c r="BZ39" s="239">
        <v>6312</v>
      </c>
      <c r="CA39" s="239">
        <v>1269414</v>
      </c>
      <c r="CB39" s="239">
        <v>0</v>
      </c>
      <c r="CC39" s="239">
        <v>25320</v>
      </c>
      <c r="CD39" s="239">
        <v>0</v>
      </c>
      <c r="CE39" s="239">
        <v>0</v>
      </c>
      <c r="CF39" s="239">
        <v>0</v>
      </c>
      <c r="CG39" s="239">
        <v>0</v>
      </c>
      <c r="CH39" s="239">
        <v>0</v>
      </c>
      <c r="CI39" s="239">
        <v>0</v>
      </c>
      <c r="CJ39" s="239">
        <v>0</v>
      </c>
      <c r="CK39" s="239">
        <v>0</v>
      </c>
      <c r="CL39" s="239">
        <v>0</v>
      </c>
      <c r="CM39" s="239">
        <v>18324.734541666665</v>
      </c>
      <c r="CN39" s="239">
        <v>0</v>
      </c>
      <c r="CO39" s="239">
        <v>249.24254166666665</v>
      </c>
      <c r="CP39" s="239">
        <v>0</v>
      </c>
      <c r="CQ39" s="239">
        <v>0</v>
      </c>
      <c r="CR39" s="239">
        <v>0</v>
      </c>
      <c r="CS39" s="239">
        <v>18325</v>
      </c>
      <c r="CT39" s="239">
        <v>0</v>
      </c>
      <c r="CU39" s="239">
        <v>249</v>
      </c>
      <c r="CV39" s="239">
        <v>1510607.66325</v>
      </c>
      <c r="CW39" s="239">
        <v>0</v>
      </c>
      <c r="CX39" s="239">
        <v>30828.649250000002</v>
      </c>
      <c r="CY39" s="239">
        <v>1577604</v>
      </c>
      <c r="CZ39" s="239">
        <v>0</v>
      </c>
      <c r="DA39" s="239">
        <v>30239</v>
      </c>
      <c r="DB39" s="239">
        <v>-66996</v>
      </c>
      <c r="DC39" s="239">
        <v>0</v>
      </c>
      <c r="DD39" s="239">
        <v>590</v>
      </c>
      <c r="DE39" s="214">
        <v>0.5</v>
      </c>
      <c r="DF39" s="214">
        <v>0.49</v>
      </c>
      <c r="DG39" s="214">
        <v>0</v>
      </c>
      <c r="DH39" s="214">
        <v>0.01</v>
      </c>
      <c r="DI39" s="214" t="s">
        <v>748</v>
      </c>
    </row>
    <row r="40" spans="1:113" s="214" customFormat="1" x14ac:dyDescent="0.2">
      <c r="B40" s="610" t="s">
        <v>163</v>
      </c>
      <c r="C40" s="610" t="s">
        <v>162</v>
      </c>
      <c r="D40" s="239">
        <v>-131936</v>
      </c>
      <c r="E40" s="239">
        <v>0</v>
      </c>
      <c r="F40" s="239">
        <v>-131936</v>
      </c>
      <c r="G40" s="239">
        <v>0</v>
      </c>
      <c r="H40" s="239">
        <v>0</v>
      </c>
      <c r="I40" s="239">
        <v>0</v>
      </c>
      <c r="J40" s="239">
        <v>-131936</v>
      </c>
      <c r="K40" s="239">
        <v>0</v>
      </c>
      <c r="L40" s="239">
        <v>-131936</v>
      </c>
      <c r="M40" s="239">
        <v>138072</v>
      </c>
      <c r="N40" s="239">
        <v>138072</v>
      </c>
      <c r="O40" s="239">
        <v>0</v>
      </c>
      <c r="P40" s="239">
        <v>0</v>
      </c>
      <c r="Q40" s="239">
        <v>0</v>
      </c>
      <c r="R40" s="239">
        <v>0</v>
      </c>
      <c r="S40" s="239">
        <v>135297</v>
      </c>
      <c r="T40" s="239">
        <v>0</v>
      </c>
      <c r="U40" s="239">
        <v>96135</v>
      </c>
      <c r="V40" s="239">
        <v>0</v>
      </c>
      <c r="W40" s="239">
        <v>39162</v>
      </c>
      <c r="X40" s="239">
        <v>0</v>
      </c>
      <c r="Y40" s="239">
        <v>0</v>
      </c>
      <c r="Z40" s="239">
        <v>0</v>
      </c>
      <c r="AA40" s="239">
        <v>0</v>
      </c>
      <c r="AB40" s="239">
        <v>0</v>
      </c>
      <c r="AC40" s="239">
        <v>0</v>
      </c>
      <c r="AD40" s="239">
        <v>0</v>
      </c>
      <c r="AE40" s="239">
        <v>0</v>
      </c>
      <c r="AF40" s="239">
        <v>0</v>
      </c>
      <c r="AG40" s="239">
        <v>0</v>
      </c>
      <c r="AH40" s="239">
        <v>0</v>
      </c>
      <c r="AI40" s="239">
        <v>0</v>
      </c>
      <c r="AJ40" s="239">
        <v>0</v>
      </c>
      <c r="AK40" s="239">
        <v>563741.66291666671</v>
      </c>
      <c r="AL40" s="239">
        <v>140935.41572916668</v>
      </c>
      <c r="AM40" s="239">
        <v>0</v>
      </c>
      <c r="AN40" s="239">
        <v>521707</v>
      </c>
      <c r="AO40" s="239">
        <v>130426</v>
      </c>
      <c r="AP40" s="239">
        <v>0</v>
      </c>
      <c r="AQ40" s="239">
        <v>42035</v>
      </c>
      <c r="AR40" s="239">
        <v>10509</v>
      </c>
      <c r="AS40" s="239">
        <v>0</v>
      </c>
      <c r="AT40" s="239">
        <v>480.91250000000002</v>
      </c>
      <c r="AU40" s="239">
        <v>120.22812500000001</v>
      </c>
      <c r="AV40" s="239">
        <v>0</v>
      </c>
      <c r="AW40" s="239">
        <v>794</v>
      </c>
      <c r="AX40" s="239">
        <v>198</v>
      </c>
      <c r="AY40" s="239">
        <v>0</v>
      </c>
      <c r="AZ40" s="239">
        <v>-313</v>
      </c>
      <c r="BA40" s="239">
        <v>-78</v>
      </c>
      <c r="BB40" s="239">
        <v>0</v>
      </c>
      <c r="BC40" s="239">
        <v>1700.4416666666668</v>
      </c>
      <c r="BD40" s="239">
        <v>425.11041666666671</v>
      </c>
      <c r="BE40" s="239">
        <v>0</v>
      </c>
      <c r="BF40" s="239">
        <v>2521</v>
      </c>
      <c r="BG40" s="239">
        <v>630</v>
      </c>
      <c r="BH40" s="239">
        <v>0</v>
      </c>
      <c r="BI40" s="239">
        <v>-821</v>
      </c>
      <c r="BJ40" s="239">
        <v>-205</v>
      </c>
      <c r="BK40" s="239">
        <v>0</v>
      </c>
      <c r="BL40" s="239">
        <v>0</v>
      </c>
      <c r="BM40" s="239">
        <v>0</v>
      </c>
      <c r="BN40" s="239">
        <v>0</v>
      </c>
      <c r="BO40" s="239">
        <v>6087</v>
      </c>
      <c r="BP40" s="239">
        <v>1522</v>
      </c>
      <c r="BQ40" s="239">
        <v>0</v>
      </c>
      <c r="BR40" s="239">
        <v>-6087</v>
      </c>
      <c r="BS40" s="239">
        <v>-1522</v>
      </c>
      <c r="BT40" s="239">
        <v>0</v>
      </c>
      <c r="BU40" s="239">
        <v>134629.12083333332</v>
      </c>
      <c r="BV40" s="239">
        <v>33657.28020833333</v>
      </c>
      <c r="BW40" s="239">
        <v>0</v>
      </c>
      <c r="BX40" s="239">
        <v>133876</v>
      </c>
      <c r="BY40" s="239">
        <v>33470</v>
      </c>
      <c r="BZ40" s="239">
        <v>0</v>
      </c>
      <c r="CA40" s="239">
        <v>753</v>
      </c>
      <c r="CB40" s="239">
        <v>187</v>
      </c>
      <c r="CC40" s="239">
        <v>0</v>
      </c>
      <c r="CD40" s="239">
        <v>0</v>
      </c>
      <c r="CE40" s="239">
        <v>0</v>
      </c>
      <c r="CF40" s="239">
        <v>0</v>
      </c>
      <c r="CG40" s="239">
        <v>0</v>
      </c>
      <c r="CH40" s="239">
        <v>0</v>
      </c>
      <c r="CI40" s="239">
        <v>0</v>
      </c>
      <c r="CJ40" s="239">
        <v>0</v>
      </c>
      <c r="CK40" s="239">
        <v>0</v>
      </c>
      <c r="CL40" s="239">
        <v>0</v>
      </c>
      <c r="CM40" s="239">
        <v>1859.1224999999999</v>
      </c>
      <c r="CN40" s="239">
        <v>464.78062499999999</v>
      </c>
      <c r="CO40" s="239">
        <v>0</v>
      </c>
      <c r="CP40" s="239">
        <v>0</v>
      </c>
      <c r="CQ40" s="239">
        <v>0</v>
      </c>
      <c r="CR40" s="239">
        <v>0</v>
      </c>
      <c r="CS40" s="239">
        <v>1859</v>
      </c>
      <c r="CT40" s="239">
        <v>465</v>
      </c>
      <c r="CU40" s="239">
        <v>0</v>
      </c>
      <c r="CV40" s="239">
        <v>162616.93291666667</v>
      </c>
      <c r="CW40" s="239">
        <v>40160.962916666664</v>
      </c>
      <c r="CX40" s="239">
        <v>0</v>
      </c>
      <c r="CY40" s="239">
        <v>178287</v>
      </c>
      <c r="CZ40" s="239">
        <v>44221</v>
      </c>
      <c r="DA40" s="239">
        <v>0</v>
      </c>
      <c r="DB40" s="239">
        <v>-15670</v>
      </c>
      <c r="DC40" s="239">
        <v>-4060</v>
      </c>
      <c r="DD40" s="239">
        <v>0</v>
      </c>
      <c r="DE40" s="214">
        <v>0.5</v>
      </c>
      <c r="DF40" s="214">
        <v>0.4</v>
      </c>
      <c r="DG40" s="214">
        <v>0.1</v>
      </c>
      <c r="DH40" s="214">
        <v>0</v>
      </c>
      <c r="DI40" s="214" t="s">
        <v>1294</v>
      </c>
    </row>
    <row r="41" spans="1:113" s="214" customFormat="1" x14ac:dyDescent="0.2">
      <c r="B41" s="610" t="s">
        <v>165</v>
      </c>
      <c r="C41" s="610" t="s">
        <v>164</v>
      </c>
      <c r="D41" s="239">
        <v>-82950</v>
      </c>
      <c r="E41" s="239">
        <v>0</v>
      </c>
      <c r="F41" s="239">
        <v>-82950</v>
      </c>
      <c r="G41" s="239">
        <v>0</v>
      </c>
      <c r="H41" s="239">
        <v>0</v>
      </c>
      <c r="I41" s="239">
        <v>0</v>
      </c>
      <c r="J41" s="239">
        <v>-82950</v>
      </c>
      <c r="K41" s="239">
        <v>0</v>
      </c>
      <c r="L41" s="239">
        <v>-82950</v>
      </c>
      <c r="M41" s="239">
        <v>342871</v>
      </c>
      <c r="N41" s="239">
        <v>342871</v>
      </c>
      <c r="O41" s="239">
        <v>0</v>
      </c>
      <c r="P41" s="239">
        <v>0</v>
      </c>
      <c r="Q41" s="239">
        <v>0</v>
      </c>
      <c r="R41" s="239">
        <v>0</v>
      </c>
      <c r="S41" s="239">
        <v>0</v>
      </c>
      <c r="T41" s="239">
        <v>0</v>
      </c>
      <c r="U41" s="239">
        <v>0</v>
      </c>
      <c r="V41" s="239">
        <v>0</v>
      </c>
      <c r="W41" s="239">
        <v>0</v>
      </c>
      <c r="X41" s="239">
        <v>0</v>
      </c>
      <c r="Y41" s="239">
        <v>0</v>
      </c>
      <c r="Z41" s="239">
        <v>0</v>
      </c>
      <c r="AA41" s="239">
        <v>0</v>
      </c>
      <c r="AB41" s="239">
        <v>0</v>
      </c>
      <c r="AC41" s="239">
        <v>0</v>
      </c>
      <c r="AD41" s="239">
        <v>0</v>
      </c>
      <c r="AE41" s="239">
        <v>0</v>
      </c>
      <c r="AF41" s="239">
        <v>0</v>
      </c>
      <c r="AG41" s="239">
        <v>0</v>
      </c>
      <c r="AH41" s="239">
        <v>0</v>
      </c>
      <c r="AI41" s="239">
        <v>0</v>
      </c>
      <c r="AJ41" s="239">
        <v>0</v>
      </c>
      <c r="AK41" s="239">
        <v>716952.72531249991</v>
      </c>
      <c r="AL41" s="239">
        <v>477968.48354166665</v>
      </c>
      <c r="AM41" s="239">
        <v>0</v>
      </c>
      <c r="AN41" s="239">
        <v>663323</v>
      </c>
      <c r="AO41" s="239">
        <v>442216</v>
      </c>
      <c r="AP41" s="239">
        <v>0</v>
      </c>
      <c r="AQ41" s="239">
        <v>53630</v>
      </c>
      <c r="AR41" s="239">
        <v>35752</v>
      </c>
      <c r="AS41" s="239">
        <v>0</v>
      </c>
      <c r="AT41" s="239">
        <v>0</v>
      </c>
      <c r="AU41" s="239">
        <v>0</v>
      </c>
      <c r="AV41" s="239">
        <v>0</v>
      </c>
      <c r="AW41" s="239">
        <v>0</v>
      </c>
      <c r="AX41" s="239">
        <v>0</v>
      </c>
      <c r="AY41" s="239">
        <v>0</v>
      </c>
      <c r="AZ41" s="239">
        <v>0</v>
      </c>
      <c r="BA41" s="239">
        <v>0</v>
      </c>
      <c r="BB41" s="239">
        <v>0</v>
      </c>
      <c r="BC41" s="239">
        <v>0</v>
      </c>
      <c r="BD41" s="239">
        <v>0</v>
      </c>
      <c r="BE41" s="239">
        <v>0</v>
      </c>
      <c r="BF41" s="239">
        <v>0</v>
      </c>
      <c r="BG41" s="239">
        <v>0</v>
      </c>
      <c r="BH41" s="239">
        <v>0</v>
      </c>
      <c r="BI41" s="239">
        <v>0</v>
      </c>
      <c r="BJ41" s="239">
        <v>0</v>
      </c>
      <c r="BK41" s="239">
        <v>0</v>
      </c>
      <c r="BL41" s="239">
        <v>24830.303749999999</v>
      </c>
      <c r="BM41" s="239">
        <v>16553.535833333335</v>
      </c>
      <c r="BN41" s="239">
        <v>0</v>
      </c>
      <c r="BO41" s="239">
        <v>5486</v>
      </c>
      <c r="BP41" s="239">
        <v>3658</v>
      </c>
      <c r="BQ41" s="239">
        <v>0</v>
      </c>
      <c r="BR41" s="239">
        <v>19344</v>
      </c>
      <c r="BS41" s="239">
        <v>12896</v>
      </c>
      <c r="BT41" s="239">
        <v>0</v>
      </c>
      <c r="BU41" s="239">
        <v>576902.93937499996</v>
      </c>
      <c r="BV41" s="239">
        <v>384601.9595833334</v>
      </c>
      <c r="BW41" s="239">
        <v>0</v>
      </c>
      <c r="BX41" s="239">
        <v>644437</v>
      </c>
      <c r="BY41" s="239">
        <v>429626</v>
      </c>
      <c r="BZ41" s="239">
        <v>0</v>
      </c>
      <c r="CA41" s="239">
        <v>-67534</v>
      </c>
      <c r="CB41" s="239">
        <v>-45024</v>
      </c>
      <c r="CC41" s="239">
        <v>0</v>
      </c>
      <c r="CD41" s="239">
        <v>0</v>
      </c>
      <c r="CE41" s="239">
        <v>0</v>
      </c>
      <c r="CF41" s="239">
        <v>0</v>
      </c>
      <c r="CG41" s="239">
        <v>0</v>
      </c>
      <c r="CH41" s="239">
        <v>0</v>
      </c>
      <c r="CI41" s="239">
        <v>0</v>
      </c>
      <c r="CJ41" s="239">
        <v>0</v>
      </c>
      <c r="CK41" s="239">
        <v>0</v>
      </c>
      <c r="CL41" s="239">
        <v>0</v>
      </c>
      <c r="CM41" s="239">
        <v>5253.5124999999998</v>
      </c>
      <c r="CN41" s="239">
        <v>3502.3416666666667</v>
      </c>
      <c r="CO41" s="239">
        <v>0</v>
      </c>
      <c r="CP41" s="239">
        <v>0</v>
      </c>
      <c r="CQ41" s="239">
        <v>0</v>
      </c>
      <c r="CR41" s="239">
        <v>0</v>
      </c>
      <c r="CS41" s="239">
        <v>5254</v>
      </c>
      <c r="CT41" s="239">
        <v>3502</v>
      </c>
      <c r="CU41" s="239">
        <v>0</v>
      </c>
      <c r="CV41" s="239">
        <v>358251.83187499997</v>
      </c>
      <c r="CW41" s="239">
        <v>238834.55458333337</v>
      </c>
      <c r="CX41" s="239">
        <v>0</v>
      </c>
      <c r="CY41" s="239">
        <v>363637</v>
      </c>
      <c r="CZ41" s="239">
        <v>242425</v>
      </c>
      <c r="DA41" s="239">
        <v>0</v>
      </c>
      <c r="DB41" s="239">
        <v>-5385</v>
      </c>
      <c r="DC41" s="239">
        <v>-3590</v>
      </c>
      <c r="DD41" s="239">
        <v>0</v>
      </c>
      <c r="DE41" s="214">
        <v>0.5</v>
      </c>
      <c r="DF41" s="214">
        <v>0.3</v>
      </c>
      <c r="DG41" s="214">
        <v>0.2</v>
      </c>
      <c r="DH41" s="214">
        <v>0</v>
      </c>
      <c r="DI41" s="214" t="s">
        <v>1295</v>
      </c>
    </row>
    <row r="42" spans="1:113" s="214" customFormat="1" x14ac:dyDescent="0.2">
      <c r="B42" s="610" t="s">
        <v>167</v>
      </c>
      <c r="C42" s="610" t="s">
        <v>166</v>
      </c>
      <c r="D42" s="239">
        <v>251819</v>
      </c>
      <c r="E42" s="239">
        <v>0</v>
      </c>
      <c r="F42" s="239">
        <v>251819</v>
      </c>
      <c r="G42" s="239">
        <v>0</v>
      </c>
      <c r="H42" s="239">
        <v>0</v>
      </c>
      <c r="I42" s="239">
        <v>0</v>
      </c>
      <c r="J42" s="239">
        <v>251819</v>
      </c>
      <c r="K42" s="239">
        <v>0</v>
      </c>
      <c r="L42" s="239">
        <v>251819</v>
      </c>
      <c r="M42" s="239">
        <v>123091</v>
      </c>
      <c r="N42" s="239">
        <v>123091</v>
      </c>
      <c r="O42" s="239">
        <v>0</v>
      </c>
      <c r="P42" s="239">
        <v>0</v>
      </c>
      <c r="Q42" s="239">
        <v>0</v>
      </c>
      <c r="R42" s="239">
        <v>0</v>
      </c>
      <c r="S42" s="239">
        <v>0</v>
      </c>
      <c r="T42" s="239">
        <v>0</v>
      </c>
      <c r="U42" s="239">
        <v>0</v>
      </c>
      <c r="V42" s="239">
        <v>0</v>
      </c>
      <c r="W42" s="239">
        <v>0</v>
      </c>
      <c r="X42" s="239">
        <v>0</v>
      </c>
      <c r="Y42" s="239">
        <v>0</v>
      </c>
      <c r="Z42" s="239">
        <v>0</v>
      </c>
      <c r="AA42" s="239">
        <v>0</v>
      </c>
      <c r="AB42" s="239">
        <v>0</v>
      </c>
      <c r="AC42" s="239">
        <v>0</v>
      </c>
      <c r="AD42" s="239">
        <v>0</v>
      </c>
      <c r="AE42" s="239">
        <v>0</v>
      </c>
      <c r="AF42" s="239">
        <v>0</v>
      </c>
      <c r="AG42" s="239">
        <v>0</v>
      </c>
      <c r="AH42" s="239">
        <v>0</v>
      </c>
      <c r="AI42" s="239">
        <v>0</v>
      </c>
      <c r="AJ42" s="239">
        <v>0</v>
      </c>
      <c r="AK42" s="239">
        <v>443847.94458333339</v>
      </c>
      <c r="AL42" s="239">
        <v>99865.787531250011</v>
      </c>
      <c r="AM42" s="239">
        <v>11096.198614583334</v>
      </c>
      <c r="AN42" s="239">
        <v>421755</v>
      </c>
      <c r="AO42" s="239">
        <v>94894</v>
      </c>
      <c r="AP42" s="239">
        <v>10544</v>
      </c>
      <c r="AQ42" s="239">
        <v>22093</v>
      </c>
      <c r="AR42" s="239">
        <v>4972</v>
      </c>
      <c r="AS42" s="239">
        <v>552</v>
      </c>
      <c r="AT42" s="239">
        <v>0</v>
      </c>
      <c r="AU42" s="239">
        <v>0</v>
      </c>
      <c r="AV42" s="239">
        <v>0</v>
      </c>
      <c r="AW42" s="239">
        <v>0</v>
      </c>
      <c r="AX42" s="239">
        <v>0</v>
      </c>
      <c r="AY42" s="239">
        <v>0</v>
      </c>
      <c r="AZ42" s="239">
        <v>0</v>
      </c>
      <c r="BA42" s="239">
        <v>0</v>
      </c>
      <c r="BB42" s="239">
        <v>0</v>
      </c>
      <c r="BC42" s="239">
        <v>10027.735833333334</v>
      </c>
      <c r="BD42" s="239">
        <v>2256.2405625000001</v>
      </c>
      <c r="BE42" s="239">
        <v>250.69339583333334</v>
      </c>
      <c r="BF42" s="239">
        <v>0</v>
      </c>
      <c r="BG42" s="239">
        <v>0</v>
      </c>
      <c r="BH42" s="239">
        <v>0</v>
      </c>
      <c r="BI42" s="239">
        <v>10028</v>
      </c>
      <c r="BJ42" s="239">
        <v>2256</v>
      </c>
      <c r="BK42" s="239">
        <v>251</v>
      </c>
      <c r="BL42" s="239">
        <v>4289.2525000000005</v>
      </c>
      <c r="BM42" s="239">
        <v>965.08181249999996</v>
      </c>
      <c r="BN42" s="239">
        <v>107.2313125</v>
      </c>
      <c r="BO42" s="239">
        <v>0</v>
      </c>
      <c r="BP42" s="239">
        <v>0</v>
      </c>
      <c r="BQ42" s="239">
        <v>0</v>
      </c>
      <c r="BR42" s="239">
        <v>4289</v>
      </c>
      <c r="BS42" s="239">
        <v>965</v>
      </c>
      <c r="BT42" s="239">
        <v>107</v>
      </c>
      <c r="BU42" s="239">
        <v>186241.38083333333</v>
      </c>
      <c r="BV42" s="239">
        <v>41904.310687500001</v>
      </c>
      <c r="BW42" s="239">
        <v>4656.0345208333338</v>
      </c>
      <c r="BX42" s="239">
        <v>228893</v>
      </c>
      <c r="BY42" s="239">
        <v>51500</v>
      </c>
      <c r="BZ42" s="239">
        <v>5722</v>
      </c>
      <c r="CA42" s="239">
        <v>-42652</v>
      </c>
      <c r="CB42" s="239">
        <v>-9596</v>
      </c>
      <c r="CC42" s="239">
        <v>-1066</v>
      </c>
      <c r="CD42" s="239">
        <v>0</v>
      </c>
      <c r="CE42" s="239">
        <v>0</v>
      </c>
      <c r="CF42" s="239">
        <v>0</v>
      </c>
      <c r="CG42" s="239">
        <v>0</v>
      </c>
      <c r="CH42" s="239">
        <v>0</v>
      </c>
      <c r="CI42" s="239">
        <v>0</v>
      </c>
      <c r="CJ42" s="239">
        <v>0</v>
      </c>
      <c r="CK42" s="239">
        <v>0</v>
      </c>
      <c r="CL42" s="239">
        <v>0</v>
      </c>
      <c r="CM42" s="239">
        <v>5231.5974999999999</v>
      </c>
      <c r="CN42" s="239">
        <v>1177.1094375</v>
      </c>
      <c r="CO42" s="239">
        <v>130.78993750000001</v>
      </c>
      <c r="CP42" s="239">
        <v>0</v>
      </c>
      <c r="CQ42" s="239">
        <v>0</v>
      </c>
      <c r="CR42" s="239">
        <v>0</v>
      </c>
      <c r="CS42" s="239">
        <v>5232</v>
      </c>
      <c r="CT42" s="239">
        <v>1177</v>
      </c>
      <c r="CU42" s="239">
        <v>131</v>
      </c>
      <c r="CV42" s="239">
        <v>159685.8725</v>
      </c>
      <c r="CW42" s="239">
        <v>35929.321312500004</v>
      </c>
      <c r="CX42" s="239">
        <v>3992.1468125000006</v>
      </c>
      <c r="CY42" s="239">
        <v>161753</v>
      </c>
      <c r="CZ42" s="239">
        <v>36394</v>
      </c>
      <c r="DA42" s="239">
        <v>4044</v>
      </c>
      <c r="DB42" s="239">
        <v>-2067</v>
      </c>
      <c r="DC42" s="239">
        <v>-465</v>
      </c>
      <c r="DD42" s="239">
        <v>-52</v>
      </c>
      <c r="DE42" s="214">
        <v>0.5</v>
      </c>
      <c r="DF42" s="214">
        <v>0.4</v>
      </c>
      <c r="DG42" s="214">
        <v>0.09</v>
      </c>
      <c r="DH42" s="214">
        <v>0.01</v>
      </c>
      <c r="DI42" s="214" t="s">
        <v>1294</v>
      </c>
    </row>
    <row r="43" spans="1:113" s="214" customFormat="1" x14ac:dyDescent="0.2">
      <c r="B43" s="610" t="s">
        <v>169</v>
      </c>
      <c r="C43" s="610" t="s">
        <v>168</v>
      </c>
      <c r="D43" s="239">
        <v>78973</v>
      </c>
      <c r="E43" s="239">
        <v>0</v>
      </c>
      <c r="F43" s="239">
        <v>78973</v>
      </c>
      <c r="G43" s="239">
        <v>0</v>
      </c>
      <c r="H43" s="239">
        <v>0</v>
      </c>
      <c r="I43" s="239">
        <v>0</v>
      </c>
      <c r="J43" s="239">
        <v>78973</v>
      </c>
      <c r="K43" s="239">
        <v>0</v>
      </c>
      <c r="L43" s="239">
        <v>78973</v>
      </c>
      <c r="M43" s="239">
        <v>116685</v>
      </c>
      <c r="N43" s="239">
        <v>116685</v>
      </c>
      <c r="O43" s="239">
        <v>0</v>
      </c>
      <c r="P43" s="239">
        <v>0</v>
      </c>
      <c r="Q43" s="239">
        <v>0</v>
      </c>
      <c r="R43" s="239">
        <v>0</v>
      </c>
      <c r="S43" s="239">
        <v>0</v>
      </c>
      <c r="T43" s="239">
        <v>0</v>
      </c>
      <c r="U43" s="239">
        <v>0</v>
      </c>
      <c r="V43" s="239">
        <v>0</v>
      </c>
      <c r="W43" s="239">
        <v>0</v>
      </c>
      <c r="X43" s="239">
        <v>0</v>
      </c>
      <c r="Y43" s="239">
        <v>0</v>
      </c>
      <c r="Z43" s="239">
        <v>0</v>
      </c>
      <c r="AA43" s="239">
        <v>0</v>
      </c>
      <c r="AB43" s="239">
        <v>0</v>
      </c>
      <c r="AC43" s="239">
        <v>0</v>
      </c>
      <c r="AD43" s="239">
        <v>0</v>
      </c>
      <c r="AE43" s="239">
        <v>0</v>
      </c>
      <c r="AF43" s="239">
        <v>0</v>
      </c>
      <c r="AG43" s="239">
        <v>0</v>
      </c>
      <c r="AH43" s="239">
        <v>0</v>
      </c>
      <c r="AI43" s="239">
        <v>0</v>
      </c>
      <c r="AJ43" s="239">
        <v>0</v>
      </c>
      <c r="AK43" s="239">
        <v>296614.45208333334</v>
      </c>
      <c r="AL43" s="239">
        <v>74153.613020833334</v>
      </c>
      <c r="AM43" s="239">
        <v>0</v>
      </c>
      <c r="AN43" s="239">
        <v>285121</v>
      </c>
      <c r="AO43" s="239">
        <v>71280</v>
      </c>
      <c r="AP43" s="239">
        <v>0</v>
      </c>
      <c r="AQ43" s="239">
        <v>11493</v>
      </c>
      <c r="AR43" s="239">
        <v>2874</v>
      </c>
      <c r="AS43" s="239">
        <v>0</v>
      </c>
      <c r="AT43" s="239">
        <v>0</v>
      </c>
      <c r="AU43" s="239">
        <v>0</v>
      </c>
      <c r="AV43" s="239">
        <v>0</v>
      </c>
      <c r="AW43" s="239">
        <v>0</v>
      </c>
      <c r="AX43" s="239">
        <v>0</v>
      </c>
      <c r="AY43" s="239">
        <v>0</v>
      </c>
      <c r="AZ43" s="239">
        <v>0</v>
      </c>
      <c r="BA43" s="239">
        <v>0</v>
      </c>
      <c r="BB43" s="239">
        <v>0</v>
      </c>
      <c r="BC43" s="239">
        <v>3452.4241666666671</v>
      </c>
      <c r="BD43" s="239">
        <v>863.10604166666678</v>
      </c>
      <c r="BE43" s="239">
        <v>0</v>
      </c>
      <c r="BF43" s="239">
        <v>0</v>
      </c>
      <c r="BG43" s="239">
        <v>0</v>
      </c>
      <c r="BH43" s="239">
        <v>0</v>
      </c>
      <c r="BI43" s="239">
        <v>3452</v>
      </c>
      <c r="BJ43" s="239">
        <v>863</v>
      </c>
      <c r="BK43" s="239">
        <v>0</v>
      </c>
      <c r="BL43" s="239">
        <v>5202.3775000000005</v>
      </c>
      <c r="BM43" s="239">
        <v>1300.5943750000001</v>
      </c>
      <c r="BN43" s="239">
        <v>0</v>
      </c>
      <c r="BO43" s="239">
        <v>101459</v>
      </c>
      <c r="BP43" s="239">
        <v>25364</v>
      </c>
      <c r="BQ43" s="239">
        <v>0</v>
      </c>
      <c r="BR43" s="239">
        <v>-96257</v>
      </c>
      <c r="BS43" s="239">
        <v>-24063</v>
      </c>
      <c r="BT43" s="239">
        <v>0</v>
      </c>
      <c r="BU43" s="239">
        <v>251346.78750000001</v>
      </c>
      <c r="BV43" s="239">
        <v>62836.696875000001</v>
      </c>
      <c r="BW43" s="239">
        <v>0</v>
      </c>
      <c r="BX43" s="239">
        <v>227446</v>
      </c>
      <c r="BY43" s="239">
        <v>56862</v>
      </c>
      <c r="BZ43" s="239">
        <v>0</v>
      </c>
      <c r="CA43" s="239">
        <v>23901</v>
      </c>
      <c r="CB43" s="239">
        <v>5975</v>
      </c>
      <c r="CC43" s="239">
        <v>0</v>
      </c>
      <c r="CD43" s="239">
        <v>0</v>
      </c>
      <c r="CE43" s="239">
        <v>0</v>
      </c>
      <c r="CF43" s="239">
        <v>0</v>
      </c>
      <c r="CG43" s="239">
        <v>0</v>
      </c>
      <c r="CH43" s="239">
        <v>0</v>
      </c>
      <c r="CI43" s="239">
        <v>0</v>
      </c>
      <c r="CJ43" s="239">
        <v>0</v>
      </c>
      <c r="CK43" s="239">
        <v>0</v>
      </c>
      <c r="CL43" s="239">
        <v>0</v>
      </c>
      <c r="CM43" s="239">
        <v>338.46500000000003</v>
      </c>
      <c r="CN43" s="239">
        <v>84.616250000000008</v>
      </c>
      <c r="CO43" s="239">
        <v>0</v>
      </c>
      <c r="CP43" s="239">
        <v>0</v>
      </c>
      <c r="CQ43" s="239">
        <v>0</v>
      </c>
      <c r="CR43" s="239">
        <v>0</v>
      </c>
      <c r="CS43" s="239">
        <v>338</v>
      </c>
      <c r="CT43" s="239">
        <v>85</v>
      </c>
      <c r="CU43" s="239">
        <v>0</v>
      </c>
      <c r="CV43" s="239">
        <v>225003.03175000002</v>
      </c>
      <c r="CW43" s="239">
        <v>56250.757937500006</v>
      </c>
      <c r="CX43" s="239">
        <v>0</v>
      </c>
      <c r="CY43" s="239">
        <v>243200</v>
      </c>
      <c r="CZ43" s="239">
        <v>60800</v>
      </c>
      <c r="DA43" s="239">
        <v>0</v>
      </c>
      <c r="DB43" s="239">
        <v>-18197</v>
      </c>
      <c r="DC43" s="239">
        <v>-4549</v>
      </c>
      <c r="DD43" s="239">
        <v>0</v>
      </c>
      <c r="DE43" s="214">
        <v>0.5</v>
      </c>
      <c r="DF43" s="214">
        <v>0.4</v>
      </c>
      <c r="DG43" s="214">
        <v>0.1</v>
      </c>
      <c r="DH43" s="214">
        <v>0</v>
      </c>
      <c r="DI43" s="214" t="s">
        <v>1294</v>
      </c>
    </row>
    <row r="44" spans="1:113" s="214" customFormat="1" x14ac:dyDescent="0.2">
      <c r="A44" s="215" t="s">
        <v>1321</v>
      </c>
      <c r="B44" s="610" t="s">
        <v>171</v>
      </c>
      <c r="C44" s="610" t="s">
        <v>170</v>
      </c>
      <c r="D44" s="239">
        <v>104502</v>
      </c>
      <c r="E44" s="239">
        <v>0</v>
      </c>
      <c r="F44" s="239">
        <v>104502</v>
      </c>
      <c r="G44" s="239">
        <v>0</v>
      </c>
      <c r="H44" s="239">
        <v>0</v>
      </c>
      <c r="I44" s="239">
        <v>0</v>
      </c>
      <c r="J44" s="239">
        <v>104502</v>
      </c>
      <c r="K44" s="239">
        <v>0</v>
      </c>
      <c r="L44" s="239">
        <v>104502</v>
      </c>
      <c r="M44" s="239">
        <v>107754</v>
      </c>
      <c r="N44" s="239">
        <v>122754</v>
      </c>
      <c r="O44" s="239">
        <v>-15000</v>
      </c>
      <c r="P44" s="239">
        <v>0</v>
      </c>
      <c r="Q44" s="239">
        <v>0</v>
      </c>
      <c r="R44" s="239">
        <v>0</v>
      </c>
      <c r="S44" s="239">
        <v>0</v>
      </c>
      <c r="T44" s="239">
        <v>0</v>
      </c>
      <c r="U44" s="239">
        <v>0</v>
      </c>
      <c r="V44" s="239">
        <v>0</v>
      </c>
      <c r="W44" s="239">
        <v>0</v>
      </c>
      <c r="X44" s="239">
        <v>0</v>
      </c>
      <c r="Y44" s="239">
        <v>39174.077083333337</v>
      </c>
      <c r="Z44" s="239">
        <v>39174.077083333337</v>
      </c>
      <c r="AA44" s="239">
        <v>0</v>
      </c>
      <c r="AB44" s="239">
        <v>0</v>
      </c>
      <c r="AC44" s="239">
        <v>61625</v>
      </c>
      <c r="AD44" s="239">
        <v>61625</v>
      </c>
      <c r="AE44" s="239">
        <v>0</v>
      </c>
      <c r="AF44" s="239">
        <v>0</v>
      </c>
      <c r="AG44" s="239">
        <v>-22451</v>
      </c>
      <c r="AH44" s="239">
        <v>-22451</v>
      </c>
      <c r="AI44" s="239">
        <v>0</v>
      </c>
      <c r="AJ44" s="239">
        <v>0</v>
      </c>
      <c r="AK44" s="239">
        <v>332106.60625000007</v>
      </c>
      <c r="AL44" s="239">
        <v>73256.822812500002</v>
      </c>
      <c r="AM44" s="239">
        <v>8139.6469791666677</v>
      </c>
      <c r="AN44" s="239">
        <v>329844</v>
      </c>
      <c r="AO44" s="239">
        <v>74214</v>
      </c>
      <c r="AP44" s="239">
        <v>8246</v>
      </c>
      <c r="AQ44" s="239">
        <v>2263</v>
      </c>
      <c r="AR44" s="239">
        <v>-957</v>
      </c>
      <c r="AS44" s="239">
        <v>-106</v>
      </c>
      <c r="AT44" s="239">
        <v>1438.6791666666668</v>
      </c>
      <c r="AU44" s="239">
        <v>323.70281249999999</v>
      </c>
      <c r="AV44" s="239">
        <v>35.966979166666668</v>
      </c>
      <c r="AW44" s="239">
        <v>0</v>
      </c>
      <c r="AX44" s="239">
        <v>0</v>
      </c>
      <c r="AY44" s="239">
        <v>0</v>
      </c>
      <c r="AZ44" s="239">
        <v>1439</v>
      </c>
      <c r="BA44" s="239">
        <v>324</v>
      </c>
      <c r="BB44" s="239">
        <v>36</v>
      </c>
      <c r="BC44" s="239">
        <v>1262.1416666666667</v>
      </c>
      <c r="BD44" s="239">
        <v>283.981875</v>
      </c>
      <c r="BE44" s="239">
        <v>31.553541666666664</v>
      </c>
      <c r="BF44" s="239">
        <v>17107</v>
      </c>
      <c r="BG44" s="239">
        <v>3848</v>
      </c>
      <c r="BH44" s="239">
        <v>428</v>
      </c>
      <c r="BI44" s="239">
        <v>-15845</v>
      </c>
      <c r="BJ44" s="239">
        <v>-3564</v>
      </c>
      <c r="BK44" s="239">
        <v>-396</v>
      </c>
      <c r="BL44" s="239">
        <v>0</v>
      </c>
      <c r="BM44" s="239">
        <v>0</v>
      </c>
      <c r="BN44" s="239">
        <v>0</v>
      </c>
      <c r="BO44" s="239">
        <v>0</v>
      </c>
      <c r="BP44" s="239">
        <v>0</v>
      </c>
      <c r="BQ44" s="239">
        <v>0</v>
      </c>
      <c r="BR44" s="239">
        <v>0</v>
      </c>
      <c r="BS44" s="239">
        <v>0</v>
      </c>
      <c r="BT44" s="239">
        <v>0</v>
      </c>
      <c r="BU44" s="239">
        <v>97889.029166666674</v>
      </c>
      <c r="BV44" s="239">
        <v>22025.0315625</v>
      </c>
      <c r="BW44" s="239">
        <v>2447.2257291666665</v>
      </c>
      <c r="BX44" s="239">
        <v>64527</v>
      </c>
      <c r="BY44" s="239">
        <v>14518</v>
      </c>
      <c r="BZ44" s="239">
        <v>1614</v>
      </c>
      <c r="CA44" s="239">
        <v>33362</v>
      </c>
      <c r="CB44" s="239">
        <v>7507</v>
      </c>
      <c r="CC44" s="239">
        <v>833</v>
      </c>
      <c r="CD44" s="239">
        <v>0</v>
      </c>
      <c r="CE44" s="239">
        <v>0</v>
      </c>
      <c r="CF44" s="239">
        <v>0</v>
      </c>
      <c r="CG44" s="239">
        <v>0</v>
      </c>
      <c r="CH44" s="239">
        <v>0</v>
      </c>
      <c r="CI44" s="239">
        <v>0</v>
      </c>
      <c r="CJ44" s="239">
        <v>0</v>
      </c>
      <c r="CK44" s="239">
        <v>0</v>
      </c>
      <c r="CL44" s="239">
        <v>0</v>
      </c>
      <c r="CM44" s="239">
        <v>0</v>
      </c>
      <c r="CN44" s="239">
        <v>0</v>
      </c>
      <c r="CO44" s="239">
        <v>0</v>
      </c>
      <c r="CP44" s="239">
        <v>0</v>
      </c>
      <c r="CQ44" s="239">
        <v>0</v>
      </c>
      <c r="CR44" s="239">
        <v>0</v>
      </c>
      <c r="CS44" s="239">
        <v>0</v>
      </c>
      <c r="CT44" s="239">
        <v>0</v>
      </c>
      <c r="CU44" s="239">
        <v>0</v>
      </c>
      <c r="CV44" s="239">
        <v>146442.04166666666</v>
      </c>
      <c r="CW44" s="239">
        <v>32949.459374999999</v>
      </c>
      <c r="CX44" s="239">
        <v>3661.0510416666666</v>
      </c>
      <c r="CY44" s="239">
        <v>143950</v>
      </c>
      <c r="CZ44" s="239">
        <v>32187</v>
      </c>
      <c r="DA44" s="239">
        <v>3576</v>
      </c>
      <c r="DB44" s="239">
        <v>2492</v>
      </c>
      <c r="DC44" s="239">
        <v>762</v>
      </c>
      <c r="DD44" s="239">
        <v>85</v>
      </c>
      <c r="DE44" s="214">
        <v>0.5</v>
      </c>
      <c r="DF44" s="214">
        <v>0.4</v>
      </c>
      <c r="DG44" s="214">
        <v>0.09</v>
      </c>
      <c r="DH44" s="214">
        <v>0.01</v>
      </c>
      <c r="DI44" s="214" t="s">
        <v>1294</v>
      </c>
    </row>
    <row r="45" spans="1:113" s="214" customFormat="1" x14ac:dyDescent="0.2">
      <c r="B45" s="610" t="s">
        <v>173</v>
      </c>
      <c r="C45" s="610" t="s">
        <v>172</v>
      </c>
      <c r="D45" s="239">
        <v>-87080</v>
      </c>
      <c r="E45" s="239">
        <v>0</v>
      </c>
      <c r="F45" s="239">
        <v>-87080</v>
      </c>
      <c r="G45" s="239">
        <v>0</v>
      </c>
      <c r="H45" s="239">
        <v>0</v>
      </c>
      <c r="I45" s="239">
        <v>0</v>
      </c>
      <c r="J45" s="239">
        <v>-87080</v>
      </c>
      <c r="K45" s="239">
        <v>0</v>
      </c>
      <c r="L45" s="239">
        <v>-87080</v>
      </c>
      <c r="M45" s="239">
        <v>149071</v>
      </c>
      <c r="N45" s="239">
        <v>149071</v>
      </c>
      <c r="O45" s="239">
        <v>0</v>
      </c>
      <c r="P45" s="239">
        <v>0</v>
      </c>
      <c r="Q45" s="239">
        <v>0</v>
      </c>
      <c r="R45" s="239">
        <v>0</v>
      </c>
      <c r="S45" s="239">
        <v>239759</v>
      </c>
      <c r="T45" s="239">
        <v>0</v>
      </c>
      <c r="U45" s="239">
        <v>236352</v>
      </c>
      <c r="V45" s="239">
        <v>0</v>
      </c>
      <c r="W45" s="239">
        <v>3407</v>
      </c>
      <c r="X45" s="239">
        <v>0</v>
      </c>
      <c r="Y45" s="239">
        <v>0</v>
      </c>
      <c r="Z45" s="239">
        <v>0</v>
      </c>
      <c r="AA45" s="239">
        <v>0</v>
      </c>
      <c r="AB45" s="239">
        <v>0</v>
      </c>
      <c r="AC45" s="239">
        <v>0</v>
      </c>
      <c r="AD45" s="239">
        <v>0</v>
      </c>
      <c r="AE45" s="239">
        <v>0</v>
      </c>
      <c r="AF45" s="239">
        <v>0</v>
      </c>
      <c r="AG45" s="239">
        <v>0</v>
      </c>
      <c r="AH45" s="239">
        <v>0</v>
      </c>
      <c r="AI45" s="239">
        <v>0</v>
      </c>
      <c r="AJ45" s="239">
        <v>0</v>
      </c>
      <c r="AK45" s="239">
        <v>563318.37875000003</v>
      </c>
      <c r="AL45" s="239">
        <v>126746.63521874999</v>
      </c>
      <c r="AM45" s="239">
        <v>14082.959468749999</v>
      </c>
      <c r="AN45" s="239">
        <v>528636</v>
      </c>
      <c r="AO45" s="239">
        <v>118942</v>
      </c>
      <c r="AP45" s="239">
        <v>13216</v>
      </c>
      <c r="AQ45" s="239">
        <v>34682</v>
      </c>
      <c r="AR45" s="239">
        <v>7805</v>
      </c>
      <c r="AS45" s="239">
        <v>867</v>
      </c>
      <c r="AT45" s="239">
        <v>4144.37</v>
      </c>
      <c r="AU45" s="239">
        <v>932.48325</v>
      </c>
      <c r="AV45" s="239">
        <v>103.60925</v>
      </c>
      <c r="AW45" s="239">
        <v>2882</v>
      </c>
      <c r="AX45" s="239">
        <v>648</v>
      </c>
      <c r="AY45" s="239">
        <v>72</v>
      </c>
      <c r="AZ45" s="239">
        <v>1262</v>
      </c>
      <c r="BA45" s="239">
        <v>284</v>
      </c>
      <c r="BB45" s="239">
        <v>32</v>
      </c>
      <c r="BC45" s="239">
        <v>0</v>
      </c>
      <c r="BD45" s="239">
        <v>0</v>
      </c>
      <c r="BE45" s="239">
        <v>0</v>
      </c>
      <c r="BF45" s="239">
        <v>0</v>
      </c>
      <c r="BG45" s="239">
        <v>0</v>
      </c>
      <c r="BH45" s="239">
        <v>0</v>
      </c>
      <c r="BI45" s="239">
        <v>0</v>
      </c>
      <c r="BJ45" s="239">
        <v>0</v>
      </c>
      <c r="BK45" s="239">
        <v>0</v>
      </c>
      <c r="BL45" s="239">
        <v>7746.9525000000003</v>
      </c>
      <c r="BM45" s="239">
        <v>1743.0643124999997</v>
      </c>
      <c r="BN45" s="239">
        <v>193.67381249999997</v>
      </c>
      <c r="BO45" s="239">
        <v>7798</v>
      </c>
      <c r="BP45" s="239">
        <v>1756</v>
      </c>
      <c r="BQ45" s="239">
        <v>196</v>
      </c>
      <c r="BR45" s="239">
        <v>-51</v>
      </c>
      <c r="BS45" s="239">
        <v>-13</v>
      </c>
      <c r="BT45" s="239">
        <v>-2</v>
      </c>
      <c r="BU45" s="239">
        <v>205898.73</v>
      </c>
      <c r="BV45" s="239">
        <v>46327.214249999997</v>
      </c>
      <c r="BW45" s="239">
        <v>5147.4682499999999</v>
      </c>
      <c r="BX45" s="239">
        <v>193298</v>
      </c>
      <c r="BY45" s="239">
        <v>43492</v>
      </c>
      <c r="BZ45" s="239">
        <v>4832</v>
      </c>
      <c r="CA45" s="239">
        <v>12601</v>
      </c>
      <c r="CB45" s="239">
        <v>2835</v>
      </c>
      <c r="CC45" s="239">
        <v>315</v>
      </c>
      <c r="CD45" s="239">
        <v>22640.63</v>
      </c>
      <c r="CE45" s="239">
        <v>5094.1417499999998</v>
      </c>
      <c r="CF45" s="239">
        <v>566.01575000000003</v>
      </c>
      <c r="CG45" s="239">
        <v>56070</v>
      </c>
      <c r="CH45" s="239">
        <v>0</v>
      </c>
      <c r="CI45" s="239">
        <v>0</v>
      </c>
      <c r="CJ45" s="239">
        <v>-33429</v>
      </c>
      <c r="CK45" s="239">
        <v>5094</v>
      </c>
      <c r="CL45" s="239">
        <v>566</v>
      </c>
      <c r="CM45" s="239">
        <v>0</v>
      </c>
      <c r="CN45" s="239">
        <v>0</v>
      </c>
      <c r="CO45" s="239">
        <v>0</v>
      </c>
      <c r="CP45" s="239">
        <v>0</v>
      </c>
      <c r="CQ45" s="239">
        <v>0</v>
      </c>
      <c r="CR45" s="239">
        <v>0</v>
      </c>
      <c r="CS45" s="239">
        <v>0</v>
      </c>
      <c r="CT45" s="239">
        <v>0</v>
      </c>
      <c r="CU45" s="239">
        <v>0</v>
      </c>
      <c r="CV45" s="239">
        <v>152753.48375000004</v>
      </c>
      <c r="CW45" s="239">
        <v>33582.824624999994</v>
      </c>
      <c r="CX45" s="239">
        <v>3731.4249583333335</v>
      </c>
      <c r="CY45" s="239">
        <v>166795</v>
      </c>
      <c r="CZ45" s="239">
        <v>36753</v>
      </c>
      <c r="DA45" s="239">
        <v>4084</v>
      </c>
      <c r="DB45" s="239">
        <v>-14042</v>
      </c>
      <c r="DC45" s="239">
        <v>-3170</v>
      </c>
      <c r="DD45" s="239">
        <v>-353</v>
      </c>
      <c r="DE45" s="214">
        <v>0.5</v>
      </c>
      <c r="DF45" s="214">
        <v>0.4</v>
      </c>
      <c r="DG45" s="214">
        <v>0.09</v>
      </c>
      <c r="DH45" s="214">
        <v>0.01</v>
      </c>
      <c r="DI45" s="214" t="s">
        <v>1294</v>
      </c>
    </row>
    <row r="46" spans="1:113" s="214" customFormat="1" x14ac:dyDescent="0.2">
      <c r="B46" s="610" t="s">
        <v>175</v>
      </c>
      <c r="C46" s="610" t="s">
        <v>174</v>
      </c>
      <c r="D46" s="239">
        <v>495406</v>
      </c>
      <c r="E46" s="239">
        <v>0</v>
      </c>
      <c r="F46" s="239">
        <v>495406</v>
      </c>
      <c r="G46" s="239">
        <v>0</v>
      </c>
      <c r="H46" s="239">
        <v>0</v>
      </c>
      <c r="I46" s="239">
        <v>0</v>
      </c>
      <c r="J46" s="239">
        <v>495406</v>
      </c>
      <c r="K46" s="239">
        <v>0</v>
      </c>
      <c r="L46" s="239">
        <v>495406</v>
      </c>
      <c r="M46" s="239">
        <v>239407</v>
      </c>
      <c r="N46" s="239">
        <v>239407</v>
      </c>
      <c r="O46" s="239">
        <v>0</v>
      </c>
      <c r="P46" s="239">
        <v>0</v>
      </c>
      <c r="Q46" s="239">
        <v>0</v>
      </c>
      <c r="R46" s="239">
        <v>0</v>
      </c>
      <c r="S46" s="239">
        <v>0</v>
      </c>
      <c r="T46" s="239">
        <v>0</v>
      </c>
      <c r="U46" s="239">
        <v>0</v>
      </c>
      <c r="V46" s="239">
        <v>0</v>
      </c>
      <c r="W46" s="239">
        <v>0</v>
      </c>
      <c r="X46" s="239">
        <v>0</v>
      </c>
      <c r="Y46" s="239">
        <v>0</v>
      </c>
      <c r="Z46" s="239">
        <v>0</v>
      </c>
      <c r="AA46" s="239">
        <v>0</v>
      </c>
      <c r="AB46" s="239">
        <v>0</v>
      </c>
      <c r="AC46" s="239">
        <v>0</v>
      </c>
      <c r="AD46" s="239">
        <v>0</v>
      </c>
      <c r="AE46" s="239">
        <v>0</v>
      </c>
      <c r="AF46" s="239">
        <v>0</v>
      </c>
      <c r="AG46" s="239">
        <v>0</v>
      </c>
      <c r="AH46" s="239">
        <v>0</v>
      </c>
      <c r="AI46" s="239">
        <v>0</v>
      </c>
      <c r="AJ46" s="239">
        <v>0</v>
      </c>
      <c r="AK46" s="239">
        <v>1263938.3466354166</v>
      </c>
      <c r="AL46" s="239">
        <v>0</v>
      </c>
      <c r="AM46" s="239">
        <v>25794.660135416667</v>
      </c>
      <c r="AN46" s="239">
        <v>1159291</v>
      </c>
      <c r="AO46" s="239">
        <v>0</v>
      </c>
      <c r="AP46" s="239">
        <v>23658</v>
      </c>
      <c r="AQ46" s="239">
        <v>104647</v>
      </c>
      <c r="AR46" s="239">
        <v>0</v>
      </c>
      <c r="AS46" s="239">
        <v>2137</v>
      </c>
      <c r="AT46" s="239">
        <v>11245.935895833334</v>
      </c>
      <c r="AU46" s="239">
        <v>0</v>
      </c>
      <c r="AV46" s="239">
        <v>229.50889583333333</v>
      </c>
      <c r="AW46" s="239">
        <v>0</v>
      </c>
      <c r="AX46" s="239">
        <v>0</v>
      </c>
      <c r="AY46" s="239">
        <v>0</v>
      </c>
      <c r="AZ46" s="239">
        <v>11246</v>
      </c>
      <c r="BA46" s="239">
        <v>0</v>
      </c>
      <c r="BB46" s="239">
        <v>230</v>
      </c>
      <c r="BC46" s="239">
        <v>0</v>
      </c>
      <c r="BD46" s="239">
        <v>0</v>
      </c>
      <c r="BE46" s="239">
        <v>0</v>
      </c>
      <c r="BF46" s="239">
        <v>0</v>
      </c>
      <c r="BG46" s="239">
        <v>0</v>
      </c>
      <c r="BH46" s="239">
        <v>0</v>
      </c>
      <c r="BI46" s="239">
        <v>0</v>
      </c>
      <c r="BJ46" s="239">
        <v>0</v>
      </c>
      <c r="BK46" s="239">
        <v>0</v>
      </c>
      <c r="BL46" s="239">
        <v>17526.379208333332</v>
      </c>
      <c r="BM46" s="239">
        <v>0</v>
      </c>
      <c r="BN46" s="239">
        <v>357.6812083333333</v>
      </c>
      <c r="BO46" s="239">
        <v>865</v>
      </c>
      <c r="BP46" s="239">
        <v>0</v>
      </c>
      <c r="BQ46" s="239">
        <v>18</v>
      </c>
      <c r="BR46" s="239">
        <v>16661</v>
      </c>
      <c r="BS46" s="239">
        <v>0</v>
      </c>
      <c r="BT46" s="239">
        <v>340</v>
      </c>
      <c r="BU46" s="239">
        <v>539609.04754166666</v>
      </c>
      <c r="BV46" s="239">
        <v>0</v>
      </c>
      <c r="BW46" s="239">
        <v>11012.429541666666</v>
      </c>
      <c r="BX46" s="239">
        <v>562981</v>
      </c>
      <c r="BY46" s="239">
        <v>0</v>
      </c>
      <c r="BZ46" s="239">
        <v>11490</v>
      </c>
      <c r="CA46" s="239">
        <v>-23372</v>
      </c>
      <c r="CB46" s="239">
        <v>0</v>
      </c>
      <c r="CC46" s="239">
        <v>-478</v>
      </c>
      <c r="CD46" s="239">
        <v>31985.368624999999</v>
      </c>
      <c r="CE46" s="239">
        <v>0</v>
      </c>
      <c r="CF46" s="239">
        <v>652.76262499999996</v>
      </c>
      <c r="CG46" s="239">
        <v>186899</v>
      </c>
      <c r="CH46" s="239">
        <v>0</v>
      </c>
      <c r="CI46" s="239">
        <v>0</v>
      </c>
      <c r="CJ46" s="239">
        <v>-154914</v>
      </c>
      <c r="CK46" s="239">
        <v>0</v>
      </c>
      <c r="CL46" s="239">
        <v>653</v>
      </c>
      <c r="CM46" s="239">
        <v>10991.894375</v>
      </c>
      <c r="CN46" s="239">
        <v>0</v>
      </c>
      <c r="CO46" s="239">
        <v>224.324375</v>
      </c>
      <c r="CP46" s="239">
        <v>0</v>
      </c>
      <c r="CQ46" s="239">
        <v>0</v>
      </c>
      <c r="CR46" s="239">
        <v>0</v>
      </c>
      <c r="CS46" s="239">
        <v>10992</v>
      </c>
      <c r="CT46" s="239">
        <v>0</v>
      </c>
      <c r="CU46" s="239">
        <v>224</v>
      </c>
      <c r="CV46" s="239">
        <v>338351.62112499995</v>
      </c>
      <c r="CW46" s="239">
        <v>0</v>
      </c>
      <c r="CX46" s="239">
        <v>6905.1351249999998</v>
      </c>
      <c r="CY46" s="239">
        <v>352584</v>
      </c>
      <c r="CZ46" s="239">
        <v>0</v>
      </c>
      <c r="DA46" s="239">
        <v>7196</v>
      </c>
      <c r="DB46" s="239">
        <v>-14232</v>
      </c>
      <c r="DC46" s="239">
        <v>0</v>
      </c>
      <c r="DD46" s="239">
        <v>-291</v>
      </c>
      <c r="DE46" s="214">
        <v>0.5</v>
      </c>
      <c r="DF46" s="214">
        <v>0.49</v>
      </c>
      <c r="DG46" s="214">
        <v>0</v>
      </c>
      <c r="DH46" s="214">
        <v>0.01</v>
      </c>
      <c r="DI46" s="214" t="s">
        <v>1296</v>
      </c>
    </row>
    <row r="47" spans="1:113" s="214" customFormat="1" x14ac:dyDescent="0.2">
      <c r="B47" s="610" t="s">
        <v>177</v>
      </c>
      <c r="C47" s="610" t="s">
        <v>176</v>
      </c>
      <c r="D47" s="239">
        <v>495036</v>
      </c>
      <c r="E47" s="239">
        <v>0</v>
      </c>
      <c r="F47" s="239">
        <v>495036</v>
      </c>
      <c r="G47" s="239">
        <v>0</v>
      </c>
      <c r="H47" s="239">
        <v>0</v>
      </c>
      <c r="I47" s="239">
        <v>0</v>
      </c>
      <c r="J47" s="239">
        <v>495036</v>
      </c>
      <c r="K47" s="239">
        <v>0</v>
      </c>
      <c r="L47" s="239">
        <v>495036</v>
      </c>
      <c r="M47" s="239">
        <v>354527</v>
      </c>
      <c r="N47" s="239">
        <v>354527</v>
      </c>
      <c r="O47" s="239">
        <v>0</v>
      </c>
      <c r="P47" s="239">
        <v>0</v>
      </c>
      <c r="Q47" s="239">
        <v>0</v>
      </c>
      <c r="R47" s="239">
        <v>0</v>
      </c>
      <c r="S47" s="239">
        <v>298340</v>
      </c>
      <c r="T47" s="239">
        <v>0</v>
      </c>
      <c r="U47" s="239">
        <v>0</v>
      </c>
      <c r="V47" s="239">
        <v>0</v>
      </c>
      <c r="W47" s="239">
        <v>298340</v>
      </c>
      <c r="X47" s="239">
        <v>0</v>
      </c>
      <c r="Y47" s="239">
        <v>0</v>
      </c>
      <c r="Z47" s="239">
        <v>0</v>
      </c>
      <c r="AA47" s="239">
        <v>0</v>
      </c>
      <c r="AB47" s="239">
        <v>0</v>
      </c>
      <c r="AC47" s="239">
        <v>0</v>
      </c>
      <c r="AD47" s="239">
        <v>0</v>
      </c>
      <c r="AE47" s="239">
        <v>0</v>
      </c>
      <c r="AF47" s="239">
        <v>0</v>
      </c>
      <c r="AG47" s="239">
        <v>0</v>
      </c>
      <c r="AH47" s="239">
        <v>0</v>
      </c>
      <c r="AI47" s="239">
        <v>0</v>
      </c>
      <c r="AJ47" s="239">
        <v>0</v>
      </c>
      <c r="AK47" s="239">
        <v>1742450.4084166666</v>
      </c>
      <c r="AL47" s="239">
        <v>0</v>
      </c>
      <c r="AM47" s="239">
        <v>35560.212416666669</v>
      </c>
      <c r="AN47" s="239">
        <v>1539231</v>
      </c>
      <c r="AO47" s="239">
        <v>0</v>
      </c>
      <c r="AP47" s="239">
        <v>31412</v>
      </c>
      <c r="AQ47" s="239">
        <v>203219</v>
      </c>
      <c r="AR47" s="239">
        <v>0</v>
      </c>
      <c r="AS47" s="239">
        <v>4148</v>
      </c>
      <c r="AT47" s="239">
        <v>0</v>
      </c>
      <c r="AU47" s="239">
        <v>0</v>
      </c>
      <c r="AV47" s="239">
        <v>0</v>
      </c>
      <c r="AW47" s="239">
        <v>24857</v>
      </c>
      <c r="AX47" s="239">
        <v>0</v>
      </c>
      <c r="AY47" s="239">
        <v>508</v>
      </c>
      <c r="AZ47" s="239">
        <v>-24857</v>
      </c>
      <c r="BA47" s="239">
        <v>0</v>
      </c>
      <c r="BB47" s="239">
        <v>-508</v>
      </c>
      <c r="BC47" s="239">
        <v>0</v>
      </c>
      <c r="BD47" s="239">
        <v>0</v>
      </c>
      <c r="BE47" s="239">
        <v>0</v>
      </c>
      <c r="BF47" s="239">
        <v>0</v>
      </c>
      <c r="BG47" s="239">
        <v>0</v>
      </c>
      <c r="BH47" s="239">
        <v>0</v>
      </c>
      <c r="BI47" s="239">
        <v>0</v>
      </c>
      <c r="BJ47" s="239">
        <v>0</v>
      </c>
      <c r="BK47" s="239">
        <v>0</v>
      </c>
      <c r="BL47" s="239">
        <v>7082.8366875000002</v>
      </c>
      <c r="BM47" s="239">
        <v>0</v>
      </c>
      <c r="BN47" s="239">
        <v>144.54768749999999</v>
      </c>
      <c r="BO47" s="239">
        <v>0</v>
      </c>
      <c r="BP47" s="239">
        <v>0</v>
      </c>
      <c r="BQ47" s="239">
        <v>0</v>
      </c>
      <c r="BR47" s="239">
        <v>7083</v>
      </c>
      <c r="BS47" s="239">
        <v>0</v>
      </c>
      <c r="BT47" s="239">
        <v>145</v>
      </c>
      <c r="BU47" s="239">
        <v>557884.6255208333</v>
      </c>
      <c r="BV47" s="239">
        <v>0</v>
      </c>
      <c r="BW47" s="239">
        <v>11385.400520833335</v>
      </c>
      <c r="BX47" s="239">
        <v>412698</v>
      </c>
      <c r="BY47" s="239">
        <v>0</v>
      </c>
      <c r="BZ47" s="239">
        <v>8422</v>
      </c>
      <c r="CA47" s="239">
        <v>145187</v>
      </c>
      <c r="CB47" s="239">
        <v>0</v>
      </c>
      <c r="CC47" s="239">
        <v>2963</v>
      </c>
      <c r="CD47" s="239">
        <v>410983.00322916661</v>
      </c>
      <c r="CE47" s="239">
        <v>0</v>
      </c>
      <c r="CF47" s="239">
        <v>8387.4082291666673</v>
      </c>
      <c r="CG47" s="239">
        <v>1606088</v>
      </c>
      <c r="CH47" s="239">
        <v>0</v>
      </c>
      <c r="CI47" s="239">
        <v>0</v>
      </c>
      <c r="CJ47" s="239">
        <v>-1195105</v>
      </c>
      <c r="CK47" s="239">
        <v>0</v>
      </c>
      <c r="CL47" s="239">
        <v>8387</v>
      </c>
      <c r="CM47" s="239">
        <v>6956.5616458333334</v>
      </c>
      <c r="CN47" s="239">
        <v>0</v>
      </c>
      <c r="CO47" s="239">
        <v>141.97064583333332</v>
      </c>
      <c r="CP47" s="239">
        <v>0</v>
      </c>
      <c r="CQ47" s="239">
        <v>0</v>
      </c>
      <c r="CR47" s="239">
        <v>0</v>
      </c>
      <c r="CS47" s="239">
        <v>6957</v>
      </c>
      <c r="CT47" s="239">
        <v>0</v>
      </c>
      <c r="CU47" s="239">
        <v>142</v>
      </c>
      <c r="CV47" s="239">
        <v>406001.10483333335</v>
      </c>
      <c r="CW47" s="239">
        <v>0</v>
      </c>
      <c r="CX47" s="239">
        <v>8196.9451666666664</v>
      </c>
      <c r="CY47" s="239">
        <v>419591</v>
      </c>
      <c r="CZ47" s="239">
        <v>0</v>
      </c>
      <c r="DA47" s="239">
        <v>8563</v>
      </c>
      <c r="DB47" s="239">
        <v>-13590</v>
      </c>
      <c r="DC47" s="239">
        <v>0</v>
      </c>
      <c r="DD47" s="239">
        <v>-366</v>
      </c>
      <c r="DE47" s="214">
        <v>0.5</v>
      </c>
      <c r="DF47" s="214">
        <v>0.49</v>
      </c>
      <c r="DG47" s="214">
        <v>0</v>
      </c>
      <c r="DH47" s="214">
        <v>0.01</v>
      </c>
      <c r="DI47" s="214" t="s">
        <v>1296</v>
      </c>
    </row>
    <row r="48" spans="1:113" s="214" customFormat="1" x14ac:dyDescent="0.2">
      <c r="B48" s="610" t="s">
        <v>179</v>
      </c>
      <c r="C48" s="610" t="s">
        <v>178</v>
      </c>
      <c r="D48" s="239">
        <v>209512</v>
      </c>
      <c r="E48" s="239">
        <v>0</v>
      </c>
      <c r="F48" s="239">
        <v>209512</v>
      </c>
      <c r="G48" s="239">
        <v>0</v>
      </c>
      <c r="H48" s="239">
        <v>0</v>
      </c>
      <c r="I48" s="239">
        <v>0</v>
      </c>
      <c r="J48" s="239">
        <v>209512</v>
      </c>
      <c r="K48" s="239">
        <v>0</v>
      </c>
      <c r="L48" s="239">
        <v>209512</v>
      </c>
      <c r="M48" s="239">
        <v>227835</v>
      </c>
      <c r="N48" s="239">
        <v>227835</v>
      </c>
      <c r="O48" s="239">
        <v>0</v>
      </c>
      <c r="P48" s="239">
        <v>0</v>
      </c>
      <c r="Q48" s="239">
        <v>0</v>
      </c>
      <c r="R48" s="239">
        <v>0</v>
      </c>
      <c r="S48" s="239">
        <v>0</v>
      </c>
      <c r="T48" s="239">
        <v>0</v>
      </c>
      <c r="U48" s="239">
        <v>0</v>
      </c>
      <c r="V48" s="239">
        <v>0</v>
      </c>
      <c r="W48" s="239">
        <v>0</v>
      </c>
      <c r="X48" s="239">
        <v>0</v>
      </c>
      <c r="Y48" s="239">
        <v>0</v>
      </c>
      <c r="Z48" s="239">
        <v>0</v>
      </c>
      <c r="AA48" s="239">
        <v>0</v>
      </c>
      <c r="AB48" s="239">
        <v>0</v>
      </c>
      <c r="AC48" s="239">
        <v>0</v>
      </c>
      <c r="AD48" s="239">
        <v>0</v>
      </c>
      <c r="AE48" s="239">
        <v>0</v>
      </c>
      <c r="AF48" s="239">
        <v>0</v>
      </c>
      <c r="AG48" s="239">
        <v>0</v>
      </c>
      <c r="AH48" s="239">
        <v>0</v>
      </c>
      <c r="AI48" s="239">
        <v>0</v>
      </c>
      <c r="AJ48" s="239">
        <v>0</v>
      </c>
      <c r="AK48" s="239">
        <v>300567.67458333331</v>
      </c>
      <c r="AL48" s="239">
        <v>67627.726781249992</v>
      </c>
      <c r="AM48" s="239">
        <v>7514.191864583333</v>
      </c>
      <c r="AN48" s="239">
        <v>283292</v>
      </c>
      <c r="AO48" s="239">
        <v>63740</v>
      </c>
      <c r="AP48" s="239">
        <v>7082</v>
      </c>
      <c r="AQ48" s="239">
        <v>17276</v>
      </c>
      <c r="AR48" s="239">
        <v>3888</v>
      </c>
      <c r="AS48" s="239">
        <v>432</v>
      </c>
      <c r="AT48" s="239">
        <v>5796.5175000000008</v>
      </c>
      <c r="AU48" s="239">
        <v>1304.2164375</v>
      </c>
      <c r="AV48" s="239">
        <v>144.91293750000003</v>
      </c>
      <c r="AW48" s="239">
        <v>0</v>
      </c>
      <c r="AX48" s="239">
        <v>0</v>
      </c>
      <c r="AY48" s="239">
        <v>0</v>
      </c>
      <c r="AZ48" s="239">
        <v>5797</v>
      </c>
      <c r="BA48" s="239">
        <v>1304</v>
      </c>
      <c r="BB48" s="239">
        <v>145</v>
      </c>
      <c r="BC48" s="239">
        <v>121543.02500000001</v>
      </c>
      <c r="BD48" s="239">
        <v>27347.180624999997</v>
      </c>
      <c r="BE48" s="239">
        <v>3038.5756249999999</v>
      </c>
      <c r="BF48" s="239">
        <v>20291</v>
      </c>
      <c r="BG48" s="239">
        <v>4566</v>
      </c>
      <c r="BH48" s="239">
        <v>508</v>
      </c>
      <c r="BI48" s="239">
        <v>101252</v>
      </c>
      <c r="BJ48" s="239">
        <v>22781</v>
      </c>
      <c r="BK48" s="239">
        <v>2531</v>
      </c>
      <c r="BL48" s="239">
        <v>43754.109166666669</v>
      </c>
      <c r="BM48" s="239">
        <v>9844.6745625000003</v>
      </c>
      <c r="BN48" s="239">
        <v>1093.8527291666667</v>
      </c>
      <c r="BO48" s="239">
        <v>1365</v>
      </c>
      <c r="BP48" s="239">
        <v>306</v>
      </c>
      <c r="BQ48" s="239">
        <v>34</v>
      </c>
      <c r="BR48" s="239">
        <v>42389</v>
      </c>
      <c r="BS48" s="239">
        <v>9539</v>
      </c>
      <c r="BT48" s="239">
        <v>1060</v>
      </c>
      <c r="BU48" s="239">
        <v>431316.82583333337</v>
      </c>
      <c r="BV48" s="239">
        <v>97046.285812500006</v>
      </c>
      <c r="BW48" s="239">
        <v>10782.920645833334</v>
      </c>
      <c r="BX48" s="239">
        <v>449083</v>
      </c>
      <c r="BY48" s="239">
        <v>101044</v>
      </c>
      <c r="BZ48" s="239">
        <v>11228</v>
      </c>
      <c r="CA48" s="239">
        <v>-17766</v>
      </c>
      <c r="CB48" s="239">
        <v>-3998</v>
      </c>
      <c r="CC48" s="239">
        <v>-445</v>
      </c>
      <c r="CD48" s="239">
        <v>0</v>
      </c>
      <c r="CE48" s="239">
        <v>0</v>
      </c>
      <c r="CF48" s="239">
        <v>0</v>
      </c>
      <c r="CG48" s="239">
        <v>0</v>
      </c>
      <c r="CH48" s="239">
        <v>0</v>
      </c>
      <c r="CI48" s="239">
        <v>0</v>
      </c>
      <c r="CJ48" s="239">
        <v>0</v>
      </c>
      <c r="CK48" s="239">
        <v>0</v>
      </c>
      <c r="CL48" s="239">
        <v>0</v>
      </c>
      <c r="CM48" s="239">
        <v>0</v>
      </c>
      <c r="CN48" s="239">
        <v>0</v>
      </c>
      <c r="CO48" s="239">
        <v>0</v>
      </c>
      <c r="CP48" s="239">
        <v>0</v>
      </c>
      <c r="CQ48" s="239">
        <v>0</v>
      </c>
      <c r="CR48" s="239">
        <v>0</v>
      </c>
      <c r="CS48" s="239">
        <v>0</v>
      </c>
      <c r="CT48" s="239">
        <v>0</v>
      </c>
      <c r="CU48" s="239">
        <v>0</v>
      </c>
      <c r="CV48" s="239">
        <v>556583.88916666666</v>
      </c>
      <c r="CW48" s="239">
        <v>125231.37506249998</v>
      </c>
      <c r="CX48" s="239">
        <v>13914.597229166666</v>
      </c>
      <c r="CY48" s="239">
        <v>563841</v>
      </c>
      <c r="CZ48" s="239">
        <v>126864</v>
      </c>
      <c r="DA48" s="239">
        <v>14096</v>
      </c>
      <c r="DB48" s="239">
        <v>-7257</v>
      </c>
      <c r="DC48" s="239">
        <v>-1633</v>
      </c>
      <c r="DD48" s="239">
        <v>-181</v>
      </c>
      <c r="DE48" s="214">
        <v>0.5</v>
      </c>
      <c r="DF48" s="214">
        <v>0.4</v>
      </c>
      <c r="DG48" s="214">
        <v>0.09</v>
      </c>
      <c r="DH48" s="214">
        <v>0.01</v>
      </c>
      <c r="DI48" s="214" t="s">
        <v>1294</v>
      </c>
    </row>
    <row r="49" spans="2:113" s="214" customFormat="1" x14ac:dyDescent="0.2">
      <c r="B49" s="610" t="s">
        <v>181</v>
      </c>
      <c r="C49" s="610" t="s">
        <v>180</v>
      </c>
      <c r="D49" s="239">
        <v>-4005819</v>
      </c>
      <c r="E49" s="239">
        <v>0</v>
      </c>
      <c r="F49" s="239">
        <v>-4005819</v>
      </c>
      <c r="G49" s="239">
        <v>0</v>
      </c>
      <c r="H49" s="239">
        <v>0</v>
      </c>
      <c r="I49" s="239">
        <v>0</v>
      </c>
      <c r="J49" s="239">
        <v>-4005819</v>
      </c>
      <c r="K49" s="239">
        <v>0</v>
      </c>
      <c r="L49" s="239">
        <v>-4005819</v>
      </c>
      <c r="M49" s="239">
        <v>1185753</v>
      </c>
      <c r="N49" s="239">
        <v>1185753</v>
      </c>
      <c r="O49" s="239">
        <v>0</v>
      </c>
      <c r="P49" s="239">
        <v>0</v>
      </c>
      <c r="Q49" s="239">
        <v>0</v>
      </c>
      <c r="R49" s="239">
        <v>0</v>
      </c>
      <c r="S49" s="239">
        <v>0</v>
      </c>
      <c r="T49" s="239">
        <v>0</v>
      </c>
      <c r="U49" s="239">
        <v>0</v>
      </c>
      <c r="V49" s="239">
        <v>0</v>
      </c>
      <c r="W49" s="239">
        <v>0</v>
      </c>
      <c r="X49" s="239">
        <v>0</v>
      </c>
      <c r="Y49" s="239">
        <v>0</v>
      </c>
      <c r="Z49" s="239">
        <v>0</v>
      </c>
      <c r="AA49" s="239">
        <v>0</v>
      </c>
      <c r="AB49" s="239">
        <v>0</v>
      </c>
      <c r="AC49" s="239">
        <v>0</v>
      </c>
      <c r="AD49" s="239">
        <v>0</v>
      </c>
      <c r="AE49" s="239">
        <v>0</v>
      </c>
      <c r="AF49" s="239">
        <v>0</v>
      </c>
      <c r="AG49" s="239">
        <v>0</v>
      </c>
      <c r="AH49" s="239">
        <v>0</v>
      </c>
      <c r="AI49" s="239">
        <v>0</v>
      </c>
      <c r="AJ49" s="239">
        <v>0</v>
      </c>
      <c r="AK49" s="239">
        <v>470413.38874999998</v>
      </c>
      <c r="AL49" s="239">
        <v>313608.92583333334</v>
      </c>
      <c r="AM49" s="239">
        <v>0</v>
      </c>
      <c r="AN49" s="239">
        <v>432839</v>
      </c>
      <c r="AO49" s="239">
        <v>288560</v>
      </c>
      <c r="AP49" s="239">
        <v>0</v>
      </c>
      <c r="AQ49" s="239">
        <v>37574</v>
      </c>
      <c r="AR49" s="239">
        <v>25049</v>
      </c>
      <c r="AS49" s="239">
        <v>0</v>
      </c>
      <c r="AT49" s="239">
        <v>0</v>
      </c>
      <c r="AU49" s="239">
        <v>0</v>
      </c>
      <c r="AV49" s="239">
        <v>0</v>
      </c>
      <c r="AW49" s="239">
        <v>0</v>
      </c>
      <c r="AX49" s="239">
        <v>0</v>
      </c>
      <c r="AY49" s="239">
        <v>0</v>
      </c>
      <c r="AZ49" s="239">
        <v>0</v>
      </c>
      <c r="BA49" s="239">
        <v>0</v>
      </c>
      <c r="BB49" s="239">
        <v>0</v>
      </c>
      <c r="BC49" s="239">
        <v>0</v>
      </c>
      <c r="BD49" s="239">
        <v>0</v>
      </c>
      <c r="BE49" s="239">
        <v>0</v>
      </c>
      <c r="BF49" s="239">
        <v>0</v>
      </c>
      <c r="BG49" s="239">
        <v>0</v>
      </c>
      <c r="BH49" s="239">
        <v>0</v>
      </c>
      <c r="BI49" s="239">
        <v>0</v>
      </c>
      <c r="BJ49" s="239">
        <v>0</v>
      </c>
      <c r="BK49" s="239">
        <v>0</v>
      </c>
      <c r="BL49" s="239">
        <v>31164.651875</v>
      </c>
      <c r="BM49" s="239">
        <v>20776.434583333335</v>
      </c>
      <c r="BN49" s="239">
        <v>0</v>
      </c>
      <c r="BO49" s="239">
        <v>0</v>
      </c>
      <c r="BP49" s="239">
        <v>0</v>
      </c>
      <c r="BQ49" s="239">
        <v>0</v>
      </c>
      <c r="BR49" s="239">
        <v>31165</v>
      </c>
      <c r="BS49" s="239">
        <v>20776</v>
      </c>
      <c r="BT49" s="239">
        <v>0</v>
      </c>
      <c r="BU49" s="239">
        <v>1133233.1724999999</v>
      </c>
      <c r="BV49" s="239">
        <v>755488.78166666673</v>
      </c>
      <c r="BW49" s="239">
        <v>0</v>
      </c>
      <c r="BX49" s="239">
        <v>1114601</v>
      </c>
      <c r="BY49" s="239">
        <v>743066</v>
      </c>
      <c r="BZ49" s="239">
        <v>0</v>
      </c>
      <c r="CA49" s="239">
        <v>18632</v>
      </c>
      <c r="CB49" s="239">
        <v>12423</v>
      </c>
      <c r="CC49" s="239">
        <v>0</v>
      </c>
      <c r="CD49" s="239">
        <v>0</v>
      </c>
      <c r="CE49" s="239">
        <v>0</v>
      </c>
      <c r="CF49" s="239">
        <v>0</v>
      </c>
      <c r="CG49" s="239">
        <v>0</v>
      </c>
      <c r="CH49" s="239">
        <v>0</v>
      </c>
      <c r="CI49" s="239">
        <v>0</v>
      </c>
      <c r="CJ49" s="239">
        <v>0</v>
      </c>
      <c r="CK49" s="239">
        <v>0</v>
      </c>
      <c r="CL49" s="239">
        <v>0</v>
      </c>
      <c r="CM49" s="239">
        <v>28214.344999999998</v>
      </c>
      <c r="CN49" s="239">
        <v>18809.563333333335</v>
      </c>
      <c r="CO49" s="239">
        <v>0</v>
      </c>
      <c r="CP49" s="239">
        <v>0</v>
      </c>
      <c r="CQ49" s="239">
        <v>0</v>
      </c>
      <c r="CR49" s="239">
        <v>0</v>
      </c>
      <c r="CS49" s="239">
        <v>28214</v>
      </c>
      <c r="CT49" s="239">
        <v>18810</v>
      </c>
      <c r="CU49" s="239">
        <v>0</v>
      </c>
      <c r="CV49" s="239">
        <v>2258920.1599999997</v>
      </c>
      <c r="CW49" s="239">
        <v>1505946.7733333334</v>
      </c>
      <c r="CX49" s="239">
        <v>0</v>
      </c>
      <c r="CY49" s="239">
        <v>2318231</v>
      </c>
      <c r="CZ49" s="239">
        <v>1545487</v>
      </c>
      <c r="DA49" s="239">
        <v>0</v>
      </c>
      <c r="DB49" s="239">
        <v>-59311</v>
      </c>
      <c r="DC49" s="239">
        <v>-39540</v>
      </c>
      <c r="DD49" s="239">
        <v>0</v>
      </c>
      <c r="DE49" s="214">
        <v>0.5</v>
      </c>
      <c r="DF49" s="214">
        <v>0.3</v>
      </c>
      <c r="DG49" s="214">
        <v>0.2</v>
      </c>
      <c r="DH49" s="214">
        <v>0</v>
      </c>
      <c r="DI49" s="214" t="s">
        <v>1297</v>
      </c>
    </row>
    <row r="50" spans="2:113" s="214" customFormat="1" x14ac:dyDescent="0.2">
      <c r="B50" s="610" t="s">
        <v>183</v>
      </c>
      <c r="C50" s="610" t="s">
        <v>182</v>
      </c>
      <c r="D50" s="239">
        <v>102067</v>
      </c>
      <c r="E50" s="239">
        <v>0</v>
      </c>
      <c r="F50" s="239">
        <v>102067</v>
      </c>
      <c r="G50" s="239">
        <v>0</v>
      </c>
      <c r="H50" s="239">
        <v>0</v>
      </c>
      <c r="I50" s="239">
        <v>0</v>
      </c>
      <c r="J50" s="239">
        <v>102067</v>
      </c>
      <c r="K50" s="239">
        <v>0</v>
      </c>
      <c r="L50" s="239">
        <v>102067</v>
      </c>
      <c r="M50" s="239">
        <v>138207</v>
      </c>
      <c r="N50" s="239">
        <v>138207</v>
      </c>
      <c r="O50" s="239">
        <v>0</v>
      </c>
      <c r="P50" s="239">
        <v>0</v>
      </c>
      <c r="Q50" s="239">
        <v>0</v>
      </c>
      <c r="R50" s="239">
        <v>0</v>
      </c>
      <c r="S50" s="239">
        <v>0</v>
      </c>
      <c r="T50" s="239">
        <v>0</v>
      </c>
      <c r="U50" s="239">
        <v>0</v>
      </c>
      <c r="V50" s="239">
        <v>0</v>
      </c>
      <c r="W50" s="239">
        <v>0</v>
      </c>
      <c r="X50" s="239">
        <v>0</v>
      </c>
      <c r="Y50" s="239">
        <v>0</v>
      </c>
      <c r="Z50" s="239">
        <v>0</v>
      </c>
      <c r="AA50" s="239">
        <v>0</v>
      </c>
      <c r="AB50" s="239">
        <v>0</v>
      </c>
      <c r="AC50" s="239">
        <v>0</v>
      </c>
      <c r="AD50" s="239">
        <v>0</v>
      </c>
      <c r="AE50" s="239">
        <v>0</v>
      </c>
      <c r="AF50" s="239">
        <v>0</v>
      </c>
      <c r="AG50" s="239">
        <v>0</v>
      </c>
      <c r="AH50" s="239">
        <v>0</v>
      </c>
      <c r="AI50" s="239">
        <v>0</v>
      </c>
      <c r="AJ50" s="239">
        <v>0</v>
      </c>
      <c r="AK50" s="239">
        <v>524907.26833333343</v>
      </c>
      <c r="AL50" s="239">
        <v>118104.135375</v>
      </c>
      <c r="AM50" s="239">
        <v>13122.681708333334</v>
      </c>
      <c r="AN50" s="239">
        <v>495894</v>
      </c>
      <c r="AO50" s="239">
        <v>111576</v>
      </c>
      <c r="AP50" s="239">
        <v>12398</v>
      </c>
      <c r="AQ50" s="239">
        <v>29013</v>
      </c>
      <c r="AR50" s="239">
        <v>6528</v>
      </c>
      <c r="AS50" s="239">
        <v>725</v>
      </c>
      <c r="AT50" s="239">
        <v>0</v>
      </c>
      <c r="AU50" s="239">
        <v>0</v>
      </c>
      <c r="AV50" s="239">
        <v>0</v>
      </c>
      <c r="AW50" s="239">
        <v>0</v>
      </c>
      <c r="AX50" s="239">
        <v>0</v>
      </c>
      <c r="AY50" s="239">
        <v>0</v>
      </c>
      <c r="AZ50" s="239">
        <v>0</v>
      </c>
      <c r="BA50" s="239">
        <v>0</v>
      </c>
      <c r="BB50" s="239">
        <v>0</v>
      </c>
      <c r="BC50" s="239">
        <v>0</v>
      </c>
      <c r="BD50" s="239">
        <v>0</v>
      </c>
      <c r="BE50" s="239">
        <v>0</v>
      </c>
      <c r="BF50" s="239">
        <v>0</v>
      </c>
      <c r="BG50" s="239">
        <v>0</v>
      </c>
      <c r="BH50" s="239">
        <v>0</v>
      </c>
      <c r="BI50" s="239">
        <v>0</v>
      </c>
      <c r="BJ50" s="239">
        <v>0</v>
      </c>
      <c r="BK50" s="239">
        <v>0</v>
      </c>
      <c r="BL50" s="239">
        <v>7504.67</v>
      </c>
      <c r="BM50" s="239">
        <v>1688.5507499999999</v>
      </c>
      <c r="BN50" s="239">
        <v>187.61675</v>
      </c>
      <c r="BO50" s="239">
        <v>0</v>
      </c>
      <c r="BP50" s="239">
        <v>0</v>
      </c>
      <c r="BQ50" s="239">
        <v>0</v>
      </c>
      <c r="BR50" s="239">
        <v>7505</v>
      </c>
      <c r="BS50" s="239">
        <v>1689</v>
      </c>
      <c r="BT50" s="239">
        <v>188</v>
      </c>
      <c r="BU50" s="239">
        <v>157139.88416666668</v>
      </c>
      <c r="BV50" s="239">
        <v>35356.473937500006</v>
      </c>
      <c r="BW50" s="239">
        <v>3928.4971041666672</v>
      </c>
      <c r="BX50" s="239">
        <v>163793</v>
      </c>
      <c r="BY50" s="239">
        <v>36854</v>
      </c>
      <c r="BZ50" s="239">
        <v>4094</v>
      </c>
      <c r="CA50" s="239">
        <v>-6653</v>
      </c>
      <c r="CB50" s="239">
        <v>-1498</v>
      </c>
      <c r="CC50" s="239">
        <v>-166</v>
      </c>
      <c r="CD50" s="239">
        <v>0</v>
      </c>
      <c r="CE50" s="239">
        <v>0</v>
      </c>
      <c r="CF50" s="239">
        <v>0</v>
      </c>
      <c r="CG50" s="239">
        <v>0</v>
      </c>
      <c r="CH50" s="239">
        <v>0</v>
      </c>
      <c r="CI50" s="239">
        <v>0</v>
      </c>
      <c r="CJ50" s="239">
        <v>0</v>
      </c>
      <c r="CK50" s="239">
        <v>0</v>
      </c>
      <c r="CL50" s="239">
        <v>0</v>
      </c>
      <c r="CM50" s="239">
        <v>179.37833333333333</v>
      </c>
      <c r="CN50" s="239">
        <v>40.360124999999996</v>
      </c>
      <c r="CO50" s="239">
        <v>4.4844583333333334</v>
      </c>
      <c r="CP50" s="239">
        <v>0</v>
      </c>
      <c r="CQ50" s="239">
        <v>0</v>
      </c>
      <c r="CR50" s="239">
        <v>0</v>
      </c>
      <c r="CS50" s="239">
        <v>179</v>
      </c>
      <c r="CT50" s="239">
        <v>40</v>
      </c>
      <c r="CU50" s="239">
        <v>4</v>
      </c>
      <c r="CV50" s="239">
        <v>211647.32166666668</v>
      </c>
      <c r="CW50" s="239">
        <v>47620.647374999993</v>
      </c>
      <c r="CX50" s="239">
        <v>5291.1830416666662</v>
      </c>
      <c r="CY50" s="239">
        <v>212142</v>
      </c>
      <c r="CZ50" s="239">
        <v>47732</v>
      </c>
      <c r="DA50" s="239">
        <v>5304</v>
      </c>
      <c r="DB50" s="239">
        <v>-495</v>
      </c>
      <c r="DC50" s="239">
        <v>-111</v>
      </c>
      <c r="DD50" s="239">
        <v>-13</v>
      </c>
      <c r="DE50" s="214">
        <v>0.5</v>
      </c>
      <c r="DF50" s="214">
        <v>0.4</v>
      </c>
      <c r="DG50" s="214">
        <v>0.09</v>
      </c>
      <c r="DH50" s="214">
        <v>0.01</v>
      </c>
      <c r="DI50" s="214" t="s">
        <v>1294</v>
      </c>
    </row>
    <row r="51" spans="2:113" s="214" customFormat="1" x14ac:dyDescent="0.2">
      <c r="B51" s="610" t="s">
        <v>185</v>
      </c>
      <c r="C51" s="610" t="s">
        <v>184</v>
      </c>
      <c r="D51" s="239">
        <v>-250820</v>
      </c>
      <c r="E51" s="239">
        <v>0</v>
      </c>
      <c r="F51" s="239">
        <v>-250820</v>
      </c>
      <c r="G51" s="239">
        <v>0</v>
      </c>
      <c r="H51" s="239">
        <v>0</v>
      </c>
      <c r="I51" s="239">
        <v>0</v>
      </c>
      <c r="J51" s="239">
        <v>-250820</v>
      </c>
      <c r="K51" s="239">
        <v>0</v>
      </c>
      <c r="L51" s="239">
        <v>-250820</v>
      </c>
      <c r="M51" s="239">
        <v>232038</v>
      </c>
      <c r="N51" s="239">
        <v>232038</v>
      </c>
      <c r="O51" s="239">
        <v>0</v>
      </c>
      <c r="P51" s="239">
        <v>0</v>
      </c>
      <c r="Q51" s="239">
        <v>0</v>
      </c>
      <c r="R51" s="239">
        <v>0</v>
      </c>
      <c r="S51" s="239">
        <v>0</v>
      </c>
      <c r="T51" s="239">
        <v>0</v>
      </c>
      <c r="U51" s="239">
        <v>0</v>
      </c>
      <c r="V51" s="239">
        <v>0</v>
      </c>
      <c r="W51" s="239">
        <v>0</v>
      </c>
      <c r="X51" s="239">
        <v>0</v>
      </c>
      <c r="Y51" s="239">
        <v>0</v>
      </c>
      <c r="Z51" s="239">
        <v>0</v>
      </c>
      <c r="AA51" s="239">
        <v>0</v>
      </c>
      <c r="AB51" s="239">
        <v>0</v>
      </c>
      <c r="AC51" s="239">
        <v>0</v>
      </c>
      <c r="AD51" s="239">
        <v>0</v>
      </c>
      <c r="AE51" s="239">
        <v>0</v>
      </c>
      <c r="AF51" s="239">
        <v>0</v>
      </c>
      <c r="AG51" s="239">
        <v>0</v>
      </c>
      <c r="AH51" s="239">
        <v>0</v>
      </c>
      <c r="AI51" s="239">
        <v>0</v>
      </c>
      <c r="AJ51" s="239">
        <v>0</v>
      </c>
      <c r="AK51" s="239">
        <v>732926.47750000004</v>
      </c>
      <c r="AL51" s="239">
        <v>164908.45743749998</v>
      </c>
      <c r="AM51" s="239">
        <v>18323.161937500001</v>
      </c>
      <c r="AN51" s="239">
        <v>679179</v>
      </c>
      <c r="AO51" s="239">
        <v>152816</v>
      </c>
      <c r="AP51" s="239">
        <v>16980</v>
      </c>
      <c r="AQ51" s="239">
        <v>53747</v>
      </c>
      <c r="AR51" s="239">
        <v>12092</v>
      </c>
      <c r="AS51" s="239">
        <v>1343</v>
      </c>
      <c r="AT51" s="239">
        <v>2128.19</v>
      </c>
      <c r="AU51" s="239">
        <v>478.84275000000002</v>
      </c>
      <c r="AV51" s="239">
        <v>53.204750000000004</v>
      </c>
      <c r="AW51" s="239">
        <v>2692</v>
      </c>
      <c r="AX51" s="239">
        <v>606</v>
      </c>
      <c r="AY51" s="239">
        <v>68</v>
      </c>
      <c r="AZ51" s="239">
        <v>-564</v>
      </c>
      <c r="BA51" s="239">
        <v>-127</v>
      </c>
      <c r="BB51" s="239">
        <v>-15</v>
      </c>
      <c r="BC51" s="239">
        <v>0</v>
      </c>
      <c r="BD51" s="239">
        <v>0</v>
      </c>
      <c r="BE51" s="239">
        <v>0</v>
      </c>
      <c r="BF51" s="239">
        <v>0</v>
      </c>
      <c r="BG51" s="239">
        <v>0</v>
      </c>
      <c r="BH51" s="239">
        <v>0</v>
      </c>
      <c r="BI51" s="239">
        <v>0</v>
      </c>
      <c r="BJ51" s="239">
        <v>0</v>
      </c>
      <c r="BK51" s="239">
        <v>0</v>
      </c>
      <c r="BL51" s="239">
        <v>49815.635833333334</v>
      </c>
      <c r="BM51" s="239">
        <v>11208.518062499999</v>
      </c>
      <c r="BN51" s="239">
        <v>1245.3908958333334</v>
      </c>
      <c r="BO51" s="239">
        <v>0</v>
      </c>
      <c r="BP51" s="239">
        <v>0</v>
      </c>
      <c r="BQ51" s="239">
        <v>0</v>
      </c>
      <c r="BR51" s="239">
        <v>49816</v>
      </c>
      <c r="BS51" s="239">
        <v>11209</v>
      </c>
      <c r="BT51" s="239">
        <v>1245</v>
      </c>
      <c r="BU51" s="239">
        <v>422694.89666666667</v>
      </c>
      <c r="BV51" s="239">
        <v>95106.351749999987</v>
      </c>
      <c r="BW51" s="239">
        <v>10567.372416666665</v>
      </c>
      <c r="BX51" s="239">
        <v>340897</v>
      </c>
      <c r="BY51" s="239">
        <v>76702</v>
      </c>
      <c r="BZ51" s="239">
        <v>8522</v>
      </c>
      <c r="CA51" s="239">
        <v>81798</v>
      </c>
      <c r="CB51" s="239">
        <v>18404</v>
      </c>
      <c r="CC51" s="239">
        <v>2045</v>
      </c>
      <c r="CD51" s="239">
        <v>0</v>
      </c>
      <c r="CE51" s="239">
        <v>0</v>
      </c>
      <c r="CF51" s="239">
        <v>0</v>
      </c>
      <c r="CG51" s="239">
        <v>0</v>
      </c>
      <c r="CH51" s="239">
        <v>0</v>
      </c>
      <c r="CI51" s="239">
        <v>0</v>
      </c>
      <c r="CJ51" s="239">
        <v>0</v>
      </c>
      <c r="CK51" s="239">
        <v>0</v>
      </c>
      <c r="CL51" s="239">
        <v>0</v>
      </c>
      <c r="CM51" s="239">
        <v>6321.6658333333335</v>
      </c>
      <c r="CN51" s="239">
        <v>1422.3748125</v>
      </c>
      <c r="CO51" s="239">
        <v>158.04164583333335</v>
      </c>
      <c r="CP51" s="239">
        <v>0</v>
      </c>
      <c r="CQ51" s="239">
        <v>0</v>
      </c>
      <c r="CR51" s="239">
        <v>0</v>
      </c>
      <c r="CS51" s="239">
        <v>6322</v>
      </c>
      <c r="CT51" s="239">
        <v>1422</v>
      </c>
      <c r="CU51" s="239">
        <v>158</v>
      </c>
      <c r="CV51" s="239">
        <v>302487.38916666672</v>
      </c>
      <c r="CW51" s="239">
        <v>68059.662562500002</v>
      </c>
      <c r="CX51" s="239">
        <v>7562.1847291666663</v>
      </c>
      <c r="CY51" s="239">
        <v>307443</v>
      </c>
      <c r="CZ51" s="239">
        <v>69175</v>
      </c>
      <c r="DA51" s="239">
        <v>7686</v>
      </c>
      <c r="DB51" s="239">
        <v>-4956</v>
      </c>
      <c r="DC51" s="239">
        <v>-1115</v>
      </c>
      <c r="DD51" s="239">
        <v>-124</v>
      </c>
      <c r="DE51" s="214">
        <v>0.5</v>
      </c>
      <c r="DF51" s="214">
        <v>0.4</v>
      </c>
      <c r="DG51" s="214">
        <v>0.09</v>
      </c>
      <c r="DH51" s="214">
        <v>0.01</v>
      </c>
      <c r="DI51" s="214" t="s">
        <v>1294</v>
      </c>
    </row>
    <row r="52" spans="2:113" s="214" customFormat="1" x14ac:dyDescent="0.2">
      <c r="B52" s="610" t="s">
        <v>187</v>
      </c>
      <c r="C52" s="610" t="s">
        <v>186</v>
      </c>
      <c r="D52" s="239">
        <v>-37044</v>
      </c>
      <c r="E52" s="239">
        <v>0</v>
      </c>
      <c r="F52" s="239">
        <v>-37044</v>
      </c>
      <c r="G52" s="239">
        <v>0</v>
      </c>
      <c r="H52" s="239">
        <v>0</v>
      </c>
      <c r="I52" s="239">
        <v>0</v>
      </c>
      <c r="J52" s="239">
        <v>-37044</v>
      </c>
      <c r="K52" s="239">
        <v>0</v>
      </c>
      <c r="L52" s="239">
        <v>-37044</v>
      </c>
      <c r="M52" s="239">
        <v>180894</v>
      </c>
      <c r="N52" s="239">
        <v>180894</v>
      </c>
      <c r="O52" s="239">
        <v>0</v>
      </c>
      <c r="P52" s="239">
        <v>0</v>
      </c>
      <c r="Q52" s="239">
        <v>0</v>
      </c>
      <c r="R52" s="239">
        <v>0</v>
      </c>
      <c r="S52" s="239">
        <v>25680</v>
      </c>
      <c r="T52" s="239">
        <v>0</v>
      </c>
      <c r="U52" s="239">
        <v>24000</v>
      </c>
      <c r="V52" s="239">
        <v>0</v>
      </c>
      <c r="W52" s="239">
        <v>1680</v>
      </c>
      <c r="X52" s="239">
        <v>0</v>
      </c>
      <c r="Y52" s="239">
        <v>0</v>
      </c>
      <c r="Z52" s="239">
        <v>0</v>
      </c>
      <c r="AA52" s="239">
        <v>0</v>
      </c>
      <c r="AB52" s="239">
        <v>0</v>
      </c>
      <c r="AC52" s="239">
        <v>0</v>
      </c>
      <c r="AD52" s="239">
        <v>0</v>
      </c>
      <c r="AE52" s="239">
        <v>0</v>
      </c>
      <c r="AF52" s="239">
        <v>0</v>
      </c>
      <c r="AG52" s="239">
        <v>0</v>
      </c>
      <c r="AH52" s="239">
        <v>0</v>
      </c>
      <c r="AI52" s="239">
        <v>0</v>
      </c>
      <c r="AJ52" s="239">
        <v>0</v>
      </c>
      <c r="AK52" s="239">
        <v>530584.67374999996</v>
      </c>
      <c r="AL52" s="239">
        <v>132646.16843749999</v>
      </c>
      <c r="AM52" s="239">
        <v>0</v>
      </c>
      <c r="AN52" s="239">
        <v>508845</v>
      </c>
      <c r="AO52" s="239">
        <v>127212</v>
      </c>
      <c r="AP52" s="239">
        <v>0</v>
      </c>
      <c r="AQ52" s="239">
        <v>21740</v>
      </c>
      <c r="AR52" s="239">
        <v>5434</v>
      </c>
      <c r="AS52" s="239">
        <v>0</v>
      </c>
      <c r="AT52" s="239">
        <v>4566.0308333333342</v>
      </c>
      <c r="AU52" s="239">
        <v>1141.5077083333335</v>
      </c>
      <c r="AV52" s="239">
        <v>0</v>
      </c>
      <c r="AW52" s="239">
        <v>4059</v>
      </c>
      <c r="AX52" s="239">
        <v>1014</v>
      </c>
      <c r="AY52" s="239">
        <v>0</v>
      </c>
      <c r="AZ52" s="239">
        <v>507</v>
      </c>
      <c r="BA52" s="239">
        <v>128</v>
      </c>
      <c r="BB52" s="239">
        <v>0</v>
      </c>
      <c r="BC52" s="239">
        <v>1436.65</v>
      </c>
      <c r="BD52" s="239">
        <v>359.16250000000002</v>
      </c>
      <c r="BE52" s="239">
        <v>0</v>
      </c>
      <c r="BF52" s="239">
        <v>1700</v>
      </c>
      <c r="BG52" s="239">
        <v>424</v>
      </c>
      <c r="BH52" s="239">
        <v>0</v>
      </c>
      <c r="BI52" s="239">
        <v>-263</v>
      </c>
      <c r="BJ52" s="239">
        <v>-65</v>
      </c>
      <c r="BK52" s="239">
        <v>0</v>
      </c>
      <c r="BL52" s="239">
        <v>39612.174166666664</v>
      </c>
      <c r="BM52" s="239">
        <v>9903.043541666666</v>
      </c>
      <c r="BN52" s="239">
        <v>0</v>
      </c>
      <c r="BO52" s="239">
        <v>20291</v>
      </c>
      <c r="BP52" s="239">
        <v>5074</v>
      </c>
      <c r="BQ52" s="239">
        <v>0</v>
      </c>
      <c r="BR52" s="239">
        <v>19321</v>
      </c>
      <c r="BS52" s="239">
        <v>4829</v>
      </c>
      <c r="BT52" s="239">
        <v>0</v>
      </c>
      <c r="BU52" s="239">
        <v>274401.36749999999</v>
      </c>
      <c r="BV52" s="239">
        <v>68600.341874999998</v>
      </c>
      <c r="BW52" s="239">
        <v>0</v>
      </c>
      <c r="BX52" s="239">
        <v>289438</v>
      </c>
      <c r="BY52" s="239">
        <v>72360</v>
      </c>
      <c r="BZ52" s="239">
        <v>0</v>
      </c>
      <c r="CA52" s="239">
        <v>-15037</v>
      </c>
      <c r="CB52" s="239">
        <v>-3760</v>
      </c>
      <c r="CC52" s="239">
        <v>0</v>
      </c>
      <c r="CD52" s="239">
        <v>114009.13500000001</v>
      </c>
      <c r="CE52" s="239">
        <v>28502.283750000002</v>
      </c>
      <c r="CF52" s="239">
        <v>0</v>
      </c>
      <c r="CG52" s="239">
        <v>434871</v>
      </c>
      <c r="CH52" s="239">
        <v>0</v>
      </c>
      <c r="CI52" s="239">
        <v>0</v>
      </c>
      <c r="CJ52" s="239">
        <v>-320862</v>
      </c>
      <c r="CK52" s="239">
        <v>28502</v>
      </c>
      <c r="CL52" s="239">
        <v>0</v>
      </c>
      <c r="CM52" s="239">
        <v>4604.1791666666668</v>
      </c>
      <c r="CN52" s="239">
        <v>1151.0447916666667</v>
      </c>
      <c r="CO52" s="239">
        <v>0</v>
      </c>
      <c r="CP52" s="239">
        <v>0</v>
      </c>
      <c r="CQ52" s="239">
        <v>0</v>
      </c>
      <c r="CR52" s="239">
        <v>0</v>
      </c>
      <c r="CS52" s="239">
        <v>4604</v>
      </c>
      <c r="CT52" s="239">
        <v>1151</v>
      </c>
      <c r="CU52" s="239">
        <v>0</v>
      </c>
      <c r="CV52" s="239">
        <v>245860.88333333333</v>
      </c>
      <c r="CW52" s="239">
        <v>61371.595833333333</v>
      </c>
      <c r="CX52" s="239">
        <v>0</v>
      </c>
      <c r="CY52" s="239">
        <v>247718</v>
      </c>
      <c r="CZ52" s="239">
        <v>61842</v>
      </c>
      <c r="DA52" s="239">
        <v>0</v>
      </c>
      <c r="DB52" s="239">
        <v>-1857</v>
      </c>
      <c r="DC52" s="239">
        <v>-470</v>
      </c>
      <c r="DD52" s="239">
        <v>0</v>
      </c>
      <c r="DE52" s="214">
        <v>0.5</v>
      </c>
      <c r="DF52" s="214">
        <v>0.4</v>
      </c>
      <c r="DG52" s="214">
        <v>0.1</v>
      </c>
      <c r="DH52" s="214">
        <v>0</v>
      </c>
      <c r="DI52" s="214" t="s">
        <v>1294</v>
      </c>
    </row>
    <row r="53" spans="2:113" s="214" customFormat="1" x14ac:dyDescent="0.2">
      <c r="B53" s="610" t="s">
        <v>189</v>
      </c>
      <c r="C53" s="610" t="s">
        <v>188</v>
      </c>
      <c r="D53" s="239">
        <v>2950</v>
      </c>
      <c r="E53" s="239">
        <v>0</v>
      </c>
      <c r="F53" s="239">
        <v>2950</v>
      </c>
      <c r="G53" s="239">
        <v>0</v>
      </c>
      <c r="H53" s="239">
        <v>0</v>
      </c>
      <c r="I53" s="239">
        <v>0</v>
      </c>
      <c r="J53" s="239">
        <v>2950</v>
      </c>
      <c r="K53" s="239">
        <v>0</v>
      </c>
      <c r="L53" s="239">
        <v>2950</v>
      </c>
      <c r="M53" s="239">
        <v>81980</v>
      </c>
      <c r="N53" s="239">
        <v>81980</v>
      </c>
      <c r="O53" s="239">
        <v>0</v>
      </c>
      <c r="P53" s="239">
        <v>0</v>
      </c>
      <c r="Q53" s="239">
        <v>0</v>
      </c>
      <c r="R53" s="239">
        <v>0</v>
      </c>
      <c r="S53" s="239">
        <v>0</v>
      </c>
      <c r="T53" s="239">
        <v>0</v>
      </c>
      <c r="U53" s="239">
        <v>0</v>
      </c>
      <c r="V53" s="239">
        <v>0</v>
      </c>
      <c r="W53" s="239">
        <v>0</v>
      </c>
      <c r="X53" s="239">
        <v>0</v>
      </c>
      <c r="Y53" s="239">
        <v>0</v>
      </c>
      <c r="Z53" s="239">
        <v>0</v>
      </c>
      <c r="AA53" s="239">
        <v>0</v>
      </c>
      <c r="AB53" s="239">
        <v>0</v>
      </c>
      <c r="AC53" s="239">
        <v>0</v>
      </c>
      <c r="AD53" s="239">
        <v>0</v>
      </c>
      <c r="AE53" s="239">
        <v>0</v>
      </c>
      <c r="AF53" s="239">
        <v>0</v>
      </c>
      <c r="AG53" s="239">
        <v>0</v>
      </c>
      <c r="AH53" s="239">
        <v>0</v>
      </c>
      <c r="AI53" s="239">
        <v>0</v>
      </c>
      <c r="AJ53" s="239">
        <v>0</v>
      </c>
      <c r="AK53" s="239">
        <v>377996.41333333333</v>
      </c>
      <c r="AL53" s="239">
        <v>85049.192999999999</v>
      </c>
      <c r="AM53" s="239">
        <v>9449.9103333333333</v>
      </c>
      <c r="AN53" s="239">
        <v>358102</v>
      </c>
      <c r="AO53" s="239">
        <v>80574</v>
      </c>
      <c r="AP53" s="239">
        <v>8952</v>
      </c>
      <c r="AQ53" s="239">
        <v>19894</v>
      </c>
      <c r="AR53" s="239">
        <v>4475</v>
      </c>
      <c r="AS53" s="239">
        <v>498</v>
      </c>
      <c r="AT53" s="239">
        <v>3695.1125000000002</v>
      </c>
      <c r="AU53" s="239">
        <v>831.40031249999993</v>
      </c>
      <c r="AV53" s="239">
        <v>92.377812500000005</v>
      </c>
      <c r="AW53" s="239">
        <v>405</v>
      </c>
      <c r="AX53" s="239">
        <v>92</v>
      </c>
      <c r="AY53" s="239">
        <v>10</v>
      </c>
      <c r="AZ53" s="239">
        <v>3290</v>
      </c>
      <c r="BA53" s="239">
        <v>739</v>
      </c>
      <c r="BB53" s="239">
        <v>82</v>
      </c>
      <c r="BC53" s="239">
        <v>0</v>
      </c>
      <c r="BD53" s="239">
        <v>0</v>
      </c>
      <c r="BE53" s="239">
        <v>0</v>
      </c>
      <c r="BF53" s="239">
        <v>1301</v>
      </c>
      <c r="BG53" s="239">
        <v>292</v>
      </c>
      <c r="BH53" s="239">
        <v>32</v>
      </c>
      <c r="BI53" s="239">
        <v>-1301</v>
      </c>
      <c r="BJ53" s="239">
        <v>-292</v>
      </c>
      <c r="BK53" s="239">
        <v>-32</v>
      </c>
      <c r="BL53" s="239">
        <v>3943.4825000000001</v>
      </c>
      <c r="BM53" s="239">
        <v>887.2835624999999</v>
      </c>
      <c r="BN53" s="239">
        <v>98.587062500000002</v>
      </c>
      <c r="BO53" s="239">
        <v>2004</v>
      </c>
      <c r="BP53" s="239">
        <v>452</v>
      </c>
      <c r="BQ53" s="239">
        <v>50</v>
      </c>
      <c r="BR53" s="239">
        <v>1939</v>
      </c>
      <c r="BS53" s="239">
        <v>435</v>
      </c>
      <c r="BT53" s="239">
        <v>49</v>
      </c>
      <c r="BU53" s="239">
        <v>187873.64250000002</v>
      </c>
      <c r="BV53" s="239">
        <v>42271.569562499993</v>
      </c>
      <c r="BW53" s="239">
        <v>4696.8410625000006</v>
      </c>
      <c r="BX53" s="239">
        <v>198103</v>
      </c>
      <c r="BY53" s="239">
        <v>44572</v>
      </c>
      <c r="BZ53" s="239">
        <v>4952</v>
      </c>
      <c r="CA53" s="239">
        <v>-10229</v>
      </c>
      <c r="CB53" s="239">
        <v>-2300</v>
      </c>
      <c r="CC53" s="239">
        <v>-255</v>
      </c>
      <c r="CD53" s="239">
        <v>0</v>
      </c>
      <c r="CE53" s="239">
        <v>0</v>
      </c>
      <c r="CF53" s="239">
        <v>0</v>
      </c>
      <c r="CG53" s="239">
        <v>0</v>
      </c>
      <c r="CH53" s="239">
        <v>0</v>
      </c>
      <c r="CI53" s="239">
        <v>0</v>
      </c>
      <c r="CJ53" s="239">
        <v>0</v>
      </c>
      <c r="CK53" s="239">
        <v>0</v>
      </c>
      <c r="CL53" s="239">
        <v>0</v>
      </c>
      <c r="CM53" s="239">
        <v>2320.1491666666666</v>
      </c>
      <c r="CN53" s="239">
        <v>522.0335624999999</v>
      </c>
      <c r="CO53" s="239">
        <v>58.003729166666666</v>
      </c>
      <c r="CP53" s="239">
        <v>0</v>
      </c>
      <c r="CQ53" s="239">
        <v>0</v>
      </c>
      <c r="CR53" s="239">
        <v>0</v>
      </c>
      <c r="CS53" s="239">
        <v>2320</v>
      </c>
      <c r="CT53" s="239">
        <v>522</v>
      </c>
      <c r="CU53" s="239">
        <v>58</v>
      </c>
      <c r="CV53" s="239">
        <v>84575.201666666675</v>
      </c>
      <c r="CW53" s="239">
        <v>19029.420375000002</v>
      </c>
      <c r="CX53" s="239">
        <v>2114.3800416666663</v>
      </c>
      <c r="CY53" s="239">
        <v>88226</v>
      </c>
      <c r="CZ53" s="239">
        <v>19851</v>
      </c>
      <c r="DA53" s="239">
        <v>2206</v>
      </c>
      <c r="DB53" s="239">
        <v>-3651</v>
      </c>
      <c r="DC53" s="239">
        <v>-822</v>
      </c>
      <c r="DD53" s="239">
        <v>-92</v>
      </c>
      <c r="DE53" s="214">
        <v>0.5</v>
      </c>
      <c r="DF53" s="214">
        <v>0.4</v>
      </c>
      <c r="DG53" s="214">
        <v>0.09</v>
      </c>
      <c r="DH53" s="214">
        <v>0.01</v>
      </c>
      <c r="DI53" s="214" t="s">
        <v>1294</v>
      </c>
    </row>
    <row r="54" spans="2:113" s="214" customFormat="1" x14ac:dyDescent="0.2">
      <c r="B54" s="610" t="s">
        <v>191</v>
      </c>
      <c r="C54" s="610" t="s">
        <v>190</v>
      </c>
      <c r="D54" s="239">
        <v>-226755</v>
      </c>
      <c r="E54" s="239">
        <v>0</v>
      </c>
      <c r="F54" s="239">
        <v>-226755</v>
      </c>
      <c r="G54" s="239">
        <v>0</v>
      </c>
      <c r="H54" s="239">
        <v>0</v>
      </c>
      <c r="I54" s="239">
        <v>0</v>
      </c>
      <c r="J54" s="239">
        <v>-226755</v>
      </c>
      <c r="K54" s="239">
        <v>0</v>
      </c>
      <c r="L54" s="239">
        <v>-226755</v>
      </c>
      <c r="M54" s="239">
        <v>314105</v>
      </c>
      <c r="N54" s="239">
        <v>314105</v>
      </c>
      <c r="O54" s="239">
        <v>0</v>
      </c>
      <c r="P54" s="239">
        <v>0</v>
      </c>
      <c r="Q54" s="239">
        <v>0</v>
      </c>
      <c r="R54" s="239">
        <v>0</v>
      </c>
      <c r="S54" s="239">
        <v>383184</v>
      </c>
      <c r="T54" s="239">
        <v>0</v>
      </c>
      <c r="U54" s="239">
        <v>264134</v>
      </c>
      <c r="V54" s="239">
        <v>0</v>
      </c>
      <c r="W54" s="239">
        <v>119050</v>
      </c>
      <c r="X54" s="239">
        <v>0</v>
      </c>
      <c r="Y54" s="239">
        <v>0</v>
      </c>
      <c r="Z54" s="239">
        <v>0</v>
      </c>
      <c r="AA54" s="239">
        <v>0</v>
      </c>
      <c r="AB54" s="239">
        <v>0</v>
      </c>
      <c r="AC54" s="239">
        <v>0</v>
      </c>
      <c r="AD54" s="239">
        <v>0</v>
      </c>
      <c r="AE54" s="239">
        <v>0</v>
      </c>
      <c r="AF54" s="239">
        <v>0</v>
      </c>
      <c r="AG54" s="239">
        <v>0</v>
      </c>
      <c r="AH54" s="239">
        <v>0</v>
      </c>
      <c r="AI54" s="239">
        <v>0</v>
      </c>
      <c r="AJ54" s="239">
        <v>0</v>
      </c>
      <c r="AK54" s="239">
        <v>1274368.2176458335</v>
      </c>
      <c r="AL54" s="239">
        <v>0</v>
      </c>
      <c r="AM54" s="239">
        <v>26007.514645833337</v>
      </c>
      <c r="AN54" s="239">
        <v>1117739</v>
      </c>
      <c r="AO54" s="239">
        <v>0</v>
      </c>
      <c r="AP54" s="239">
        <v>22812</v>
      </c>
      <c r="AQ54" s="239">
        <v>156629</v>
      </c>
      <c r="AR54" s="239">
        <v>0</v>
      </c>
      <c r="AS54" s="239">
        <v>3196</v>
      </c>
      <c r="AT54" s="239">
        <v>0</v>
      </c>
      <c r="AU54" s="239">
        <v>0</v>
      </c>
      <c r="AV54" s="239">
        <v>0</v>
      </c>
      <c r="AW54" s="239">
        <v>35795</v>
      </c>
      <c r="AX54" s="239">
        <v>0</v>
      </c>
      <c r="AY54" s="239">
        <v>730</v>
      </c>
      <c r="AZ54" s="239">
        <v>-35795</v>
      </c>
      <c r="BA54" s="239">
        <v>0</v>
      </c>
      <c r="BB54" s="239">
        <v>-730</v>
      </c>
      <c r="BC54" s="239">
        <v>86501.883562499992</v>
      </c>
      <c r="BD54" s="239">
        <v>0</v>
      </c>
      <c r="BE54" s="239">
        <v>1765.3445624999999</v>
      </c>
      <c r="BF54" s="239">
        <v>5135</v>
      </c>
      <c r="BG54" s="239">
        <v>0</v>
      </c>
      <c r="BH54" s="239">
        <v>104</v>
      </c>
      <c r="BI54" s="239">
        <v>81367</v>
      </c>
      <c r="BJ54" s="239">
        <v>0</v>
      </c>
      <c r="BK54" s="239">
        <v>1661</v>
      </c>
      <c r="BL54" s="239">
        <v>20224.886791666668</v>
      </c>
      <c r="BM54" s="239">
        <v>0</v>
      </c>
      <c r="BN54" s="239">
        <v>412.75279166666667</v>
      </c>
      <c r="BO54" s="239">
        <v>11154</v>
      </c>
      <c r="BP54" s="239">
        <v>0</v>
      </c>
      <c r="BQ54" s="239">
        <v>228</v>
      </c>
      <c r="BR54" s="239">
        <v>9071</v>
      </c>
      <c r="BS54" s="239">
        <v>0</v>
      </c>
      <c r="BT54" s="239">
        <v>185</v>
      </c>
      <c r="BU54" s="239">
        <v>747400.59435416665</v>
      </c>
      <c r="BV54" s="239">
        <v>0</v>
      </c>
      <c r="BW54" s="239">
        <v>15253.073354166667</v>
      </c>
      <c r="BX54" s="239">
        <v>512162</v>
      </c>
      <c r="BY54" s="239">
        <v>0</v>
      </c>
      <c r="BZ54" s="239">
        <v>10452</v>
      </c>
      <c r="CA54" s="239">
        <v>235239</v>
      </c>
      <c r="CB54" s="239">
        <v>0</v>
      </c>
      <c r="CC54" s="239">
        <v>4801</v>
      </c>
      <c r="CD54" s="239">
        <v>0</v>
      </c>
      <c r="CE54" s="239">
        <v>0</v>
      </c>
      <c r="CF54" s="239">
        <v>0</v>
      </c>
      <c r="CG54" s="239">
        <v>0</v>
      </c>
      <c r="CH54" s="239">
        <v>0</v>
      </c>
      <c r="CI54" s="239">
        <v>0</v>
      </c>
      <c r="CJ54" s="239">
        <v>0</v>
      </c>
      <c r="CK54" s="239">
        <v>0</v>
      </c>
      <c r="CL54" s="239">
        <v>0</v>
      </c>
      <c r="CM54" s="239">
        <v>21051.6403125</v>
      </c>
      <c r="CN54" s="239">
        <v>0</v>
      </c>
      <c r="CO54" s="239">
        <v>429.62531250000001</v>
      </c>
      <c r="CP54" s="239">
        <v>0</v>
      </c>
      <c r="CQ54" s="239">
        <v>0</v>
      </c>
      <c r="CR54" s="239">
        <v>0</v>
      </c>
      <c r="CS54" s="239">
        <v>21052</v>
      </c>
      <c r="CT54" s="239">
        <v>0</v>
      </c>
      <c r="CU54" s="239">
        <v>430</v>
      </c>
      <c r="CV54" s="239">
        <v>539083.96164583333</v>
      </c>
      <c r="CW54" s="239">
        <v>0</v>
      </c>
      <c r="CX54" s="239">
        <v>10887.670645833334</v>
      </c>
      <c r="CY54" s="239">
        <v>580115</v>
      </c>
      <c r="CZ54" s="239">
        <v>0</v>
      </c>
      <c r="DA54" s="239">
        <v>11760</v>
      </c>
      <c r="DB54" s="239">
        <v>-41031</v>
      </c>
      <c r="DC54" s="239">
        <v>0</v>
      </c>
      <c r="DD54" s="239">
        <v>-872</v>
      </c>
      <c r="DE54" s="214">
        <v>0.5</v>
      </c>
      <c r="DF54" s="214">
        <v>0.49</v>
      </c>
      <c r="DG54" s="214">
        <v>0</v>
      </c>
      <c r="DH54" s="214">
        <v>0.01</v>
      </c>
      <c r="DI54" s="214" t="s">
        <v>748</v>
      </c>
    </row>
    <row r="55" spans="2:113" s="214" customFormat="1" x14ac:dyDescent="0.2">
      <c r="B55" s="610" t="s">
        <v>193</v>
      </c>
      <c r="C55" s="610" t="s">
        <v>192</v>
      </c>
      <c r="D55" s="239">
        <v>-99420</v>
      </c>
      <c r="E55" s="239">
        <v>0</v>
      </c>
      <c r="F55" s="239">
        <v>-99420</v>
      </c>
      <c r="G55" s="239">
        <v>0</v>
      </c>
      <c r="H55" s="239">
        <v>0</v>
      </c>
      <c r="I55" s="239">
        <v>0</v>
      </c>
      <c r="J55" s="239">
        <v>-99420</v>
      </c>
      <c r="K55" s="239">
        <v>0</v>
      </c>
      <c r="L55" s="239">
        <v>-99420</v>
      </c>
      <c r="M55" s="239">
        <v>191528</v>
      </c>
      <c r="N55" s="239">
        <v>191528</v>
      </c>
      <c r="O55" s="239">
        <v>0</v>
      </c>
      <c r="P55" s="239">
        <v>0</v>
      </c>
      <c r="Q55" s="239">
        <v>0</v>
      </c>
      <c r="R55" s="239">
        <v>0</v>
      </c>
      <c r="S55" s="239">
        <v>151598</v>
      </c>
      <c r="T55" s="239">
        <v>0</v>
      </c>
      <c r="U55" s="239">
        <v>151598</v>
      </c>
      <c r="V55" s="239">
        <v>0</v>
      </c>
      <c r="W55" s="239">
        <v>0</v>
      </c>
      <c r="X55" s="239">
        <v>0</v>
      </c>
      <c r="Y55" s="239">
        <v>0</v>
      </c>
      <c r="Z55" s="239">
        <v>0</v>
      </c>
      <c r="AA55" s="239">
        <v>0</v>
      </c>
      <c r="AB55" s="239">
        <v>0</v>
      </c>
      <c r="AC55" s="239">
        <v>0</v>
      </c>
      <c r="AD55" s="239">
        <v>0</v>
      </c>
      <c r="AE55" s="239">
        <v>0</v>
      </c>
      <c r="AF55" s="239">
        <v>0</v>
      </c>
      <c r="AG55" s="239">
        <v>0</v>
      </c>
      <c r="AH55" s="239">
        <v>0</v>
      </c>
      <c r="AI55" s="239">
        <v>0</v>
      </c>
      <c r="AJ55" s="239">
        <v>0</v>
      </c>
      <c r="AK55" s="239">
        <v>641679.92541666667</v>
      </c>
      <c r="AL55" s="239">
        <v>144377.98321874999</v>
      </c>
      <c r="AM55" s="239">
        <v>16041.998135416668</v>
      </c>
      <c r="AN55" s="239">
        <v>648518</v>
      </c>
      <c r="AO55" s="239">
        <v>145916</v>
      </c>
      <c r="AP55" s="239">
        <v>16212</v>
      </c>
      <c r="AQ55" s="239">
        <v>-6838</v>
      </c>
      <c r="AR55" s="239">
        <v>-1538</v>
      </c>
      <c r="AS55" s="239">
        <v>-170</v>
      </c>
      <c r="AT55" s="239">
        <v>4558.32</v>
      </c>
      <c r="AU55" s="239">
        <v>1025.6219999999998</v>
      </c>
      <c r="AV55" s="239">
        <v>113.958</v>
      </c>
      <c r="AW55" s="239">
        <v>949</v>
      </c>
      <c r="AX55" s="239">
        <v>214</v>
      </c>
      <c r="AY55" s="239">
        <v>24</v>
      </c>
      <c r="AZ55" s="239">
        <v>3609</v>
      </c>
      <c r="BA55" s="239">
        <v>812</v>
      </c>
      <c r="BB55" s="239">
        <v>90</v>
      </c>
      <c r="BC55" s="239">
        <v>12375.075833333334</v>
      </c>
      <c r="BD55" s="239">
        <v>2784.3920625000001</v>
      </c>
      <c r="BE55" s="239">
        <v>309.37689583333332</v>
      </c>
      <c r="BF55" s="239">
        <v>19658</v>
      </c>
      <c r="BG55" s="239">
        <v>4422</v>
      </c>
      <c r="BH55" s="239">
        <v>492</v>
      </c>
      <c r="BI55" s="239">
        <v>-7283</v>
      </c>
      <c r="BJ55" s="239">
        <v>-1638</v>
      </c>
      <c r="BK55" s="239">
        <v>-183</v>
      </c>
      <c r="BL55" s="239">
        <v>17140.370833333338</v>
      </c>
      <c r="BM55" s="239">
        <v>3856.5834375000004</v>
      </c>
      <c r="BN55" s="239">
        <v>428.50927083333335</v>
      </c>
      <c r="BO55" s="239">
        <v>6965</v>
      </c>
      <c r="BP55" s="239">
        <v>1568</v>
      </c>
      <c r="BQ55" s="239">
        <v>174</v>
      </c>
      <c r="BR55" s="239">
        <v>10175</v>
      </c>
      <c r="BS55" s="239">
        <v>2289</v>
      </c>
      <c r="BT55" s="239">
        <v>255</v>
      </c>
      <c r="BU55" s="239">
        <v>307167.94500000001</v>
      </c>
      <c r="BV55" s="239">
        <v>69112.787624999997</v>
      </c>
      <c r="BW55" s="239">
        <v>7679.1986250000009</v>
      </c>
      <c r="BX55" s="239">
        <v>278736</v>
      </c>
      <c r="BY55" s="239">
        <v>62716</v>
      </c>
      <c r="BZ55" s="239">
        <v>6968</v>
      </c>
      <c r="CA55" s="239">
        <v>28432</v>
      </c>
      <c r="CB55" s="239">
        <v>6397</v>
      </c>
      <c r="CC55" s="239">
        <v>711</v>
      </c>
      <c r="CD55" s="239">
        <v>0</v>
      </c>
      <c r="CE55" s="239">
        <v>0</v>
      </c>
      <c r="CF55" s="239">
        <v>0</v>
      </c>
      <c r="CG55" s="239">
        <v>0</v>
      </c>
      <c r="CH55" s="239">
        <v>0</v>
      </c>
      <c r="CI55" s="239">
        <v>0</v>
      </c>
      <c r="CJ55" s="239">
        <v>0</v>
      </c>
      <c r="CK55" s="239">
        <v>0</v>
      </c>
      <c r="CL55" s="239">
        <v>0</v>
      </c>
      <c r="CM55" s="239">
        <v>3156.5716666666667</v>
      </c>
      <c r="CN55" s="239">
        <v>710.22862499999997</v>
      </c>
      <c r="CO55" s="239">
        <v>78.914291666666671</v>
      </c>
      <c r="CP55" s="239">
        <v>0</v>
      </c>
      <c r="CQ55" s="239">
        <v>0</v>
      </c>
      <c r="CR55" s="239">
        <v>0</v>
      </c>
      <c r="CS55" s="239">
        <v>3157</v>
      </c>
      <c r="CT55" s="239">
        <v>710</v>
      </c>
      <c r="CU55" s="239">
        <v>79</v>
      </c>
      <c r="CV55" s="239">
        <v>234556.37916666668</v>
      </c>
      <c r="CW55" s="239">
        <v>52277.754374999997</v>
      </c>
      <c r="CX55" s="239">
        <v>5808.6393749999997</v>
      </c>
      <c r="CY55" s="239">
        <v>254512</v>
      </c>
      <c r="CZ55" s="239">
        <v>56768</v>
      </c>
      <c r="DA55" s="239">
        <v>6308</v>
      </c>
      <c r="DB55" s="239">
        <v>-19956</v>
      </c>
      <c r="DC55" s="239">
        <v>-4490</v>
      </c>
      <c r="DD55" s="239">
        <v>-499</v>
      </c>
      <c r="DE55" s="214">
        <v>0.5</v>
      </c>
      <c r="DF55" s="214">
        <v>0.4</v>
      </c>
      <c r="DG55" s="214">
        <v>0.09</v>
      </c>
      <c r="DH55" s="214">
        <v>0.01</v>
      </c>
      <c r="DI55" s="214" t="s">
        <v>1294</v>
      </c>
    </row>
    <row r="56" spans="2:113" s="214" customFormat="1" x14ac:dyDescent="0.2">
      <c r="B56" s="610" t="s">
        <v>195</v>
      </c>
      <c r="C56" s="610" t="s">
        <v>194</v>
      </c>
      <c r="D56" s="239">
        <v>107903</v>
      </c>
      <c r="E56" s="239">
        <v>0</v>
      </c>
      <c r="F56" s="239">
        <v>107903</v>
      </c>
      <c r="G56" s="239">
        <v>0</v>
      </c>
      <c r="H56" s="239">
        <v>0</v>
      </c>
      <c r="I56" s="239">
        <v>0</v>
      </c>
      <c r="J56" s="239">
        <v>107903</v>
      </c>
      <c r="K56" s="239">
        <v>0</v>
      </c>
      <c r="L56" s="239">
        <v>107903</v>
      </c>
      <c r="M56" s="239">
        <v>222481</v>
      </c>
      <c r="N56" s="239">
        <v>222481</v>
      </c>
      <c r="O56" s="239">
        <v>0</v>
      </c>
      <c r="P56" s="239">
        <v>0</v>
      </c>
      <c r="Q56" s="239">
        <v>0</v>
      </c>
      <c r="R56" s="239">
        <v>0</v>
      </c>
      <c r="S56" s="239">
        <v>0</v>
      </c>
      <c r="T56" s="239">
        <v>0</v>
      </c>
      <c r="U56" s="239">
        <v>0</v>
      </c>
      <c r="V56" s="239">
        <v>0</v>
      </c>
      <c r="W56" s="239">
        <v>0</v>
      </c>
      <c r="X56" s="239">
        <v>0</v>
      </c>
      <c r="Y56" s="239">
        <v>0</v>
      </c>
      <c r="Z56" s="239">
        <v>0</v>
      </c>
      <c r="AA56" s="239">
        <v>0</v>
      </c>
      <c r="AB56" s="239">
        <v>0</v>
      </c>
      <c r="AC56" s="239">
        <v>0</v>
      </c>
      <c r="AD56" s="239">
        <v>0</v>
      </c>
      <c r="AE56" s="239">
        <v>0</v>
      </c>
      <c r="AF56" s="239">
        <v>0</v>
      </c>
      <c r="AG56" s="239">
        <v>0</v>
      </c>
      <c r="AH56" s="239">
        <v>0</v>
      </c>
      <c r="AI56" s="239">
        <v>0</v>
      </c>
      <c r="AJ56" s="239">
        <v>0</v>
      </c>
      <c r="AK56" s="239">
        <v>555604.09583333333</v>
      </c>
      <c r="AL56" s="239">
        <v>125010.92156249999</v>
      </c>
      <c r="AM56" s="239">
        <v>13890.102395833334</v>
      </c>
      <c r="AN56" s="239">
        <v>527560</v>
      </c>
      <c r="AO56" s="239">
        <v>118702</v>
      </c>
      <c r="AP56" s="239">
        <v>13190</v>
      </c>
      <c r="AQ56" s="239">
        <v>28044</v>
      </c>
      <c r="AR56" s="239">
        <v>6309</v>
      </c>
      <c r="AS56" s="239">
        <v>700</v>
      </c>
      <c r="AT56" s="239">
        <v>72753.335833333331</v>
      </c>
      <c r="AU56" s="239">
        <v>16369.500562499999</v>
      </c>
      <c r="AV56" s="239">
        <v>1818.8333958333333</v>
      </c>
      <c r="AW56" s="239">
        <v>0</v>
      </c>
      <c r="AX56" s="239">
        <v>0</v>
      </c>
      <c r="AY56" s="239">
        <v>0</v>
      </c>
      <c r="AZ56" s="239">
        <v>72753</v>
      </c>
      <c r="BA56" s="239">
        <v>16370</v>
      </c>
      <c r="BB56" s="239">
        <v>1819</v>
      </c>
      <c r="BC56" s="239">
        <v>2696.7624999999998</v>
      </c>
      <c r="BD56" s="239">
        <v>606.77156249999996</v>
      </c>
      <c r="BE56" s="239">
        <v>67.419062499999995</v>
      </c>
      <c r="BF56" s="239">
        <v>0</v>
      </c>
      <c r="BG56" s="239">
        <v>0</v>
      </c>
      <c r="BH56" s="239">
        <v>0</v>
      </c>
      <c r="BI56" s="239">
        <v>2697</v>
      </c>
      <c r="BJ56" s="239">
        <v>607</v>
      </c>
      <c r="BK56" s="239">
        <v>67</v>
      </c>
      <c r="BL56" s="239">
        <v>35059.535833333335</v>
      </c>
      <c r="BM56" s="239">
        <v>7888.3955624999999</v>
      </c>
      <c r="BN56" s="239">
        <v>876.48839583333324</v>
      </c>
      <c r="BO56" s="239">
        <v>0</v>
      </c>
      <c r="BP56" s="239">
        <v>0</v>
      </c>
      <c r="BQ56" s="239">
        <v>0</v>
      </c>
      <c r="BR56" s="239">
        <v>35060</v>
      </c>
      <c r="BS56" s="239">
        <v>7888</v>
      </c>
      <c r="BT56" s="239">
        <v>876</v>
      </c>
      <c r="BU56" s="239">
        <v>422263.90166666667</v>
      </c>
      <c r="BV56" s="239">
        <v>95009.377874999991</v>
      </c>
      <c r="BW56" s="239">
        <v>10556.597541666666</v>
      </c>
      <c r="BX56" s="239">
        <v>393090</v>
      </c>
      <c r="BY56" s="239">
        <v>88446</v>
      </c>
      <c r="BZ56" s="239">
        <v>9828</v>
      </c>
      <c r="CA56" s="239">
        <v>29174</v>
      </c>
      <c r="CB56" s="239">
        <v>6563</v>
      </c>
      <c r="CC56" s="239">
        <v>729</v>
      </c>
      <c r="CD56" s="239">
        <v>0</v>
      </c>
      <c r="CE56" s="239">
        <v>0</v>
      </c>
      <c r="CF56" s="239">
        <v>0</v>
      </c>
      <c r="CG56" s="239">
        <v>0</v>
      </c>
      <c r="CH56" s="239">
        <v>0</v>
      </c>
      <c r="CI56" s="239">
        <v>0</v>
      </c>
      <c r="CJ56" s="239">
        <v>0</v>
      </c>
      <c r="CK56" s="239">
        <v>0</v>
      </c>
      <c r="CL56" s="239">
        <v>0</v>
      </c>
      <c r="CM56" s="239">
        <v>8915.3466666666664</v>
      </c>
      <c r="CN56" s="239">
        <v>2005.9529999999997</v>
      </c>
      <c r="CO56" s="239">
        <v>222.88366666666664</v>
      </c>
      <c r="CP56" s="239">
        <v>0</v>
      </c>
      <c r="CQ56" s="239">
        <v>0</v>
      </c>
      <c r="CR56" s="239">
        <v>0</v>
      </c>
      <c r="CS56" s="239">
        <v>8915</v>
      </c>
      <c r="CT56" s="239">
        <v>2006</v>
      </c>
      <c r="CU56" s="239">
        <v>223</v>
      </c>
      <c r="CV56" s="239">
        <v>423390.33916666667</v>
      </c>
      <c r="CW56" s="239">
        <v>95262.826312499994</v>
      </c>
      <c r="CX56" s="239">
        <v>10584.758479166667</v>
      </c>
      <c r="CY56" s="239">
        <v>458345</v>
      </c>
      <c r="CZ56" s="239">
        <v>103128</v>
      </c>
      <c r="DA56" s="239">
        <v>11459</v>
      </c>
      <c r="DB56" s="239">
        <v>-34955</v>
      </c>
      <c r="DC56" s="239">
        <v>-7865</v>
      </c>
      <c r="DD56" s="239">
        <v>-874</v>
      </c>
      <c r="DE56" s="214">
        <v>0.5</v>
      </c>
      <c r="DF56" s="214">
        <v>0.4</v>
      </c>
      <c r="DG56" s="214">
        <v>0.09</v>
      </c>
      <c r="DH56" s="214">
        <v>0.01</v>
      </c>
      <c r="DI56" s="214" t="s">
        <v>1294</v>
      </c>
    </row>
    <row r="57" spans="2:113" s="214" customFormat="1" x14ac:dyDescent="0.2">
      <c r="B57" s="610" t="s">
        <v>197</v>
      </c>
      <c r="C57" s="610" t="s">
        <v>196</v>
      </c>
      <c r="D57" s="239">
        <v>-87584</v>
      </c>
      <c r="E57" s="239">
        <v>0</v>
      </c>
      <c r="F57" s="239">
        <v>-87584</v>
      </c>
      <c r="G57" s="239">
        <v>0</v>
      </c>
      <c r="H57" s="239">
        <v>0</v>
      </c>
      <c r="I57" s="239">
        <v>0</v>
      </c>
      <c r="J57" s="239">
        <v>-87584</v>
      </c>
      <c r="K57" s="239">
        <v>0</v>
      </c>
      <c r="L57" s="239">
        <v>-87584</v>
      </c>
      <c r="M57" s="239">
        <v>183262</v>
      </c>
      <c r="N57" s="239">
        <v>183262</v>
      </c>
      <c r="O57" s="239">
        <v>0</v>
      </c>
      <c r="P57" s="239">
        <v>0</v>
      </c>
      <c r="Q57" s="239">
        <v>0</v>
      </c>
      <c r="R57" s="239">
        <v>0</v>
      </c>
      <c r="S57" s="239">
        <v>0</v>
      </c>
      <c r="T57" s="239">
        <v>0</v>
      </c>
      <c r="U57" s="239">
        <v>0</v>
      </c>
      <c r="V57" s="239">
        <v>0</v>
      </c>
      <c r="W57" s="239">
        <v>0</v>
      </c>
      <c r="X57" s="239">
        <v>0</v>
      </c>
      <c r="Y57" s="239">
        <v>0</v>
      </c>
      <c r="Z57" s="239">
        <v>0</v>
      </c>
      <c r="AA57" s="239">
        <v>0</v>
      </c>
      <c r="AB57" s="239">
        <v>0</v>
      </c>
      <c r="AC57" s="239">
        <v>0</v>
      </c>
      <c r="AD57" s="239">
        <v>0</v>
      </c>
      <c r="AE57" s="239">
        <v>0</v>
      </c>
      <c r="AF57" s="239">
        <v>0</v>
      </c>
      <c r="AG57" s="239">
        <v>0</v>
      </c>
      <c r="AH57" s="239">
        <v>0</v>
      </c>
      <c r="AI57" s="239">
        <v>0</v>
      </c>
      <c r="AJ57" s="239">
        <v>0</v>
      </c>
      <c r="AK57" s="239">
        <v>500846.62750000006</v>
      </c>
      <c r="AL57" s="239">
        <v>125211.65687500002</v>
      </c>
      <c r="AM57" s="239">
        <v>0</v>
      </c>
      <c r="AN57" s="239">
        <v>454899</v>
      </c>
      <c r="AO57" s="239">
        <v>113724</v>
      </c>
      <c r="AP57" s="239">
        <v>0</v>
      </c>
      <c r="AQ57" s="239">
        <v>45948</v>
      </c>
      <c r="AR57" s="239">
        <v>11488</v>
      </c>
      <c r="AS57" s="239">
        <v>0</v>
      </c>
      <c r="AT57" s="239">
        <v>915.56000000000006</v>
      </c>
      <c r="AU57" s="239">
        <v>228.89000000000001</v>
      </c>
      <c r="AV57" s="239">
        <v>0</v>
      </c>
      <c r="AW57" s="239">
        <v>2028</v>
      </c>
      <c r="AX57" s="239">
        <v>508</v>
      </c>
      <c r="AY57" s="239">
        <v>0</v>
      </c>
      <c r="AZ57" s="239">
        <v>-1112</v>
      </c>
      <c r="BA57" s="239">
        <v>-279</v>
      </c>
      <c r="BB57" s="239">
        <v>0</v>
      </c>
      <c r="BC57" s="239">
        <v>0</v>
      </c>
      <c r="BD57" s="239">
        <v>0</v>
      </c>
      <c r="BE57" s="239">
        <v>0</v>
      </c>
      <c r="BF57" s="239">
        <v>4059</v>
      </c>
      <c r="BG57" s="239">
        <v>1014</v>
      </c>
      <c r="BH57" s="239">
        <v>0</v>
      </c>
      <c r="BI57" s="239">
        <v>-4059</v>
      </c>
      <c r="BJ57" s="239">
        <v>-1014</v>
      </c>
      <c r="BK57" s="239">
        <v>0</v>
      </c>
      <c r="BL57" s="239">
        <v>18933.342499999999</v>
      </c>
      <c r="BM57" s="239">
        <v>4733.3356249999997</v>
      </c>
      <c r="BN57" s="239">
        <v>0</v>
      </c>
      <c r="BO57" s="239">
        <v>4059</v>
      </c>
      <c r="BP57" s="239">
        <v>1014</v>
      </c>
      <c r="BQ57" s="239">
        <v>0</v>
      </c>
      <c r="BR57" s="239">
        <v>14874</v>
      </c>
      <c r="BS57" s="239">
        <v>3719</v>
      </c>
      <c r="BT57" s="239">
        <v>0</v>
      </c>
      <c r="BU57" s="239">
        <v>262717.02</v>
      </c>
      <c r="BV57" s="239">
        <v>65679.255000000005</v>
      </c>
      <c r="BW57" s="239">
        <v>0</v>
      </c>
      <c r="BX57" s="239">
        <v>242247</v>
      </c>
      <c r="BY57" s="239">
        <v>60562</v>
      </c>
      <c r="BZ57" s="239">
        <v>0</v>
      </c>
      <c r="CA57" s="239">
        <v>20470</v>
      </c>
      <c r="CB57" s="239">
        <v>5117</v>
      </c>
      <c r="CC57" s="239">
        <v>0</v>
      </c>
      <c r="CD57" s="239">
        <v>0</v>
      </c>
      <c r="CE57" s="239">
        <v>0</v>
      </c>
      <c r="CF57" s="239">
        <v>0</v>
      </c>
      <c r="CG57" s="239">
        <v>0</v>
      </c>
      <c r="CH57" s="239">
        <v>0</v>
      </c>
      <c r="CI57" s="239">
        <v>0</v>
      </c>
      <c r="CJ57" s="239">
        <v>0</v>
      </c>
      <c r="CK57" s="239">
        <v>0</v>
      </c>
      <c r="CL57" s="239">
        <v>0</v>
      </c>
      <c r="CM57" s="239">
        <v>681.80000000000007</v>
      </c>
      <c r="CN57" s="239">
        <v>170.45000000000002</v>
      </c>
      <c r="CO57" s="239">
        <v>0</v>
      </c>
      <c r="CP57" s="239">
        <v>0</v>
      </c>
      <c r="CQ57" s="239">
        <v>0</v>
      </c>
      <c r="CR57" s="239">
        <v>0</v>
      </c>
      <c r="CS57" s="239">
        <v>682</v>
      </c>
      <c r="CT57" s="239">
        <v>170</v>
      </c>
      <c r="CU57" s="239">
        <v>0</v>
      </c>
      <c r="CV57" s="239">
        <v>308042.57750000001</v>
      </c>
      <c r="CW57" s="239">
        <v>77010.644375000003</v>
      </c>
      <c r="CX57" s="239">
        <v>0</v>
      </c>
      <c r="CY57" s="239">
        <v>324280</v>
      </c>
      <c r="CZ57" s="239">
        <v>81070</v>
      </c>
      <c r="DA57" s="239">
        <v>0</v>
      </c>
      <c r="DB57" s="239">
        <v>-16237</v>
      </c>
      <c r="DC57" s="239">
        <v>-4059</v>
      </c>
      <c r="DD57" s="239">
        <v>0</v>
      </c>
      <c r="DE57" s="214">
        <v>0.5</v>
      </c>
      <c r="DF57" s="214">
        <v>0.4</v>
      </c>
      <c r="DG57" s="214">
        <v>0.1</v>
      </c>
      <c r="DH57" s="214">
        <v>0</v>
      </c>
      <c r="DI57" s="214" t="s">
        <v>1294</v>
      </c>
    </row>
    <row r="58" spans="2:113" s="214" customFormat="1" x14ac:dyDescent="0.2">
      <c r="B58" s="610" t="s">
        <v>199</v>
      </c>
      <c r="C58" s="610" t="s">
        <v>198</v>
      </c>
      <c r="D58" s="239">
        <v>-96541</v>
      </c>
      <c r="E58" s="239">
        <v>0</v>
      </c>
      <c r="F58" s="239">
        <v>-96541</v>
      </c>
      <c r="G58" s="239">
        <v>0</v>
      </c>
      <c r="H58" s="239">
        <v>0</v>
      </c>
      <c r="I58" s="239">
        <v>0</v>
      </c>
      <c r="J58" s="239">
        <v>-96541</v>
      </c>
      <c r="K58" s="239">
        <v>0</v>
      </c>
      <c r="L58" s="239">
        <v>-96541</v>
      </c>
      <c r="M58" s="239">
        <v>223387</v>
      </c>
      <c r="N58" s="239">
        <v>223387</v>
      </c>
      <c r="O58" s="239">
        <v>0</v>
      </c>
      <c r="P58" s="239">
        <v>0</v>
      </c>
      <c r="Q58" s="239">
        <v>0</v>
      </c>
      <c r="R58" s="239">
        <v>0</v>
      </c>
      <c r="S58" s="239">
        <v>285007</v>
      </c>
      <c r="T58" s="239">
        <v>271150</v>
      </c>
      <c r="U58" s="239">
        <v>94560</v>
      </c>
      <c r="V58" s="239">
        <v>1200000</v>
      </c>
      <c r="W58" s="239">
        <v>190447</v>
      </c>
      <c r="X58" s="239">
        <v>-928850</v>
      </c>
      <c r="Y58" s="239">
        <v>0</v>
      </c>
      <c r="Z58" s="239">
        <v>0</v>
      </c>
      <c r="AA58" s="239">
        <v>0</v>
      </c>
      <c r="AB58" s="239">
        <v>0</v>
      </c>
      <c r="AC58" s="239">
        <v>0</v>
      </c>
      <c r="AD58" s="239">
        <v>0</v>
      </c>
      <c r="AE58" s="239">
        <v>0</v>
      </c>
      <c r="AF58" s="239">
        <v>0</v>
      </c>
      <c r="AG58" s="239">
        <v>0</v>
      </c>
      <c r="AH58" s="239">
        <v>0</v>
      </c>
      <c r="AI58" s="239">
        <v>0</v>
      </c>
      <c r="AJ58" s="239">
        <v>0</v>
      </c>
      <c r="AK58" s="239">
        <v>496559.40416666667</v>
      </c>
      <c r="AL58" s="239">
        <v>124139.85104166667</v>
      </c>
      <c r="AM58" s="239">
        <v>0</v>
      </c>
      <c r="AN58" s="239">
        <v>429924</v>
      </c>
      <c r="AO58" s="239">
        <v>107482</v>
      </c>
      <c r="AP58" s="239">
        <v>0</v>
      </c>
      <c r="AQ58" s="239">
        <v>66635</v>
      </c>
      <c r="AR58" s="239">
        <v>16658</v>
      </c>
      <c r="AS58" s="239">
        <v>0</v>
      </c>
      <c r="AT58" s="239">
        <v>6382.1350000000002</v>
      </c>
      <c r="AU58" s="239">
        <v>1595.5337500000001</v>
      </c>
      <c r="AV58" s="239">
        <v>0</v>
      </c>
      <c r="AW58" s="239">
        <v>0</v>
      </c>
      <c r="AX58" s="239">
        <v>0</v>
      </c>
      <c r="AY58" s="239">
        <v>0</v>
      </c>
      <c r="AZ58" s="239">
        <v>6382</v>
      </c>
      <c r="BA58" s="239">
        <v>1596</v>
      </c>
      <c r="BB58" s="239">
        <v>0</v>
      </c>
      <c r="BC58" s="239">
        <v>0</v>
      </c>
      <c r="BD58" s="239">
        <v>0</v>
      </c>
      <c r="BE58" s="239">
        <v>0</v>
      </c>
      <c r="BF58" s="239">
        <v>0</v>
      </c>
      <c r="BG58" s="239">
        <v>0</v>
      </c>
      <c r="BH58" s="239">
        <v>0</v>
      </c>
      <c r="BI58" s="239">
        <v>0</v>
      </c>
      <c r="BJ58" s="239">
        <v>0</v>
      </c>
      <c r="BK58" s="239">
        <v>0</v>
      </c>
      <c r="BL58" s="239">
        <v>27815.816666666669</v>
      </c>
      <c r="BM58" s="239">
        <v>6953.9541666666673</v>
      </c>
      <c r="BN58" s="239">
        <v>0</v>
      </c>
      <c r="BO58" s="239">
        <v>1676</v>
      </c>
      <c r="BP58" s="239">
        <v>418</v>
      </c>
      <c r="BQ58" s="239">
        <v>0</v>
      </c>
      <c r="BR58" s="239">
        <v>26140</v>
      </c>
      <c r="BS58" s="239">
        <v>6536</v>
      </c>
      <c r="BT58" s="239">
        <v>0</v>
      </c>
      <c r="BU58" s="239">
        <v>343812.26</v>
      </c>
      <c r="BV58" s="239">
        <v>85953.065000000002</v>
      </c>
      <c r="BW58" s="239">
        <v>0</v>
      </c>
      <c r="BX58" s="239">
        <v>349247</v>
      </c>
      <c r="BY58" s="239">
        <v>87312</v>
      </c>
      <c r="BZ58" s="239">
        <v>0</v>
      </c>
      <c r="CA58" s="239">
        <v>-5435</v>
      </c>
      <c r="CB58" s="239">
        <v>-1359</v>
      </c>
      <c r="CC58" s="239">
        <v>0</v>
      </c>
      <c r="CD58" s="239">
        <v>0</v>
      </c>
      <c r="CE58" s="239">
        <v>0</v>
      </c>
      <c r="CF58" s="239">
        <v>0</v>
      </c>
      <c r="CG58" s="239">
        <v>0</v>
      </c>
      <c r="CH58" s="239">
        <v>0</v>
      </c>
      <c r="CI58" s="239">
        <v>0</v>
      </c>
      <c r="CJ58" s="239">
        <v>0</v>
      </c>
      <c r="CK58" s="239">
        <v>0</v>
      </c>
      <c r="CL58" s="239">
        <v>0</v>
      </c>
      <c r="CM58" s="239">
        <v>1098.5908333333334</v>
      </c>
      <c r="CN58" s="239">
        <v>274.64770833333336</v>
      </c>
      <c r="CO58" s="239">
        <v>0</v>
      </c>
      <c r="CP58" s="239">
        <v>0</v>
      </c>
      <c r="CQ58" s="239">
        <v>0</v>
      </c>
      <c r="CR58" s="239">
        <v>0</v>
      </c>
      <c r="CS58" s="239">
        <v>1099</v>
      </c>
      <c r="CT58" s="239">
        <v>275</v>
      </c>
      <c r="CU58" s="239">
        <v>0</v>
      </c>
      <c r="CV58" s="239">
        <v>431064.55291666673</v>
      </c>
      <c r="CW58" s="239">
        <v>110681.32104166668</v>
      </c>
      <c r="CX58" s="239">
        <v>0</v>
      </c>
      <c r="CY58" s="239">
        <v>429074</v>
      </c>
      <c r="CZ58" s="239">
        <v>124424</v>
      </c>
      <c r="DA58" s="239">
        <v>0</v>
      </c>
      <c r="DB58" s="239">
        <v>1991</v>
      </c>
      <c r="DC58" s="239">
        <v>-13743</v>
      </c>
      <c r="DD58" s="239">
        <v>0</v>
      </c>
      <c r="DE58" s="214">
        <v>0.5</v>
      </c>
      <c r="DF58" s="214">
        <v>0.4</v>
      </c>
      <c r="DG58" s="214">
        <v>0.1</v>
      </c>
      <c r="DH58" s="214">
        <v>0</v>
      </c>
      <c r="DI58" s="214" t="s">
        <v>1294</v>
      </c>
    </row>
    <row r="59" spans="2:113" s="214" customFormat="1" x14ac:dyDescent="0.2">
      <c r="B59" s="610" t="s">
        <v>201</v>
      </c>
      <c r="C59" s="610" t="s">
        <v>200</v>
      </c>
      <c r="D59" s="239">
        <v>-640285</v>
      </c>
      <c r="E59" s="239">
        <v>0</v>
      </c>
      <c r="F59" s="239">
        <v>-640285</v>
      </c>
      <c r="G59" s="239">
        <v>0</v>
      </c>
      <c r="H59" s="239">
        <v>0</v>
      </c>
      <c r="I59" s="239">
        <v>0</v>
      </c>
      <c r="J59" s="239">
        <v>-640285</v>
      </c>
      <c r="K59" s="239">
        <v>0</v>
      </c>
      <c r="L59" s="239">
        <v>-640285</v>
      </c>
      <c r="M59" s="239">
        <v>558893</v>
      </c>
      <c r="N59" s="239">
        <v>558893</v>
      </c>
      <c r="O59" s="239">
        <v>0</v>
      </c>
      <c r="P59" s="239">
        <v>0</v>
      </c>
      <c r="Q59" s="239">
        <v>0</v>
      </c>
      <c r="R59" s="239">
        <v>0</v>
      </c>
      <c r="S59" s="239">
        <v>5062</v>
      </c>
      <c r="T59" s="239">
        <v>0</v>
      </c>
      <c r="U59" s="239">
        <v>2174</v>
      </c>
      <c r="V59" s="239">
        <v>0</v>
      </c>
      <c r="W59" s="239">
        <v>2888</v>
      </c>
      <c r="X59" s="239">
        <v>0</v>
      </c>
      <c r="Y59" s="239">
        <v>0</v>
      </c>
      <c r="Z59" s="239">
        <v>0</v>
      </c>
      <c r="AA59" s="239">
        <v>0</v>
      </c>
      <c r="AB59" s="239">
        <v>0</v>
      </c>
      <c r="AC59" s="239">
        <v>0</v>
      </c>
      <c r="AD59" s="239">
        <v>0</v>
      </c>
      <c r="AE59" s="239">
        <v>0</v>
      </c>
      <c r="AF59" s="239">
        <v>0</v>
      </c>
      <c r="AG59" s="239">
        <v>0</v>
      </c>
      <c r="AH59" s="239">
        <v>0</v>
      </c>
      <c r="AI59" s="239">
        <v>0</v>
      </c>
      <c r="AJ59" s="239">
        <v>0</v>
      </c>
      <c r="AK59" s="239">
        <v>2271176.1879479163</v>
      </c>
      <c r="AL59" s="239">
        <v>0</v>
      </c>
      <c r="AM59" s="239">
        <v>46350.534447916667</v>
      </c>
      <c r="AN59" s="239">
        <v>2186445</v>
      </c>
      <c r="AO59" s="239">
        <v>0</v>
      </c>
      <c r="AP59" s="239">
        <v>44622</v>
      </c>
      <c r="AQ59" s="239">
        <v>84731</v>
      </c>
      <c r="AR59" s="239">
        <v>0</v>
      </c>
      <c r="AS59" s="239">
        <v>1729</v>
      </c>
      <c r="AT59" s="239">
        <v>24165.761812500001</v>
      </c>
      <c r="AU59" s="239">
        <v>0</v>
      </c>
      <c r="AV59" s="239">
        <v>493.17881250000005</v>
      </c>
      <c r="AW59" s="239">
        <v>9598</v>
      </c>
      <c r="AX59" s="239">
        <v>0</v>
      </c>
      <c r="AY59" s="239">
        <v>196</v>
      </c>
      <c r="AZ59" s="239">
        <v>14568</v>
      </c>
      <c r="BA59" s="239">
        <v>0</v>
      </c>
      <c r="BB59" s="239">
        <v>297</v>
      </c>
      <c r="BC59" s="239">
        <v>0</v>
      </c>
      <c r="BD59" s="239">
        <v>0</v>
      </c>
      <c r="BE59" s="239">
        <v>0</v>
      </c>
      <c r="BF59" s="239">
        <v>0</v>
      </c>
      <c r="BG59" s="239">
        <v>0</v>
      </c>
      <c r="BH59" s="239">
        <v>0</v>
      </c>
      <c r="BI59" s="239">
        <v>0</v>
      </c>
      <c r="BJ59" s="239">
        <v>0</v>
      </c>
      <c r="BK59" s="239">
        <v>0</v>
      </c>
      <c r="BL59" s="239">
        <v>54640.801395833339</v>
      </c>
      <c r="BM59" s="239">
        <v>0</v>
      </c>
      <c r="BN59" s="239">
        <v>1115.1183958333334</v>
      </c>
      <c r="BO59" s="239">
        <v>12059</v>
      </c>
      <c r="BP59" s="239">
        <v>0</v>
      </c>
      <c r="BQ59" s="239">
        <v>246</v>
      </c>
      <c r="BR59" s="239">
        <v>42582</v>
      </c>
      <c r="BS59" s="239">
        <v>0</v>
      </c>
      <c r="BT59" s="239">
        <v>869</v>
      </c>
      <c r="BU59" s="239">
        <v>1160470.1186458331</v>
      </c>
      <c r="BV59" s="239">
        <v>0</v>
      </c>
      <c r="BW59" s="239">
        <v>23683.063645833332</v>
      </c>
      <c r="BX59" s="239">
        <v>1140950</v>
      </c>
      <c r="BY59" s="239">
        <v>0</v>
      </c>
      <c r="BZ59" s="239">
        <v>23284</v>
      </c>
      <c r="CA59" s="239">
        <v>19520</v>
      </c>
      <c r="CB59" s="239">
        <v>0</v>
      </c>
      <c r="CC59" s="239">
        <v>399</v>
      </c>
      <c r="CD59" s="239">
        <v>0</v>
      </c>
      <c r="CE59" s="239">
        <v>0</v>
      </c>
      <c r="CF59" s="239">
        <v>0</v>
      </c>
      <c r="CG59" s="239">
        <v>0</v>
      </c>
      <c r="CH59" s="239">
        <v>0</v>
      </c>
      <c r="CI59" s="239">
        <v>0</v>
      </c>
      <c r="CJ59" s="239">
        <v>0</v>
      </c>
      <c r="CK59" s="239">
        <v>0</v>
      </c>
      <c r="CL59" s="239">
        <v>0</v>
      </c>
      <c r="CM59" s="239">
        <v>9349.8216874999998</v>
      </c>
      <c r="CN59" s="239">
        <v>0</v>
      </c>
      <c r="CO59" s="239">
        <v>190.81268750000001</v>
      </c>
      <c r="CP59" s="239">
        <v>0</v>
      </c>
      <c r="CQ59" s="239">
        <v>0</v>
      </c>
      <c r="CR59" s="239">
        <v>0</v>
      </c>
      <c r="CS59" s="239">
        <v>9350</v>
      </c>
      <c r="CT59" s="239">
        <v>0</v>
      </c>
      <c r="CU59" s="239">
        <v>191</v>
      </c>
      <c r="CV59" s="239">
        <v>934136.5658333333</v>
      </c>
      <c r="CW59" s="239">
        <v>0</v>
      </c>
      <c r="CX59" s="239">
        <v>19062.505000000001</v>
      </c>
      <c r="CY59" s="239">
        <v>996982</v>
      </c>
      <c r="CZ59" s="239">
        <v>0</v>
      </c>
      <c r="DA59" s="239">
        <v>20346</v>
      </c>
      <c r="DB59" s="239">
        <v>-62845</v>
      </c>
      <c r="DC59" s="239">
        <v>0</v>
      </c>
      <c r="DD59" s="239">
        <v>-1283</v>
      </c>
      <c r="DE59" s="214">
        <v>0.5</v>
      </c>
      <c r="DF59" s="214">
        <v>0.49</v>
      </c>
      <c r="DG59" s="214">
        <v>0</v>
      </c>
      <c r="DH59" s="214">
        <v>0.01</v>
      </c>
      <c r="DI59" s="214" t="s">
        <v>748</v>
      </c>
    </row>
    <row r="60" spans="2:113" s="214" customFormat="1" x14ac:dyDescent="0.2">
      <c r="B60" s="610" t="s">
        <v>203</v>
      </c>
      <c r="C60" s="610" t="s">
        <v>919</v>
      </c>
      <c r="D60" s="239">
        <v>-202175</v>
      </c>
      <c r="E60" s="239">
        <v>0</v>
      </c>
      <c r="F60" s="239">
        <v>-202175</v>
      </c>
      <c r="G60" s="239">
        <v>0</v>
      </c>
      <c r="H60" s="239">
        <v>0</v>
      </c>
      <c r="I60" s="239">
        <v>0</v>
      </c>
      <c r="J60" s="239">
        <v>-202175</v>
      </c>
      <c r="K60" s="239">
        <v>0</v>
      </c>
      <c r="L60" s="239">
        <v>-202175</v>
      </c>
      <c r="M60" s="239">
        <v>500025</v>
      </c>
      <c r="N60" s="239">
        <v>500025</v>
      </c>
      <c r="O60" s="239">
        <v>0</v>
      </c>
      <c r="P60" s="239">
        <v>0</v>
      </c>
      <c r="Q60" s="239">
        <v>0</v>
      </c>
      <c r="R60" s="239">
        <v>0</v>
      </c>
      <c r="S60" s="239">
        <v>0</v>
      </c>
      <c r="T60" s="239">
        <v>0</v>
      </c>
      <c r="U60" s="239">
        <v>0</v>
      </c>
      <c r="V60" s="239">
        <v>0</v>
      </c>
      <c r="W60" s="239">
        <v>0</v>
      </c>
      <c r="X60" s="239">
        <v>0</v>
      </c>
      <c r="Y60" s="239">
        <v>0</v>
      </c>
      <c r="Z60" s="239">
        <v>0</v>
      </c>
      <c r="AA60" s="239">
        <v>0</v>
      </c>
      <c r="AB60" s="239">
        <v>0</v>
      </c>
      <c r="AC60" s="239">
        <v>0</v>
      </c>
      <c r="AD60" s="239">
        <v>0</v>
      </c>
      <c r="AE60" s="239">
        <v>0</v>
      </c>
      <c r="AF60" s="239">
        <v>0</v>
      </c>
      <c r="AG60" s="239">
        <v>0</v>
      </c>
      <c r="AH60" s="239">
        <v>0</v>
      </c>
      <c r="AI60" s="239">
        <v>0</v>
      </c>
      <c r="AJ60" s="239">
        <v>0</v>
      </c>
      <c r="AK60" s="239">
        <v>1615608.3719270832</v>
      </c>
      <c r="AL60" s="239">
        <v>0</v>
      </c>
      <c r="AM60" s="239">
        <v>32971.599427083333</v>
      </c>
      <c r="AN60" s="239">
        <v>1552338</v>
      </c>
      <c r="AO60" s="239">
        <v>0</v>
      </c>
      <c r="AP60" s="239">
        <v>31680</v>
      </c>
      <c r="AQ60" s="239">
        <v>63270</v>
      </c>
      <c r="AR60" s="239">
        <v>0</v>
      </c>
      <c r="AS60" s="239">
        <v>1292</v>
      </c>
      <c r="AT60" s="239">
        <v>8425.6275833333348</v>
      </c>
      <c r="AU60" s="239">
        <v>0</v>
      </c>
      <c r="AV60" s="239">
        <v>171.95158333333336</v>
      </c>
      <c r="AW60" s="239">
        <v>2486</v>
      </c>
      <c r="AX60" s="239">
        <v>0</v>
      </c>
      <c r="AY60" s="239">
        <v>50</v>
      </c>
      <c r="AZ60" s="239">
        <v>5940</v>
      </c>
      <c r="BA60" s="239">
        <v>0</v>
      </c>
      <c r="BB60" s="239">
        <v>122</v>
      </c>
      <c r="BC60" s="239">
        <v>285.36170833333381</v>
      </c>
      <c r="BD60" s="239">
        <v>0</v>
      </c>
      <c r="BE60" s="239">
        <v>5.823708333333343</v>
      </c>
      <c r="BF60" s="239">
        <v>19886</v>
      </c>
      <c r="BG60" s="239">
        <v>0</v>
      </c>
      <c r="BH60" s="239">
        <v>406</v>
      </c>
      <c r="BI60" s="239">
        <v>-19601</v>
      </c>
      <c r="BJ60" s="239">
        <v>0</v>
      </c>
      <c r="BK60" s="239">
        <v>-400</v>
      </c>
      <c r="BL60" s="239">
        <v>50016.847999999998</v>
      </c>
      <c r="BM60" s="239">
        <v>0</v>
      </c>
      <c r="BN60" s="239">
        <v>1020.752</v>
      </c>
      <c r="BO60" s="239">
        <v>149144</v>
      </c>
      <c r="BP60" s="239">
        <v>0</v>
      </c>
      <c r="BQ60" s="239">
        <v>3044</v>
      </c>
      <c r="BR60" s="239">
        <v>-99127</v>
      </c>
      <c r="BS60" s="239">
        <v>0</v>
      </c>
      <c r="BT60" s="239">
        <v>-2023</v>
      </c>
      <c r="BU60" s="239">
        <v>985030.83408333338</v>
      </c>
      <c r="BV60" s="239">
        <v>0</v>
      </c>
      <c r="BW60" s="239">
        <v>20102.670083333334</v>
      </c>
      <c r="BX60" s="239">
        <v>994291</v>
      </c>
      <c r="BY60" s="239">
        <v>0</v>
      </c>
      <c r="BZ60" s="239">
        <v>20292</v>
      </c>
      <c r="CA60" s="239">
        <v>-9260</v>
      </c>
      <c r="CB60" s="239">
        <v>0</v>
      </c>
      <c r="CC60" s="239">
        <v>-189</v>
      </c>
      <c r="CD60" s="239">
        <v>0</v>
      </c>
      <c r="CE60" s="239">
        <v>0</v>
      </c>
      <c r="CF60" s="239">
        <v>0</v>
      </c>
      <c r="CG60" s="239">
        <v>0</v>
      </c>
      <c r="CH60" s="239">
        <v>0</v>
      </c>
      <c r="CI60" s="239">
        <v>0</v>
      </c>
      <c r="CJ60" s="239">
        <v>0</v>
      </c>
      <c r="CK60" s="239">
        <v>0</v>
      </c>
      <c r="CL60" s="239">
        <v>0</v>
      </c>
      <c r="CM60" s="239">
        <v>9557.6286458333325</v>
      </c>
      <c r="CN60" s="239">
        <v>0</v>
      </c>
      <c r="CO60" s="239">
        <v>195.05364583333332</v>
      </c>
      <c r="CP60" s="239">
        <v>0</v>
      </c>
      <c r="CQ60" s="239">
        <v>0</v>
      </c>
      <c r="CR60" s="239">
        <v>0</v>
      </c>
      <c r="CS60" s="239">
        <v>9558</v>
      </c>
      <c r="CT60" s="239">
        <v>0</v>
      </c>
      <c r="CU60" s="239">
        <v>195</v>
      </c>
      <c r="CV60" s="239">
        <v>1097237.1846041668</v>
      </c>
      <c r="CW60" s="239">
        <v>0</v>
      </c>
      <c r="CX60" s="239">
        <v>22392.595604166669</v>
      </c>
      <c r="CY60" s="239">
        <v>1084056</v>
      </c>
      <c r="CZ60" s="239">
        <v>0</v>
      </c>
      <c r="DA60" s="239">
        <v>22124</v>
      </c>
      <c r="DB60" s="239">
        <v>13181</v>
      </c>
      <c r="DC60" s="239">
        <v>0</v>
      </c>
      <c r="DD60" s="239">
        <v>269</v>
      </c>
      <c r="DE60" s="214">
        <v>0.5</v>
      </c>
      <c r="DF60" s="214">
        <v>0.49</v>
      </c>
      <c r="DG60" s="214">
        <v>0</v>
      </c>
      <c r="DH60" s="214">
        <v>0.01</v>
      </c>
      <c r="DI60" s="214" t="s">
        <v>748</v>
      </c>
    </row>
    <row r="61" spans="2:113" s="214" customFormat="1" x14ac:dyDescent="0.2">
      <c r="B61" s="610" t="s">
        <v>205</v>
      </c>
      <c r="C61" s="610" t="s">
        <v>204</v>
      </c>
      <c r="D61" s="239">
        <v>-512365</v>
      </c>
      <c r="E61" s="239">
        <v>0</v>
      </c>
      <c r="F61" s="239">
        <v>-512365</v>
      </c>
      <c r="G61" s="239">
        <v>0</v>
      </c>
      <c r="H61" s="239">
        <v>0</v>
      </c>
      <c r="I61" s="239">
        <v>0</v>
      </c>
      <c r="J61" s="239">
        <v>-512365</v>
      </c>
      <c r="K61" s="239">
        <v>0</v>
      </c>
      <c r="L61" s="239">
        <v>-512365</v>
      </c>
      <c r="M61" s="239">
        <v>164495</v>
      </c>
      <c r="N61" s="239">
        <v>164495</v>
      </c>
      <c r="O61" s="239">
        <v>0</v>
      </c>
      <c r="P61" s="239">
        <v>38008</v>
      </c>
      <c r="Q61" s="239">
        <v>231563</v>
      </c>
      <c r="R61" s="239">
        <v>-193555</v>
      </c>
      <c r="S61" s="239">
        <v>0</v>
      </c>
      <c r="T61" s="239">
        <v>0</v>
      </c>
      <c r="U61" s="239">
        <v>3856</v>
      </c>
      <c r="V61" s="239">
        <v>0</v>
      </c>
      <c r="W61" s="239">
        <v>-3856</v>
      </c>
      <c r="X61" s="239">
        <v>0</v>
      </c>
      <c r="Y61" s="239">
        <v>0</v>
      </c>
      <c r="Z61" s="239">
        <v>0</v>
      </c>
      <c r="AA61" s="239">
        <v>0</v>
      </c>
      <c r="AB61" s="239">
        <v>0</v>
      </c>
      <c r="AC61" s="239">
        <v>0</v>
      </c>
      <c r="AD61" s="239">
        <v>0</v>
      </c>
      <c r="AE61" s="239">
        <v>0</v>
      </c>
      <c r="AF61" s="239">
        <v>0</v>
      </c>
      <c r="AG61" s="239">
        <v>0</v>
      </c>
      <c r="AH61" s="239">
        <v>0</v>
      </c>
      <c r="AI61" s="239">
        <v>0</v>
      </c>
      <c r="AJ61" s="239">
        <v>0</v>
      </c>
      <c r="AK61" s="239">
        <v>596074.20166666666</v>
      </c>
      <c r="AL61" s="239">
        <v>134116.69537500001</v>
      </c>
      <c r="AM61" s="239">
        <v>14901.855041666669</v>
      </c>
      <c r="AN61" s="239">
        <v>548494</v>
      </c>
      <c r="AO61" s="239">
        <v>123412</v>
      </c>
      <c r="AP61" s="239">
        <v>13712</v>
      </c>
      <c r="AQ61" s="239">
        <v>47580</v>
      </c>
      <c r="AR61" s="239">
        <v>10705</v>
      </c>
      <c r="AS61" s="239">
        <v>1190</v>
      </c>
      <c r="AT61" s="239">
        <v>3200.8075000000003</v>
      </c>
      <c r="AU61" s="239">
        <v>720.18168749999995</v>
      </c>
      <c r="AV61" s="239">
        <v>80.020187500000006</v>
      </c>
      <c r="AW61" s="239">
        <v>1162</v>
      </c>
      <c r="AX61" s="239">
        <v>262</v>
      </c>
      <c r="AY61" s="239">
        <v>30</v>
      </c>
      <c r="AZ61" s="239">
        <v>2039</v>
      </c>
      <c r="BA61" s="239">
        <v>458</v>
      </c>
      <c r="BB61" s="239">
        <v>50</v>
      </c>
      <c r="BC61" s="239">
        <v>0</v>
      </c>
      <c r="BD61" s="239">
        <v>0</v>
      </c>
      <c r="BE61" s="239">
        <v>0</v>
      </c>
      <c r="BF61" s="239">
        <v>0</v>
      </c>
      <c r="BG61" s="239">
        <v>0</v>
      </c>
      <c r="BH61" s="239">
        <v>0</v>
      </c>
      <c r="BI61" s="239">
        <v>0</v>
      </c>
      <c r="BJ61" s="239">
        <v>0</v>
      </c>
      <c r="BK61" s="239">
        <v>0</v>
      </c>
      <c r="BL61" s="239">
        <v>12644.955000000002</v>
      </c>
      <c r="BM61" s="239">
        <v>2845.1148749999998</v>
      </c>
      <c r="BN61" s="239">
        <v>316.123875</v>
      </c>
      <c r="BO61" s="239">
        <v>0</v>
      </c>
      <c r="BP61" s="239">
        <v>0</v>
      </c>
      <c r="BQ61" s="239">
        <v>0</v>
      </c>
      <c r="BR61" s="239">
        <v>12645</v>
      </c>
      <c r="BS61" s="239">
        <v>2845</v>
      </c>
      <c r="BT61" s="239">
        <v>316</v>
      </c>
      <c r="BU61" s="239">
        <v>295270.53500000003</v>
      </c>
      <c r="BV61" s="239">
        <v>66435.870374999999</v>
      </c>
      <c r="BW61" s="239">
        <v>7381.7633750000005</v>
      </c>
      <c r="BX61" s="239">
        <v>301241</v>
      </c>
      <c r="BY61" s="239">
        <v>67780</v>
      </c>
      <c r="BZ61" s="239">
        <v>7532</v>
      </c>
      <c r="CA61" s="239">
        <v>-5970</v>
      </c>
      <c r="CB61" s="239">
        <v>-1344</v>
      </c>
      <c r="CC61" s="239">
        <v>-150</v>
      </c>
      <c r="CD61" s="239">
        <v>0</v>
      </c>
      <c r="CE61" s="239">
        <v>0</v>
      </c>
      <c r="CF61" s="239">
        <v>0</v>
      </c>
      <c r="CG61" s="239">
        <v>0</v>
      </c>
      <c r="CH61" s="239">
        <v>0</v>
      </c>
      <c r="CI61" s="239">
        <v>0</v>
      </c>
      <c r="CJ61" s="239">
        <v>0</v>
      </c>
      <c r="CK61" s="239">
        <v>0</v>
      </c>
      <c r="CL61" s="239">
        <v>0</v>
      </c>
      <c r="CM61" s="239">
        <v>4158.9800000000005</v>
      </c>
      <c r="CN61" s="239">
        <v>935.77050000000008</v>
      </c>
      <c r="CO61" s="239">
        <v>103.97450000000001</v>
      </c>
      <c r="CP61" s="239">
        <v>0</v>
      </c>
      <c r="CQ61" s="239">
        <v>0</v>
      </c>
      <c r="CR61" s="239">
        <v>0</v>
      </c>
      <c r="CS61" s="239">
        <v>4159</v>
      </c>
      <c r="CT61" s="239">
        <v>936</v>
      </c>
      <c r="CU61" s="239">
        <v>104</v>
      </c>
      <c r="CV61" s="239">
        <v>201027.76750000002</v>
      </c>
      <c r="CW61" s="239">
        <v>45106.533937499997</v>
      </c>
      <c r="CX61" s="239">
        <v>5011.8371041666669</v>
      </c>
      <c r="CY61" s="239">
        <v>217117</v>
      </c>
      <c r="CZ61" s="239">
        <v>48079</v>
      </c>
      <c r="DA61" s="239">
        <v>5342</v>
      </c>
      <c r="DB61" s="239">
        <v>-16089</v>
      </c>
      <c r="DC61" s="239">
        <v>-2972</v>
      </c>
      <c r="DD61" s="239">
        <v>-330</v>
      </c>
      <c r="DE61" s="214">
        <v>0.5</v>
      </c>
      <c r="DF61" s="214">
        <v>0.4</v>
      </c>
      <c r="DG61" s="214">
        <v>0.09</v>
      </c>
      <c r="DH61" s="214">
        <v>0.01</v>
      </c>
      <c r="DI61" s="214" t="s">
        <v>1294</v>
      </c>
    </row>
    <row r="62" spans="2:113" s="214" customFormat="1" x14ac:dyDescent="0.2">
      <c r="B62" s="610" t="s">
        <v>207</v>
      </c>
      <c r="C62" s="610" t="s">
        <v>206</v>
      </c>
      <c r="D62" s="239">
        <v>-55487</v>
      </c>
      <c r="E62" s="239">
        <v>0</v>
      </c>
      <c r="F62" s="239">
        <v>-55487</v>
      </c>
      <c r="G62" s="239">
        <v>0</v>
      </c>
      <c r="H62" s="239">
        <v>0</v>
      </c>
      <c r="I62" s="239">
        <v>0</v>
      </c>
      <c r="J62" s="239">
        <v>-55487</v>
      </c>
      <c r="K62" s="239">
        <v>0</v>
      </c>
      <c r="L62" s="239">
        <v>-55487</v>
      </c>
      <c r="M62" s="239">
        <v>197722</v>
      </c>
      <c r="N62" s="239">
        <v>197722</v>
      </c>
      <c r="O62" s="239">
        <v>0</v>
      </c>
      <c r="P62" s="239">
        <v>0</v>
      </c>
      <c r="Q62" s="239">
        <v>0</v>
      </c>
      <c r="R62" s="239">
        <v>0</v>
      </c>
      <c r="S62" s="239">
        <v>104897</v>
      </c>
      <c r="T62" s="239">
        <v>9343</v>
      </c>
      <c r="U62" s="239">
        <v>0</v>
      </c>
      <c r="V62" s="239">
        <v>0</v>
      </c>
      <c r="W62" s="239">
        <v>104897</v>
      </c>
      <c r="X62" s="239">
        <v>9343</v>
      </c>
      <c r="Y62" s="239">
        <v>0</v>
      </c>
      <c r="Z62" s="239">
        <v>0</v>
      </c>
      <c r="AA62" s="239">
        <v>0</v>
      </c>
      <c r="AB62" s="239">
        <v>0</v>
      </c>
      <c r="AC62" s="239">
        <v>0</v>
      </c>
      <c r="AD62" s="239">
        <v>0</v>
      </c>
      <c r="AE62" s="239">
        <v>0</v>
      </c>
      <c r="AF62" s="239">
        <v>0</v>
      </c>
      <c r="AG62" s="239">
        <v>0</v>
      </c>
      <c r="AH62" s="239">
        <v>0</v>
      </c>
      <c r="AI62" s="239">
        <v>0</v>
      </c>
      <c r="AJ62" s="239">
        <v>0</v>
      </c>
      <c r="AK62" s="239">
        <v>675974.26249999995</v>
      </c>
      <c r="AL62" s="239">
        <v>168993.56562499999</v>
      </c>
      <c r="AM62" s="239">
        <v>0</v>
      </c>
      <c r="AN62" s="239">
        <v>633499</v>
      </c>
      <c r="AO62" s="239">
        <v>158374</v>
      </c>
      <c r="AP62" s="239">
        <v>0</v>
      </c>
      <c r="AQ62" s="239">
        <v>42475</v>
      </c>
      <c r="AR62" s="239">
        <v>10620</v>
      </c>
      <c r="AS62" s="239">
        <v>0</v>
      </c>
      <c r="AT62" s="239">
        <v>6533.916666666667</v>
      </c>
      <c r="AU62" s="239">
        <v>1633.4791666666667</v>
      </c>
      <c r="AV62" s="239">
        <v>0</v>
      </c>
      <c r="AW62" s="239">
        <v>6915</v>
      </c>
      <c r="AX62" s="239">
        <v>1730</v>
      </c>
      <c r="AY62" s="239">
        <v>0</v>
      </c>
      <c r="AZ62" s="239">
        <v>-381</v>
      </c>
      <c r="BA62" s="239">
        <v>-97</v>
      </c>
      <c r="BB62" s="239">
        <v>0</v>
      </c>
      <c r="BC62" s="239">
        <v>0</v>
      </c>
      <c r="BD62" s="239">
        <v>0</v>
      </c>
      <c r="BE62" s="239">
        <v>0</v>
      </c>
      <c r="BF62" s="239">
        <v>4059</v>
      </c>
      <c r="BG62" s="239">
        <v>1014</v>
      </c>
      <c r="BH62" s="239">
        <v>0</v>
      </c>
      <c r="BI62" s="239">
        <v>-4059</v>
      </c>
      <c r="BJ62" s="239">
        <v>-1014</v>
      </c>
      <c r="BK62" s="239">
        <v>0</v>
      </c>
      <c r="BL62" s="239">
        <v>3155.76</v>
      </c>
      <c r="BM62" s="239">
        <v>788.94</v>
      </c>
      <c r="BN62" s="239">
        <v>0</v>
      </c>
      <c r="BO62" s="239">
        <v>20291</v>
      </c>
      <c r="BP62" s="239">
        <v>5074</v>
      </c>
      <c r="BQ62" s="239">
        <v>0</v>
      </c>
      <c r="BR62" s="239">
        <v>-17135</v>
      </c>
      <c r="BS62" s="239">
        <v>-4285</v>
      </c>
      <c r="BT62" s="239">
        <v>0</v>
      </c>
      <c r="BU62" s="239">
        <v>322568.91416666668</v>
      </c>
      <c r="BV62" s="239">
        <v>80642.228541666671</v>
      </c>
      <c r="BW62" s="239">
        <v>0</v>
      </c>
      <c r="BX62" s="239">
        <v>292200</v>
      </c>
      <c r="BY62" s="239">
        <v>73050</v>
      </c>
      <c r="BZ62" s="239">
        <v>0</v>
      </c>
      <c r="CA62" s="239">
        <v>30369</v>
      </c>
      <c r="CB62" s="239">
        <v>7592</v>
      </c>
      <c r="CC62" s="239">
        <v>0</v>
      </c>
      <c r="CD62" s="239">
        <v>0</v>
      </c>
      <c r="CE62" s="239">
        <v>0</v>
      </c>
      <c r="CF62" s="239">
        <v>0</v>
      </c>
      <c r="CG62" s="239">
        <v>0</v>
      </c>
      <c r="CH62" s="239">
        <v>0</v>
      </c>
      <c r="CI62" s="239">
        <v>0</v>
      </c>
      <c r="CJ62" s="239">
        <v>0</v>
      </c>
      <c r="CK62" s="239">
        <v>0</v>
      </c>
      <c r="CL62" s="239">
        <v>0</v>
      </c>
      <c r="CM62" s="239">
        <v>1429.7508333333335</v>
      </c>
      <c r="CN62" s="239">
        <v>357.43770833333338</v>
      </c>
      <c r="CO62" s="239">
        <v>0</v>
      </c>
      <c r="CP62" s="239">
        <v>0</v>
      </c>
      <c r="CQ62" s="239">
        <v>0</v>
      </c>
      <c r="CR62" s="239">
        <v>0</v>
      </c>
      <c r="CS62" s="239">
        <v>1430</v>
      </c>
      <c r="CT62" s="239">
        <v>357</v>
      </c>
      <c r="CU62" s="239">
        <v>0</v>
      </c>
      <c r="CV62" s="239">
        <v>252644.51041666666</v>
      </c>
      <c r="CW62" s="239">
        <v>62914.942708333336</v>
      </c>
      <c r="CX62" s="239">
        <v>0</v>
      </c>
      <c r="CY62" s="239">
        <v>255464</v>
      </c>
      <c r="CZ62" s="239">
        <v>63866</v>
      </c>
      <c r="DA62" s="239">
        <v>0</v>
      </c>
      <c r="DB62" s="239">
        <v>-2819</v>
      </c>
      <c r="DC62" s="239">
        <v>-951</v>
      </c>
      <c r="DD62" s="239">
        <v>0</v>
      </c>
      <c r="DE62" s="214">
        <v>0.5</v>
      </c>
      <c r="DF62" s="214">
        <v>0.4</v>
      </c>
      <c r="DG62" s="214">
        <v>0.1</v>
      </c>
      <c r="DH62" s="214">
        <v>0</v>
      </c>
      <c r="DI62" s="214" t="s">
        <v>1294</v>
      </c>
    </row>
    <row r="63" spans="2:113" s="214" customFormat="1" x14ac:dyDescent="0.2">
      <c r="B63" s="610" t="s">
        <v>209</v>
      </c>
      <c r="C63" s="610" t="s">
        <v>208</v>
      </c>
      <c r="D63" s="239">
        <v>-4073</v>
      </c>
      <c r="E63" s="239">
        <v>0</v>
      </c>
      <c r="F63" s="239">
        <v>-4073</v>
      </c>
      <c r="G63" s="239">
        <v>0</v>
      </c>
      <c r="H63" s="239">
        <v>0</v>
      </c>
      <c r="I63" s="239">
        <v>0</v>
      </c>
      <c r="J63" s="239">
        <v>-4073</v>
      </c>
      <c r="K63" s="239">
        <v>0</v>
      </c>
      <c r="L63" s="239">
        <v>-4073</v>
      </c>
      <c r="M63" s="239">
        <v>115526</v>
      </c>
      <c r="N63" s="239">
        <v>115526</v>
      </c>
      <c r="O63" s="239">
        <v>0</v>
      </c>
      <c r="P63" s="239">
        <v>0</v>
      </c>
      <c r="Q63" s="239">
        <v>0</v>
      </c>
      <c r="R63" s="239">
        <v>0</v>
      </c>
      <c r="S63" s="239">
        <v>0</v>
      </c>
      <c r="T63" s="239">
        <v>0</v>
      </c>
      <c r="U63" s="239">
        <v>0</v>
      </c>
      <c r="V63" s="239">
        <v>0</v>
      </c>
      <c r="W63" s="239">
        <v>0</v>
      </c>
      <c r="X63" s="239">
        <v>0</v>
      </c>
      <c r="Y63" s="239">
        <v>0</v>
      </c>
      <c r="Z63" s="239">
        <v>0</v>
      </c>
      <c r="AA63" s="239">
        <v>0</v>
      </c>
      <c r="AB63" s="239">
        <v>0</v>
      </c>
      <c r="AC63" s="239">
        <v>0</v>
      </c>
      <c r="AD63" s="239">
        <v>0</v>
      </c>
      <c r="AE63" s="239">
        <v>0</v>
      </c>
      <c r="AF63" s="239">
        <v>0</v>
      </c>
      <c r="AG63" s="239">
        <v>0</v>
      </c>
      <c r="AH63" s="239">
        <v>0</v>
      </c>
      <c r="AI63" s="239">
        <v>0</v>
      </c>
      <c r="AJ63" s="239">
        <v>0</v>
      </c>
      <c r="AK63" s="239">
        <v>311515.8404166667</v>
      </c>
      <c r="AL63" s="239">
        <v>70091.064093749999</v>
      </c>
      <c r="AM63" s="239">
        <v>7787.8960104166672</v>
      </c>
      <c r="AN63" s="239">
        <v>296668</v>
      </c>
      <c r="AO63" s="239">
        <v>66750</v>
      </c>
      <c r="AP63" s="239">
        <v>7416</v>
      </c>
      <c r="AQ63" s="239">
        <v>14848</v>
      </c>
      <c r="AR63" s="239">
        <v>3341</v>
      </c>
      <c r="AS63" s="239">
        <v>372</v>
      </c>
      <c r="AT63" s="239">
        <v>0</v>
      </c>
      <c r="AU63" s="239">
        <v>0</v>
      </c>
      <c r="AV63" s="239">
        <v>0</v>
      </c>
      <c r="AW63" s="239">
        <v>0</v>
      </c>
      <c r="AX63" s="239">
        <v>0</v>
      </c>
      <c r="AY63" s="239">
        <v>0</v>
      </c>
      <c r="AZ63" s="239">
        <v>0</v>
      </c>
      <c r="BA63" s="239">
        <v>0</v>
      </c>
      <c r="BB63" s="239">
        <v>0</v>
      </c>
      <c r="BC63" s="239">
        <v>0</v>
      </c>
      <c r="BD63" s="239">
        <v>0</v>
      </c>
      <c r="BE63" s="239">
        <v>0</v>
      </c>
      <c r="BF63" s="239">
        <v>0</v>
      </c>
      <c r="BG63" s="239">
        <v>0</v>
      </c>
      <c r="BH63" s="239">
        <v>0</v>
      </c>
      <c r="BI63" s="239">
        <v>0</v>
      </c>
      <c r="BJ63" s="239">
        <v>0</v>
      </c>
      <c r="BK63" s="239">
        <v>0</v>
      </c>
      <c r="BL63" s="239">
        <v>1521.875</v>
      </c>
      <c r="BM63" s="239">
        <v>342.421875</v>
      </c>
      <c r="BN63" s="239">
        <v>38.046875</v>
      </c>
      <c r="BO63" s="239">
        <v>0</v>
      </c>
      <c r="BP63" s="239">
        <v>0</v>
      </c>
      <c r="BQ63" s="239">
        <v>0</v>
      </c>
      <c r="BR63" s="239">
        <v>1522</v>
      </c>
      <c r="BS63" s="239">
        <v>342</v>
      </c>
      <c r="BT63" s="239">
        <v>38</v>
      </c>
      <c r="BU63" s="239">
        <v>217908.55583333335</v>
      </c>
      <c r="BV63" s="239">
        <v>49029.425062499999</v>
      </c>
      <c r="BW63" s="239">
        <v>5447.7138958333335</v>
      </c>
      <c r="BX63" s="239">
        <v>211952</v>
      </c>
      <c r="BY63" s="239">
        <v>47690</v>
      </c>
      <c r="BZ63" s="239">
        <v>5298</v>
      </c>
      <c r="CA63" s="239">
        <v>5957</v>
      </c>
      <c r="CB63" s="239">
        <v>1339</v>
      </c>
      <c r="CC63" s="239">
        <v>150</v>
      </c>
      <c r="CD63" s="239">
        <v>-250.80500000000004</v>
      </c>
      <c r="CE63" s="239">
        <v>-56.431125000000002</v>
      </c>
      <c r="CF63" s="239">
        <v>-6.2701250000000002</v>
      </c>
      <c r="CG63" s="239">
        <v>0</v>
      </c>
      <c r="CH63" s="239">
        <v>0</v>
      </c>
      <c r="CI63" s="239">
        <v>0</v>
      </c>
      <c r="CJ63" s="239">
        <v>-251</v>
      </c>
      <c r="CK63" s="239">
        <v>-56</v>
      </c>
      <c r="CL63" s="239">
        <v>-6</v>
      </c>
      <c r="CM63" s="239">
        <v>784.47583333333341</v>
      </c>
      <c r="CN63" s="239">
        <v>176.50706249999999</v>
      </c>
      <c r="CO63" s="239">
        <v>19.611895833333332</v>
      </c>
      <c r="CP63" s="239">
        <v>0</v>
      </c>
      <c r="CQ63" s="239">
        <v>0</v>
      </c>
      <c r="CR63" s="239">
        <v>0</v>
      </c>
      <c r="CS63" s="239">
        <v>784</v>
      </c>
      <c r="CT63" s="239">
        <v>177</v>
      </c>
      <c r="CU63" s="239">
        <v>20</v>
      </c>
      <c r="CV63" s="239">
        <v>112296.69500000002</v>
      </c>
      <c r="CW63" s="239">
        <v>25266.756374999997</v>
      </c>
      <c r="CX63" s="239">
        <v>2807.4173749999995</v>
      </c>
      <c r="CY63" s="239">
        <v>123320</v>
      </c>
      <c r="CZ63" s="239">
        <v>27747</v>
      </c>
      <c r="DA63" s="239">
        <v>3083</v>
      </c>
      <c r="DB63" s="239">
        <v>-11023</v>
      </c>
      <c r="DC63" s="239">
        <v>-2480</v>
      </c>
      <c r="DD63" s="239">
        <v>-276</v>
      </c>
      <c r="DE63" s="214">
        <v>0.5</v>
      </c>
      <c r="DF63" s="214">
        <v>0.4</v>
      </c>
      <c r="DG63" s="214">
        <v>0.09</v>
      </c>
      <c r="DH63" s="214">
        <v>0.01</v>
      </c>
      <c r="DI63" s="214" t="s">
        <v>1294</v>
      </c>
    </row>
    <row r="64" spans="2:113" s="214" customFormat="1" x14ac:dyDescent="0.2">
      <c r="B64" s="610" t="s">
        <v>211</v>
      </c>
      <c r="C64" s="610" t="s">
        <v>210</v>
      </c>
      <c r="D64" s="239">
        <v>-90780</v>
      </c>
      <c r="E64" s="239">
        <v>0</v>
      </c>
      <c r="F64" s="239">
        <v>-90780</v>
      </c>
      <c r="G64" s="239">
        <v>0</v>
      </c>
      <c r="H64" s="239">
        <v>0</v>
      </c>
      <c r="I64" s="239">
        <v>0</v>
      </c>
      <c r="J64" s="239">
        <v>-90780</v>
      </c>
      <c r="K64" s="239">
        <v>0</v>
      </c>
      <c r="L64" s="239">
        <v>-90780</v>
      </c>
      <c r="M64" s="239">
        <v>133997</v>
      </c>
      <c r="N64" s="239">
        <v>133997</v>
      </c>
      <c r="O64" s="239">
        <v>0</v>
      </c>
      <c r="P64" s="239">
        <v>0</v>
      </c>
      <c r="Q64" s="239">
        <v>0</v>
      </c>
      <c r="R64" s="239">
        <v>0</v>
      </c>
      <c r="S64" s="239">
        <v>0</v>
      </c>
      <c r="T64" s="239">
        <v>0</v>
      </c>
      <c r="U64" s="239">
        <v>0</v>
      </c>
      <c r="V64" s="239">
        <v>0</v>
      </c>
      <c r="W64" s="239">
        <v>0</v>
      </c>
      <c r="X64" s="239">
        <v>0</v>
      </c>
      <c r="Y64" s="239">
        <v>0</v>
      </c>
      <c r="Z64" s="239">
        <v>0</v>
      </c>
      <c r="AA64" s="239">
        <v>0</v>
      </c>
      <c r="AB64" s="239">
        <v>0</v>
      </c>
      <c r="AC64" s="239">
        <v>0</v>
      </c>
      <c r="AD64" s="239">
        <v>0</v>
      </c>
      <c r="AE64" s="239">
        <v>0</v>
      </c>
      <c r="AF64" s="239">
        <v>0</v>
      </c>
      <c r="AG64" s="239">
        <v>0</v>
      </c>
      <c r="AH64" s="239">
        <v>0</v>
      </c>
      <c r="AI64" s="239">
        <v>0</v>
      </c>
      <c r="AJ64" s="239">
        <v>0</v>
      </c>
      <c r="AK64" s="239">
        <v>526742.24375000002</v>
      </c>
      <c r="AL64" s="239">
        <v>118517.00484374998</v>
      </c>
      <c r="AM64" s="239">
        <v>13168.556093749999</v>
      </c>
      <c r="AN64" s="239">
        <v>495004</v>
      </c>
      <c r="AO64" s="239">
        <v>111376</v>
      </c>
      <c r="AP64" s="239">
        <v>12376</v>
      </c>
      <c r="AQ64" s="239">
        <v>31738</v>
      </c>
      <c r="AR64" s="239">
        <v>7141</v>
      </c>
      <c r="AS64" s="239">
        <v>793</v>
      </c>
      <c r="AT64" s="239">
        <v>-259.73333333333335</v>
      </c>
      <c r="AU64" s="239">
        <v>-58.44</v>
      </c>
      <c r="AV64" s="239">
        <v>-6.4933333333333341</v>
      </c>
      <c r="AW64" s="239">
        <v>646</v>
      </c>
      <c r="AX64" s="239">
        <v>146</v>
      </c>
      <c r="AY64" s="239">
        <v>16</v>
      </c>
      <c r="AZ64" s="239">
        <v>-906</v>
      </c>
      <c r="BA64" s="239">
        <v>-204</v>
      </c>
      <c r="BB64" s="239">
        <v>-22</v>
      </c>
      <c r="BC64" s="239">
        <v>0</v>
      </c>
      <c r="BD64" s="239">
        <v>0</v>
      </c>
      <c r="BE64" s="239">
        <v>0</v>
      </c>
      <c r="BF64" s="239">
        <v>3303</v>
      </c>
      <c r="BG64" s="239">
        <v>742</v>
      </c>
      <c r="BH64" s="239">
        <v>82</v>
      </c>
      <c r="BI64" s="239">
        <v>-3303</v>
      </c>
      <c r="BJ64" s="239">
        <v>-742</v>
      </c>
      <c r="BK64" s="239">
        <v>-82</v>
      </c>
      <c r="BL64" s="239">
        <v>3947.1349999999998</v>
      </c>
      <c r="BM64" s="239">
        <v>888.10537499999998</v>
      </c>
      <c r="BN64" s="239">
        <v>98.678375000000003</v>
      </c>
      <c r="BO64" s="239">
        <v>9029</v>
      </c>
      <c r="BP64" s="239">
        <v>2032</v>
      </c>
      <c r="BQ64" s="239">
        <v>226</v>
      </c>
      <c r="BR64" s="239">
        <v>-5082</v>
      </c>
      <c r="BS64" s="239">
        <v>-1144</v>
      </c>
      <c r="BT64" s="239">
        <v>-127</v>
      </c>
      <c r="BU64" s="239">
        <v>179659.98166666666</v>
      </c>
      <c r="BV64" s="239">
        <v>40423.495875000001</v>
      </c>
      <c r="BW64" s="239">
        <v>4491.499541666667</v>
      </c>
      <c r="BX64" s="239">
        <v>209873</v>
      </c>
      <c r="BY64" s="239">
        <v>47222</v>
      </c>
      <c r="BZ64" s="239">
        <v>5246</v>
      </c>
      <c r="CA64" s="239">
        <v>-30213</v>
      </c>
      <c r="CB64" s="239">
        <v>-6799</v>
      </c>
      <c r="CC64" s="239">
        <v>-755</v>
      </c>
      <c r="CD64" s="239">
        <v>7151.189166666667</v>
      </c>
      <c r="CE64" s="239">
        <v>1609.0175624999999</v>
      </c>
      <c r="CF64" s="239">
        <v>178.77972916666667</v>
      </c>
      <c r="CG64" s="239">
        <v>16198</v>
      </c>
      <c r="CH64" s="239">
        <v>0</v>
      </c>
      <c r="CI64" s="239">
        <v>0</v>
      </c>
      <c r="CJ64" s="239">
        <v>-9047</v>
      </c>
      <c r="CK64" s="239">
        <v>1609</v>
      </c>
      <c r="CL64" s="239">
        <v>179</v>
      </c>
      <c r="CM64" s="239">
        <v>6639.4333333333334</v>
      </c>
      <c r="CN64" s="239">
        <v>1493.8724999999999</v>
      </c>
      <c r="CO64" s="239">
        <v>165.98583333333332</v>
      </c>
      <c r="CP64" s="239">
        <v>0</v>
      </c>
      <c r="CQ64" s="239">
        <v>0</v>
      </c>
      <c r="CR64" s="239">
        <v>0</v>
      </c>
      <c r="CS64" s="239">
        <v>6639</v>
      </c>
      <c r="CT64" s="239">
        <v>1494</v>
      </c>
      <c r="CU64" s="239">
        <v>166</v>
      </c>
      <c r="CV64" s="239">
        <v>153236.04916666669</v>
      </c>
      <c r="CW64" s="239">
        <v>34478.1110625</v>
      </c>
      <c r="CX64" s="239">
        <v>3830.9012291666663</v>
      </c>
      <c r="CY64" s="239">
        <v>165555</v>
      </c>
      <c r="CZ64" s="239">
        <v>37250</v>
      </c>
      <c r="DA64" s="239">
        <v>4139</v>
      </c>
      <c r="DB64" s="239">
        <v>-12319</v>
      </c>
      <c r="DC64" s="239">
        <v>-2772</v>
      </c>
      <c r="DD64" s="239">
        <v>-308</v>
      </c>
      <c r="DE64" s="214">
        <v>0.5</v>
      </c>
      <c r="DF64" s="214">
        <v>0.4</v>
      </c>
      <c r="DG64" s="214">
        <v>0.09</v>
      </c>
      <c r="DH64" s="214">
        <v>0.01</v>
      </c>
      <c r="DI64" s="214" t="s">
        <v>1294</v>
      </c>
    </row>
    <row r="65" spans="1:113" s="214" customFormat="1" x14ac:dyDescent="0.2">
      <c r="B65" s="610" t="s">
        <v>213</v>
      </c>
      <c r="C65" s="610" t="s">
        <v>212</v>
      </c>
      <c r="D65" s="239">
        <v>-28878</v>
      </c>
      <c r="E65" s="239">
        <v>0</v>
      </c>
      <c r="F65" s="239">
        <v>-28878</v>
      </c>
      <c r="G65" s="239">
        <v>0</v>
      </c>
      <c r="H65" s="239">
        <v>0</v>
      </c>
      <c r="I65" s="239">
        <v>0</v>
      </c>
      <c r="J65" s="239">
        <v>-28878</v>
      </c>
      <c r="K65" s="239">
        <v>0</v>
      </c>
      <c r="L65" s="239">
        <v>-28878</v>
      </c>
      <c r="M65" s="239">
        <v>75005</v>
      </c>
      <c r="N65" s="239">
        <v>75005</v>
      </c>
      <c r="O65" s="239">
        <v>0</v>
      </c>
      <c r="P65" s="239">
        <v>0</v>
      </c>
      <c r="Q65" s="239">
        <v>0</v>
      </c>
      <c r="R65" s="239">
        <v>0</v>
      </c>
      <c r="S65" s="239">
        <v>289893</v>
      </c>
      <c r="T65" s="239">
        <v>0</v>
      </c>
      <c r="U65" s="239">
        <v>150427</v>
      </c>
      <c r="V65" s="239">
        <v>0</v>
      </c>
      <c r="W65" s="239">
        <v>139466</v>
      </c>
      <c r="X65" s="239">
        <v>0</v>
      </c>
      <c r="Y65" s="239">
        <v>0</v>
      </c>
      <c r="Z65" s="239">
        <v>0</v>
      </c>
      <c r="AA65" s="239">
        <v>0</v>
      </c>
      <c r="AB65" s="239">
        <v>0</v>
      </c>
      <c r="AC65" s="239">
        <v>0</v>
      </c>
      <c r="AD65" s="239">
        <v>0</v>
      </c>
      <c r="AE65" s="239">
        <v>0</v>
      </c>
      <c r="AF65" s="239">
        <v>0</v>
      </c>
      <c r="AG65" s="239">
        <v>0</v>
      </c>
      <c r="AH65" s="239">
        <v>0</v>
      </c>
      <c r="AI65" s="239">
        <v>0</v>
      </c>
      <c r="AJ65" s="239">
        <v>0</v>
      </c>
      <c r="AK65" s="239">
        <v>263211.93375000003</v>
      </c>
      <c r="AL65" s="239">
        <v>59222.685093749998</v>
      </c>
      <c r="AM65" s="239">
        <v>6580.2983437499997</v>
      </c>
      <c r="AN65" s="239">
        <v>241594</v>
      </c>
      <c r="AO65" s="239">
        <v>54358</v>
      </c>
      <c r="AP65" s="239">
        <v>6040</v>
      </c>
      <c r="AQ65" s="239">
        <v>21618</v>
      </c>
      <c r="AR65" s="239">
        <v>4865</v>
      </c>
      <c r="AS65" s="239">
        <v>540</v>
      </c>
      <c r="AT65" s="239">
        <v>205.75749999999999</v>
      </c>
      <c r="AU65" s="239">
        <v>46.295437499999991</v>
      </c>
      <c r="AV65" s="239">
        <v>5.1439374999999998</v>
      </c>
      <c r="AW65" s="239">
        <v>401</v>
      </c>
      <c r="AX65" s="239">
        <v>90</v>
      </c>
      <c r="AY65" s="239">
        <v>10</v>
      </c>
      <c r="AZ65" s="239">
        <v>-195</v>
      </c>
      <c r="BA65" s="239">
        <v>-44</v>
      </c>
      <c r="BB65" s="239">
        <v>-5</v>
      </c>
      <c r="BC65" s="239">
        <v>9409.6516666666666</v>
      </c>
      <c r="BD65" s="239">
        <v>2117.1716249999999</v>
      </c>
      <c r="BE65" s="239">
        <v>235.24129166666668</v>
      </c>
      <c r="BF65" s="239">
        <v>0</v>
      </c>
      <c r="BG65" s="239">
        <v>0</v>
      </c>
      <c r="BH65" s="239">
        <v>0</v>
      </c>
      <c r="BI65" s="239">
        <v>9410</v>
      </c>
      <c r="BJ65" s="239">
        <v>2117</v>
      </c>
      <c r="BK65" s="239">
        <v>235</v>
      </c>
      <c r="BL65" s="239">
        <v>0</v>
      </c>
      <c r="BM65" s="239">
        <v>0</v>
      </c>
      <c r="BN65" s="239">
        <v>0</v>
      </c>
      <c r="BO65" s="239">
        <v>0</v>
      </c>
      <c r="BP65" s="239">
        <v>0</v>
      </c>
      <c r="BQ65" s="239">
        <v>0</v>
      </c>
      <c r="BR65" s="239">
        <v>0</v>
      </c>
      <c r="BS65" s="239">
        <v>0</v>
      </c>
      <c r="BT65" s="239">
        <v>0</v>
      </c>
      <c r="BU65" s="239">
        <v>145278.59333333335</v>
      </c>
      <c r="BV65" s="239">
        <v>32687.683499999999</v>
      </c>
      <c r="BW65" s="239">
        <v>3631.9648333333334</v>
      </c>
      <c r="BX65" s="239">
        <v>152719</v>
      </c>
      <c r="BY65" s="239">
        <v>34362</v>
      </c>
      <c r="BZ65" s="239">
        <v>3818</v>
      </c>
      <c r="CA65" s="239">
        <v>-7440</v>
      </c>
      <c r="CB65" s="239">
        <v>-1674</v>
      </c>
      <c r="CC65" s="239">
        <v>-186</v>
      </c>
      <c r="CD65" s="239">
        <v>0</v>
      </c>
      <c r="CE65" s="239">
        <v>0</v>
      </c>
      <c r="CF65" s="239">
        <v>0</v>
      </c>
      <c r="CG65" s="239">
        <v>0</v>
      </c>
      <c r="CH65" s="239">
        <v>0</v>
      </c>
      <c r="CI65" s="239">
        <v>0</v>
      </c>
      <c r="CJ65" s="239">
        <v>0</v>
      </c>
      <c r="CK65" s="239">
        <v>0</v>
      </c>
      <c r="CL65" s="239">
        <v>0</v>
      </c>
      <c r="CM65" s="239">
        <v>3601.7708333333339</v>
      </c>
      <c r="CN65" s="239">
        <v>810.3984375</v>
      </c>
      <c r="CO65" s="239">
        <v>90.044270833333343</v>
      </c>
      <c r="CP65" s="239">
        <v>0</v>
      </c>
      <c r="CQ65" s="239">
        <v>0</v>
      </c>
      <c r="CR65" s="239">
        <v>0</v>
      </c>
      <c r="CS65" s="239">
        <v>3602</v>
      </c>
      <c r="CT65" s="239">
        <v>810</v>
      </c>
      <c r="CU65" s="239">
        <v>90</v>
      </c>
      <c r="CV65" s="239">
        <v>106566.21208333335</v>
      </c>
      <c r="CW65" s="239">
        <v>23026.186312499998</v>
      </c>
      <c r="CX65" s="239">
        <v>2558.4651458333333</v>
      </c>
      <c r="CY65" s="239">
        <v>106987</v>
      </c>
      <c r="CZ65" s="239">
        <v>23579</v>
      </c>
      <c r="DA65" s="239">
        <v>2620</v>
      </c>
      <c r="DB65" s="239">
        <v>-421</v>
      </c>
      <c r="DC65" s="239">
        <v>-553</v>
      </c>
      <c r="DD65" s="239">
        <v>-62</v>
      </c>
      <c r="DE65" s="214">
        <v>0.5</v>
      </c>
      <c r="DF65" s="214">
        <v>0.4</v>
      </c>
      <c r="DG65" s="214">
        <v>0.09</v>
      </c>
      <c r="DH65" s="214">
        <v>0.01</v>
      </c>
      <c r="DI65" s="214" t="s">
        <v>1294</v>
      </c>
    </row>
    <row r="66" spans="1:113" s="214" customFormat="1" x14ac:dyDescent="0.2">
      <c r="B66" s="610" t="s">
        <v>215</v>
      </c>
      <c r="C66" s="610" t="s">
        <v>214</v>
      </c>
      <c r="D66" s="239">
        <v>-1448255</v>
      </c>
      <c r="E66" s="239">
        <v>0</v>
      </c>
      <c r="F66" s="239">
        <v>-1448255</v>
      </c>
      <c r="G66" s="239">
        <v>0</v>
      </c>
      <c r="H66" s="239">
        <v>0</v>
      </c>
      <c r="I66" s="239">
        <v>0</v>
      </c>
      <c r="J66" s="239">
        <v>-1448255</v>
      </c>
      <c r="K66" s="239">
        <v>0</v>
      </c>
      <c r="L66" s="239">
        <v>-1448255</v>
      </c>
      <c r="M66" s="239">
        <v>1695542</v>
      </c>
      <c r="N66" s="239">
        <v>1695542</v>
      </c>
      <c r="O66" s="239">
        <v>0</v>
      </c>
      <c r="P66" s="239">
        <v>0</v>
      </c>
      <c r="Q66" s="239">
        <v>0</v>
      </c>
      <c r="R66" s="239">
        <v>0</v>
      </c>
      <c r="S66" s="239">
        <v>0</v>
      </c>
      <c r="T66" s="239">
        <v>0</v>
      </c>
      <c r="U66" s="239">
        <v>0</v>
      </c>
      <c r="V66" s="239">
        <v>0</v>
      </c>
      <c r="W66" s="239">
        <v>0</v>
      </c>
      <c r="X66" s="239">
        <v>0</v>
      </c>
      <c r="Y66" s="239">
        <v>0</v>
      </c>
      <c r="Z66" s="239">
        <v>0</v>
      </c>
      <c r="AA66" s="239">
        <v>0</v>
      </c>
      <c r="AB66" s="239">
        <v>0</v>
      </c>
      <c r="AC66" s="239">
        <v>0</v>
      </c>
      <c r="AD66" s="239">
        <v>0</v>
      </c>
      <c r="AE66" s="239">
        <v>0</v>
      </c>
      <c r="AF66" s="239">
        <v>0</v>
      </c>
      <c r="AG66" s="239">
        <v>0</v>
      </c>
      <c r="AH66" s="239">
        <v>0</v>
      </c>
      <c r="AI66" s="239">
        <v>0</v>
      </c>
      <c r="AJ66" s="239">
        <v>0</v>
      </c>
      <c r="AK66" s="239">
        <v>70691.550312499996</v>
      </c>
      <c r="AL66" s="239">
        <v>47127.700208333335</v>
      </c>
      <c r="AM66" s="239">
        <v>0</v>
      </c>
      <c r="AN66" s="239">
        <v>65939</v>
      </c>
      <c r="AO66" s="239">
        <v>43958</v>
      </c>
      <c r="AP66" s="239">
        <v>0</v>
      </c>
      <c r="AQ66" s="239">
        <v>4753</v>
      </c>
      <c r="AR66" s="239">
        <v>3170</v>
      </c>
      <c r="AS66" s="239">
        <v>0</v>
      </c>
      <c r="AT66" s="239">
        <v>19.48</v>
      </c>
      <c r="AU66" s="239">
        <v>12.986666666666668</v>
      </c>
      <c r="AV66" s="239">
        <v>0</v>
      </c>
      <c r="AW66" s="239">
        <v>0</v>
      </c>
      <c r="AX66" s="239">
        <v>0</v>
      </c>
      <c r="AY66" s="239">
        <v>0</v>
      </c>
      <c r="AZ66" s="239">
        <v>19</v>
      </c>
      <c r="BA66" s="239">
        <v>13</v>
      </c>
      <c r="BB66" s="239">
        <v>0</v>
      </c>
      <c r="BC66" s="239">
        <v>55658.621249999997</v>
      </c>
      <c r="BD66" s="239">
        <v>37105.747500000005</v>
      </c>
      <c r="BE66" s="239">
        <v>0</v>
      </c>
      <c r="BF66" s="239">
        <v>38047</v>
      </c>
      <c r="BG66" s="239">
        <v>25364</v>
      </c>
      <c r="BH66" s="239">
        <v>0</v>
      </c>
      <c r="BI66" s="239">
        <v>17612</v>
      </c>
      <c r="BJ66" s="239">
        <v>11742</v>
      </c>
      <c r="BK66" s="239">
        <v>0</v>
      </c>
      <c r="BL66" s="239">
        <v>31262.660625</v>
      </c>
      <c r="BM66" s="239">
        <v>20841.77375</v>
      </c>
      <c r="BN66" s="239">
        <v>0</v>
      </c>
      <c r="BO66" s="239">
        <v>27394</v>
      </c>
      <c r="BP66" s="239">
        <v>18262</v>
      </c>
      <c r="BQ66" s="239">
        <v>0</v>
      </c>
      <c r="BR66" s="239">
        <v>3869</v>
      </c>
      <c r="BS66" s="239">
        <v>2580</v>
      </c>
      <c r="BT66" s="239">
        <v>0</v>
      </c>
      <c r="BU66" s="239">
        <v>223659.31562499999</v>
      </c>
      <c r="BV66" s="239">
        <v>149106.21041666667</v>
      </c>
      <c r="BW66" s="239">
        <v>0</v>
      </c>
      <c r="BX66" s="239">
        <v>182625</v>
      </c>
      <c r="BY66" s="239">
        <v>121750</v>
      </c>
      <c r="BZ66" s="239">
        <v>0</v>
      </c>
      <c r="CA66" s="239">
        <v>41034</v>
      </c>
      <c r="CB66" s="239">
        <v>27356</v>
      </c>
      <c r="CC66" s="239">
        <v>0</v>
      </c>
      <c r="CD66" s="239">
        <v>0</v>
      </c>
      <c r="CE66" s="239">
        <v>0</v>
      </c>
      <c r="CF66" s="239">
        <v>0</v>
      </c>
      <c r="CG66" s="239">
        <v>0</v>
      </c>
      <c r="CH66" s="239">
        <v>0</v>
      </c>
      <c r="CI66" s="239">
        <v>0</v>
      </c>
      <c r="CJ66" s="239">
        <v>0</v>
      </c>
      <c r="CK66" s="239">
        <v>0</v>
      </c>
      <c r="CL66" s="239">
        <v>0</v>
      </c>
      <c r="CM66" s="239">
        <v>4024.44625</v>
      </c>
      <c r="CN66" s="239">
        <v>2682.9641666666666</v>
      </c>
      <c r="CO66" s="239">
        <v>0</v>
      </c>
      <c r="CP66" s="239">
        <v>0</v>
      </c>
      <c r="CQ66" s="239">
        <v>0</v>
      </c>
      <c r="CR66" s="239">
        <v>0</v>
      </c>
      <c r="CS66" s="239">
        <v>4024</v>
      </c>
      <c r="CT66" s="239">
        <v>2683</v>
      </c>
      <c r="CU66" s="239">
        <v>0</v>
      </c>
      <c r="CV66" s="239">
        <v>3709668.379375</v>
      </c>
      <c r="CW66" s="239">
        <v>2473112.2529166667</v>
      </c>
      <c r="CX66" s="239">
        <v>0</v>
      </c>
      <c r="CY66" s="239">
        <v>3419486</v>
      </c>
      <c r="CZ66" s="239">
        <v>2173218</v>
      </c>
      <c r="DA66" s="239">
        <v>0</v>
      </c>
      <c r="DB66" s="239">
        <v>290182</v>
      </c>
      <c r="DC66" s="239">
        <v>299894</v>
      </c>
      <c r="DD66" s="239">
        <v>0</v>
      </c>
      <c r="DE66" s="214">
        <v>0.5</v>
      </c>
      <c r="DF66" s="214">
        <v>0.3</v>
      </c>
      <c r="DG66" s="214">
        <v>0.2</v>
      </c>
      <c r="DH66" s="214">
        <v>0</v>
      </c>
      <c r="DI66" s="214" t="s">
        <v>1297</v>
      </c>
    </row>
    <row r="67" spans="1:113" s="214" customFormat="1" x14ac:dyDescent="0.2">
      <c r="B67" s="610" t="s">
        <v>217</v>
      </c>
      <c r="C67" s="610" t="s">
        <v>216</v>
      </c>
      <c r="D67" s="239">
        <v>-229342</v>
      </c>
      <c r="E67" s="239">
        <v>0</v>
      </c>
      <c r="F67" s="239">
        <v>-229342</v>
      </c>
      <c r="G67" s="239">
        <v>0</v>
      </c>
      <c r="H67" s="239">
        <v>0</v>
      </c>
      <c r="I67" s="239">
        <v>0</v>
      </c>
      <c r="J67" s="239">
        <v>-229342</v>
      </c>
      <c r="K67" s="239">
        <v>0</v>
      </c>
      <c r="L67" s="239">
        <v>-229342</v>
      </c>
      <c r="M67" s="239">
        <v>238245</v>
      </c>
      <c r="N67" s="239">
        <v>238245</v>
      </c>
      <c r="O67" s="239">
        <v>0</v>
      </c>
      <c r="P67" s="239">
        <v>0</v>
      </c>
      <c r="Q67" s="239">
        <v>0</v>
      </c>
      <c r="R67" s="239">
        <v>0</v>
      </c>
      <c r="S67" s="239">
        <v>0</v>
      </c>
      <c r="T67" s="239">
        <v>0</v>
      </c>
      <c r="U67" s="239">
        <v>0</v>
      </c>
      <c r="V67" s="239">
        <v>0</v>
      </c>
      <c r="W67" s="239">
        <v>0</v>
      </c>
      <c r="X67" s="239">
        <v>0</v>
      </c>
      <c r="Y67" s="239">
        <v>0</v>
      </c>
      <c r="Z67" s="239">
        <v>0</v>
      </c>
      <c r="AA67" s="239">
        <v>0</v>
      </c>
      <c r="AB67" s="239">
        <v>0</v>
      </c>
      <c r="AC67" s="239">
        <v>0</v>
      </c>
      <c r="AD67" s="239">
        <v>0</v>
      </c>
      <c r="AE67" s="239">
        <v>0</v>
      </c>
      <c r="AF67" s="239">
        <v>0</v>
      </c>
      <c r="AG67" s="239">
        <v>0</v>
      </c>
      <c r="AH67" s="239">
        <v>0</v>
      </c>
      <c r="AI67" s="239">
        <v>0</v>
      </c>
      <c r="AJ67" s="239">
        <v>0</v>
      </c>
      <c r="AK67" s="239">
        <v>671307.99083333334</v>
      </c>
      <c r="AL67" s="239">
        <v>151044.2979375</v>
      </c>
      <c r="AM67" s="239">
        <v>16782.699770833333</v>
      </c>
      <c r="AN67" s="239">
        <v>607580</v>
      </c>
      <c r="AO67" s="239">
        <v>136706</v>
      </c>
      <c r="AP67" s="239">
        <v>15190</v>
      </c>
      <c r="AQ67" s="239">
        <v>63728</v>
      </c>
      <c r="AR67" s="239">
        <v>14338</v>
      </c>
      <c r="AS67" s="239">
        <v>1593</v>
      </c>
      <c r="AT67" s="239">
        <v>0</v>
      </c>
      <c r="AU67" s="239">
        <v>0</v>
      </c>
      <c r="AV67" s="239">
        <v>0</v>
      </c>
      <c r="AW67" s="239">
        <v>0</v>
      </c>
      <c r="AX67" s="239">
        <v>0</v>
      </c>
      <c r="AY67" s="239">
        <v>0</v>
      </c>
      <c r="AZ67" s="239">
        <v>0</v>
      </c>
      <c r="BA67" s="239">
        <v>0</v>
      </c>
      <c r="BB67" s="239">
        <v>0</v>
      </c>
      <c r="BC67" s="239">
        <v>39710.385833333334</v>
      </c>
      <c r="BD67" s="239">
        <v>8934.8368124999997</v>
      </c>
      <c r="BE67" s="239">
        <v>992.75964583333337</v>
      </c>
      <c r="BF67" s="239">
        <v>40583</v>
      </c>
      <c r="BG67" s="239">
        <v>9132</v>
      </c>
      <c r="BH67" s="239">
        <v>1014</v>
      </c>
      <c r="BI67" s="239">
        <v>-873</v>
      </c>
      <c r="BJ67" s="239">
        <v>-197</v>
      </c>
      <c r="BK67" s="239">
        <v>-21</v>
      </c>
      <c r="BL67" s="239">
        <v>16016.212500000001</v>
      </c>
      <c r="BM67" s="239">
        <v>3603.6478125000003</v>
      </c>
      <c r="BN67" s="239">
        <v>400.40531250000004</v>
      </c>
      <c r="BO67" s="239">
        <v>4802</v>
      </c>
      <c r="BP67" s="239">
        <v>1080</v>
      </c>
      <c r="BQ67" s="239">
        <v>120</v>
      </c>
      <c r="BR67" s="239">
        <v>11214</v>
      </c>
      <c r="BS67" s="239">
        <v>2524</v>
      </c>
      <c r="BT67" s="239">
        <v>280</v>
      </c>
      <c r="BU67" s="239">
        <v>443275.51666666666</v>
      </c>
      <c r="BV67" s="239">
        <v>99736.991250000006</v>
      </c>
      <c r="BW67" s="239">
        <v>11081.887916666667</v>
      </c>
      <c r="BX67" s="239">
        <v>451414</v>
      </c>
      <c r="BY67" s="239">
        <v>101568</v>
      </c>
      <c r="BZ67" s="239">
        <v>11286</v>
      </c>
      <c r="CA67" s="239">
        <v>-8138</v>
      </c>
      <c r="CB67" s="239">
        <v>-1831</v>
      </c>
      <c r="CC67" s="239">
        <v>-204</v>
      </c>
      <c r="CD67" s="239">
        <v>0</v>
      </c>
      <c r="CE67" s="239">
        <v>0</v>
      </c>
      <c r="CF67" s="239">
        <v>0</v>
      </c>
      <c r="CG67" s="239">
        <v>0</v>
      </c>
      <c r="CH67" s="239">
        <v>0</v>
      </c>
      <c r="CI67" s="239">
        <v>0</v>
      </c>
      <c r="CJ67" s="239">
        <v>0</v>
      </c>
      <c r="CK67" s="239">
        <v>0</v>
      </c>
      <c r="CL67" s="239">
        <v>0</v>
      </c>
      <c r="CM67" s="239">
        <v>5799.7641666666677</v>
      </c>
      <c r="CN67" s="239">
        <v>1304.9469375000001</v>
      </c>
      <c r="CO67" s="239">
        <v>144.99410416666669</v>
      </c>
      <c r="CP67" s="239">
        <v>0</v>
      </c>
      <c r="CQ67" s="239">
        <v>0</v>
      </c>
      <c r="CR67" s="239">
        <v>0</v>
      </c>
      <c r="CS67" s="239">
        <v>5800</v>
      </c>
      <c r="CT67" s="239">
        <v>1305</v>
      </c>
      <c r="CU67" s="239">
        <v>145</v>
      </c>
      <c r="CV67" s="239">
        <v>349339.15916666674</v>
      </c>
      <c r="CW67" s="239">
        <v>78601.3108125</v>
      </c>
      <c r="CX67" s="239">
        <v>8733.4789791666662</v>
      </c>
      <c r="CY67" s="239">
        <v>363199</v>
      </c>
      <c r="CZ67" s="239">
        <v>81720</v>
      </c>
      <c r="DA67" s="239">
        <v>9080</v>
      </c>
      <c r="DB67" s="239">
        <v>-13860</v>
      </c>
      <c r="DC67" s="239">
        <v>-3119</v>
      </c>
      <c r="DD67" s="239">
        <v>-347</v>
      </c>
      <c r="DE67" s="214">
        <v>0.5</v>
      </c>
      <c r="DF67" s="214">
        <v>0.4</v>
      </c>
      <c r="DG67" s="214">
        <v>0.09</v>
      </c>
      <c r="DH67" s="214">
        <v>0.01</v>
      </c>
      <c r="DI67" s="214" t="s">
        <v>1294</v>
      </c>
    </row>
    <row r="68" spans="1:113" s="214" customFormat="1" x14ac:dyDescent="0.2">
      <c r="B68" s="610" t="s">
        <v>219</v>
      </c>
      <c r="C68" s="610" t="s">
        <v>218</v>
      </c>
      <c r="D68" s="239">
        <v>-1088425</v>
      </c>
      <c r="E68" s="239">
        <v>0</v>
      </c>
      <c r="F68" s="239">
        <v>-1088425</v>
      </c>
      <c r="G68" s="239">
        <v>0</v>
      </c>
      <c r="H68" s="239">
        <v>0</v>
      </c>
      <c r="I68" s="239">
        <v>0</v>
      </c>
      <c r="J68" s="239">
        <v>-1088425</v>
      </c>
      <c r="K68" s="239">
        <v>0</v>
      </c>
      <c r="L68" s="239">
        <v>-1088425</v>
      </c>
      <c r="M68" s="239">
        <v>111659</v>
      </c>
      <c r="N68" s="239">
        <v>111659</v>
      </c>
      <c r="O68" s="239">
        <v>0</v>
      </c>
      <c r="P68" s="239">
        <v>0</v>
      </c>
      <c r="Q68" s="239">
        <v>0</v>
      </c>
      <c r="R68" s="239">
        <v>0</v>
      </c>
      <c r="S68" s="239">
        <v>25521</v>
      </c>
      <c r="T68" s="239">
        <v>0</v>
      </c>
      <c r="U68" s="239">
        <v>12977</v>
      </c>
      <c r="V68" s="239">
        <v>0</v>
      </c>
      <c r="W68" s="239">
        <v>12544</v>
      </c>
      <c r="X68" s="239">
        <v>0</v>
      </c>
      <c r="Y68" s="239">
        <v>0</v>
      </c>
      <c r="Z68" s="239">
        <v>0</v>
      </c>
      <c r="AA68" s="239">
        <v>0</v>
      </c>
      <c r="AB68" s="239">
        <v>0</v>
      </c>
      <c r="AC68" s="239">
        <v>0</v>
      </c>
      <c r="AD68" s="239">
        <v>0</v>
      </c>
      <c r="AE68" s="239">
        <v>0</v>
      </c>
      <c r="AF68" s="239">
        <v>0</v>
      </c>
      <c r="AG68" s="239">
        <v>0</v>
      </c>
      <c r="AH68" s="239">
        <v>0</v>
      </c>
      <c r="AI68" s="239">
        <v>0</v>
      </c>
      <c r="AJ68" s="239">
        <v>0</v>
      </c>
      <c r="AK68" s="239">
        <v>295395.32874999999</v>
      </c>
      <c r="AL68" s="239">
        <v>73848.832187499997</v>
      </c>
      <c r="AM68" s="239">
        <v>0</v>
      </c>
      <c r="AN68" s="239">
        <v>274995</v>
      </c>
      <c r="AO68" s="239">
        <v>68748</v>
      </c>
      <c r="AP68" s="239">
        <v>0</v>
      </c>
      <c r="AQ68" s="239">
        <v>20400</v>
      </c>
      <c r="AR68" s="239">
        <v>5101</v>
      </c>
      <c r="AS68" s="239">
        <v>0</v>
      </c>
      <c r="AT68" s="239">
        <v>353.07500000000005</v>
      </c>
      <c r="AU68" s="239">
        <v>88.268750000000011</v>
      </c>
      <c r="AV68" s="239">
        <v>0</v>
      </c>
      <c r="AW68" s="239">
        <v>2028</v>
      </c>
      <c r="AX68" s="239">
        <v>508</v>
      </c>
      <c r="AY68" s="239">
        <v>0</v>
      </c>
      <c r="AZ68" s="239">
        <v>-1675</v>
      </c>
      <c r="BA68" s="239">
        <v>-420</v>
      </c>
      <c r="BB68" s="239">
        <v>0</v>
      </c>
      <c r="BC68" s="239">
        <v>0</v>
      </c>
      <c r="BD68" s="239">
        <v>0</v>
      </c>
      <c r="BE68" s="239">
        <v>0</v>
      </c>
      <c r="BF68" s="239">
        <v>0</v>
      </c>
      <c r="BG68" s="239">
        <v>0</v>
      </c>
      <c r="BH68" s="239">
        <v>0</v>
      </c>
      <c r="BI68" s="239">
        <v>0</v>
      </c>
      <c r="BJ68" s="239">
        <v>0</v>
      </c>
      <c r="BK68" s="239">
        <v>0</v>
      </c>
      <c r="BL68" s="239">
        <v>969.13</v>
      </c>
      <c r="BM68" s="239">
        <v>242.2825</v>
      </c>
      <c r="BN68" s="239">
        <v>0</v>
      </c>
      <c r="BO68" s="239">
        <v>2232</v>
      </c>
      <c r="BP68" s="239">
        <v>558</v>
      </c>
      <c r="BQ68" s="239">
        <v>0</v>
      </c>
      <c r="BR68" s="239">
        <v>-1263</v>
      </c>
      <c r="BS68" s="239">
        <v>-316</v>
      </c>
      <c r="BT68" s="239">
        <v>0</v>
      </c>
      <c r="BU68" s="239">
        <v>136372.17500000002</v>
      </c>
      <c r="BV68" s="239">
        <v>34093.043750000004</v>
      </c>
      <c r="BW68" s="239">
        <v>0</v>
      </c>
      <c r="BX68" s="239">
        <v>138528</v>
      </c>
      <c r="BY68" s="239">
        <v>34632</v>
      </c>
      <c r="BZ68" s="239">
        <v>0</v>
      </c>
      <c r="CA68" s="239">
        <v>-2156</v>
      </c>
      <c r="CB68" s="239">
        <v>-539</v>
      </c>
      <c r="CC68" s="239">
        <v>0</v>
      </c>
      <c r="CD68" s="239">
        <v>0</v>
      </c>
      <c r="CE68" s="239">
        <v>0</v>
      </c>
      <c r="CF68" s="239">
        <v>0</v>
      </c>
      <c r="CG68" s="239">
        <v>0</v>
      </c>
      <c r="CH68" s="239">
        <v>0</v>
      </c>
      <c r="CI68" s="239">
        <v>0</v>
      </c>
      <c r="CJ68" s="239">
        <v>0</v>
      </c>
      <c r="CK68" s="239">
        <v>0</v>
      </c>
      <c r="CL68" s="239">
        <v>0</v>
      </c>
      <c r="CM68" s="239">
        <v>6501.4500000000007</v>
      </c>
      <c r="CN68" s="239">
        <v>1625.3625000000002</v>
      </c>
      <c r="CO68" s="239">
        <v>0</v>
      </c>
      <c r="CP68" s="239">
        <v>0</v>
      </c>
      <c r="CQ68" s="239">
        <v>0</v>
      </c>
      <c r="CR68" s="239">
        <v>0</v>
      </c>
      <c r="CS68" s="239">
        <v>6501</v>
      </c>
      <c r="CT68" s="239">
        <v>1625</v>
      </c>
      <c r="CU68" s="239">
        <v>0</v>
      </c>
      <c r="CV68" s="239">
        <v>259216.27958333338</v>
      </c>
      <c r="CW68" s="239">
        <v>64711.024583333339</v>
      </c>
      <c r="CX68" s="239">
        <v>0</v>
      </c>
      <c r="CY68" s="239">
        <v>211805</v>
      </c>
      <c r="CZ68" s="239">
        <v>52904</v>
      </c>
      <c r="DA68" s="239">
        <v>0</v>
      </c>
      <c r="DB68" s="239">
        <v>47411</v>
      </c>
      <c r="DC68" s="239">
        <v>11807</v>
      </c>
      <c r="DD68" s="239">
        <v>0</v>
      </c>
      <c r="DE68" s="214">
        <v>0.5</v>
      </c>
      <c r="DF68" s="214">
        <v>0.4</v>
      </c>
      <c r="DG68" s="214">
        <v>0.1</v>
      </c>
      <c r="DH68" s="214">
        <v>0</v>
      </c>
      <c r="DI68" s="214" t="s">
        <v>1294</v>
      </c>
    </row>
    <row r="69" spans="1:113" s="214" customFormat="1" x14ac:dyDescent="0.2">
      <c r="B69" s="610" t="s">
        <v>221</v>
      </c>
      <c r="C69" s="610" t="s">
        <v>220</v>
      </c>
      <c r="D69" s="239">
        <v>35932</v>
      </c>
      <c r="E69" s="239">
        <v>0</v>
      </c>
      <c r="F69" s="239">
        <v>35932</v>
      </c>
      <c r="G69" s="239">
        <v>0</v>
      </c>
      <c r="H69" s="239">
        <v>0</v>
      </c>
      <c r="I69" s="239">
        <v>0</v>
      </c>
      <c r="J69" s="239">
        <v>35932</v>
      </c>
      <c r="K69" s="239">
        <v>0</v>
      </c>
      <c r="L69" s="239">
        <v>35932</v>
      </c>
      <c r="M69" s="239">
        <v>88686</v>
      </c>
      <c r="N69" s="239">
        <v>88686</v>
      </c>
      <c r="O69" s="239">
        <v>0</v>
      </c>
      <c r="P69" s="239">
        <v>0</v>
      </c>
      <c r="Q69" s="239">
        <v>0</v>
      </c>
      <c r="R69" s="239">
        <v>0</v>
      </c>
      <c r="S69" s="239">
        <v>0</v>
      </c>
      <c r="T69" s="239">
        <v>0</v>
      </c>
      <c r="U69" s="239">
        <v>0</v>
      </c>
      <c r="V69" s="239">
        <v>0</v>
      </c>
      <c r="W69" s="239">
        <v>0</v>
      </c>
      <c r="X69" s="239">
        <v>0</v>
      </c>
      <c r="Y69" s="239">
        <v>0</v>
      </c>
      <c r="Z69" s="239">
        <v>0</v>
      </c>
      <c r="AA69" s="239">
        <v>0</v>
      </c>
      <c r="AB69" s="239">
        <v>0</v>
      </c>
      <c r="AC69" s="239">
        <v>0</v>
      </c>
      <c r="AD69" s="239">
        <v>0</v>
      </c>
      <c r="AE69" s="239">
        <v>0</v>
      </c>
      <c r="AF69" s="239">
        <v>0</v>
      </c>
      <c r="AG69" s="239">
        <v>0</v>
      </c>
      <c r="AH69" s="239">
        <v>0</v>
      </c>
      <c r="AI69" s="239">
        <v>0</v>
      </c>
      <c r="AJ69" s="239">
        <v>0</v>
      </c>
      <c r="AK69" s="239">
        <v>236633.90875</v>
      </c>
      <c r="AL69" s="239">
        <v>59158.477187500001</v>
      </c>
      <c r="AM69" s="239">
        <v>0</v>
      </c>
      <c r="AN69" s="239">
        <v>94281</v>
      </c>
      <c r="AO69" s="239">
        <v>23570</v>
      </c>
      <c r="AP69" s="239">
        <v>0</v>
      </c>
      <c r="AQ69" s="239">
        <v>142353</v>
      </c>
      <c r="AR69" s="239">
        <v>35588</v>
      </c>
      <c r="AS69" s="239">
        <v>0</v>
      </c>
      <c r="AT69" s="239">
        <v>0</v>
      </c>
      <c r="AU69" s="239">
        <v>0</v>
      </c>
      <c r="AV69" s="239">
        <v>0</v>
      </c>
      <c r="AW69" s="239">
        <v>7305</v>
      </c>
      <c r="AX69" s="239">
        <v>1826</v>
      </c>
      <c r="AY69" s="239">
        <v>0</v>
      </c>
      <c r="AZ69" s="239">
        <v>-7305</v>
      </c>
      <c r="BA69" s="239">
        <v>-1826</v>
      </c>
      <c r="BB69" s="239">
        <v>0</v>
      </c>
      <c r="BC69" s="239">
        <v>0</v>
      </c>
      <c r="BD69" s="239">
        <v>0</v>
      </c>
      <c r="BE69" s="239">
        <v>0</v>
      </c>
      <c r="BF69" s="239">
        <v>0</v>
      </c>
      <c r="BG69" s="239">
        <v>0</v>
      </c>
      <c r="BH69" s="239">
        <v>0</v>
      </c>
      <c r="BI69" s="239">
        <v>0</v>
      </c>
      <c r="BJ69" s="239">
        <v>0</v>
      </c>
      <c r="BK69" s="239">
        <v>0</v>
      </c>
      <c r="BL69" s="239">
        <v>0</v>
      </c>
      <c r="BM69" s="239">
        <v>0</v>
      </c>
      <c r="BN69" s="239">
        <v>0</v>
      </c>
      <c r="BO69" s="239">
        <v>19402</v>
      </c>
      <c r="BP69" s="239">
        <v>4850</v>
      </c>
      <c r="BQ69" s="239">
        <v>0</v>
      </c>
      <c r="BR69" s="239">
        <v>-19402</v>
      </c>
      <c r="BS69" s="239">
        <v>-4850</v>
      </c>
      <c r="BT69" s="239">
        <v>0</v>
      </c>
      <c r="BU69" s="239">
        <v>14036.557500000003</v>
      </c>
      <c r="BV69" s="239">
        <v>3509.1393750000007</v>
      </c>
      <c r="BW69" s="239">
        <v>0</v>
      </c>
      <c r="BX69" s="239">
        <v>60876</v>
      </c>
      <c r="BY69" s="239">
        <v>15218</v>
      </c>
      <c r="BZ69" s="239">
        <v>0</v>
      </c>
      <c r="CA69" s="239">
        <v>-46839</v>
      </c>
      <c r="CB69" s="239">
        <v>-11709</v>
      </c>
      <c r="CC69" s="239">
        <v>0</v>
      </c>
      <c r="CD69" s="239">
        <v>0</v>
      </c>
      <c r="CE69" s="239">
        <v>0</v>
      </c>
      <c r="CF69" s="239">
        <v>0</v>
      </c>
      <c r="CG69" s="239">
        <v>0</v>
      </c>
      <c r="CH69" s="239">
        <v>0</v>
      </c>
      <c r="CI69" s="239">
        <v>0</v>
      </c>
      <c r="CJ69" s="239">
        <v>0</v>
      </c>
      <c r="CK69" s="239">
        <v>0</v>
      </c>
      <c r="CL69" s="239">
        <v>0</v>
      </c>
      <c r="CM69" s="239">
        <v>0</v>
      </c>
      <c r="CN69" s="239">
        <v>0</v>
      </c>
      <c r="CO69" s="239">
        <v>0</v>
      </c>
      <c r="CP69" s="239">
        <v>0</v>
      </c>
      <c r="CQ69" s="239">
        <v>0</v>
      </c>
      <c r="CR69" s="239">
        <v>0</v>
      </c>
      <c r="CS69" s="239">
        <v>0</v>
      </c>
      <c r="CT69" s="239">
        <v>0</v>
      </c>
      <c r="CU69" s="239">
        <v>0</v>
      </c>
      <c r="CV69" s="239">
        <v>196234.3366666667</v>
      </c>
      <c r="CW69" s="239">
        <v>49058.584166666675</v>
      </c>
      <c r="CX69" s="239">
        <v>0</v>
      </c>
      <c r="CY69" s="239">
        <v>202566</v>
      </c>
      <c r="CZ69" s="239">
        <v>50641</v>
      </c>
      <c r="DA69" s="239">
        <v>0</v>
      </c>
      <c r="DB69" s="239">
        <v>-6332</v>
      </c>
      <c r="DC69" s="239">
        <v>-1582</v>
      </c>
      <c r="DD69" s="239">
        <v>0</v>
      </c>
      <c r="DE69" s="214">
        <v>0.5</v>
      </c>
      <c r="DF69" s="214">
        <v>0.4</v>
      </c>
      <c r="DG69" s="214">
        <v>0.1</v>
      </c>
      <c r="DH69" s="214">
        <v>0</v>
      </c>
      <c r="DI69" s="214" t="s">
        <v>1294</v>
      </c>
    </row>
    <row r="70" spans="1:113" s="214" customFormat="1" x14ac:dyDescent="0.2">
      <c r="B70" s="610" t="s">
        <v>223</v>
      </c>
      <c r="C70" s="610" t="s">
        <v>222</v>
      </c>
      <c r="D70" s="239">
        <v>-548916</v>
      </c>
      <c r="E70" s="239">
        <v>0</v>
      </c>
      <c r="F70" s="239">
        <v>-548916</v>
      </c>
      <c r="G70" s="239">
        <v>0</v>
      </c>
      <c r="H70" s="239">
        <v>0</v>
      </c>
      <c r="I70" s="239">
        <v>0</v>
      </c>
      <c r="J70" s="239">
        <v>-548916</v>
      </c>
      <c r="K70" s="239">
        <v>0</v>
      </c>
      <c r="L70" s="239">
        <v>-548916</v>
      </c>
      <c r="M70" s="239">
        <v>1112614</v>
      </c>
      <c r="N70" s="239">
        <v>1112614</v>
      </c>
      <c r="O70" s="239">
        <v>0</v>
      </c>
      <c r="P70" s="239">
        <v>34624</v>
      </c>
      <c r="Q70" s="239">
        <v>0</v>
      </c>
      <c r="R70" s="239">
        <v>34624</v>
      </c>
      <c r="S70" s="239">
        <v>1274719</v>
      </c>
      <c r="T70" s="239">
        <v>0</v>
      </c>
      <c r="U70" s="239">
        <v>650000</v>
      </c>
      <c r="V70" s="239">
        <v>0</v>
      </c>
      <c r="W70" s="239">
        <v>624719</v>
      </c>
      <c r="X70" s="239">
        <v>0</v>
      </c>
      <c r="Y70" s="239">
        <v>172592.80000000002</v>
      </c>
      <c r="Z70" s="239">
        <v>172592.80000000002</v>
      </c>
      <c r="AA70" s="239">
        <v>0</v>
      </c>
      <c r="AB70" s="239">
        <v>0</v>
      </c>
      <c r="AC70" s="239">
        <v>119667</v>
      </c>
      <c r="AD70" s="239">
        <v>119667</v>
      </c>
      <c r="AE70" s="239">
        <v>0</v>
      </c>
      <c r="AF70" s="239">
        <v>0</v>
      </c>
      <c r="AG70" s="239">
        <v>52926</v>
      </c>
      <c r="AH70" s="239">
        <v>52926</v>
      </c>
      <c r="AI70" s="239">
        <v>0</v>
      </c>
      <c r="AJ70" s="239">
        <v>0</v>
      </c>
      <c r="AK70" s="239">
        <v>6458517.1453125002</v>
      </c>
      <c r="AL70" s="239">
        <v>0</v>
      </c>
      <c r="AM70" s="239">
        <v>0</v>
      </c>
      <c r="AN70" s="239">
        <v>5766494</v>
      </c>
      <c r="AO70" s="239">
        <v>0</v>
      </c>
      <c r="AP70" s="239">
        <v>0</v>
      </c>
      <c r="AQ70" s="239">
        <v>692023</v>
      </c>
      <c r="AR70" s="239">
        <v>0</v>
      </c>
      <c r="AS70" s="239">
        <v>0</v>
      </c>
      <c r="AT70" s="239">
        <v>13905.371875000001</v>
      </c>
      <c r="AU70" s="239">
        <v>0</v>
      </c>
      <c r="AV70" s="239">
        <v>0</v>
      </c>
      <c r="AW70" s="239">
        <v>8868</v>
      </c>
      <c r="AX70" s="239">
        <v>0</v>
      </c>
      <c r="AY70" s="239">
        <v>0</v>
      </c>
      <c r="AZ70" s="239">
        <v>5037</v>
      </c>
      <c r="BA70" s="239">
        <v>0</v>
      </c>
      <c r="BB70" s="239">
        <v>0</v>
      </c>
      <c r="BC70" s="239">
        <v>5850.5947916666664</v>
      </c>
      <c r="BD70" s="239">
        <v>0</v>
      </c>
      <c r="BE70" s="239">
        <v>0</v>
      </c>
      <c r="BF70" s="239">
        <v>24647</v>
      </c>
      <c r="BG70" s="239">
        <v>0</v>
      </c>
      <c r="BH70" s="239">
        <v>0</v>
      </c>
      <c r="BI70" s="239">
        <v>-18796</v>
      </c>
      <c r="BJ70" s="239">
        <v>0</v>
      </c>
      <c r="BK70" s="239">
        <v>0</v>
      </c>
      <c r="BL70" s="239">
        <v>24700.538541666669</v>
      </c>
      <c r="BM70" s="239">
        <v>0</v>
      </c>
      <c r="BN70" s="239">
        <v>0</v>
      </c>
      <c r="BO70" s="239">
        <v>1997</v>
      </c>
      <c r="BP70" s="239">
        <v>0</v>
      </c>
      <c r="BQ70" s="239">
        <v>0</v>
      </c>
      <c r="BR70" s="239">
        <v>22704</v>
      </c>
      <c r="BS70" s="239">
        <v>0</v>
      </c>
      <c r="BT70" s="239">
        <v>0</v>
      </c>
      <c r="BU70" s="239">
        <v>2232752.9583333335</v>
      </c>
      <c r="BV70" s="239">
        <v>0</v>
      </c>
      <c r="BW70" s="239">
        <v>0</v>
      </c>
      <c r="BX70" s="239">
        <v>2284473</v>
      </c>
      <c r="BY70" s="239">
        <v>0</v>
      </c>
      <c r="BZ70" s="239">
        <v>0</v>
      </c>
      <c r="CA70" s="239">
        <v>-51720</v>
      </c>
      <c r="CB70" s="239">
        <v>0</v>
      </c>
      <c r="CC70" s="239">
        <v>0</v>
      </c>
      <c r="CD70" s="239">
        <v>985.16041666666672</v>
      </c>
      <c r="CE70" s="239">
        <v>0</v>
      </c>
      <c r="CF70" s="239">
        <v>0</v>
      </c>
      <c r="CG70" s="239">
        <v>0</v>
      </c>
      <c r="CH70" s="239">
        <v>0</v>
      </c>
      <c r="CI70" s="239">
        <v>0</v>
      </c>
      <c r="CJ70" s="239">
        <v>985</v>
      </c>
      <c r="CK70" s="239">
        <v>0</v>
      </c>
      <c r="CL70" s="239">
        <v>0</v>
      </c>
      <c r="CM70" s="239">
        <v>83238.445833333331</v>
      </c>
      <c r="CN70" s="239">
        <v>0</v>
      </c>
      <c r="CO70" s="239">
        <v>0</v>
      </c>
      <c r="CP70" s="239">
        <v>0</v>
      </c>
      <c r="CQ70" s="239">
        <v>0</v>
      </c>
      <c r="CR70" s="239">
        <v>0</v>
      </c>
      <c r="CS70" s="239">
        <v>83238</v>
      </c>
      <c r="CT70" s="239">
        <v>0</v>
      </c>
      <c r="CU70" s="239">
        <v>0</v>
      </c>
      <c r="CV70" s="239">
        <v>1075912.8697916667</v>
      </c>
      <c r="CW70" s="239">
        <v>0</v>
      </c>
      <c r="CX70" s="239">
        <v>0</v>
      </c>
      <c r="CY70" s="239">
        <v>1073706</v>
      </c>
      <c r="CZ70" s="239">
        <v>0</v>
      </c>
      <c r="DA70" s="239">
        <v>0</v>
      </c>
      <c r="DB70" s="239">
        <v>2207</v>
      </c>
      <c r="DC70" s="239">
        <v>0</v>
      </c>
      <c r="DD70" s="239">
        <v>0</v>
      </c>
      <c r="DE70" s="214">
        <v>0.5</v>
      </c>
      <c r="DF70" s="214">
        <v>0.5</v>
      </c>
      <c r="DG70" s="214">
        <v>0</v>
      </c>
      <c r="DH70" s="214">
        <v>0</v>
      </c>
      <c r="DI70" s="214" t="s">
        <v>748</v>
      </c>
    </row>
    <row r="71" spans="1:113" s="214" customFormat="1" x14ac:dyDescent="0.2">
      <c r="B71" s="610" t="s">
        <v>225</v>
      </c>
      <c r="C71" s="610" t="s">
        <v>224</v>
      </c>
      <c r="D71" s="239">
        <v>222426</v>
      </c>
      <c r="E71" s="239">
        <v>0</v>
      </c>
      <c r="F71" s="239">
        <v>222426</v>
      </c>
      <c r="G71" s="239">
        <v>0</v>
      </c>
      <c r="H71" s="239">
        <v>0</v>
      </c>
      <c r="I71" s="239">
        <v>0</v>
      </c>
      <c r="J71" s="239">
        <v>222426</v>
      </c>
      <c r="K71" s="239">
        <v>0</v>
      </c>
      <c r="L71" s="239">
        <v>222426</v>
      </c>
      <c r="M71" s="239">
        <v>178723</v>
      </c>
      <c r="N71" s="239">
        <v>178723</v>
      </c>
      <c r="O71" s="239">
        <v>0</v>
      </c>
      <c r="P71" s="239">
        <v>0</v>
      </c>
      <c r="Q71" s="239">
        <v>0</v>
      </c>
      <c r="R71" s="239">
        <v>0</v>
      </c>
      <c r="S71" s="239">
        <v>92687</v>
      </c>
      <c r="T71" s="239">
        <v>0</v>
      </c>
      <c r="U71" s="239">
        <v>89110</v>
      </c>
      <c r="V71" s="239">
        <v>0</v>
      </c>
      <c r="W71" s="239">
        <v>3577</v>
      </c>
      <c r="X71" s="239">
        <v>0</v>
      </c>
      <c r="Y71" s="239">
        <v>0</v>
      </c>
      <c r="Z71" s="239">
        <v>0</v>
      </c>
      <c r="AA71" s="239">
        <v>0</v>
      </c>
      <c r="AB71" s="239">
        <v>0</v>
      </c>
      <c r="AC71" s="239">
        <v>0</v>
      </c>
      <c r="AD71" s="239">
        <v>0</v>
      </c>
      <c r="AE71" s="239">
        <v>0</v>
      </c>
      <c r="AF71" s="239">
        <v>0</v>
      </c>
      <c r="AG71" s="239">
        <v>0</v>
      </c>
      <c r="AH71" s="239">
        <v>0</v>
      </c>
      <c r="AI71" s="239">
        <v>0</v>
      </c>
      <c r="AJ71" s="239">
        <v>0</v>
      </c>
      <c r="AK71" s="239">
        <v>671794.1791666667</v>
      </c>
      <c r="AL71" s="239">
        <v>167948.54479166667</v>
      </c>
      <c r="AM71" s="239">
        <v>0</v>
      </c>
      <c r="AN71" s="239">
        <v>570756</v>
      </c>
      <c r="AO71" s="239">
        <v>142688</v>
      </c>
      <c r="AP71" s="239">
        <v>0</v>
      </c>
      <c r="AQ71" s="239">
        <v>101038</v>
      </c>
      <c r="AR71" s="239">
        <v>25261</v>
      </c>
      <c r="AS71" s="239">
        <v>0</v>
      </c>
      <c r="AT71" s="239">
        <v>4031.1425000000004</v>
      </c>
      <c r="AU71" s="239">
        <v>1007.7856250000001</v>
      </c>
      <c r="AV71" s="239">
        <v>0</v>
      </c>
      <c r="AW71" s="239">
        <v>0</v>
      </c>
      <c r="AX71" s="239">
        <v>0</v>
      </c>
      <c r="AY71" s="239">
        <v>0</v>
      </c>
      <c r="AZ71" s="239">
        <v>4031</v>
      </c>
      <c r="BA71" s="239">
        <v>1008</v>
      </c>
      <c r="BB71" s="239">
        <v>0</v>
      </c>
      <c r="BC71" s="239">
        <v>6416.6308333333336</v>
      </c>
      <c r="BD71" s="239">
        <v>1604.1577083333334</v>
      </c>
      <c r="BE71" s="239">
        <v>0</v>
      </c>
      <c r="BF71" s="239">
        <v>11364</v>
      </c>
      <c r="BG71" s="239">
        <v>2840</v>
      </c>
      <c r="BH71" s="239">
        <v>0</v>
      </c>
      <c r="BI71" s="239">
        <v>-4947</v>
      </c>
      <c r="BJ71" s="239">
        <v>-1236</v>
      </c>
      <c r="BK71" s="239">
        <v>0</v>
      </c>
      <c r="BL71" s="239">
        <v>2471.5250000000001</v>
      </c>
      <c r="BM71" s="239">
        <v>617.88125000000002</v>
      </c>
      <c r="BN71" s="239">
        <v>0</v>
      </c>
      <c r="BO71" s="239">
        <v>0</v>
      </c>
      <c r="BP71" s="239">
        <v>0</v>
      </c>
      <c r="BQ71" s="239">
        <v>0</v>
      </c>
      <c r="BR71" s="239">
        <v>2472</v>
      </c>
      <c r="BS71" s="239">
        <v>618</v>
      </c>
      <c r="BT71" s="239">
        <v>0</v>
      </c>
      <c r="BU71" s="239">
        <v>365124.59750000003</v>
      </c>
      <c r="BV71" s="239">
        <v>91281.149375000008</v>
      </c>
      <c r="BW71" s="239">
        <v>0</v>
      </c>
      <c r="BX71" s="239">
        <v>338239</v>
      </c>
      <c r="BY71" s="239">
        <v>84560</v>
      </c>
      <c r="BZ71" s="239">
        <v>0</v>
      </c>
      <c r="CA71" s="239">
        <v>26886</v>
      </c>
      <c r="CB71" s="239">
        <v>6721</v>
      </c>
      <c r="CC71" s="239">
        <v>0</v>
      </c>
      <c r="CD71" s="239">
        <v>0</v>
      </c>
      <c r="CE71" s="239">
        <v>0</v>
      </c>
      <c r="CF71" s="239">
        <v>0</v>
      </c>
      <c r="CG71" s="239">
        <v>0</v>
      </c>
      <c r="CH71" s="239">
        <v>0</v>
      </c>
      <c r="CI71" s="239">
        <v>0</v>
      </c>
      <c r="CJ71" s="239">
        <v>0</v>
      </c>
      <c r="CK71" s="239">
        <v>0</v>
      </c>
      <c r="CL71" s="239">
        <v>0</v>
      </c>
      <c r="CM71" s="239">
        <v>13097.053333333335</v>
      </c>
      <c r="CN71" s="239">
        <v>3274.2633333333338</v>
      </c>
      <c r="CO71" s="239">
        <v>0</v>
      </c>
      <c r="CP71" s="239">
        <v>0</v>
      </c>
      <c r="CQ71" s="239">
        <v>0</v>
      </c>
      <c r="CR71" s="239">
        <v>0</v>
      </c>
      <c r="CS71" s="239">
        <v>13097</v>
      </c>
      <c r="CT71" s="239">
        <v>3274</v>
      </c>
      <c r="CU71" s="239">
        <v>0</v>
      </c>
      <c r="CV71" s="239">
        <v>171269.41125</v>
      </c>
      <c r="CW71" s="239">
        <v>42479.43145833334</v>
      </c>
      <c r="CX71" s="239">
        <v>0</v>
      </c>
      <c r="CY71" s="239">
        <v>175391</v>
      </c>
      <c r="CZ71" s="239">
        <v>43523</v>
      </c>
      <c r="DA71" s="239">
        <v>0</v>
      </c>
      <c r="DB71" s="239">
        <v>-4122</v>
      </c>
      <c r="DC71" s="239">
        <v>-1044</v>
      </c>
      <c r="DD71" s="239">
        <v>0</v>
      </c>
      <c r="DE71" s="214">
        <v>0.5</v>
      </c>
      <c r="DF71" s="214">
        <v>0.4</v>
      </c>
      <c r="DG71" s="214">
        <v>0.1</v>
      </c>
      <c r="DH71" s="214">
        <v>0</v>
      </c>
      <c r="DI71" s="214" t="s">
        <v>1294</v>
      </c>
    </row>
    <row r="72" spans="1:113" s="214" customFormat="1" x14ac:dyDescent="0.2">
      <c r="B72" s="610" t="s">
        <v>227</v>
      </c>
      <c r="C72" s="610" t="s">
        <v>226</v>
      </c>
      <c r="D72" s="239">
        <v>-138270</v>
      </c>
      <c r="E72" s="239">
        <v>0</v>
      </c>
      <c r="F72" s="239">
        <v>-138270</v>
      </c>
      <c r="G72" s="239">
        <v>0</v>
      </c>
      <c r="H72" s="239">
        <v>0</v>
      </c>
      <c r="I72" s="239">
        <v>0</v>
      </c>
      <c r="J72" s="239">
        <v>-138270</v>
      </c>
      <c r="K72" s="239">
        <v>0</v>
      </c>
      <c r="L72" s="239">
        <v>-138270</v>
      </c>
      <c r="M72" s="239">
        <v>381387</v>
      </c>
      <c r="N72" s="239">
        <v>381387</v>
      </c>
      <c r="O72" s="239">
        <v>0</v>
      </c>
      <c r="P72" s="239">
        <v>0</v>
      </c>
      <c r="Q72" s="239">
        <v>0</v>
      </c>
      <c r="R72" s="239">
        <v>0</v>
      </c>
      <c r="S72" s="239">
        <v>0</v>
      </c>
      <c r="T72" s="239">
        <v>0</v>
      </c>
      <c r="U72" s="239">
        <v>0</v>
      </c>
      <c r="V72" s="239">
        <v>0</v>
      </c>
      <c r="W72" s="239">
        <v>0</v>
      </c>
      <c r="X72" s="239">
        <v>0</v>
      </c>
      <c r="Y72" s="239">
        <v>0</v>
      </c>
      <c r="Z72" s="239">
        <v>0</v>
      </c>
      <c r="AA72" s="239">
        <v>0</v>
      </c>
      <c r="AB72" s="239">
        <v>0</v>
      </c>
      <c r="AC72" s="239">
        <v>0</v>
      </c>
      <c r="AD72" s="239">
        <v>0</v>
      </c>
      <c r="AE72" s="239">
        <v>0</v>
      </c>
      <c r="AF72" s="239">
        <v>0</v>
      </c>
      <c r="AG72" s="239">
        <v>0</v>
      </c>
      <c r="AH72" s="239">
        <v>0</v>
      </c>
      <c r="AI72" s="239">
        <v>0</v>
      </c>
      <c r="AJ72" s="239">
        <v>0</v>
      </c>
      <c r="AK72" s="239">
        <v>1395760.0443645832</v>
      </c>
      <c r="AL72" s="239">
        <v>0</v>
      </c>
      <c r="AM72" s="239">
        <v>28484.898864583331</v>
      </c>
      <c r="AN72" s="239">
        <v>1299652</v>
      </c>
      <c r="AO72" s="239">
        <v>0</v>
      </c>
      <c r="AP72" s="239">
        <v>26524</v>
      </c>
      <c r="AQ72" s="239">
        <v>96108</v>
      </c>
      <c r="AR72" s="239">
        <v>0</v>
      </c>
      <c r="AS72" s="239">
        <v>1961</v>
      </c>
      <c r="AT72" s="239">
        <v>0</v>
      </c>
      <c r="AU72" s="239">
        <v>0</v>
      </c>
      <c r="AV72" s="239">
        <v>0</v>
      </c>
      <c r="AW72" s="239">
        <v>0</v>
      </c>
      <c r="AX72" s="239">
        <v>0</v>
      </c>
      <c r="AY72" s="239">
        <v>0</v>
      </c>
      <c r="AZ72" s="239">
        <v>0</v>
      </c>
      <c r="BA72" s="239">
        <v>0</v>
      </c>
      <c r="BB72" s="239">
        <v>0</v>
      </c>
      <c r="BC72" s="239">
        <v>4508.1184166666662</v>
      </c>
      <c r="BD72" s="239">
        <v>0</v>
      </c>
      <c r="BE72" s="239">
        <v>92.002416666666676</v>
      </c>
      <c r="BF72" s="239">
        <v>16666</v>
      </c>
      <c r="BG72" s="239">
        <v>0</v>
      </c>
      <c r="BH72" s="239">
        <v>340</v>
      </c>
      <c r="BI72" s="239">
        <v>-12158</v>
      </c>
      <c r="BJ72" s="239">
        <v>0</v>
      </c>
      <c r="BK72" s="239">
        <v>-248</v>
      </c>
      <c r="BL72" s="239">
        <v>0</v>
      </c>
      <c r="BM72" s="239">
        <v>0</v>
      </c>
      <c r="BN72" s="239">
        <v>0</v>
      </c>
      <c r="BO72" s="239">
        <v>0</v>
      </c>
      <c r="BP72" s="239">
        <v>0</v>
      </c>
      <c r="BQ72" s="239">
        <v>0</v>
      </c>
      <c r="BR72" s="239">
        <v>0</v>
      </c>
      <c r="BS72" s="239">
        <v>0</v>
      </c>
      <c r="BT72" s="239">
        <v>0</v>
      </c>
      <c r="BU72" s="239">
        <v>5051.995958333333</v>
      </c>
      <c r="BV72" s="239">
        <v>0</v>
      </c>
      <c r="BW72" s="239">
        <v>103.10195833333333</v>
      </c>
      <c r="BX72" s="239">
        <v>543620</v>
      </c>
      <c r="BY72" s="239">
        <v>0</v>
      </c>
      <c r="BZ72" s="239">
        <v>11094</v>
      </c>
      <c r="CA72" s="239">
        <v>-538568</v>
      </c>
      <c r="CB72" s="239">
        <v>0</v>
      </c>
      <c r="CC72" s="239">
        <v>-10991</v>
      </c>
      <c r="CD72" s="239">
        <v>0</v>
      </c>
      <c r="CE72" s="239">
        <v>0</v>
      </c>
      <c r="CF72" s="239">
        <v>0</v>
      </c>
      <c r="CG72" s="239">
        <v>0</v>
      </c>
      <c r="CH72" s="239">
        <v>0</v>
      </c>
      <c r="CI72" s="239">
        <v>0</v>
      </c>
      <c r="CJ72" s="239">
        <v>0</v>
      </c>
      <c r="CK72" s="239">
        <v>0</v>
      </c>
      <c r="CL72" s="239">
        <v>0</v>
      </c>
      <c r="CM72" s="239">
        <v>0</v>
      </c>
      <c r="CN72" s="239">
        <v>0</v>
      </c>
      <c r="CO72" s="239">
        <v>0</v>
      </c>
      <c r="CP72" s="239">
        <v>0</v>
      </c>
      <c r="CQ72" s="239">
        <v>0</v>
      </c>
      <c r="CR72" s="239">
        <v>0</v>
      </c>
      <c r="CS72" s="239">
        <v>0</v>
      </c>
      <c r="CT72" s="239">
        <v>0</v>
      </c>
      <c r="CU72" s="239">
        <v>0</v>
      </c>
      <c r="CV72" s="239">
        <v>849430.51054166665</v>
      </c>
      <c r="CW72" s="239">
        <v>0</v>
      </c>
      <c r="CX72" s="239">
        <v>17335.316541666667</v>
      </c>
      <c r="CY72" s="239">
        <v>839923</v>
      </c>
      <c r="CZ72" s="239">
        <v>0</v>
      </c>
      <c r="DA72" s="239">
        <v>17141</v>
      </c>
      <c r="DB72" s="239">
        <v>9508</v>
      </c>
      <c r="DC72" s="239">
        <v>0</v>
      </c>
      <c r="DD72" s="239">
        <v>194</v>
      </c>
      <c r="DE72" s="214">
        <v>0.5</v>
      </c>
      <c r="DF72" s="214">
        <v>0.49</v>
      </c>
      <c r="DG72" s="214">
        <v>0</v>
      </c>
      <c r="DH72" s="214">
        <v>0.01</v>
      </c>
      <c r="DI72" s="214" t="s">
        <v>1296</v>
      </c>
    </row>
    <row r="73" spans="1:113" s="214" customFormat="1" x14ac:dyDescent="0.2">
      <c r="B73" s="610" t="s">
        <v>229</v>
      </c>
      <c r="C73" s="610" t="s">
        <v>228</v>
      </c>
      <c r="D73" s="239">
        <v>-36785</v>
      </c>
      <c r="E73" s="239">
        <v>0</v>
      </c>
      <c r="F73" s="239">
        <v>-36785</v>
      </c>
      <c r="G73" s="239">
        <v>0</v>
      </c>
      <c r="H73" s="239">
        <v>0</v>
      </c>
      <c r="I73" s="239">
        <v>0</v>
      </c>
      <c r="J73" s="239">
        <v>-36785</v>
      </c>
      <c r="K73" s="239">
        <v>0</v>
      </c>
      <c r="L73" s="239">
        <v>-36785</v>
      </c>
      <c r="M73" s="239">
        <v>120581</v>
      </c>
      <c r="N73" s="239">
        <v>120581</v>
      </c>
      <c r="O73" s="239">
        <v>0</v>
      </c>
      <c r="P73" s="239">
        <v>0</v>
      </c>
      <c r="Q73" s="239">
        <v>0</v>
      </c>
      <c r="R73" s="239">
        <v>0</v>
      </c>
      <c r="S73" s="239">
        <v>0</v>
      </c>
      <c r="T73" s="239">
        <v>0</v>
      </c>
      <c r="U73" s="239">
        <v>0</v>
      </c>
      <c r="V73" s="239">
        <v>0</v>
      </c>
      <c r="W73" s="239">
        <v>0</v>
      </c>
      <c r="X73" s="239">
        <v>0</v>
      </c>
      <c r="Y73" s="239">
        <v>0</v>
      </c>
      <c r="Z73" s="239">
        <v>0</v>
      </c>
      <c r="AA73" s="239">
        <v>0</v>
      </c>
      <c r="AB73" s="239">
        <v>0</v>
      </c>
      <c r="AC73" s="239">
        <v>0</v>
      </c>
      <c r="AD73" s="239">
        <v>0</v>
      </c>
      <c r="AE73" s="239">
        <v>0</v>
      </c>
      <c r="AF73" s="239">
        <v>0</v>
      </c>
      <c r="AG73" s="239">
        <v>0</v>
      </c>
      <c r="AH73" s="239">
        <v>0</v>
      </c>
      <c r="AI73" s="239">
        <v>0</v>
      </c>
      <c r="AJ73" s="239">
        <v>0</v>
      </c>
      <c r="AK73" s="239">
        <v>511375.97333333333</v>
      </c>
      <c r="AL73" s="239">
        <v>115059.594</v>
      </c>
      <c r="AM73" s="239">
        <v>12784.399333333335</v>
      </c>
      <c r="AN73" s="239">
        <v>465693</v>
      </c>
      <c r="AO73" s="239">
        <v>104782</v>
      </c>
      <c r="AP73" s="239">
        <v>11642</v>
      </c>
      <c r="AQ73" s="239">
        <v>45683</v>
      </c>
      <c r="AR73" s="239">
        <v>10278</v>
      </c>
      <c r="AS73" s="239">
        <v>1142</v>
      </c>
      <c r="AT73" s="239">
        <v>0</v>
      </c>
      <c r="AU73" s="239">
        <v>0</v>
      </c>
      <c r="AV73" s="239">
        <v>0</v>
      </c>
      <c r="AW73" s="239">
        <v>0</v>
      </c>
      <c r="AX73" s="239">
        <v>0</v>
      </c>
      <c r="AY73" s="239">
        <v>0</v>
      </c>
      <c r="AZ73" s="239">
        <v>0</v>
      </c>
      <c r="BA73" s="239">
        <v>0</v>
      </c>
      <c r="BB73" s="239">
        <v>0</v>
      </c>
      <c r="BC73" s="239">
        <v>1542.1666666666667</v>
      </c>
      <c r="BD73" s="239">
        <v>346.98749999999995</v>
      </c>
      <c r="BE73" s="239">
        <v>38.554166666666667</v>
      </c>
      <c r="BF73" s="239">
        <v>2231</v>
      </c>
      <c r="BG73" s="239">
        <v>502</v>
      </c>
      <c r="BH73" s="239">
        <v>56</v>
      </c>
      <c r="BI73" s="239">
        <v>-689</v>
      </c>
      <c r="BJ73" s="239">
        <v>-155</v>
      </c>
      <c r="BK73" s="239">
        <v>-17</v>
      </c>
      <c r="BL73" s="239">
        <v>6732.3691666666673</v>
      </c>
      <c r="BM73" s="239">
        <v>1514.7830624999999</v>
      </c>
      <c r="BN73" s="239">
        <v>168.30922916666665</v>
      </c>
      <c r="BO73" s="239">
        <v>12175</v>
      </c>
      <c r="BP73" s="239">
        <v>2740</v>
      </c>
      <c r="BQ73" s="239">
        <v>304</v>
      </c>
      <c r="BR73" s="239">
        <v>-5443</v>
      </c>
      <c r="BS73" s="239">
        <v>-1225</v>
      </c>
      <c r="BT73" s="239">
        <v>-136</v>
      </c>
      <c r="BU73" s="239">
        <v>224602.37083333338</v>
      </c>
      <c r="BV73" s="239">
        <v>50535.533437500002</v>
      </c>
      <c r="BW73" s="239">
        <v>5615.0592708333334</v>
      </c>
      <c r="BX73" s="239">
        <v>243499</v>
      </c>
      <c r="BY73" s="239">
        <v>54788</v>
      </c>
      <c r="BZ73" s="239">
        <v>6088</v>
      </c>
      <c r="CA73" s="239">
        <v>-18897</v>
      </c>
      <c r="CB73" s="239">
        <v>-4252</v>
      </c>
      <c r="CC73" s="239">
        <v>-473</v>
      </c>
      <c r="CD73" s="239">
        <v>3110.3066666666668</v>
      </c>
      <c r="CE73" s="239">
        <v>699.81899999999996</v>
      </c>
      <c r="CF73" s="239">
        <v>77.757666666666665</v>
      </c>
      <c r="CG73" s="239">
        <v>6595</v>
      </c>
      <c r="CH73" s="239">
        <v>0</v>
      </c>
      <c r="CI73" s="239">
        <v>0</v>
      </c>
      <c r="CJ73" s="239">
        <v>-3485</v>
      </c>
      <c r="CK73" s="239">
        <v>700</v>
      </c>
      <c r="CL73" s="239">
        <v>78</v>
      </c>
      <c r="CM73" s="239">
        <v>0</v>
      </c>
      <c r="CN73" s="239">
        <v>0</v>
      </c>
      <c r="CO73" s="239">
        <v>0</v>
      </c>
      <c r="CP73" s="239">
        <v>0</v>
      </c>
      <c r="CQ73" s="239">
        <v>0</v>
      </c>
      <c r="CR73" s="239">
        <v>0</v>
      </c>
      <c r="CS73" s="239">
        <v>0</v>
      </c>
      <c r="CT73" s="239">
        <v>0</v>
      </c>
      <c r="CU73" s="239">
        <v>0</v>
      </c>
      <c r="CV73" s="239">
        <v>95752.136666666687</v>
      </c>
      <c r="CW73" s="239">
        <v>21544.230749999999</v>
      </c>
      <c r="CX73" s="239">
        <v>2393.8034166666666</v>
      </c>
      <c r="CY73" s="239">
        <v>102806</v>
      </c>
      <c r="CZ73" s="239">
        <v>23131</v>
      </c>
      <c r="DA73" s="239">
        <v>2570</v>
      </c>
      <c r="DB73" s="239">
        <v>-7054</v>
      </c>
      <c r="DC73" s="239">
        <v>-1587</v>
      </c>
      <c r="DD73" s="239">
        <v>-176</v>
      </c>
      <c r="DE73" s="214">
        <v>0.5</v>
      </c>
      <c r="DF73" s="214">
        <v>0.4</v>
      </c>
      <c r="DG73" s="214">
        <v>0.09</v>
      </c>
      <c r="DH73" s="214">
        <v>0.01</v>
      </c>
      <c r="DI73" s="214" t="s">
        <v>1294</v>
      </c>
    </row>
    <row r="74" spans="1:113" s="214" customFormat="1" x14ac:dyDescent="0.2">
      <c r="B74" s="610" t="s">
        <v>231</v>
      </c>
      <c r="C74" s="610" t="s">
        <v>230</v>
      </c>
      <c r="D74" s="239">
        <v>-472291</v>
      </c>
      <c r="E74" s="239">
        <v>0</v>
      </c>
      <c r="F74" s="239">
        <v>-472291</v>
      </c>
      <c r="G74" s="239">
        <v>0</v>
      </c>
      <c r="H74" s="239">
        <v>0</v>
      </c>
      <c r="I74" s="239">
        <v>0</v>
      </c>
      <c r="J74" s="239">
        <v>-472291</v>
      </c>
      <c r="K74" s="239">
        <v>0</v>
      </c>
      <c r="L74" s="239">
        <v>-472291</v>
      </c>
      <c r="M74" s="239">
        <v>208046</v>
      </c>
      <c r="N74" s="239">
        <v>208046</v>
      </c>
      <c r="O74" s="239">
        <v>0</v>
      </c>
      <c r="P74" s="239">
        <v>0</v>
      </c>
      <c r="Q74" s="239">
        <v>0</v>
      </c>
      <c r="R74" s="239">
        <v>0</v>
      </c>
      <c r="S74" s="239">
        <v>0</v>
      </c>
      <c r="T74" s="239">
        <v>0</v>
      </c>
      <c r="U74" s="239">
        <v>0</v>
      </c>
      <c r="V74" s="239">
        <v>0</v>
      </c>
      <c r="W74" s="239">
        <v>0</v>
      </c>
      <c r="X74" s="239">
        <v>0</v>
      </c>
      <c r="Y74" s="239">
        <v>0</v>
      </c>
      <c r="Z74" s="239">
        <v>0</v>
      </c>
      <c r="AA74" s="239">
        <v>0</v>
      </c>
      <c r="AB74" s="239">
        <v>0</v>
      </c>
      <c r="AC74" s="239">
        <v>0</v>
      </c>
      <c r="AD74" s="239">
        <v>0</v>
      </c>
      <c r="AE74" s="239">
        <v>0</v>
      </c>
      <c r="AF74" s="239">
        <v>0</v>
      </c>
      <c r="AG74" s="239">
        <v>0</v>
      </c>
      <c r="AH74" s="239">
        <v>0</v>
      </c>
      <c r="AI74" s="239">
        <v>0</v>
      </c>
      <c r="AJ74" s="239">
        <v>0</v>
      </c>
      <c r="AK74" s="239">
        <v>164988.49791666667</v>
      </c>
      <c r="AL74" s="239">
        <v>41247.124479166669</v>
      </c>
      <c r="AM74" s="239">
        <v>0</v>
      </c>
      <c r="AN74" s="239">
        <v>150078</v>
      </c>
      <c r="AO74" s="239">
        <v>37520</v>
      </c>
      <c r="AP74" s="239">
        <v>0</v>
      </c>
      <c r="AQ74" s="239">
        <v>14910</v>
      </c>
      <c r="AR74" s="239">
        <v>3727</v>
      </c>
      <c r="AS74" s="239">
        <v>0</v>
      </c>
      <c r="AT74" s="239">
        <v>1259.3008333333332</v>
      </c>
      <c r="AU74" s="239">
        <v>314.82520833333331</v>
      </c>
      <c r="AV74" s="239">
        <v>0</v>
      </c>
      <c r="AW74" s="239">
        <v>1169</v>
      </c>
      <c r="AX74" s="239">
        <v>292</v>
      </c>
      <c r="AY74" s="239">
        <v>0</v>
      </c>
      <c r="AZ74" s="239">
        <v>90</v>
      </c>
      <c r="BA74" s="239">
        <v>23</v>
      </c>
      <c r="BB74" s="239">
        <v>0</v>
      </c>
      <c r="BC74" s="239">
        <v>45000.82916666667</v>
      </c>
      <c r="BD74" s="239">
        <v>11250.207291666668</v>
      </c>
      <c r="BE74" s="239">
        <v>0</v>
      </c>
      <c r="BF74" s="239">
        <v>0</v>
      </c>
      <c r="BG74" s="239">
        <v>0</v>
      </c>
      <c r="BH74" s="239">
        <v>0</v>
      </c>
      <c r="BI74" s="239">
        <v>45001</v>
      </c>
      <c r="BJ74" s="239">
        <v>11250</v>
      </c>
      <c r="BK74" s="239">
        <v>0</v>
      </c>
      <c r="BL74" s="239">
        <v>31991.030000000002</v>
      </c>
      <c r="BM74" s="239">
        <v>7997.7575000000006</v>
      </c>
      <c r="BN74" s="239">
        <v>0</v>
      </c>
      <c r="BO74" s="239">
        <v>4625</v>
      </c>
      <c r="BP74" s="239">
        <v>1156</v>
      </c>
      <c r="BQ74" s="239">
        <v>0</v>
      </c>
      <c r="BR74" s="239">
        <v>27366</v>
      </c>
      <c r="BS74" s="239">
        <v>6842</v>
      </c>
      <c r="BT74" s="239">
        <v>0</v>
      </c>
      <c r="BU74" s="239">
        <v>164266.72333333333</v>
      </c>
      <c r="BV74" s="239">
        <v>41066.680833333332</v>
      </c>
      <c r="BW74" s="239">
        <v>0</v>
      </c>
      <c r="BX74" s="239">
        <v>146099</v>
      </c>
      <c r="BY74" s="239">
        <v>36526</v>
      </c>
      <c r="BZ74" s="239">
        <v>0</v>
      </c>
      <c r="CA74" s="239">
        <v>18168</v>
      </c>
      <c r="CB74" s="239">
        <v>4541</v>
      </c>
      <c r="CC74" s="239">
        <v>0</v>
      </c>
      <c r="CD74" s="239">
        <v>0</v>
      </c>
      <c r="CE74" s="239">
        <v>0</v>
      </c>
      <c r="CF74" s="239">
        <v>0</v>
      </c>
      <c r="CG74" s="239">
        <v>0</v>
      </c>
      <c r="CH74" s="239">
        <v>0</v>
      </c>
      <c r="CI74" s="239">
        <v>0</v>
      </c>
      <c r="CJ74" s="239">
        <v>0</v>
      </c>
      <c r="CK74" s="239">
        <v>0</v>
      </c>
      <c r="CL74" s="239">
        <v>0</v>
      </c>
      <c r="CM74" s="239">
        <v>1679.7441666666666</v>
      </c>
      <c r="CN74" s="239">
        <v>419.93604166666665</v>
      </c>
      <c r="CO74" s="239">
        <v>0</v>
      </c>
      <c r="CP74" s="239">
        <v>0</v>
      </c>
      <c r="CQ74" s="239">
        <v>0</v>
      </c>
      <c r="CR74" s="239">
        <v>0</v>
      </c>
      <c r="CS74" s="239">
        <v>1680</v>
      </c>
      <c r="CT74" s="239">
        <v>420</v>
      </c>
      <c r="CU74" s="239">
        <v>0</v>
      </c>
      <c r="CV74" s="239">
        <v>666056.27083333337</v>
      </c>
      <c r="CW74" s="239">
        <v>166514.06770833334</v>
      </c>
      <c r="CX74" s="239">
        <v>0</v>
      </c>
      <c r="CY74" s="239">
        <v>689531</v>
      </c>
      <c r="CZ74" s="239">
        <v>172383</v>
      </c>
      <c r="DA74" s="239">
        <v>0</v>
      </c>
      <c r="DB74" s="239">
        <v>-23475</v>
      </c>
      <c r="DC74" s="239">
        <v>-5869</v>
      </c>
      <c r="DD74" s="239">
        <v>0</v>
      </c>
      <c r="DE74" s="214">
        <v>0.5</v>
      </c>
      <c r="DF74" s="214">
        <v>0.4</v>
      </c>
      <c r="DG74" s="214">
        <v>0.1</v>
      </c>
      <c r="DH74" s="214">
        <v>0</v>
      </c>
      <c r="DI74" s="214" t="s">
        <v>1294</v>
      </c>
    </row>
    <row r="75" spans="1:113" s="214" customFormat="1" x14ac:dyDescent="0.2">
      <c r="A75" s="215" t="s">
        <v>1321</v>
      </c>
      <c r="B75" s="610" t="s">
        <v>233</v>
      </c>
      <c r="C75" s="610" t="s">
        <v>232</v>
      </c>
      <c r="D75" s="239">
        <v>-236177</v>
      </c>
      <c r="E75" s="239">
        <v>0</v>
      </c>
      <c r="F75" s="239">
        <v>-236177</v>
      </c>
      <c r="G75" s="239">
        <v>0</v>
      </c>
      <c r="H75" s="239">
        <v>0</v>
      </c>
      <c r="I75" s="239">
        <v>0</v>
      </c>
      <c r="J75" s="239">
        <v>-236177</v>
      </c>
      <c r="K75" s="239">
        <v>0</v>
      </c>
      <c r="L75" s="239">
        <v>-236177</v>
      </c>
      <c r="M75" s="239">
        <v>427611</v>
      </c>
      <c r="N75" s="239">
        <v>427611</v>
      </c>
      <c r="O75" s="239">
        <v>0</v>
      </c>
      <c r="P75" s="239">
        <v>0</v>
      </c>
      <c r="Q75" s="239">
        <v>0</v>
      </c>
      <c r="R75" s="239">
        <v>0</v>
      </c>
      <c r="S75" s="239">
        <v>0</v>
      </c>
      <c r="T75" s="239">
        <v>0</v>
      </c>
      <c r="U75" s="239">
        <v>0</v>
      </c>
      <c r="V75" s="239">
        <v>0</v>
      </c>
      <c r="W75" s="239">
        <v>0</v>
      </c>
      <c r="X75" s="239">
        <v>0</v>
      </c>
      <c r="Y75" s="239">
        <v>41185.995833333334</v>
      </c>
      <c r="Z75" s="239">
        <v>24711.5975</v>
      </c>
      <c r="AA75" s="239">
        <v>16474.398333333334</v>
      </c>
      <c r="AB75" s="239">
        <v>0</v>
      </c>
      <c r="AC75" s="239">
        <v>0</v>
      </c>
      <c r="AD75" s="239">
        <v>0</v>
      </c>
      <c r="AE75" s="239">
        <v>0</v>
      </c>
      <c r="AF75" s="239">
        <v>0</v>
      </c>
      <c r="AG75" s="239">
        <v>41186</v>
      </c>
      <c r="AH75" s="239">
        <v>24712</v>
      </c>
      <c r="AI75" s="239">
        <v>16474</v>
      </c>
      <c r="AJ75" s="239">
        <v>0</v>
      </c>
      <c r="AK75" s="239">
        <v>907231.08250000002</v>
      </c>
      <c r="AL75" s="239">
        <v>604820.72166666668</v>
      </c>
      <c r="AM75" s="239">
        <v>0</v>
      </c>
      <c r="AN75" s="239">
        <v>916793</v>
      </c>
      <c r="AO75" s="239">
        <v>611194</v>
      </c>
      <c r="AP75" s="239">
        <v>0</v>
      </c>
      <c r="AQ75" s="239">
        <v>-9562</v>
      </c>
      <c r="AR75" s="239">
        <v>-6373</v>
      </c>
      <c r="AS75" s="239">
        <v>0</v>
      </c>
      <c r="AT75" s="239">
        <v>41817.168125000004</v>
      </c>
      <c r="AU75" s="239">
        <v>27878.112083333337</v>
      </c>
      <c r="AV75" s="239">
        <v>0</v>
      </c>
      <c r="AW75" s="239">
        <v>2678</v>
      </c>
      <c r="AX75" s="239">
        <v>1786</v>
      </c>
      <c r="AY75" s="239">
        <v>0</v>
      </c>
      <c r="AZ75" s="239">
        <v>39139</v>
      </c>
      <c r="BA75" s="239">
        <v>26092</v>
      </c>
      <c r="BB75" s="239">
        <v>0</v>
      </c>
      <c r="BC75" s="239">
        <v>0</v>
      </c>
      <c r="BD75" s="239">
        <v>0</v>
      </c>
      <c r="BE75" s="239">
        <v>0</v>
      </c>
      <c r="BF75" s="239">
        <v>0</v>
      </c>
      <c r="BG75" s="239">
        <v>0</v>
      </c>
      <c r="BH75" s="239">
        <v>0</v>
      </c>
      <c r="BI75" s="239">
        <v>0</v>
      </c>
      <c r="BJ75" s="239">
        <v>0</v>
      </c>
      <c r="BK75" s="239">
        <v>0</v>
      </c>
      <c r="BL75" s="239">
        <v>402182.86249999999</v>
      </c>
      <c r="BM75" s="239">
        <v>268121.90833333333</v>
      </c>
      <c r="BN75" s="239">
        <v>0</v>
      </c>
      <c r="BO75" s="239">
        <v>979</v>
      </c>
      <c r="BP75" s="239">
        <v>652</v>
      </c>
      <c r="BQ75" s="239">
        <v>0</v>
      </c>
      <c r="BR75" s="239">
        <v>401204</v>
      </c>
      <c r="BS75" s="239">
        <v>267470</v>
      </c>
      <c r="BT75" s="239">
        <v>0</v>
      </c>
      <c r="BU75" s="239">
        <v>0</v>
      </c>
      <c r="BV75" s="239">
        <v>0</v>
      </c>
      <c r="BW75" s="239">
        <v>0</v>
      </c>
      <c r="BX75" s="239">
        <v>210440</v>
      </c>
      <c r="BY75" s="239">
        <v>140292</v>
      </c>
      <c r="BZ75" s="239">
        <v>0</v>
      </c>
      <c r="CA75" s="239">
        <v>-210440</v>
      </c>
      <c r="CB75" s="239">
        <v>-140292</v>
      </c>
      <c r="CC75" s="239">
        <v>0</v>
      </c>
      <c r="CD75" s="239">
        <v>0</v>
      </c>
      <c r="CE75" s="239">
        <v>0</v>
      </c>
      <c r="CF75" s="239">
        <v>0</v>
      </c>
      <c r="CG75" s="239">
        <v>0</v>
      </c>
      <c r="CH75" s="239">
        <v>0</v>
      </c>
      <c r="CI75" s="239">
        <v>0</v>
      </c>
      <c r="CJ75" s="239">
        <v>0</v>
      </c>
      <c r="CK75" s="239">
        <v>0</v>
      </c>
      <c r="CL75" s="239">
        <v>0</v>
      </c>
      <c r="CM75" s="239">
        <v>0</v>
      </c>
      <c r="CN75" s="239">
        <v>0</v>
      </c>
      <c r="CO75" s="239">
        <v>0</v>
      </c>
      <c r="CP75" s="239">
        <v>0</v>
      </c>
      <c r="CQ75" s="239">
        <v>0</v>
      </c>
      <c r="CR75" s="239">
        <v>0</v>
      </c>
      <c r="CS75" s="239">
        <v>0</v>
      </c>
      <c r="CT75" s="239">
        <v>0</v>
      </c>
      <c r="CU75" s="239">
        <v>0</v>
      </c>
      <c r="CV75" s="239">
        <v>383508.61062499997</v>
      </c>
      <c r="CW75" s="239">
        <v>255672.40708333332</v>
      </c>
      <c r="CX75" s="239">
        <v>0</v>
      </c>
      <c r="CY75" s="239">
        <v>502670</v>
      </c>
      <c r="CZ75" s="239">
        <v>335114</v>
      </c>
      <c r="DA75" s="239">
        <v>0</v>
      </c>
      <c r="DB75" s="239">
        <v>-119161</v>
      </c>
      <c r="DC75" s="239">
        <v>-79442</v>
      </c>
      <c r="DD75" s="239">
        <v>0</v>
      </c>
      <c r="DE75" s="214">
        <v>0.5</v>
      </c>
      <c r="DF75" s="214">
        <v>0.3</v>
      </c>
      <c r="DG75" s="214">
        <v>0.2</v>
      </c>
      <c r="DH75" s="214">
        <v>0</v>
      </c>
      <c r="DI75" s="214" t="s">
        <v>1295</v>
      </c>
    </row>
    <row r="76" spans="1:113" s="214" customFormat="1" x14ac:dyDescent="0.2">
      <c r="B76" s="610" t="s">
        <v>235</v>
      </c>
      <c r="C76" s="610" t="s">
        <v>234</v>
      </c>
      <c r="D76" s="239">
        <v>-419656</v>
      </c>
      <c r="E76" s="239">
        <v>0</v>
      </c>
      <c r="F76" s="239">
        <v>-419656</v>
      </c>
      <c r="G76" s="239">
        <v>0</v>
      </c>
      <c r="H76" s="239">
        <v>0</v>
      </c>
      <c r="I76" s="239">
        <v>0</v>
      </c>
      <c r="J76" s="239">
        <v>-419656</v>
      </c>
      <c r="K76" s="239">
        <v>0</v>
      </c>
      <c r="L76" s="239">
        <v>-419656</v>
      </c>
      <c r="M76" s="239">
        <v>218200</v>
      </c>
      <c r="N76" s="239">
        <v>218200</v>
      </c>
      <c r="O76" s="239">
        <v>0</v>
      </c>
      <c r="P76" s="239">
        <v>0</v>
      </c>
      <c r="Q76" s="239">
        <v>0</v>
      </c>
      <c r="R76" s="239">
        <v>0</v>
      </c>
      <c r="S76" s="239">
        <v>0</v>
      </c>
      <c r="T76" s="239">
        <v>0</v>
      </c>
      <c r="U76" s="239">
        <v>0</v>
      </c>
      <c r="V76" s="239">
        <v>0</v>
      </c>
      <c r="W76" s="239">
        <v>0</v>
      </c>
      <c r="X76" s="239">
        <v>0</v>
      </c>
      <c r="Y76" s="239">
        <v>0</v>
      </c>
      <c r="Z76" s="239">
        <v>0</v>
      </c>
      <c r="AA76" s="239">
        <v>0</v>
      </c>
      <c r="AB76" s="239">
        <v>0</v>
      </c>
      <c r="AC76" s="239">
        <v>0</v>
      </c>
      <c r="AD76" s="239">
        <v>0</v>
      </c>
      <c r="AE76" s="239">
        <v>0</v>
      </c>
      <c r="AF76" s="239">
        <v>0</v>
      </c>
      <c r="AG76" s="239">
        <v>0</v>
      </c>
      <c r="AH76" s="239">
        <v>0</v>
      </c>
      <c r="AI76" s="239">
        <v>0</v>
      </c>
      <c r="AJ76" s="239">
        <v>0</v>
      </c>
      <c r="AK76" s="239">
        <v>476246.25877083332</v>
      </c>
      <c r="AL76" s="239">
        <v>119061.56469270833</v>
      </c>
      <c r="AM76" s="239">
        <v>0</v>
      </c>
      <c r="AN76" s="239">
        <v>432223</v>
      </c>
      <c r="AO76" s="239">
        <v>108056</v>
      </c>
      <c r="AP76" s="239">
        <v>0</v>
      </c>
      <c r="AQ76" s="239">
        <v>44023</v>
      </c>
      <c r="AR76" s="239">
        <v>11006</v>
      </c>
      <c r="AS76" s="239">
        <v>0</v>
      </c>
      <c r="AT76" s="239">
        <v>0</v>
      </c>
      <c r="AU76" s="239">
        <v>0</v>
      </c>
      <c r="AV76" s="239">
        <v>0</v>
      </c>
      <c r="AW76" s="239">
        <v>22164</v>
      </c>
      <c r="AX76" s="239">
        <v>5542</v>
      </c>
      <c r="AY76" s="239">
        <v>0</v>
      </c>
      <c r="AZ76" s="239">
        <v>-22164</v>
      </c>
      <c r="BA76" s="239">
        <v>-5542</v>
      </c>
      <c r="BB76" s="239">
        <v>0</v>
      </c>
      <c r="BC76" s="239">
        <v>0</v>
      </c>
      <c r="BD76" s="239">
        <v>0</v>
      </c>
      <c r="BE76" s="239">
        <v>0</v>
      </c>
      <c r="BF76" s="239">
        <v>0</v>
      </c>
      <c r="BG76" s="239">
        <v>0</v>
      </c>
      <c r="BH76" s="239">
        <v>0</v>
      </c>
      <c r="BI76" s="239">
        <v>0</v>
      </c>
      <c r="BJ76" s="239">
        <v>0</v>
      </c>
      <c r="BK76" s="239">
        <v>0</v>
      </c>
      <c r="BL76" s="239">
        <v>14259.36</v>
      </c>
      <c r="BM76" s="239">
        <v>3564.84</v>
      </c>
      <c r="BN76" s="239">
        <v>0</v>
      </c>
      <c r="BO76" s="239">
        <v>5803</v>
      </c>
      <c r="BP76" s="239">
        <v>1450</v>
      </c>
      <c r="BQ76" s="239">
        <v>0</v>
      </c>
      <c r="BR76" s="239">
        <v>8456</v>
      </c>
      <c r="BS76" s="239">
        <v>2115</v>
      </c>
      <c r="BT76" s="239">
        <v>0</v>
      </c>
      <c r="BU76" s="239">
        <v>361456.67583333334</v>
      </c>
      <c r="BV76" s="239">
        <v>90364.168958333335</v>
      </c>
      <c r="BW76" s="239">
        <v>0</v>
      </c>
      <c r="BX76" s="239">
        <v>300418</v>
      </c>
      <c r="BY76" s="239">
        <v>75104</v>
      </c>
      <c r="BZ76" s="239">
        <v>0</v>
      </c>
      <c r="CA76" s="239">
        <v>61039</v>
      </c>
      <c r="CB76" s="239">
        <v>15260</v>
      </c>
      <c r="CC76" s="239">
        <v>0</v>
      </c>
      <c r="CD76" s="239">
        <v>0</v>
      </c>
      <c r="CE76" s="239">
        <v>0</v>
      </c>
      <c r="CF76" s="239">
        <v>0</v>
      </c>
      <c r="CG76" s="239">
        <v>0</v>
      </c>
      <c r="CH76" s="239">
        <v>0</v>
      </c>
      <c r="CI76" s="239">
        <v>0</v>
      </c>
      <c r="CJ76" s="239">
        <v>0</v>
      </c>
      <c r="CK76" s="239">
        <v>0</v>
      </c>
      <c r="CL76" s="239">
        <v>0</v>
      </c>
      <c r="CM76" s="239">
        <v>0</v>
      </c>
      <c r="CN76" s="239">
        <v>0</v>
      </c>
      <c r="CO76" s="239">
        <v>0</v>
      </c>
      <c r="CP76" s="239">
        <v>0</v>
      </c>
      <c r="CQ76" s="239">
        <v>0</v>
      </c>
      <c r="CR76" s="239">
        <v>0</v>
      </c>
      <c r="CS76" s="239">
        <v>0</v>
      </c>
      <c r="CT76" s="239">
        <v>0</v>
      </c>
      <c r="CU76" s="239">
        <v>0</v>
      </c>
      <c r="CV76" s="239">
        <v>359773.8783333333</v>
      </c>
      <c r="CW76" s="239">
        <v>89943.469583333324</v>
      </c>
      <c r="CX76" s="239">
        <v>0</v>
      </c>
      <c r="CY76" s="239">
        <v>351069</v>
      </c>
      <c r="CZ76" s="239">
        <v>87767</v>
      </c>
      <c r="DA76" s="239">
        <v>0</v>
      </c>
      <c r="DB76" s="239">
        <v>8705</v>
      </c>
      <c r="DC76" s="239">
        <v>2176</v>
      </c>
      <c r="DD76" s="239">
        <v>0</v>
      </c>
      <c r="DE76" s="214">
        <v>0.5</v>
      </c>
      <c r="DF76" s="214">
        <v>0.4</v>
      </c>
      <c r="DG76" s="214">
        <v>0.1</v>
      </c>
      <c r="DH76" s="214">
        <v>0</v>
      </c>
      <c r="DI76" s="214" t="s">
        <v>1294</v>
      </c>
    </row>
    <row r="77" spans="1:113" s="214" customFormat="1" x14ac:dyDescent="0.2">
      <c r="B77" s="610" t="s">
        <v>237</v>
      </c>
      <c r="C77" s="610" t="s">
        <v>236</v>
      </c>
      <c r="D77" s="239">
        <v>-204680</v>
      </c>
      <c r="E77" s="239">
        <v>0</v>
      </c>
      <c r="F77" s="239">
        <v>-204680</v>
      </c>
      <c r="G77" s="239">
        <v>0</v>
      </c>
      <c r="H77" s="239">
        <v>0</v>
      </c>
      <c r="I77" s="239">
        <v>0</v>
      </c>
      <c r="J77" s="239">
        <v>-204680</v>
      </c>
      <c r="K77" s="239">
        <v>0</v>
      </c>
      <c r="L77" s="239">
        <v>-204680</v>
      </c>
      <c r="M77" s="239">
        <v>145025</v>
      </c>
      <c r="N77" s="239">
        <v>145025</v>
      </c>
      <c r="O77" s="239">
        <v>0</v>
      </c>
      <c r="P77" s="239">
        <v>0</v>
      </c>
      <c r="Q77" s="239">
        <v>0</v>
      </c>
      <c r="R77" s="239">
        <v>0</v>
      </c>
      <c r="S77" s="239">
        <v>0</v>
      </c>
      <c r="T77" s="239">
        <v>0</v>
      </c>
      <c r="U77" s="239">
        <v>0</v>
      </c>
      <c r="V77" s="239">
        <v>0</v>
      </c>
      <c r="W77" s="239">
        <v>0</v>
      </c>
      <c r="X77" s="239">
        <v>0</v>
      </c>
      <c r="Y77" s="239">
        <v>0</v>
      </c>
      <c r="Z77" s="239">
        <v>0</v>
      </c>
      <c r="AA77" s="239">
        <v>0</v>
      </c>
      <c r="AB77" s="239">
        <v>0</v>
      </c>
      <c r="AC77" s="239">
        <v>0</v>
      </c>
      <c r="AD77" s="239">
        <v>0</v>
      </c>
      <c r="AE77" s="239">
        <v>0</v>
      </c>
      <c r="AF77" s="239">
        <v>0</v>
      </c>
      <c r="AG77" s="239">
        <v>0</v>
      </c>
      <c r="AH77" s="239">
        <v>0</v>
      </c>
      <c r="AI77" s="239">
        <v>0</v>
      </c>
      <c r="AJ77" s="239">
        <v>0</v>
      </c>
      <c r="AK77" s="239">
        <v>635519.9131458333</v>
      </c>
      <c r="AL77" s="239">
        <v>0</v>
      </c>
      <c r="AM77" s="239">
        <v>12969.794145833333</v>
      </c>
      <c r="AN77" s="239">
        <v>553602</v>
      </c>
      <c r="AO77" s="239">
        <v>0</v>
      </c>
      <c r="AP77" s="239">
        <v>11298</v>
      </c>
      <c r="AQ77" s="239">
        <v>81918</v>
      </c>
      <c r="AR77" s="239">
        <v>0</v>
      </c>
      <c r="AS77" s="239">
        <v>1672</v>
      </c>
      <c r="AT77" s="239">
        <v>0</v>
      </c>
      <c r="AU77" s="239">
        <v>0</v>
      </c>
      <c r="AV77" s="239">
        <v>0</v>
      </c>
      <c r="AW77" s="239">
        <v>0</v>
      </c>
      <c r="AX77" s="239">
        <v>0</v>
      </c>
      <c r="AY77" s="239">
        <v>0</v>
      </c>
      <c r="AZ77" s="239">
        <v>0</v>
      </c>
      <c r="BA77" s="239">
        <v>0</v>
      </c>
      <c r="BB77" s="239">
        <v>0</v>
      </c>
      <c r="BC77" s="239">
        <v>47816.480541666664</v>
      </c>
      <c r="BD77" s="239">
        <v>0</v>
      </c>
      <c r="BE77" s="239">
        <v>975.84654166666678</v>
      </c>
      <c r="BF77" s="239">
        <v>0</v>
      </c>
      <c r="BG77" s="239">
        <v>0</v>
      </c>
      <c r="BH77" s="239">
        <v>0</v>
      </c>
      <c r="BI77" s="239">
        <v>47816</v>
      </c>
      <c r="BJ77" s="239">
        <v>0</v>
      </c>
      <c r="BK77" s="239">
        <v>976</v>
      </c>
      <c r="BL77" s="239">
        <v>33960.031875000001</v>
      </c>
      <c r="BM77" s="239">
        <v>0</v>
      </c>
      <c r="BN77" s="239">
        <v>693.0618750000001</v>
      </c>
      <c r="BO77" s="239">
        <v>9647</v>
      </c>
      <c r="BP77" s="239">
        <v>0</v>
      </c>
      <c r="BQ77" s="239">
        <v>196</v>
      </c>
      <c r="BR77" s="239">
        <v>24313</v>
      </c>
      <c r="BS77" s="239">
        <v>0</v>
      </c>
      <c r="BT77" s="239">
        <v>497</v>
      </c>
      <c r="BU77" s="239">
        <v>324117.70606250002</v>
      </c>
      <c r="BV77" s="239">
        <v>0</v>
      </c>
      <c r="BW77" s="239">
        <v>6614.6470625000002</v>
      </c>
      <c r="BX77" s="239">
        <v>243080</v>
      </c>
      <c r="BY77" s="239">
        <v>0</v>
      </c>
      <c r="BZ77" s="239">
        <v>4960</v>
      </c>
      <c r="CA77" s="239">
        <v>81038</v>
      </c>
      <c r="CB77" s="239">
        <v>0</v>
      </c>
      <c r="CC77" s="239">
        <v>1655</v>
      </c>
      <c r="CD77" s="239">
        <v>0</v>
      </c>
      <c r="CE77" s="239">
        <v>0</v>
      </c>
      <c r="CF77" s="239">
        <v>0</v>
      </c>
      <c r="CG77" s="239">
        <v>0</v>
      </c>
      <c r="CH77" s="239">
        <v>0</v>
      </c>
      <c r="CI77" s="239">
        <v>0</v>
      </c>
      <c r="CJ77" s="239">
        <v>0</v>
      </c>
      <c r="CK77" s="239">
        <v>0</v>
      </c>
      <c r="CL77" s="239">
        <v>0</v>
      </c>
      <c r="CM77" s="239">
        <v>0</v>
      </c>
      <c r="CN77" s="239">
        <v>0</v>
      </c>
      <c r="CO77" s="239">
        <v>0</v>
      </c>
      <c r="CP77" s="239">
        <v>0</v>
      </c>
      <c r="CQ77" s="239">
        <v>0</v>
      </c>
      <c r="CR77" s="239">
        <v>0</v>
      </c>
      <c r="CS77" s="239">
        <v>0</v>
      </c>
      <c r="CT77" s="239">
        <v>0</v>
      </c>
      <c r="CU77" s="239">
        <v>0</v>
      </c>
      <c r="CV77" s="239">
        <v>230666.29235416665</v>
      </c>
      <c r="CW77" s="239">
        <v>0</v>
      </c>
      <c r="CX77" s="239">
        <v>4707.4753541666669</v>
      </c>
      <c r="CY77" s="239">
        <v>251194</v>
      </c>
      <c r="CZ77" s="239">
        <v>0</v>
      </c>
      <c r="DA77" s="239">
        <v>5126</v>
      </c>
      <c r="DB77" s="239">
        <v>-20528</v>
      </c>
      <c r="DC77" s="239">
        <v>0</v>
      </c>
      <c r="DD77" s="239">
        <v>-419</v>
      </c>
      <c r="DE77" s="214">
        <v>0.5</v>
      </c>
      <c r="DF77" s="214">
        <v>0.49</v>
      </c>
      <c r="DG77" s="214">
        <v>0</v>
      </c>
      <c r="DH77" s="214">
        <v>0.01</v>
      </c>
      <c r="DI77" s="214" t="s">
        <v>748</v>
      </c>
    </row>
    <row r="78" spans="1:113" s="214" customFormat="1" x14ac:dyDescent="0.2">
      <c r="B78" s="610" t="s">
        <v>239</v>
      </c>
      <c r="C78" s="610" t="s">
        <v>238</v>
      </c>
      <c r="D78" s="239">
        <v>-104174</v>
      </c>
      <c r="E78" s="239">
        <v>0</v>
      </c>
      <c r="F78" s="239">
        <v>-104174</v>
      </c>
      <c r="G78" s="239">
        <v>0</v>
      </c>
      <c r="H78" s="239">
        <v>0</v>
      </c>
      <c r="I78" s="239">
        <v>0</v>
      </c>
      <c r="J78" s="239">
        <v>-104174</v>
      </c>
      <c r="K78" s="239">
        <v>0</v>
      </c>
      <c r="L78" s="239">
        <v>-104174</v>
      </c>
      <c r="M78" s="239">
        <v>175686</v>
      </c>
      <c r="N78" s="239">
        <v>175686</v>
      </c>
      <c r="O78" s="239">
        <v>0</v>
      </c>
      <c r="P78" s="239">
        <v>0</v>
      </c>
      <c r="Q78" s="239">
        <v>0</v>
      </c>
      <c r="R78" s="239">
        <v>0</v>
      </c>
      <c r="S78" s="239">
        <v>0</v>
      </c>
      <c r="T78" s="239">
        <v>0</v>
      </c>
      <c r="U78" s="239">
        <v>0</v>
      </c>
      <c r="V78" s="239">
        <v>0</v>
      </c>
      <c r="W78" s="239">
        <v>0</v>
      </c>
      <c r="X78" s="239">
        <v>0</v>
      </c>
      <c r="Y78" s="239">
        <v>0</v>
      </c>
      <c r="Z78" s="239">
        <v>0</v>
      </c>
      <c r="AA78" s="239">
        <v>0</v>
      </c>
      <c r="AB78" s="239">
        <v>0</v>
      </c>
      <c r="AC78" s="239">
        <v>0</v>
      </c>
      <c r="AD78" s="239">
        <v>0</v>
      </c>
      <c r="AE78" s="239">
        <v>0</v>
      </c>
      <c r="AF78" s="239">
        <v>0</v>
      </c>
      <c r="AG78" s="239">
        <v>0</v>
      </c>
      <c r="AH78" s="239">
        <v>0</v>
      </c>
      <c r="AI78" s="239">
        <v>0</v>
      </c>
      <c r="AJ78" s="239">
        <v>0</v>
      </c>
      <c r="AK78" s="239">
        <v>283664.91916666669</v>
      </c>
      <c r="AL78" s="239">
        <v>63824.606812500002</v>
      </c>
      <c r="AM78" s="239">
        <v>7091.6229791666674</v>
      </c>
      <c r="AN78" s="239">
        <v>299693</v>
      </c>
      <c r="AO78" s="239">
        <v>67430</v>
      </c>
      <c r="AP78" s="239">
        <v>7492</v>
      </c>
      <c r="AQ78" s="239">
        <v>-16028</v>
      </c>
      <c r="AR78" s="239">
        <v>-3605</v>
      </c>
      <c r="AS78" s="239">
        <v>-400</v>
      </c>
      <c r="AT78" s="239">
        <v>32008.886666666665</v>
      </c>
      <c r="AU78" s="239">
        <v>7201.999499999999</v>
      </c>
      <c r="AV78" s="239">
        <v>800.22216666666657</v>
      </c>
      <c r="AW78" s="239">
        <v>0</v>
      </c>
      <c r="AX78" s="239">
        <v>0</v>
      </c>
      <c r="AY78" s="239">
        <v>0</v>
      </c>
      <c r="AZ78" s="239">
        <v>32009</v>
      </c>
      <c r="BA78" s="239">
        <v>7202</v>
      </c>
      <c r="BB78" s="239">
        <v>800</v>
      </c>
      <c r="BC78" s="239">
        <v>111117.57250000001</v>
      </c>
      <c r="BD78" s="239">
        <v>25001.4538125</v>
      </c>
      <c r="BE78" s="239">
        <v>2777.9393125000001</v>
      </c>
      <c r="BF78" s="239">
        <v>0</v>
      </c>
      <c r="BG78" s="239">
        <v>0</v>
      </c>
      <c r="BH78" s="239">
        <v>0</v>
      </c>
      <c r="BI78" s="239">
        <v>111118</v>
      </c>
      <c r="BJ78" s="239">
        <v>25001</v>
      </c>
      <c r="BK78" s="239">
        <v>2778</v>
      </c>
      <c r="BL78" s="239">
        <v>3997.0525000000002</v>
      </c>
      <c r="BM78" s="239">
        <v>899.33681249999995</v>
      </c>
      <c r="BN78" s="239">
        <v>99.926312499999995</v>
      </c>
      <c r="BO78" s="239">
        <v>0</v>
      </c>
      <c r="BP78" s="239">
        <v>0</v>
      </c>
      <c r="BQ78" s="239">
        <v>0</v>
      </c>
      <c r="BR78" s="239">
        <v>3997</v>
      </c>
      <c r="BS78" s="239">
        <v>899</v>
      </c>
      <c r="BT78" s="239">
        <v>100</v>
      </c>
      <c r="BU78" s="239">
        <v>119013.87166666667</v>
      </c>
      <c r="BV78" s="239">
        <v>26778.121124999998</v>
      </c>
      <c r="BW78" s="239">
        <v>2975.3467916666668</v>
      </c>
      <c r="BX78" s="239">
        <v>96662</v>
      </c>
      <c r="BY78" s="239">
        <v>21748</v>
      </c>
      <c r="BZ78" s="239">
        <v>2416</v>
      </c>
      <c r="CA78" s="239">
        <v>22352</v>
      </c>
      <c r="CB78" s="239">
        <v>5030</v>
      </c>
      <c r="CC78" s="239">
        <v>559</v>
      </c>
      <c r="CD78" s="239">
        <v>0</v>
      </c>
      <c r="CE78" s="239">
        <v>0</v>
      </c>
      <c r="CF78" s="239">
        <v>0</v>
      </c>
      <c r="CG78" s="239">
        <v>0</v>
      </c>
      <c r="CH78" s="239">
        <v>0</v>
      </c>
      <c r="CI78" s="239">
        <v>0</v>
      </c>
      <c r="CJ78" s="239">
        <v>0</v>
      </c>
      <c r="CK78" s="239">
        <v>0</v>
      </c>
      <c r="CL78" s="239">
        <v>0</v>
      </c>
      <c r="CM78" s="239">
        <v>1488.1908333333333</v>
      </c>
      <c r="CN78" s="239">
        <v>334.84293750000001</v>
      </c>
      <c r="CO78" s="239">
        <v>37.204770833333335</v>
      </c>
      <c r="CP78" s="239">
        <v>0</v>
      </c>
      <c r="CQ78" s="239">
        <v>0</v>
      </c>
      <c r="CR78" s="239">
        <v>0</v>
      </c>
      <c r="CS78" s="239">
        <v>1488</v>
      </c>
      <c r="CT78" s="239">
        <v>335</v>
      </c>
      <c r="CU78" s="239">
        <v>37</v>
      </c>
      <c r="CV78" s="239">
        <v>494041.25750000007</v>
      </c>
      <c r="CW78" s="239">
        <v>111159.2829375</v>
      </c>
      <c r="CX78" s="239">
        <v>12351.0314375</v>
      </c>
      <c r="CY78" s="239">
        <v>494671</v>
      </c>
      <c r="CZ78" s="239">
        <v>111301</v>
      </c>
      <c r="DA78" s="239">
        <v>12367</v>
      </c>
      <c r="DB78" s="239">
        <v>-630</v>
      </c>
      <c r="DC78" s="239">
        <v>-142</v>
      </c>
      <c r="DD78" s="239">
        <v>-16</v>
      </c>
      <c r="DE78" s="214">
        <v>0.5</v>
      </c>
      <c r="DF78" s="214">
        <v>0.4</v>
      </c>
      <c r="DG78" s="214">
        <v>0.09</v>
      </c>
      <c r="DH78" s="214">
        <v>0.01</v>
      </c>
      <c r="DI78" s="214" t="s">
        <v>1294</v>
      </c>
    </row>
    <row r="79" spans="1:113" s="214" customFormat="1" x14ac:dyDescent="0.2">
      <c r="B79" s="610" t="s">
        <v>241</v>
      </c>
      <c r="C79" s="610" t="s">
        <v>240</v>
      </c>
      <c r="D79" s="239">
        <v>-4469</v>
      </c>
      <c r="E79" s="239">
        <v>0</v>
      </c>
      <c r="F79" s="239">
        <v>-4469</v>
      </c>
      <c r="G79" s="239">
        <v>0</v>
      </c>
      <c r="H79" s="239">
        <v>0</v>
      </c>
      <c r="I79" s="239">
        <v>0</v>
      </c>
      <c r="J79" s="239">
        <v>-4469</v>
      </c>
      <c r="K79" s="239">
        <v>0</v>
      </c>
      <c r="L79" s="239">
        <v>-4469</v>
      </c>
      <c r="M79" s="239">
        <v>116858</v>
      </c>
      <c r="N79" s="239">
        <v>116858</v>
      </c>
      <c r="O79" s="239">
        <v>0</v>
      </c>
      <c r="P79" s="239">
        <v>0</v>
      </c>
      <c r="Q79" s="239">
        <v>0</v>
      </c>
      <c r="R79" s="239">
        <v>0</v>
      </c>
      <c r="S79" s="239">
        <v>391159</v>
      </c>
      <c r="T79" s="239">
        <v>0</v>
      </c>
      <c r="U79" s="239">
        <v>204335</v>
      </c>
      <c r="V79" s="239">
        <v>0</v>
      </c>
      <c r="W79" s="239">
        <v>186824</v>
      </c>
      <c r="X79" s="239">
        <v>0</v>
      </c>
      <c r="Y79" s="239">
        <v>0</v>
      </c>
      <c r="Z79" s="239">
        <v>0</v>
      </c>
      <c r="AA79" s="239">
        <v>0</v>
      </c>
      <c r="AB79" s="239">
        <v>0</v>
      </c>
      <c r="AC79" s="239">
        <v>0</v>
      </c>
      <c r="AD79" s="239">
        <v>0</v>
      </c>
      <c r="AE79" s="239">
        <v>0</v>
      </c>
      <c r="AF79" s="239">
        <v>0</v>
      </c>
      <c r="AG79" s="239">
        <v>0</v>
      </c>
      <c r="AH79" s="239">
        <v>0</v>
      </c>
      <c r="AI79" s="239">
        <v>0</v>
      </c>
      <c r="AJ79" s="239">
        <v>0</v>
      </c>
      <c r="AK79" s="239">
        <v>371050.17000000004</v>
      </c>
      <c r="AL79" s="239">
        <v>92762.54250000001</v>
      </c>
      <c r="AM79" s="239">
        <v>0</v>
      </c>
      <c r="AN79" s="239">
        <v>318352</v>
      </c>
      <c r="AO79" s="239">
        <v>79588</v>
      </c>
      <c r="AP79" s="239">
        <v>0</v>
      </c>
      <c r="AQ79" s="239">
        <v>52698</v>
      </c>
      <c r="AR79" s="239">
        <v>13175</v>
      </c>
      <c r="AS79" s="239">
        <v>0</v>
      </c>
      <c r="AT79" s="239">
        <v>-23.1325</v>
      </c>
      <c r="AU79" s="239">
        <v>-5.7831250000000001</v>
      </c>
      <c r="AV79" s="239">
        <v>0</v>
      </c>
      <c r="AW79" s="239">
        <v>774</v>
      </c>
      <c r="AX79" s="239">
        <v>194</v>
      </c>
      <c r="AY79" s="239">
        <v>0</v>
      </c>
      <c r="AZ79" s="239">
        <v>-797</v>
      </c>
      <c r="BA79" s="239">
        <v>-200</v>
      </c>
      <c r="BB79" s="239">
        <v>0</v>
      </c>
      <c r="BC79" s="239">
        <v>0</v>
      </c>
      <c r="BD79" s="239">
        <v>0</v>
      </c>
      <c r="BE79" s="239">
        <v>0</v>
      </c>
      <c r="BF79" s="239">
        <v>0</v>
      </c>
      <c r="BG79" s="239">
        <v>0</v>
      </c>
      <c r="BH79" s="239">
        <v>0</v>
      </c>
      <c r="BI79" s="239">
        <v>0</v>
      </c>
      <c r="BJ79" s="239">
        <v>0</v>
      </c>
      <c r="BK79" s="239">
        <v>0</v>
      </c>
      <c r="BL79" s="239">
        <v>0</v>
      </c>
      <c r="BM79" s="239">
        <v>0</v>
      </c>
      <c r="BN79" s="239">
        <v>0</v>
      </c>
      <c r="BO79" s="239">
        <v>0</v>
      </c>
      <c r="BP79" s="239">
        <v>0</v>
      </c>
      <c r="BQ79" s="239">
        <v>0</v>
      </c>
      <c r="BR79" s="239">
        <v>0</v>
      </c>
      <c r="BS79" s="239">
        <v>0</v>
      </c>
      <c r="BT79" s="239">
        <v>0</v>
      </c>
      <c r="BU79" s="239">
        <v>135204.99833333335</v>
      </c>
      <c r="BV79" s="239">
        <v>33801.249583333338</v>
      </c>
      <c r="BW79" s="239">
        <v>0</v>
      </c>
      <c r="BX79" s="239">
        <v>153547</v>
      </c>
      <c r="BY79" s="239">
        <v>38388</v>
      </c>
      <c r="BZ79" s="239">
        <v>0</v>
      </c>
      <c r="CA79" s="239">
        <v>-18342</v>
      </c>
      <c r="CB79" s="239">
        <v>-4587</v>
      </c>
      <c r="CC79" s="239">
        <v>0</v>
      </c>
      <c r="CD79" s="239">
        <v>0</v>
      </c>
      <c r="CE79" s="239">
        <v>0</v>
      </c>
      <c r="CF79" s="239">
        <v>0</v>
      </c>
      <c r="CG79" s="239">
        <v>0</v>
      </c>
      <c r="CH79" s="239">
        <v>0</v>
      </c>
      <c r="CI79" s="239">
        <v>0</v>
      </c>
      <c r="CJ79" s="239">
        <v>0</v>
      </c>
      <c r="CK79" s="239">
        <v>0</v>
      </c>
      <c r="CL79" s="239">
        <v>0</v>
      </c>
      <c r="CM79" s="239">
        <v>0</v>
      </c>
      <c r="CN79" s="239">
        <v>0</v>
      </c>
      <c r="CO79" s="239">
        <v>0</v>
      </c>
      <c r="CP79" s="239">
        <v>0</v>
      </c>
      <c r="CQ79" s="239">
        <v>0</v>
      </c>
      <c r="CR79" s="239">
        <v>0</v>
      </c>
      <c r="CS79" s="239">
        <v>0</v>
      </c>
      <c r="CT79" s="239">
        <v>0</v>
      </c>
      <c r="CU79" s="239">
        <v>0</v>
      </c>
      <c r="CV79" s="239">
        <v>261614.65458333338</v>
      </c>
      <c r="CW79" s="239">
        <v>63977.563125000008</v>
      </c>
      <c r="CX79" s="239">
        <v>0</v>
      </c>
      <c r="CY79" s="239">
        <v>240719</v>
      </c>
      <c r="CZ79" s="239">
        <v>59435</v>
      </c>
      <c r="DA79" s="239">
        <v>0</v>
      </c>
      <c r="DB79" s="239">
        <v>20896</v>
      </c>
      <c r="DC79" s="239">
        <v>4543</v>
      </c>
      <c r="DD79" s="239">
        <v>0</v>
      </c>
      <c r="DE79" s="214">
        <v>0.5</v>
      </c>
      <c r="DF79" s="214">
        <v>0.4</v>
      </c>
      <c r="DG79" s="214">
        <v>0.1</v>
      </c>
      <c r="DH79" s="214">
        <v>0</v>
      </c>
      <c r="DI79" s="214" t="s">
        <v>1294</v>
      </c>
    </row>
    <row r="80" spans="1:113" s="214" customFormat="1" x14ac:dyDescent="0.2">
      <c r="B80" s="610" t="s">
        <v>243</v>
      </c>
      <c r="C80" s="610" t="s">
        <v>242</v>
      </c>
      <c r="D80" s="239">
        <v>-114801</v>
      </c>
      <c r="E80" s="239">
        <v>0</v>
      </c>
      <c r="F80" s="239">
        <v>-114801</v>
      </c>
      <c r="G80" s="239">
        <v>0</v>
      </c>
      <c r="H80" s="239">
        <v>0</v>
      </c>
      <c r="I80" s="239">
        <v>0</v>
      </c>
      <c r="J80" s="239">
        <v>-114801</v>
      </c>
      <c r="K80" s="239">
        <v>0</v>
      </c>
      <c r="L80" s="239">
        <v>-114801</v>
      </c>
      <c r="M80" s="239">
        <v>314969</v>
      </c>
      <c r="N80" s="239">
        <v>314969</v>
      </c>
      <c r="O80" s="239">
        <v>0</v>
      </c>
      <c r="P80" s="239">
        <v>0</v>
      </c>
      <c r="Q80" s="239">
        <v>16000</v>
      </c>
      <c r="R80" s="239">
        <v>-16000</v>
      </c>
      <c r="S80" s="239">
        <v>724710</v>
      </c>
      <c r="T80" s="239">
        <v>0</v>
      </c>
      <c r="U80" s="239">
        <v>750000</v>
      </c>
      <c r="V80" s="239">
        <v>0</v>
      </c>
      <c r="W80" s="239">
        <v>-25290</v>
      </c>
      <c r="X80" s="239">
        <v>0</v>
      </c>
      <c r="Y80" s="239">
        <v>0</v>
      </c>
      <c r="Z80" s="239">
        <v>0</v>
      </c>
      <c r="AA80" s="239">
        <v>0</v>
      </c>
      <c r="AB80" s="239">
        <v>0</v>
      </c>
      <c r="AC80" s="239">
        <v>0</v>
      </c>
      <c r="AD80" s="239">
        <v>0</v>
      </c>
      <c r="AE80" s="239">
        <v>0</v>
      </c>
      <c r="AF80" s="239">
        <v>0</v>
      </c>
      <c r="AG80" s="239">
        <v>0</v>
      </c>
      <c r="AH80" s="239">
        <v>0</v>
      </c>
      <c r="AI80" s="239">
        <v>0</v>
      </c>
      <c r="AJ80" s="239">
        <v>0</v>
      </c>
      <c r="AK80" s="239">
        <v>1110179.8404375</v>
      </c>
      <c r="AL80" s="239">
        <v>0</v>
      </c>
      <c r="AM80" s="239">
        <v>22656.731437500002</v>
      </c>
      <c r="AN80" s="239">
        <v>998961</v>
      </c>
      <c r="AO80" s="239">
        <v>0</v>
      </c>
      <c r="AP80" s="239">
        <v>20386</v>
      </c>
      <c r="AQ80" s="239">
        <v>111219</v>
      </c>
      <c r="AR80" s="239">
        <v>0</v>
      </c>
      <c r="AS80" s="239">
        <v>2271</v>
      </c>
      <c r="AT80" s="239">
        <v>0</v>
      </c>
      <c r="AU80" s="239">
        <v>0</v>
      </c>
      <c r="AV80" s="239">
        <v>0</v>
      </c>
      <c r="AW80" s="239">
        <v>0</v>
      </c>
      <c r="AX80" s="239">
        <v>0</v>
      </c>
      <c r="AY80" s="239">
        <v>0</v>
      </c>
      <c r="AZ80" s="239">
        <v>0</v>
      </c>
      <c r="BA80" s="239">
        <v>0</v>
      </c>
      <c r="BB80" s="239">
        <v>0</v>
      </c>
      <c r="BC80" s="239">
        <v>0</v>
      </c>
      <c r="BD80" s="239">
        <v>0</v>
      </c>
      <c r="BE80" s="239">
        <v>0</v>
      </c>
      <c r="BF80" s="239">
        <v>0</v>
      </c>
      <c r="BG80" s="239">
        <v>0</v>
      </c>
      <c r="BH80" s="239">
        <v>0</v>
      </c>
      <c r="BI80" s="239">
        <v>0</v>
      </c>
      <c r="BJ80" s="239">
        <v>0</v>
      </c>
      <c r="BK80" s="239">
        <v>0</v>
      </c>
      <c r="BL80" s="239">
        <v>19110.285833333332</v>
      </c>
      <c r="BM80" s="239">
        <v>0</v>
      </c>
      <c r="BN80" s="239">
        <v>390.00583333333333</v>
      </c>
      <c r="BO80" s="239">
        <v>6973</v>
      </c>
      <c r="BP80" s="239">
        <v>0</v>
      </c>
      <c r="BQ80" s="239">
        <v>142</v>
      </c>
      <c r="BR80" s="239">
        <v>12137</v>
      </c>
      <c r="BS80" s="239">
        <v>0</v>
      </c>
      <c r="BT80" s="239">
        <v>248</v>
      </c>
      <c r="BU80" s="239">
        <v>625251.36595833336</v>
      </c>
      <c r="BV80" s="239">
        <v>0</v>
      </c>
      <c r="BW80" s="239">
        <v>12760.231958333334</v>
      </c>
      <c r="BX80" s="239">
        <v>640645</v>
      </c>
      <c r="BY80" s="239">
        <v>0</v>
      </c>
      <c r="BZ80" s="239">
        <v>13074</v>
      </c>
      <c r="CA80" s="239">
        <v>-15394</v>
      </c>
      <c r="CB80" s="239">
        <v>0</v>
      </c>
      <c r="CC80" s="239">
        <v>-314</v>
      </c>
      <c r="CD80" s="239">
        <v>0</v>
      </c>
      <c r="CE80" s="239">
        <v>0</v>
      </c>
      <c r="CF80" s="239">
        <v>0</v>
      </c>
      <c r="CG80" s="239">
        <v>0</v>
      </c>
      <c r="CH80" s="239">
        <v>0</v>
      </c>
      <c r="CI80" s="239">
        <v>0</v>
      </c>
      <c r="CJ80" s="239">
        <v>0</v>
      </c>
      <c r="CK80" s="239">
        <v>0</v>
      </c>
      <c r="CL80" s="239">
        <v>0</v>
      </c>
      <c r="CM80" s="239">
        <v>8216.3291874999995</v>
      </c>
      <c r="CN80" s="239">
        <v>0</v>
      </c>
      <c r="CO80" s="239">
        <v>167.68018749999999</v>
      </c>
      <c r="CP80" s="239">
        <v>0</v>
      </c>
      <c r="CQ80" s="239">
        <v>0</v>
      </c>
      <c r="CR80" s="239">
        <v>0</v>
      </c>
      <c r="CS80" s="239">
        <v>8216</v>
      </c>
      <c r="CT80" s="239">
        <v>0</v>
      </c>
      <c r="CU80" s="239">
        <v>168</v>
      </c>
      <c r="CV80" s="239">
        <v>628415.1806041667</v>
      </c>
      <c r="CW80" s="239">
        <v>0</v>
      </c>
      <c r="CX80" s="239">
        <v>12609.112104166668</v>
      </c>
      <c r="CY80" s="239">
        <v>626289</v>
      </c>
      <c r="CZ80" s="239">
        <v>0</v>
      </c>
      <c r="DA80" s="239">
        <v>12553</v>
      </c>
      <c r="DB80" s="239">
        <v>2126</v>
      </c>
      <c r="DC80" s="239">
        <v>0</v>
      </c>
      <c r="DD80" s="239">
        <v>56</v>
      </c>
      <c r="DE80" s="214">
        <v>0.5</v>
      </c>
      <c r="DF80" s="214">
        <v>0.49</v>
      </c>
      <c r="DG80" s="214">
        <v>0</v>
      </c>
      <c r="DH80" s="214">
        <v>0.01</v>
      </c>
      <c r="DI80" s="214" t="s">
        <v>748</v>
      </c>
    </row>
    <row r="81" spans="2:113" s="214" customFormat="1" x14ac:dyDescent="0.2">
      <c r="B81" s="610" t="s">
        <v>245</v>
      </c>
      <c r="C81" s="610" t="s">
        <v>244</v>
      </c>
      <c r="D81" s="239">
        <v>-56527</v>
      </c>
      <c r="E81" s="239">
        <v>0</v>
      </c>
      <c r="F81" s="239">
        <v>-56527</v>
      </c>
      <c r="G81" s="239">
        <v>0</v>
      </c>
      <c r="H81" s="239">
        <v>0</v>
      </c>
      <c r="I81" s="239">
        <v>0</v>
      </c>
      <c r="J81" s="239">
        <v>-56527</v>
      </c>
      <c r="K81" s="239">
        <v>0</v>
      </c>
      <c r="L81" s="239">
        <v>-56527</v>
      </c>
      <c r="M81" s="239">
        <v>146857</v>
      </c>
      <c r="N81" s="239">
        <v>146857</v>
      </c>
      <c r="O81" s="239">
        <v>0</v>
      </c>
      <c r="P81" s="239">
        <v>0</v>
      </c>
      <c r="Q81" s="239">
        <v>0</v>
      </c>
      <c r="R81" s="239">
        <v>0</v>
      </c>
      <c r="S81" s="239">
        <v>140998</v>
      </c>
      <c r="T81" s="239">
        <v>0</v>
      </c>
      <c r="U81" s="239">
        <v>69344</v>
      </c>
      <c r="V81" s="239">
        <v>0</v>
      </c>
      <c r="W81" s="239">
        <v>71654</v>
      </c>
      <c r="X81" s="239">
        <v>0</v>
      </c>
      <c r="Y81" s="239">
        <v>0</v>
      </c>
      <c r="Z81" s="239">
        <v>0</v>
      </c>
      <c r="AA81" s="239">
        <v>0</v>
      </c>
      <c r="AB81" s="239">
        <v>0</v>
      </c>
      <c r="AC81" s="239">
        <v>0</v>
      </c>
      <c r="AD81" s="239">
        <v>0</v>
      </c>
      <c r="AE81" s="239">
        <v>0</v>
      </c>
      <c r="AF81" s="239">
        <v>0</v>
      </c>
      <c r="AG81" s="239">
        <v>0</v>
      </c>
      <c r="AH81" s="239">
        <v>0</v>
      </c>
      <c r="AI81" s="239">
        <v>0</v>
      </c>
      <c r="AJ81" s="239">
        <v>0</v>
      </c>
      <c r="AK81" s="239">
        <v>574465.60583333333</v>
      </c>
      <c r="AL81" s="239">
        <v>129254.76131249999</v>
      </c>
      <c r="AM81" s="239">
        <v>14361.640145833333</v>
      </c>
      <c r="AN81" s="239">
        <v>529133</v>
      </c>
      <c r="AO81" s="239">
        <v>119056</v>
      </c>
      <c r="AP81" s="239">
        <v>13228</v>
      </c>
      <c r="AQ81" s="239">
        <v>45333</v>
      </c>
      <c r="AR81" s="239">
        <v>10199</v>
      </c>
      <c r="AS81" s="239">
        <v>1134</v>
      </c>
      <c r="AT81" s="239">
        <v>0</v>
      </c>
      <c r="AU81" s="239">
        <v>0</v>
      </c>
      <c r="AV81" s="239">
        <v>0</v>
      </c>
      <c r="AW81" s="239">
        <v>0</v>
      </c>
      <c r="AX81" s="239">
        <v>0</v>
      </c>
      <c r="AY81" s="239">
        <v>0</v>
      </c>
      <c r="AZ81" s="239">
        <v>0</v>
      </c>
      <c r="BA81" s="239">
        <v>0</v>
      </c>
      <c r="BB81" s="239">
        <v>0</v>
      </c>
      <c r="BC81" s="239">
        <v>0</v>
      </c>
      <c r="BD81" s="239">
        <v>0</v>
      </c>
      <c r="BE81" s="239">
        <v>0</v>
      </c>
      <c r="BF81" s="239">
        <v>0</v>
      </c>
      <c r="BG81" s="239">
        <v>0</v>
      </c>
      <c r="BH81" s="239">
        <v>0</v>
      </c>
      <c r="BI81" s="239">
        <v>0</v>
      </c>
      <c r="BJ81" s="239">
        <v>0</v>
      </c>
      <c r="BK81" s="239">
        <v>0</v>
      </c>
      <c r="BL81" s="239">
        <v>0</v>
      </c>
      <c r="BM81" s="239">
        <v>0</v>
      </c>
      <c r="BN81" s="239">
        <v>0</v>
      </c>
      <c r="BO81" s="239">
        <v>0</v>
      </c>
      <c r="BP81" s="239">
        <v>0</v>
      </c>
      <c r="BQ81" s="239">
        <v>0</v>
      </c>
      <c r="BR81" s="239">
        <v>0</v>
      </c>
      <c r="BS81" s="239">
        <v>0</v>
      </c>
      <c r="BT81" s="239">
        <v>0</v>
      </c>
      <c r="BU81" s="239">
        <v>313098.38750000001</v>
      </c>
      <c r="BV81" s="239">
        <v>70447.137187500004</v>
      </c>
      <c r="BW81" s="239">
        <v>7827.4596874999997</v>
      </c>
      <c r="BX81" s="239">
        <v>307353</v>
      </c>
      <c r="BY81" s="239">
        <v>69154</v>
      </c>
      <c r="BZ81" s="239">
        <v>7684</v>
      </c>
      <c r="CA81" s="239">
        <v>5745</v>
      </c>
      <c r="CB81" s="239">
        <v>1293</v>
      </c>
      <c r="CC81" s="239">
        <v>143</v>
      </c>
      <c r="CD81" s="239">
        <v>0</v>
      </c>
      <c r="CE81" s="239">
        <v>0</v>
      </c>
      <c r="CF81" s="239">
        <v>0</v>
      </c>
      <c r="CG81" s="239">
        <v>0</v>
      </c>
      <c r="CH81" s="239">
        <v>0</v>
      </c>
      <c r="CI81" s="239">
        <v>0</v>
      </c>
      <c r="CJ81" s="239">
        <v>0</v>
      </c>
      <c r="CK81" s="239">
        <v>0</v>
      </c>
      <c r="CL81" s="239">
        <v>0</v>
      </c>
      <c r="CM81" s="239">
        <v>7366.2808333333342</v>
      </c>
      <c r="CN81" s="239">
        <v>1657.4131875</v>
      </c>
      <c r="CO81" s="239">
        <v>184.15702083333335</v>
      </c>
      <c r="CP81" s="239">
        <v>0</v>
      </c>
      <c r="CQ81" s="239">
        <v>0</v>
      </c>
      <c r="CR81" s="239">
        <v>0</v>
      </c>
      <c r="CS81" s="239">
        <v>7366</v>
      </c>
      <c r="CT81" s="239">
        <v>1657</v>
      </c>
      <c r="CU81" s="239">
        <v>184</v>
      </c>
      <c r="CV81" s="239">
        <v>99354.750833333324</v>
      </c>
      <c r="CW81" s="239">
        <v>21892.169249999995</v>
      </c>
      <c r="CX81" s="239">
        <v>2432.4632500000002</v>
      </c>
      <c r="CY81" s="239">
        <v>100212</v>
      </c>
      <c r="CZ81" s="239">
        <v>22320</v>
      </c>
      <c r="DA81" s="239">
        <v>2480</v>
      </c>
      <c r="DB81" s="239">
        <v>-857</v>
      </c>
      <c r="DC81" s="239">
        <v>-428</v>
      </c>
      <c r="DD81" s="239">
        <v>-48</v>
      </c>
      <c r="DE81" s="214">
        <v>0.5</v>
      </c>
      <c r="DF81" s="214">
        <v>0.4</v>
      </c>
      <c r="DG81" s="214">
        <v>0.09</v>
      </c>
      <c r="DH81" s="214">
        <v>0.01</v>
      </c>
      <c r="DI81" s="214" t="s">
        <v>1294</v>
      </c>
    </row>
    <row r="82" spans="2:113" s="214" customFormat="1" x14ac:dyDescent="0.2">
      <c r="B82" s="610" t="s">
        <v>247</v>
      </c>
      <c r="C82" s="610" t="s">
        <v>246</v>
      </c>
      <c r="D82" s="239">
        <v>-679757</v>
      </c>
      <c r="E82" s="239">
        <v>0</v>
      </c>
      <c r="F82" s="239">
        <v>-679757</v>
      </c>
      <c r="G82" s="239">
        <v>0</v>
      </c>
      <c r="H82" s="239">
        <v>0</v>
      </c>
      <c r="I82" s="239">
        <v>0</v>
      </c>
      <c r="J82" s="239">
        <v>-679757</v>
      </c>
      <c r="K82" s="239">
        <v>0</v>
      </c>
      <c r="L82" s="239">
        <v>-679757</v>
      </c>
      <c r="M82" s="239">
        <v>374362</v>
      </c>
      <c r="N82" s="239">
        <v>374362</v>
      </c>
      <c r="O82" s="239">
        <v>0</v>
      </c>
      <c r="P82" s="239">
        <v>0</v>
      </c>
      <c r="Q82" s="239">
        <v>0</v>
      </c>
      <c r="R82" s="239">
        <v>0</v>
      </c>
      <c r="S82" s="239">
        <v>217866</v>
      </c>
      <c r="T82" s="239">
        <v>0</v>
      </c>
      <c r="U82" s="239">
        <v>224808</v>
      </c>
      <c r="V82" s="239">
        <v>0</v>
      </c>
      <c r="W82" s="239">
        <v>-6942</v>
      </c>
      <c r="X82" s="239">
        <v>0</v>
      </c>
      <c r="Y82" s="239">
        <v>0</v>
      </c>
      <c r="Z82" s="239">
        <v>0</v>
      </c>
      <c r="AA82" s="239">
        <v>0</v>
      </c>
      <c r="AB82" s="239">
        <v>0</v>
      </c>
      <c r="AC82" s="239">
        <v>0</v>
      </c>
      <c r="AD82" s="239">
        <v>0</v>
      </c>
      <c r="AE82" s="239">
        <v>0</v>
      </c>
      <c r="AF82" s="239">
        <v>0</v>
      </c>
      <c r="AG82" s="239">
        <v>0</v>
      </c>
      <c r="AH82" s="239">
        <v>0</v>
      </c>
      <c r="AI82" s="239">
        <v>0</v>
      </c>
      <c r="AJ82" s="239">
        <v>0</v>
      </c>
      <c r="AK82" s="239">
        <v>1563806.7703854167</v>
      </c>
      <c r="AL82" s="239">
        <v>0</v>
      </c>
      <c r="AM82" s="239">
        <v>31914.423885416665</v>
      </c>
      <c r="AN82" s="239">
        <v>1485361</v>
      </c>
      <c r="AO82" s="239">
        <v>0</v>
      </c>
      <c r="AP82" s="239">
        <v>30314</v>
      </c>
      <c r="AQ82" s="239">
        <v>78446</v>
      </c>
      <c r="AR82" s="239">
        <v>0</v>
      </c>
      <c r="AS82" s="239">
        <v>1600</v>
      </c>
      <c r="AT82" s="239">
        <v>16958.638666666666</v>
      </c>
      <c r="AU82" s="239">
        <v>0</v>
      </c>
      <c r="AV82" s="239">
        <v>346.09466666666663</v>
      </c>
      <c r="AW82" s="239">
        <v>5061</v>
      </c>
      <c r="AX82" s="239">
        <v>0</v>
      </c>
      <c r="AY82" s="239">
        <v>104</v>
      </c>
      <c r="AZ82" s="239">
        <v>11898</v>
      </c>
      <c r="BA82" s="239">
        <v>0</v>
      </c>
      <c r="BB82" s="239">
        <v>242</v>
      </c>
      <c r="BC82" s="239">
        <v>25017.869770833331</v>
      </c>
      <c r="BD82" s="239">
        <v>0</v>
      </c>
      <c r="BE82" s="239">
        <v>510.5687708333333</v>
      </c>
      <c r="BF82" s="239">
        <v>0</v>
      </c>
      <c r="BG82" s="239">
        <v>0</v>
      </c>
      <c r="BH82" s="239">
        <v>0</v>
      </c>
      <c r="BI82" s="239">
        <v>25018</v>
      </c>
      <c r="BJ82" s="239">
        <v>0</v>
      </c>
      <c r="BK82" s="239">
        <v>511</v>
      </c>
      <c r="BL82" s="239">
        <v>18592.757020833331</v>
      </c>
      <c r="BM82" s="239">
        <v>0</v>
      </c>
      <c r="BN82" s="239">
        <v>379.4440208333333</v>
      </c>
      <c r="BO82" s="239">
        <v>85136</v>
      </c>
      <c r="BP82" s="239">
        <v>0</v>
      </c>
      <c r="BQ82" s="239">
        <v>1738</v>
      </c>
      <c r="BR82" s="239">
        <v>-66543</v>
      </c>
      <c r="BS82" s="239">
        <v>0</v>
      </c>
      <c r="BT82" s="239">
        <v>-1359</v>
      </c>
      <c r="BU82" s="239">
        <v>647198.86306250002</v>
      </c>
      <c r="BV82" s="239">
        <v>0</v>
      </c>
      <c r="BW82" s="239">
        <v>13208.140062499999</v>
      </c>
      <c r="BX82" s="239">
        <v>516805</v>
      </c>
      <c r="BY82" s="239">
        <v>0</v>
      </c>
      <c r="BZ82" s="239">
        <v>10548</v>
      </c>
      <c r="CA82" s="239">
        <v>130394</v>
      </c>
      <c r="CB82" s="239">
        <v>0</v>
      </c>
      <c r="CC82" s="239">
        <v>2660</v>
      </c>
      <c r="CD82" s="239">
        <v>0</v>
      </c>
      <c r="CE82" s="239">
        <v>0</v>
      </c>
      <c r="CF82" s="239">
        <v>0</v>
      </c>
      <c r="CG82" s="239">
        <v>0</v>
      </c>
      <c r="CH82" s="239">
        <v>0</v>
      </c>
      <c r="CI82" s="239">
        <v>0</v>
      </c>
      <c r="CJ82" s="239">
        <v>0</v>
      </c>
      <c r="CK82" s="239">
        <v>0</v>
      </c>
      <c r="CL82" s="239">
        <v>0</v>
      </c>
      <c r="CM82" s="239">
        <v>11582.503624999999</v>
      </c>
      <c r="CN82" s="239">
        <v>0</v>
      </c>
      <c r="CO82" s="239">
        <v>236.37762500000002</v>
      </c>
      <c r="CP82" s="239">
        <v>0</v>
      </c>
      <c r="CQ82" s="239">
        <v>0</v>
      </c>
      <c r="CR82" s="239">
        <v>0</v>
      </c>
      <c r="CS82" s="239">
        <v>11583</v>
      </c>
      <c r="CT82" s="239">
        <v>0</v>
      </c>
      <c r="CU82" s="239">
        <v>236</v>
      </c>
      <c r="CV82" s="239">
        <v>676252.30793749995</v>
      </c>
      <c r="CW82" s="239">
        <v>0</v>
      </c>
      <c r="CX82" s="239">
        <v>13736.226437500001</v>
      </c>
      <c r="CY82" s="239">
        <v>671034</v>
      </c>
      <c r="CZ82" s="239">
        <v>0</v>
      </c>
      <c r="DA82" s="239">
        <v>13628</v>
      </c>
      <c r="DB82" s="239">
        <v>5218</v>
      </c>
      <c r="DC82" s="239">
        <v>0</v>
      </c>
      <c r="DD82" s="239">
        <v>108</v>
      </c>
      <c r="DE82" s="214">
        <v>0.5</v>
      </c>
      <c r="DF82" s="214">
        <v>0.49</v>
      </c>
      <c r="DG82" s="214">
        <v>0</v>
      </c>
      <c r="DH82" s="214">
        <v>0.01</v>
      </c>
      <c r="DI82" s="214" t="s">
        <v>1296</v>
      </c>
    </row>
    <row r="83" spans="2:113" s="214" customFormat="1" x14ac:dyDescent="0.2">
      <c r="B83" s="610" t="s">
        <v>249</v>
      </c>
      <c r="C83" s="610" t="s">
        <v>248</v>
      </c>
      <c r="D83" s="239">
        <v>-786670</v>
      </c>
      <c r="E83" s="239">
        <v>0</v>
      </c>
      <c r="F83" s="239">
        <v>-786670</v>
      </c>
      <c r="G83" s="239">
        <v>0</v>
      </c>
      <c r="H83" s="239">
        <v>0</v>
      </c>
      <c r="I83" s="239">
        <v>0</v>
      </c>
      <c r="J83" s="239">
        <v>-786670</v>
      </c>
      <c r="K83" s="239">
        <v>0</v>
      </c>
      <c r="L83" s="239">
        <v>-786670</v>
      </c>
      <c r="M83" s="239">
        <v>156088</v>
      </c>
      <c r="N83" s="239">
        <v>156088</v>
      </c>
      <c r="O83" s="239">
        <v>0</v>
      </c>
      <c r="P83" s="239">
        <v>0</v>
      </c>
      <c r="Q83" s="239">
        <v>0</v>
      </c>
      <c r="R83" s="239">
        <v>0</v>
      </c>
      <c r="S83" s="239">
        <v>11593</v>
      </c>
      <c r="T83" s="239">
        <v>0</v>
      </c>
      <c r="U83" s="239">
        <v>0</v>
      </c>
      <c r="V83" s="239">
        <v>0</v>
      </c>
      <c r="W83" s="239">
        <v>11593</v>
      </c>
      <c r="X83" s="239">
        <v>0</v>
      </c>
      <c r="Y83" s="239">
        <v>1321410.0739583333</v>
      </c>
      <c r="Z83" s="239">
        <v>1057128.0591666668</v>
      </c>
      <c r="AA83" s="239">
        <v>237853.81331250002</v>
      </c>
      <c r="AB83" s="239">
        <v>26428.20147916667</v>
      </c>
      <c r="AC83" s="239">
        <v>1250025</v>
      </c>
      <c r="AD83" s="239">
        <v>1000019</v>
      </c>
      <c r="AE83" s="239">
        <v>225005</v>
      </c>
      <c r="AF83" s="239">
        <v>25001</v>
      </c>
      <c r="AG83" s="239">
        <v>71385</v>
      </c>
      <c r="AH83" s="239">
        <v>57109</v>
      </c>
      <c r="AI83" s="239">
        <v>12849</v>
      </c>
      <c r="AJ83" s="239">
        <v>1427</v>
      </c>
      <c r="AK83" s="239">
        <v>535283.00624999998</v>
      </c>
      <c r="AL83" s="239">
        <v>120438.67640625</v>
      </c>
      <c r="AM83" s="239">
        <v>13382.075156249999</v>
      </c>
      <c r="AN83" s="239">
        <v>477588</v>
      </c>
      <c r="AO83" s="239">
        <v>107458</v>
      </c>
      <c r="AP83" s="239">
        <v>11940</v>
      </c>
      <c r="AQ83" s="239">
        <v>57695</v>
      </c>
      <c r="AR83" s="239">
        <v>12981</v>
      </c>
      <c r="AS83" s="239">
        <v>1442</v>
      </c>
      <c r="AT83" s="239">
        <v>1999.135</v>
      </c>
      <c r="AU83" s="239">
        <v>449.80537499999997</v>
      </c>
      <c r="AV83" s="239">
        <v>49.978375</v>
      </c>
      <c r="AW83" s="239">
        <v>2485</v>
      </c>
      <c r="AX83" s="239">
        <v>558</v>
      </c>
      <c r="AY83" s="239">
        <v>62</v>
      </c>
      <c r="AZ83" s="239">
        <v>-486</v>
      </c>
      <c r="BA83" s="239">
        <v>-108</v>
      </c>
      <c r="BB83" s="239">
        <v>-12</v>
      </c>
      <c r="BC83" s="239">
        <v>0</v>
      </c>
      <c r="BD83" s="239">
        <v>0</v>
      </c>
      <c r="BE83" s="239">
        <v>0</v>
      </c>
      <c r="BF83" s="239">
        <v>0</v>
      </c>
      <c r="BG83" s="239">
        <v>0</v>
      </c>
      <c r="BH83" s="239">
        <v>0</v>
      </c>
      <c r="BI83" s="239">
        <v>0</v>
      </c>
      <c r="BJ83" s="239">
        <v>0</v>
      </c>
      <c r="BK83" s="239">
        <v>0</v>
      </c>
      <c r="BL83" s="239">
        <v>7215.7166666666681</v>
      </c>
      <c r="BM83" s="239">
        <v>1623.5362500000001</v>
      </c>
      <c r="BN83" s="239">
        <v>180.39291666666668</v>
      </c>
      <c r="BO83" s="239">
        <v>2436</v>
      </c>
      <c r="BP83" s="239">
        <v>548</v>
      </c>
      <c r="BQ83" s="239">
        <v>60</v>
      </c>
      <c r="BR83" s="239">
        <v>4780</v>
      </c>
      <c r="BS83" s="239">
        <v>1076</v>
      </c>
      <c r="BT83" s="239">
        <v>120</v>
      </c>
      <c r="BU83" s="239">
        <v>280367.9291666667</v>
      </c>
      <c r="BV83" s="239">
        <v>63082.784062499995</v>
      </c>
      <c r="BW83" s="239">
        <v>7009.1982291666664</v>
      </c>
      <c r="BX83" s="239">
        <v>284084</v>
      </c>
      <c r="BY83" s="239">
        <v>63918</v>
      </c>
      <c r="BZ83" s="239">
        <v>7102</v>
      </c>
      <c r="CA83" s="239">
        <v>-3716</v>
      </c>
      <c r="CB83" s="239">
        <v>-835</v>
      </c>
      <c r="CC83" s="239">
        <v>-93</v>
      </c>
      <c r="CD83" s="239">
        <v>0</v>
      </c>
      <c r="CE83" s="239">
        <v>0</v>
      </c>
      <c r="CF83" s="239">
        <v>0</v>
      </c>
      <c r="CG83" s="239">
        <v>0</v>
      </c>
      <c r="CH83" s="239">
        <v>0</v>
      </c>
      <c r="CI83" s="239">
        <v>0</v>
      </c>
      <c r="CJ83" s="239">
        <v>0</v>
      </c>
      <c r="CK83" s="239">
        <v>0</v>
      </c>
      <c r="CL83" s="239">
        <v>0</v>
      </c>
      <c r="CM83" s="239">
        <v>6978.7100000000009</v>
      </c>
      <c r="CN83" s="239">
        <v>1570.20975</v>
      </c>
      <c r="CO83" s="239">
        <v>174.46775000000002</v>
      </c>
      <c r="CP83" s="239">
        <v>0</v>
      </c>
      <c r="CQ83" s="239">
        <v>0</v>
      </c>
      <c r="CR83" s="239">
        <v>0</v>
      </c>
      <c r="CS83" s="239">
        <v>6979</v>
      </c>
      <c r="CT83" s="239">
        <v>1570</v>
      </c>
      <c r="CU83" s="239">
        <v>174</v>
      </c>
      <c r="CV83" s="239">
        <v>205591.98041666669</v>
      </c>
      <c r="CW83" s="239">
        <v>46220.156062499998</v>
      </c>
      <c r="CX83" s="239">
        <v>5135.5728958333339</v>
      </c>
      <c r="CY83" s="239">
        <v>217861</v>
      </c>
      <c r="CZ83" s="239">
        <v>49019</v>
      </c>
      <c r="DA83" s="239">
        <v>5447</v>
      </c>
      <c r="DB83" s="239">
        <v>-12269</v>
      </c>
      <c r="DC83" s="239">
        <v>-2799</v>
      </c>
      <c r="DD83" s="239">
        <v>-311</v>
      </c>
      <c r="DE83" s="214">
        <v>0.5</v>
      </c>
      <c r="DF83" s="214">
        <v>0.4</v>
      </c>
      <c r="DG83" s="214">
        <v>0.09</v>
      </c>
      <c r="DH83" s="214">
        <v>0.01</v>
      </c>
      <c r="DI83" s="214" t="s">
        <v>1294</v>
      </c>
    </row>
    <row r="84" spans="2:113" s="214" customFormat="1" x14ac:dyDescent="0.2">
      <c r="B84" s="610" t="s">
        <v>251</v>
      </c>
      <c r="C84" s="610" t="s">
        <v>250</v>
      </c>
      <c r="D84" s="239">
        <v>-153106</v>
      </c>
      <c r="E84" s="239">
        <v>0</v>
      </c>
      <c r="F84" s="239">
        <v>-153106</v>
      </c>
      <c r="G84" s="239">
        <v>0</v>
      </c>
      <c r="H84" s="239">
        <v>0</v>
      </c>
      <c r="I84" s="239">
        <v>0</v>
      </c>
      <c r="J84" s="239">
        <v>-153106</v>
      </c>
      <c r="K84" s="239">
        <v>0</v>
      </c>
      <c r="L84" s="239">
        <v>-153106</v>
      </c>
      <c r="M84" s="239">
        <v>429762</v>
      </c>
      <c r="N84" s="239">
        <v>429762</v>
      </c>
      <c r="O84" s="239">
        <v>0</v>
      </c>
      <c r="P84" s="239">
        <v>0</v>
      </c>
      <c r="Q84" s="239">
        <v>0</v>
      </c>
      <c r="R84" s="239">
        <v>0</v>
      </c>
      <c r="S84" s="239">
        <v>0</v>
      </c>
      <c r="T84" s="239">
        <v>0</v>
      </c>
      <c r="U84" s="239">
        <v>0</v>
      </c>
      <c r="V84" s="239">
        <v>0</v>
      </c>
      <c r="W84" s="239">
        <v>0</v>
      </c>
      <c r="X84" s="239">
        <v>0</v>
      </c>
      <c r="Y84" s="239">
        <v>0</v>
      </c>
      <c r="Z84" s="239">
        <v>0</v>
      </c>
      <c r="AA84" s="239">
        <v>0</v>
      </c>
      <c r="AB84" s="239">
        <v>0</v>
      </c>
      <c r="AC84" s="239">
        <v>0</v>
      </c>
      <c r="AD84" s="239">
        <v>0</v>
      </c>
      <c r="AE84" s="239">
        <v>0</v>
      </c>
      <c r="AF84" s="239">
        <v>0</v>
      </c>
      <c r="AG84" s="239">
        <v>0</v>
      </c>
      <c r="AH84" s="239">
        <v>0</v>
      </c>
      <c r="AI84" s="239">
        <v>0</v>
      </c>
      <c r="AJ84" s="239">
        <v>0</v>
      </c>
      <c r="AK84" s="239">
        <v>1851057.6328854167</v>
      </c>
      <c r="AL84" s="239">
        <v>0</v>
      </c>
      <c r="AM84" s="239">
        <v>37776.686385416666</v>
      </c>
      <c r="AN84" s="239">
        <v>1735203</v>
      </c>
      <c r="AO84" s="239">
        <v>0</v>
      </c>
      <c r="AP84" s="239">
        <v>35412</v>
      </c>
      <c r="AQ84" s="239">
        <v>115855</v>
      </c>
      <c r="AR84" s="239">
        <v>0</v>
      </c>
      <c r="AS84" s="239">
        <v>2365</v>
      </c>
      <c r="AT84" s="239">
        <v>14343.154437499999</v>
      </c>
      <c r="AU84" s="239">
        <v>0</v>
      </c>
      <c r="AV84" s="239">
        <v>292.71743750000002</v>
      </c>
      <c r="AW84" s="239">
        <v>9616</v>
      </c>
      <c r="AX84" s="239">
        <v>0</v>
      </c>
      <c r="AY84" s="239">
        <v>196</v>
      </c>
      <c r="AZ84" s="239">
        <v>4727</v>
      </c>
      <c r="BA84" s="239">
        <v>0</v>
      </c>
      <c r="BB84" s="239">
        <v>97</v>
      </c>
      <c r="BC84" s="239">
        <v>0</v>
      </c>
      <c r="BD84" s="239">
        <v>0</v>
      </c>
      <c r="BE84" s="239">
        <v>0</v>
      </c>
      <c r="BF84" s="239">
        <v>49715</v>
      </c>
      <c r="BG84" s="239">
        <v>0</v>
      </c>
      <c r="BH84" s="239">
        <v>1014</v>
      </c>
      <c r="BI84" s="239">
        <v>-49715</v>
      </c>
      <c r="BJ84" s="239">
        <v>0</v>
      </c>
      <c r="BK84" s="239">
        <v>-1014</v>
      </c>
      <c r="BL84" s="239">
        <v>40268.8125</v>
      </c>
      <c r="BM84" s="239">
        <v>0</v>
      </c>
      <c r="BN84" s="239">
        <v>821.8125</v>
      </c>
      <c r="BO84" s="239">
        <v>124287</v>
      </c>
      <c r="BP84" s="239">
        <v>0</v>
      </c>
      <c r="BQ84" s="239">
        <v>2536</v>
      </c>
      <c r="BR84" s="239">
        <v>-84018</v>
      </c>
      <c r="BS84" s="239">
        <v>0</v>
      </c>
      <c r="BT84" s="239">
        <v>-1714</v>
      </c>
      <c r="BU84" s="239">
        <v>800191.51610416663</v>
      </c>
      <c r="BV84" s="239">
        <v>0</v>
      </c>
      <c r="BW84" s="239">
        <v>16330.439104166668</v>
      </c>
      <c r="BX84" s="239">
        <v>820193</v>
      </c>
      <c r="BY84" s="239">
        <v>0</v>
      </c>
      <c r="BZ84" s="239">
        <v>16738</v>
      </c>
      <c r="CA84" s="239">
        <v>-20001</v>
      </c>
      <c r="CB84" s="239">
        <v>0</v>
      </c>
      <c r="CC84" s="239">
        <v>-408</v>
      </c>
      <c r="CD84" s="239">
        <v>0</v>
      </c>
      <c r="CE84" s="239">
        <v>0</v>
      </c>
      <c r="CF84" s="239">
        <v>0</v>
      </c>
      <c r="CG84" s="239">
        <v>0</v>
      </c>
      <c r="CH84" s="239">
        <v>0</v>
      </c>
      <c r="CI84" s="239">
        <v>0</v>
      </c>
      <c r="CJ84" s="239">
        <v>0</v>
      </c>
      <c r="CK84" s="239">
        <v>0</v>
      </c>
      <c r="CL84" s="239">
        <v>0</v>
      </c>
      <c r="CM84" s="239">
        <v>9726.6582291666673</v>
      </c>
      <c r="CN84" s="239">
        <v>0</v>
      </c>
      <c r="CO84" s="239">
        <v>198.50322916666667</v>
      </c>
      <c r="CP84" s="239">
        <v>0</v>
      </c>
      <c r="CQ84" s="239">
        <v>0</v>
      </c>
      <c r="CR84" s="239">
        <v>0</v>
      </c>
      <c r="CS84" s="239">
        <v>9727</v>
      </c>
      <c r="CT84" s="239">
        <v>0</v>
      </c>
      <c r="CU84" s="239">
        <v>199</v>
      </c>
      <c r="CV84" s="239">
        <v>681275.83956250001</v>
      </c>
      <c r="CW84" s="239">
        <v>0</v>
      </c>
      <c r="CX84" s="239">
        <v>13903.588562500001</v>
      </c>
      <c r="CY84" s="239">
        <v>657676</v>
      </c>
      <c r="CZ84" s="239">
        <v>0</v>
      </c>
      <c r="DA84" s="239">
        <v>13422</v>
      </c>
      <c r="DB84" s="239">
        <v>23600</v>
      </c>
      <c r="DC84" s="239">
        <v>0</v>
      </c>
      <c r="DD84" s="239">
        <v>482</v>
      </c>
      <c r="DE84" s="214">
        <v>0.5</v>
      </c>
      <c r="DF84" s="214">
        <v>0.49</v>
      </c>
      <c r="DG84" s="214">
        <v>0</v>
      </c>
      <c r="DH84" s="214">
        <v>0.01</v>
      </c>
      <c r="DI84" s="214" t="s">
        <v>1296</v>
      </c>
    </row>
    <row r="85" spans="2:113" s="214" customFormat="1" x14ac:dyDescent="0.2">
      <c r="B85" s="610" t="s">
        <v>253</v>
      </c>
      <c r="C85" s="610" t="s">
        <v>252</v>
      </c>
      <c r="D85" s="239">
        <v>-452328</v>
      </c>
      <c r="E85" s="239">
        <v>0</v>
      </c>
      <c r="F85" s="239">
        <v>-452328</v>
      </c>
      <c r="G85" s="239">
        <v>0</v>
      </c>
      <c r="H85" s="239">
        <v>0</v>
      </c>
      <c r="I85" s="239">
        <v>0</v>
      </c>
      <c r="J85" s="239">
        <v>-452328</v>
      </c>
      <c r="K85" s="239">
        <v>0</v>
      </c>
      <c r="L85" s="239">
        <v>-452328</v>
      </c>
      <c r="M85" s="239">
        <v>601017</v>
      </c>
      <c r="N85" s="239">
        <v>601017</v>
      </c>
      <c r="O85" s="239">
        <v>0</v>
      </c>
      <c r="P85" s="239">
        <v>0</v>
      </c>
      <c r="Q85" s="239">
        <v>0</v>
      </c>
      <c r="R85" s="239">
        <v>0</v>
      </c>
      <c r="S85" s="239">
        <v>53354</v>
      </c>
      <c r="T85" s="239">
        <v>0</v>
      </c>
      <c r="U85" s="239">
        <v>11278</v>
      </c>
      <c r="V85" s="239">
        <v>0</v>
      </c>
      <c r="W85" s="239">
        <v>42076</v>
      </c>
      <c r="X85" s="239">
        <v>0</v>
      </c>
      <c r="Y85" s="239">
        <v>0</v>
      </c>
      <c r="Z85" s="239">
        <v>0</v>
      </c>
      <c r="AA85" s="239">
        <v>0</v>
      </c>
      <c r="AB85" s="239">
        <v>0</v>
      </c>
      <c r="AC85" s="239">
        <v>0</v>
      </c>
      <c r="AD85" s="239">
        <v>0</v>
      </c>
      <c r="AE85" s="239">
        <v>0</v>
      </c>
      <c r="AF85" s="239">
        <v>0</v>
      </c>
      <c r="AG85" s="239">
        <v>0</v>
      </c>
      <c r="AH85" s="239">
        <v>0</v>
      </c>
      <c r="AI85" s="239">
        <v>0</v>
      </c>
      <c r="AJ85" s="239">
        <v>0</v>
      </c>
      <c r="AK85" s="239">
        <v>2474608.5115208337</v>
      </c>
      <c r="AL85" s="239">
        <v>0</v>
      </c>
      <c r="AM85" s="239">
        <v>50502.214520833339</v>
      </c>
      <c r="AN85" s="239">
        <v>2398066</v>
      </c>
      <c r="AO85" s="239">
        <v>0</v>
      </c>
      <c r="AP85" s="239">
        <v>48940</v>
      </c>
      <c r="AQ85" s="239">
        <v>76543</v>
      </c>
      <c r="AR85" s="239">
        <v>0</v>
      </c>
      <c r="AS85" s="239">
        <v>1562</v>
      </c>
      <c r="AT85" s="239">
        <v>23357.402687499998</v>
      </c>
      <c r="AU85" s="239">
        <v>0</v>
      </c>
      <c r="AV85" s="239">
        <v>476.68168750000001</v>
      </c>
      <c r="AW85" s="239">
        <v>4595</v>
      </c>
      <c r="AX85" s="239">
        <v>0</v>
      </c>
      <c r="AY85" s="239">
        <v>94</v>
      </c>
      <c r="AZ85" s="239">
        <v>18762</v>
      </c>
      <c r="BA85" s="239">
        <v>0</v>
      </c>
      <c r="BB85" s="239">
        <v>383</v>
      </c>
      <c r="BC85" s="239">
        <v>103651.42622916667</v>
      </c>
      <c r="BD85" s="239">
        <v>0</v>
      </c>
      <c r="BE85" s="239">
        <v>2115.335229166667</v>
      </c>
      <c r="BF85" s="239">
        <v>89134</v>
      </c>
      <c r="BG85" s="239">
        <v>0</v>
      </c>
      <c r="BH85" s="239">
        <v>1820</v>
      </c>
      <c r="BI85" s="239">
        <v>14517</v>
      </c>
      <c r="BJ85" s="239">
        <v>0</v>
      </c>
      <c r="BK85" s="239">
        <v>295</v>
      </c>
      <c r="BL85" s="239">
        <v>29032.322375</v>
      </c>
      <c r="BM85" s="239">
        <v>0</v>
      </c>
      <c r="BN85" s="239">
        <v>592.49637499999994</v>
      </c>
      <c r="BO85" s="239">
        <v>2944</v>
      </c>
      <c r="BP85" s="239">
        <v>0</v>
      </c>
      <c r="BQ85" s="239">
        <v>60</v>
      </c>
      <c r="BR85" s="239">
        <v>26088</v>
      </c>
      <c r="BS85" s="239">
        <v>0</v>
      </c>
      <c r="BT85" s="239">
        <v>532</v>
      </c>
      <c r="BU85" s="239">
        <v>918750.85443750001</v>
      </c>
      <c r="BV85" s="239">
        <v>0</v>
      </c>
      <c r="BW85" s="239">
        <v>18750.017437499999</v>
      </c>
      <c r="BX85" s="239">
        <v>821945</v>
      </c>
      <c r="BY85" s="239">
        <v>0</v>
      </c>
      <c r="BZ85" s="239">
        <v>16774</v>
      </c>
      <c r="CA85" s="239">
        <v>96806</v>
      </c>
      <c r="CB85" s="239">
        <v>0</v>
      </c>
      <c r="CC85" s="239">
        <v>1976</v>
      </c>
      <c r="CD85" s="239">
        <v>0</v>
      </c>
      <c r="CE85" s="239">
        <v>0</v>
      </c>
      <c r="CF85" s="239">
        <v>0</v>
      </c>
      <c r="CG85" s="239">
        <v>4263</v>
      </c>
      <c r="CH85" s="239">
        <v>0</v>
      </c>
      <c r="CI85" s="239">
        <v>0</v>
      </c>
      <c r="CJ85" s="239">
        <v>-4263</v>
      </c>
      <c r="CK85" s="239">
        <v>0</v>
      </c>
      <c r="CL85" s="239">
        <v>0</v>
      </c>
      <c r="CM85" s="239">
        <v>32043.5346875</v>
      </c>
      <c r="CN85" s="239">
        <v>0</v>
      </c>
      <c r="CO85" s="239">
        <v>653.94968749999998</v>
      </c>
      <c r="CP85" s="239">
        <v>0</v>
      </c>
      <c r="CQ85" s="239">
        <v>0</v>
      </c>
      <c r="CR85" s="239">
        <v>0</v>
      </c>
      <c r="CS85" s="239">
        <v>32044</v>
      </c>
      <c r="CT85" s="239">
        <v>0</v>
      </c>
      <c r="CU85" s="239">
        <v>654</v>
      </c>
      <c r="CV85" s="239">
        <v>741362.0415833334</v>
      </c>
      <c r="CW85" s="239">
        <v>0</v>
      </c>
      <c r="CX85" s="239">
        <v>15113.958416666666</v>
      </c>
      <c r="CY85" s="239">
        <v>799301</v>
      </c>
      <c r="CZ85" s="239">
        <v>0</v>
      </c>
      <c r="DA85" s="239">
        <v>16309</v>
      </c>
      <c r="DB85" s="239">
        <v>-57939</v>
      </c>
      <c r="DC85" s="239">
        <v>0</v>
      </c>
      <c r="DD85" s="239">
        <v>-1195</v>
      </c>
      <c r="DE85" s="214">
        <v>0.5</v>
      </c>
      <c r="DF85" s="214">
        <v>0.49</v>
      </c>
      <c r="DG85" s="214">
        <v>0</v>
      </c>
      <c r="DH85" s="214">
        <v>0.01</v>
      </c>
      <c r="DI85" s="214" t="s">
        <v>748</v>
      </c>
    </row>
    <row r="86" spans="2:113" s="214" customFormat="1" x14ac:dyDescent="0.2">
      <c r="B86" s="610" t="s">
        <v>255</v>
      </c>
      <c r="C86" s="610" t="s">
        <v>254</v>
      </c>
      <c r="D86" s="239">
        <v>-451802</v>
      </c>
      <c r="E86" s="239">
        <v>0</v>
      </c>
      <c r="F86" s="239">
        <v>-451802</v>
      </c>
      <c r="G86" s="239">
        <v>0</v>
      </c>
      <c r="H86" s="239">
        <v>0</v>
      </c>
      <c r="I86" s="239">
        <v>0</v>
      </c>
      <c r="J86" s="239">
        <v>-451802</v>
      </c>
      <c r="K86" s="239">
        <v>0</v>
      </c>
      <c r="L86" s="239">
        <v>-451802</v>
      </c>
      <c r="M86" s="239">
        <v>492431</v>
      </c>
      <c r="N86" s="239">
        <v>522431</v>
      </c>
      <c r="O86" s="239">
        <v>-30000</v>
      </c>
      <c r="P86" s="239">
        <v>0</v>
      </c>
      <c r="Q86" s="239">
        <v>0</v>
      </c>
      <c r="R86" s="239">
        <v>0</v>
      </c>
      <c r="S86" s="239">
        <v>0</v>
      </c>
      <c r="T86" s="239">
        <v>0</v>
      </c>
      <c r="U86" s="239">
        <v>0</v>
      </c>
      <c r="V86" s="239">
        <v>0</v>
      </c>
      <c r="W86" s="239">
        <v>0</v>
      </c>
      <c r="X86" s="239">
        <v>0</v>
      </c>
      <c r="Y86" s="239">
        <v>0</v>
      </c>
      <c r="Z86" s="239">
        <v>0</v>
      </c>
      <c r="AA86" s="239">
        <v>0</v>
      </c>
      <c r="AB86" s="239">
        <v>0</v>
      </c>
      <c r="AC86" s="239">
        <v>0</v>
      </c>
      <c r="AD86" s="239">
        <v>0</v>
      </c>
      <c r="AE86" s="239">
        <v>0</v>
      </c>
      <c r="AF86" s="239">
        <v>0</v>
      </c>
      <c r="AG86" s="239">
        <v>0</v>
      </c>
      <c r="AH86" s="239">
        <v>0</v>
      </c>
      <c r="AI86" s="239">
        <v>0</v>
      </c>
      <c r="AJ86" s="239">
        <v>0</v>
      </c>
      <c r="AK86" s="239">
        <v>774130.48218749999</v>
      </c>
      <c r="AL86" s="239">
        <v>516086.98812500003</v>
      </c>
      <c r="AM86" s="239">
        <v>0</v>
      </c>
      <c r="AN86" s="239">
        <v>697113</v>
      </c>
      <c r="AO86" s="239">
        <v>464742</v>
      </c>
      <c r="AP86" s="239">
        <v>0</v>
      </c>
      <c r="AQ86" s="239">
        <v>77017</v>
      </c>
      <c r="AR86" s="239">
        <v>51345</v>
      </c>
      <c r="AS86" s="239">
        <v>0</v>
      </c>
      <c r="AT86" s="239">
        <v>11539.464999999998</v>
      </c>
      <c r="AU86" s="239">
        <v>7692.9766666666665</v>
      </c>
      <c r="AV86" s="239">
        <v>0</v>
      </c>
      <c r="AW86" s="239">
        <v>4748</v>
      </c>
      <c r="AX86" s="239">
        <v>3166</v>
      </c>
      <c r="AY86" s="239">
        <v>0</v>
      </c>
      <c r="AZ86" s="239">
        <v>6791</v>
      </c>
      <c r="BA86" s="239">
        <v>4527</v>
      </c>
      <c r="BB86" s="239">
        <v>0</v>
      </c>
      <c r="BC86" s="239">
        <v>95591.403749999998</v>
      </c>
      <c r="BD86" s="239">
        <v>63727.602499999994</v>
      </c>
      <c r="BE86" s="239">
        <v>0</v>
      </c>
      <c r="BF86" s="239">
        <v>69212</v>
      </c>
      <c r="BG86" s="239">
        <v>46140</v>
      </c>
      <c r="BH86" s="239">
        <v>0</v>
      </c>
      <c r="BI86" s="239">
        <v>26379</v>
      </c>
      <c r="BJ86" s="239">
        <v>17588</v>
      </c>
      <c r="BK86" s="239">
        <v>0</v>
      </c>
      <c r="BL86" s="239">
        <v>33168.352499999994</v>
      </c>
      <c r="BM86" s="239">
        <v>22112.235000000001</v>
      </c>
      <c r="BN86" s="239">
        <v>0</v>
      </c>
      <c r="BO86" s="239">
        <v>17791</v>
      </c>
      <c r="BP86" s="239">
        <v>11862</v>
      </c>
      <c r="BQ86" s="239">
        <v>0</v>
      </c>
      <c r="BR86" s="239">
        <v>15377</v>
      </c>
      <c r="BS86" s="239">
        <v>10250</v>
      </c>
      <c r="BT86" s="239">
        <v>0</v>
      </c>
      <c r="BU86" s="239">
        <v>911755.00812500005</v>
      </c>
      <c r="BV86" s="239">
        <v>607836.67208333337</v>
      </c>
      <c r="BW86" s="239">
        <v>0</v>
      </c>
      <c r="BX86" s="239">
        <v>703346</v>
      </c>
      <c r="BY86" s="239">
        <v>468896</v>
      </c>
      <c r="BZ86" s="239">
        <v>0</v>
      </c>
      <c r="CA86" s="239">
        <v>208409</v>
      </c>
      <c r="CB86" s="239">
        <v>138941</v>
      </c>
      <c r="CC86" s="239">
        <v>0</v>
      </c>
      <c r="CD86" s="239">
        <v>0</v>
      </c>
      <c r="CE86" s="239">
        <v>0</v>
      </c>
      <c r="CF86" s="239">
        <v>0</v>
      </c>
      <c r="CG86" s="239">
        <v>0</v>
      </c>
      <c r="CH86" s="239">
        <v>0</v>
      </c>
      <c r="CI86" s="239">
        <v>0</v>
      </c>
      <c r="CJ86" s="239">
        <v>0</v>
      </c>
      <c r="CK86" s="239">
        <v>0</v>
      </c>
      <c r="CL86" s="239">
        <v>0</v>
      </c>
      <c r="CM86" s="239">
        <v>0</v>
      </c>
      <c r="CN86" s="239">
        <v>0</v>
      </c>
      <c r="CO86" s="239">
        <v>0</v>
      </c>
      <c r="CP86" s="239">
        <v>0</v>
      </c>
      <c r="CQ86" s="239">
        <v>0</v>
      </c>
      <c r="CR86" s="239">
        <v>0</v>
      </c>
      <c r="CS86" s="239">
        <v>0</v>
      </c>
      <c r="CT86" s="239">
        <v>0</v>
      </c>
      <c r="CU86" s="239">
        <v>0</v>
      </c>
      <c r="CV86" s="239">
        <v>632829.32124999992</v>
      </c>
      <c r="CW86" s="239">
        <v>421886.21416666667</v>
      </c>
      <c r="CX86" s="239">
        <v>0</v>
      </c>
      <c r="CY86" s="239">
        <v>577433</v>
      </c>
      <c r="CZ86" s="239">
        <v>384955</v>
      </c>
      <c r="DA86" s="239">
        <v>0</v>
      </c>
      <c r="DB86" s="239">
        <v>55396</v>
      </c>
      <c r="DC86" s="239">
        <v>36931</v>
      </c>
      <c r="DD86" s="239">
        <v>0</v>
      </c>
      <c r="DE86" s="214">
        <v>0.5</v>
      </c>
      <c r="DF86" s="214">
        <v>0.3</v>
      </c>
      <c r="DG86" s="214">
        <v>0.2</v>
      </c>
      <c r="DH86" s="214">
        <v>0</v>
      </c>
      <c r="DI86" s="214" t="s">
        <v>1295</v>
      </c>
    </row>
    <row r="87" spans="2:113" s="214" customFormat="1" x14ac:dyDescent="0.2">
      <c r="B87" s="610" t="s">
        <v>257</v>
      </c>
      <c r="C87" s="610" t="s">
        <v>256</v>
      </c>
      <c r="D87" s="239">
        <v>-28315</v>
      </c>
      <c r="E87" s="239">
        <v>0</v>
      </c>
      <c r="F87" s="239">
        <v>-28315</v>
      </c>
      <c r="G87" s="239">
        <v>0</v>
      </c>
      <c r="H87" s="239">
        <v>0</v>
      </c>
      <c r="I87" s="239">
        <v>0</v>
      </c>
      <c r="J87" s="239">
        <v>-28315</v>
      </c>
      <c r="K87" s="239">
        <v>0</v>
      </c>
      <c r="L87" s="239">
        <v>-28315</v>
      </c>
      <c r="M87" s="239">
        <v>92995</v>
      </c>
      <c r="N87" s="239">
        <v>92995</v>
      </c>
      <c r="O87" s="239">
        <v>0</v>
      </c>
      <c r="P87" s="239">
        <v>0</v>
      </c>
      <c r="Q87" s="239">
        <v>0</v>
      </c>
      <c r="R87" s="239">
        <v>0</v>
      </c>
      <c r="S87" s="239">
        <v>354054</v>
      </c>
      <c r="T87" s="239">
        <v>0</v>
      </c>
      <c r="U87" s="239">
        <v>190000</v>
      </c>
      <c r="V87" s="239">
        <v>0</v>
      </c>
      <c r="W87" s="239">
        <v>164054</v>
      </c>
      <c r="X87" s="239">
        <v>0</v>
      </c>
      <c r="Y87" s="239">
        <v>0</v>
      </c>
      <c r="Z87" s="239">
        <v>0</v>
      </c>
      <c r="AA87" s="239">
        <v>0</v>
      </c>
      <c r="AB87" s="239">
        <v>0</v>
      </c>
      <c r="AC87" s="239">
        <v>0</v>
      </c>
      <c r="AD87" s="239">
        <v>0</v>
      </c>
      <c r="AE87" s="239">
        <v>0</v>
      </c>
      <c r="AF87" s="239">
        <v>0</v>
      </c>
      <c r="AG87" s="239">
        <v>0</v>
      </c>
      <c r="AH87" s="239">
        <v>0</v>
      </c>
      <c r="AI87" s="239">
        <v>0</v>
      </c>
      <c r="AJ87" s="239">
        <v>0</v>
      </c>
      <c r="AK87" s="239">
        <v>333794.87291666667</v>
      </c>
      <c r="AL87" s="239">
        <v>75103.846406249999</v>
      </c>
      <c r="AM87" s="239">
        <v>8344.8718229166661</v>
      </c>
      <c r="AN87" s="239">
        <v>310934</v>
      </c>
      <c r="AO87" s="239">
        <v>69960</v>
      </c>
      <c r="AP87" s="239">
        <v>7774</v>
      </c>
      <c r="AQ87" s="239">
        <v>22861</v>
      </c>
      <c r="AR87" s="239">
        <v>5144</v>
      </c>
      <c r="AS87" s="239">
        <v>571</v>
      </c>
      <c r="AT87" s="239">
        <v>888.36916666666673</v>
      </c>
      <c r="AU87" s="239">
        <v>199.88306249999999</v>
      </c>
      <c r="AV87" s="239">
        <v>22.209229166666667</v>
      </c>
      <c r="AW87" s="239">
        <v>4326</v>
      </c>
      <c r="AX87" s="239">
        <v>974</v>
      </c>
      <c r="AY87" s="239">
        <v>108</v>
      </c>
      <c r="AZ87" s="239">
        <v>-3438</v>
      </c>
      <c r="BA87" s="239">
        <v>-774</v>
      </c>
      <c r="BB87" s="239">
        <v>-86</v>
      </c>
      <c r="BC87" s="239">
        <v>0</v>
      </c>
      <c r="BD87" s="239">
        <v>0</v>
      </c>
      <c r="BE87" s="239">
        <v>0</v>
      </c>
      <c r="BF87" s="239">
        <v>0</v>
      </c>
      <c r="BG87" s="239">
        <v>0</v>
      </c>
      <c r="BH87" s="239">
        <v>0</v>
      </c>
      <c r="BI87" s="239">
        <v>0</v>
      </c>
      <c r="BJ87" s="239">
        <v>0</v>
      </c>
      <c r="BK87" s="239">
        <v>0</v>
      </c>
      <c r="BL87" s="239">
        <v>0</v>
      </c>
      <c r="BM87" s="239">
        <v>0</v>
      </c>
      <c r="BN87" s="239">
        <v>0</v>
      </c>
      <c r="BO87" s="239">
        <v>0</v>
      </c>
      <c r="BP87" s="239">
        <v>0</v>
      </c>
      <c r="BQ87" s="239">
        <v>0</v>
      </c>
      <c r="BR87" s="239">
        <v>0</v>
      </c>
      <c r="BS87" s="239">
        <v>0</v>
      </c>
      <c r="BT87" s="239">
        <v>0</v>
      </c>
      <c r="BU87" s="239">
        <v>134720.43333333332</v>
      </c>
      <c r="BV87" s="239">
        <v>30312.097499999996</v>
      </c>
      <c r="BW87" s="239">
        <v>3368.0108333333333</v>
      </c>
      <c r="BX87" s="239">
        <v>143780</v>
      </c>
      <c r="BY87" s="239">
        <v>32350</v>
      </c>
      <c r="BZ87" s="239">
        <v>3594</v>
      </c>
      <c r="CA87" s="239">
        <v>-9060</v>
      </c>
      <c r="CB87" s="239">
        <v>-2038</v>
      </c>
      <c r="CC87" s="239">
        <v>-226</v>
      </c>
      <c r="CD87" s="239">
        <v>0</v>
      </c>
      <c r="CE87" s="239">
        <v>0</v>
      </c>
      <c r="CF87" s="239">
        <v>0</v>
      </c>
      <c r="CG87" s="239">
        <v>0</v>
      </c>
      <c r="CH87" s="239">
        <v>0</v>
      </c>
      <c r="CI87" s="239">
        <v>0</v>
      </c>
      <c r="CJ87" s="239">
        <v>0</v>
      </c>
      <c r="CK87" s="239">
        <v>0</v>
      </c>
      <c r="CL87" s="239">
        <v>0</v>
      </c>
      <c r="CM87" s="239">
        <v>3633.8316666666669</v>
      </c>
      <c r="CN87" s="239">
        <v>817.61212499999999</v>
      </c>
      <c r="CO87" s="239">
        <v>90.84579166666667</v>
      </c>
      <c r="CP87" s="239">
        <v>0</v>
      </c>
      <c r="CQ87" s="239">
        <v>0</v>
      </c>
      <c r="CR87" s="239">
        <v>0</v>
      </c>
      <c r="CS87" s="239">
        <v>3634</v>
      </c>
      <c r="CT87" s="239">
        <v>818</v>
      </c>
      <c r="CU87" s="239">
        <v>91</v>
      </c>
      <c r="CV87" s="239">
        <v>112664.04916666668</v>
      </c>
      <c r="CW87" s="239">
        <v>24187.671374999998</v>
      </c>
      <c r="CX87" s="239">
        <v>2687.5190416666665</v>
      </c>
      <c r="CY87" s="239">
        <v>108231</v>
      </c>
      <c r="CZ87" s="239">
        <v>23729</v>
      </c>
      <c r="DA87" s="239">
        <v>2637</v>
      </c>
      <c r="DB87" s="239">
        <v>4433</v>
      </c>
      <c r="DC87" s="239">
        <v>459</v>
      </c>
      <c r="DD87" s="239">
        <v>51</v>
      </c>
      <c r="DE87" s="214">
        <v>0.5</v>
      </c>
      <c r="DF87" s="214">
        <v>0.4</v>
      </c>
      <c r="DG87" s="214">
        <v>0.09</v>
      </c>
      <c r="DH87" s="214">
        <v>0.01</v>
      </c>
      <c r="DI87" s="214" t="s">
        <v>1294</v>
      </c>
    </row>
    <row r="88" spans="2:113" s="214" customFormat="1" x14ac:dyDescent="0.2">
      <c r="B88" s="610" t="s">
        <v>259</v>
      </c>
      <c r="C88" s="610" t="s">
        <v>258</v>
      </c>
      <c r="D88" s="239">
        <v>59642</v>
      </c>
      <c r="E88" s="239">
        <v>0</v>
      </c>
      <c r="F88" s="239">
        <v>59642</v>
      </c>
      <c r="G88" s="239">
        <v>0</v>
      </c>
      <c r="H88" s="239">
        <v>0</v>
      </c>
      <c r="I88" s="239">
        <v>0</v>
      </c>
      <c r="J88" s="239">
        <v>59642</v>
      </c>
      <c r="K88" s="239">
        <v>0</v>
      </c>
      <c r="L88" s="239">
        <v>59642</v>
      </c>
      <c r="M88" s="239">
        <v>226929</v>
      </c>
      <c r="N88" s="239">
        <v>226929</v>
      </c>
      <c r="O88" s="239">
        <v>0</v>
      </c>
      <c r="P88" s="239">
        <v>0</v>
      </c>
      <c r="Q88" s="239">
        <v>0</v>
      </c>
      <c r="R88" s="239">
        <v>0</v>
      </c>
      <c r="S88" s="239">
        <v>198263</v>
      </c>
      <c r="T88" s="239">
        <v>0</v>
      </c>
      <c r="U88" s="239">
        <v>173787</v>
      </c>
      <c r="V88" s="239">
        <v>0</v>
      </c>
      <c r="W88" s="239">
        <v>24476</v>
      </c>
      <c r="X88" s="239">
        <v>0</v>
      </c>
      <c r="Y88" s="239">
        <v>0</v>
      </c>
      <c r="Z88" s="239">
        <v>0</v>
      </c>
      <c r="AA88" s="239">
        <v>0</v>
      </c>
      <c r="AB88" s="239">
        <v>0</v>
      </c>
      <c r="AC88" s="239">
        <v>0</v>
      </c>
      <c r="AD88" s="239">
        <v>0</v>
      </c>
      <c r="AE88" s="239">
        <v>0</v>
      </c>
      <c r="AF88" s="239">
        <v>0</v>
      </c>
      <c r="AG88" s="239">
        <v>0</v>
      </c>
      <c r="AH88" s="239">
        <v>0</v>
      </c>
      <c r="AI88" s="239">
        <v>0</v>
      </c>
      <c r="AJ88" s="239">
        <v>0</v>
      </c>
      <c r="AK88" s="239">
        <v>922062.05874999997</v>
      </c>
      <c r="AL88" s="239">
        <v>207463.96321874997</v>
      </c>
      <c r="AM88" s="239">
        <v>23051.551468749996</v>
      </c>
      <c r="AN88" s="239">
        <v>855843</v>
      </c>
      <c r="AO88" s="239">
        <v>192564</v>
      </c>
      <c r="AP88" s="239">
        <v>21396</v>
      </c>
      <c r="AQ88" s="239">
        <v>66219</v>
      </c>
      <c r="AR88" s="239">
        <v>14900</v>
      </c>
      <c r="AS88" s="239">
        <v>1656</v>
      </c>
      <c r="AT88" s="239">
        <v>-332.78333333333336</v>
      </c>
      <c r="AU88" s="239">
        <v>-74.876249999999999</v>
      </c>
      <c r="AV88" s="239">
        <v>-8.319583333333334</v>
      </c>
      <c r="AW88" s="239">
        <v>3666</v>
      </c>
      <c r="AX88" s="239">
        <v>824</v>
      </c>
      <c r="AY88" s="239">
        <v>92</v>
      </c>
      <c r="AZ88" s="239">
        <v>-3999</v>
      </c>
      <c r="BA88" s="239">
        <v>-899</v>
      </c>
      <c r="BB88" s="239">
        <v>-100</v>
      </c>
      <c r="BC88" s="239">
        <v>659.8850000000001</v>
      </c>
      <c r="BD88" s="239">
        <v>148.47412500000002</v>
      </c>
      <c r="BE88" s="239">
        <v>16.497125</v>
      </c>
      <c r="BF88" s="239">
        <v>0</v>
      </c>
      <c r="BG88" s="239">
        <v>0</v>
      </c>
      <c r="BH88" s="239">
        <v>0</v>
      </c>
      <c r="BI88" s="239">
        <v>660</v>
      </c>
      <c r="BJ88" s="239">
        <v>148</v>
      </c>
      <c r="BK88" s="239">
        <v>16</v>
      </c>
      <c r="BL88" s="239">
        <v>1445.5783333333334</v>
      </c>
      <c r="BM88" s="239">
        <v>325.25512499999996</v>
      </c>
      <c r="BN88" s="239">
        <v>36.139458333333337</v>
      </c>
      <c r="BO88" s="239">
        <v>974</v>
      </c>
      <c r="BP88" s="239">
        <v>220</v>
      </c>
      <c r="BQ88" s="239">
        <v>24</v>
      </c>
      <c r="BR88" s="239">
        <v>472</v>
      </c>
      <c r="BS88" s="239">
        <v>105</v>
      </c>
      <c r="BT88" s="239">
        <v>12</v>
      </c>
      <c r="BU88" s="239">
        <v>388970.95833333337</v>
      </c>
      <c r="BV88" s="239">
        <v>87518.465624999983</v>
      </c>
      <c r="BW88" s="239">
        <v>9724.2739583333332</v>
      </c>
      <c r="BX88" s="239">
        <v>362908</v>
      </c>
      <c r="BY88" s="239">
        <v>81654</v>
      </c>
      <c r="BZ88" s="239">
        <v>9072</v>
      </c>
      <c r="CA88" s="239">
        <v>26063</v>
      </c>
      <c r="CB88" s="239">
        <v>5864</v>
      </c>
      <c r="CC88" s="239">
        <v>652</v>
      </c>
      <c r="CD88" s="239">
        <v>0</v>
      </c>
      <c r="CE88" s="239">
        <v>0</v>
      </c>
      <c r="CF88" s="239">
        <v>0</v>
      </c>
      <c r="CG88" s="239">
        <v>0</v>
      </c>
      <c r="CH88" s="239">
        <v>0</v>
      </c>
      <c r="CI88" s="239">
        <v>0</v>
      </c>
      <c r="CJ88" s="239">
        <v>0</v>
      </c>
      <c r="CK88" s="239">
        <v>0</v>
      </c>
      <c r="CL88" s="239">
        <v>0</v>
      </c>
      <c r="CM88" s="239">
        <v>16754.017499999998</v>
      </c>
      <c r="CN88" s="239">
        <v>3769.6539374999998</v>
      </c>
      <c r="CO88" s="239">
        <v>418.8504375</v>
      </c>
      <c r="CP88" s="239">
        <v>0</v>
      </c>
      <c r="CQ88" s="239">
        <v>0</v>
      </c>
      <c r="CR88" s="239">
        <v>0</v>
      </c>
      <c r="CS88" s="239">
        <v>16754</v>
      </c>
      <c r="CT88" s="239">
        <v>3770</v>
      </c>
      <c r="CU88" s="239">
        <v>419</v>
      </c>
      <c r="CV88" s="239">
        <v>189548.72708333333</v>
      </c>
      <c r="CW88" s="239">
        <v>41997.913124999999</v>
      </c>
      <c r="CX88" s="239">
        <v>4666.4347916666675</v>
      </c>
      <c r="CY88" s="239">
        <v>191159</v>
      </c>
      <c r="CZ88" s="239">
        <v>42441</v>
      </c>
      <c r="DA88" s="239">
        <v>4716</v>
      </c>
      <c r="DB88" s="239">
        <v>-1610</v>
      </c>
      <c r="DC88" s="239">
        <v>-443</v>
      </c>
      <c r="DD88" s="239">
        <v>-50</v>
      </c>
      <c r="DE88" s="214">
        <v>0.5</v>
      </c>
      <c r="DF88" s="214">
        <v>0.4</v>
      </c>
      <c r="DG88" s="214">
        <v>0.09</v>
      </c>
      <c r="DH88" s="214">
        <v>0.01</v>
      </c>
      <c r="DI88" s="214" t="s">
        <v>1294</v>
      </c>
    </row>
    <row r="89" spans="2:113" s="214" customFormat="1" x14ac:dyDescent="0.2">
      <c r="B89" s="610" t="s">
        <v>261</v>
      </c>
      <c r="C89" s="610" t="s">
        <v>260</v>
      </c>
      <c r="D89" s="239">
        <v>-95857</v>
      </c>
      <c r="E89" s="239">
        <v>0</v>
      </c>
      <c r="F89" s="239">
        <v>-95857</v>
      </c>
      <c r="G89" s="239">
        <v>0</v>
      </c>
      <c r="H89" s="239">
        <v>0</v>
      </c>
      <c r="I89" s="239">
        <v>0</v>
      </c>
      <c r="J89" s="239">
        <v>-95857</v>
      </c>
      <c r="K89" s="239">
        <v>0</v>
      </c>
      <c r="L89" s="239">
        <v>-95857</v>
      </c>
      <c r="M89" s="239">
        <v>108361</v>
      </c>
      <c r="N89" s="239">
        <v>108361</v>
      </c>
      <c r="O89" s="239">
        <v>0</v>
      </c>
      <c r="P89" s="239">
        <v>0</v>
      </c>
      <c r="Q89" s="239">
        <v>0</v>
      </c>
      <c r="R89" s="239">
        <v>0</v>
      </c>
      <c r="S89" s="239">
        <v>216785</v>
      </c>
      <c r="T89" s="239">
        <v>0</v>
      </c>
      <c r="U89" s="239">
        <v>44307</v>
      </c>
      <c r="V89" s="239">
        <v>0</v>
      </c>
      <c r="W89" s="239">
        <v>172478</v>
      </c>
      <c r="X89" s="239">
        <v>0</v>
      </c>
      <c r="Y89" s="239">
        <v>0</v>
      </c>
      <c r="Z89" s="239">
        <v>0</v>
      </c>
      <c r="AA89" s="239">
        <v>0</v>
      </c>
      <c r="AB89" s="239">
        <v>0</v>
      </c>
      <c r="AC89" s="239">
        <v>0</v>
      </c>
      <c r="AD89" s="239">
        <v>0</v>
      </c>
      <c r="AE89" s="239">
        <v>0</v>
      </c>
      <c r="AF89" s="239">
        <v>0</v>
      </c>
      <c r="AG89" s="239">
        <v>0</v>
      </c>
      <c r="AH89" s="239">
        <v>0</v>
      </c>
      <c r="AI89" s="239">
        <v>0</v>
      </c>
      <c r="AJ89" s="239">
        <v>0</v>
      </c>
      <c r="AK89" s="239">
        <v>426131.49333333335</v>
      </c>
      <c r="AL89" s="239">
        <v>95879.585999999996</v>
      </c>
      <c r="AM89" s="239">
        <v>10653.287333333334</v>
      </c>
      <c r="AN89" s="239">
        <v>409704</v>
      </c>
      <c r="AO89" s="239">
        <v>92184</v>
      </c>
      <c r="AP89" s="239">
        <v>10242</v>
      </c>
      <c r="AQ89" s="239">
        <v>16427</v>
      </c>
      <c r="AR89" s="239">
        <v>3696</v>
      </c>
      <c r="AS89" s="239">
        <v>411</v>
      </c>
      <c r="AT89" s="239">
        <v>752.82083333333333</v>
      </c>
      <c r="AU89" s="239">
        <v>169.38468749999998</v>
      </c>
      <c r="AV89" s="239">
        <v>18.820520833333333</v>
      </c>
      <c r="AW89" s="239">
        <v>751</v>
      </c>
      <c r="AX89" s="239">
        <v>168</v>
      </c>
      <c r="AY89" s="239">
        <v>18</v>
      </c>
      <c r="AZ89" s="239">
        <v>2</v>
      </c>
      <c r="BA89" s="239">
        <v>1</v>
      </c>
      <c r="BB89" s="239">
        <v>1</v>
      </c>
      <c r="BC89" s="239">
        <v>0</v>
      </c>
      <c r="BD89" s="239">
        <v>0</v>
      </c>
      <c r="BE89" s="239">
        <v>0</v>
      </c>
      <c r="BF89" s="239">
        <v>0</v>
      </c>
      <c r="BG89" s="239">
        <v>0</v>
      </c>
      <c r="BH89" s="239">
        <v>0</v>
      </c>
      <c r="BI89" s="239">
        <v>0</v>
      </c>
      <c r="BJ89" s="239">
        <v>0</v>
      </c>
      <c r="BK89" s="239">
        <v>0</v>
      </c>
      <c r="BL89" s="239">
        <v>0</v>
      </c>
      <c r="BM89" s="239">
        <v>0</v>
      </c>
      <c r="BN89" s="239">
        <v>0</v>
      </c>
      <c r="BO89" s="239">
        <v>0</v>
      </c>
      <c r="BP89" s="239">
        <v>0</v>
      </c>
      <c r="BQ89" s="239">
        <v>0</v>
      </c>
      <c r="BR89" s="239">
        <v>0</v>
      </c>
      <c r="BS89" s="239">
        <v>0</v>
      </c>
      <c r="BT89" s="239">
        <v>0</v>
      </c>
      <c r="BU89" s="239">
        <v>189490.07666666669</v>
      </c>
      <c r="BV89" s="239">
        <v>42635.267249999997</v>
      </c>
      <c r="BW89" s="239">
        <v>4737.2519166666671</v>
      </c>
      <c r="BX89" s="239">
        <v>184785</v>
      </c>
      <c r="BY89" s="239">
        <v>41576</v>
      </c>
      <c r="BZ89" s="239">
        <v>4620</v>
      </c>
      <c r="CA89" s="239">
        <v>4705</v>
      </c>
      <c r="CB89" s="239">
        <v>1059</v>
      </c>
      <c r="CC89" s="239">
        <v>117</v>
      </c>
      <c r="CD89" s="239">
        <v>-1036.9041666666667</v>
      </c>
      <c r="CE89" s="239">
        <v>-233.30343749999997</v>
      </c>
      <c r="CF89" s="239">
        <v>-25.922604166666666</v>
      </c>
      <c r="CG89" s="239">
        <v>0</v>
      </c>
      <c r="CH89" s="239">
        <v>0</v>
      </c>
      <c r="CI89" s="239">
        <v>0</v>
      </c>
      <c r="CJ89" s="239">
        <v>-1037</v>
      </c>
      <c r="CK89" s="239">
        <v>-233</v>
      </c>
      <c r="CL89" s="239">
        <v>-26</v>
      </c>
      <c r="CM89" s="239">
        <v>4193.475833333333</v>
      </c>
      <c r="CN89" s="239">
        <v>943.53206249999994</v>
      </c>
      <c r="CO89" s="239">
        <v>104.83689583333333</v>
      </c>
      <c r="CP89" s="239">
        <v>0</v>
      </c>
      <c r="CQ89" s="239">
        <v>0</v>
      </c>
      <c r="CR89" s="239">
        <v>0</v>
      </c>
      <c r="CS89" s="239">
        <v>4193</v>
      </c>
      <c r="CT89" s="239">
        <v>944</v>
      </c>
      <c r="CU89" s="239">
        <v>105</v>
      </c>
      <c r="CV89" s="239">
        <v>121190.152825</v>
      </c>
      <c r="CW89" s="239">
        <v>26556.458604375002</v>
      </c>
      <c r="CX89" s="239">
        <v>2950.7176227083332</v>
      </c>
      <c r="CY89" s="239">
        <v>124483</v>
      </c>
      <c r="CZ89" s="239">
        <v>27863</v>
      </c>
      <c r="DA89" s="239">
        <v>3096</v>
      </c>
      <c r="DB89" s="239">
        <v>-3293</v>
      </c>
      <c r="DC89" s="239">
        <v>-1307</v>
      </c>
      <c r="DD89" s="239">
        <v>-145</v>
      </c>
      <c r="DE89" s="214">
        <v>0.5</v>
      </c>
      <c r="DF89" s="214">
        <v>0.4</v>
      </c>
      <c r="DG89" s="214">
        <v>0.09</v>
      </c>
      <c r="DH89" s="214">
        <v>0.01</v>
      </c>
      <c r="DI89" s="214" t="s">
        <v>1294</v>
      </c>
    </row>
    <row r="90" spans="2:113" s="214" customFormat="1" x14ac:dyDescent="0.2">
      <c r="B90" s="610" t="s">
        <v>263</v>
      </c>
      <c r="C90" s="610" t="s">
        <v>262</v>
      </c>
      <c r="D90" s="239">
        <v>512683</v>
      </c>
      <c r="E90" s="239">
        <v>0</v>
      </c>
      <c r="F90" s="239">
        <v>512683</v>
      </c>
      <c r="G90" s="239">
        <v>0</v>
      </c>
      <c r="H90" s="239">
        <v>0</v>
      </c>
      <c r="I90" s="239">
        <v>0</v>
      </c>
      <c r="J90" s="239">
        <v>512683</v>
      </c>
      <c r="K90" s="239">
        <v>0</v>
      </c>
      <c r="L90" s="239">
        <v>512683</v>
      </c>
      <c r="M90" s="239">
        <v>152268</v>
      </c>
      <c r="N90" s="239">
        <v>152268</v>
      </c>
      <c r="O90" s="239">
        <v>0</v>
      </c>
      <c r="P90" s="239">
        <v>0</v>
      </c>
      <c r="Q90" s="239">
        <v>0</v>
      </c>
      <c r="R90" s="239">
        <v>0</v>
      </c>
      <c r="S90" s="239">
        <v>0</v>
      </c>
      <c r="T90" s="239">
        <v>0</v>
      </c>
      <c r="U90" s="239">
        <v>0</v>
      </c>
      <c r="V90" s="239">
        <v>0</v>
      </c>
      <c r="W90" s="239">
        <v>0</v>
      </c>
      <c r="X90" s="239">
        <v>0</v>
      </c>
      <c r="Y90" s="239">
        <v>0</v>
      </c>
      <c r="Z90" s="239">
        <v>0</v>
      </c>
      <c r="AA90" s="239">
        <v>0</v>
      </c>
      <c r="AB90" s="239">
        <v>0</v>
      </c>
      <c r="AC90" s="239">
        <v>0</v>
      </c>
      <c r="AD90" s="239">
        <v>0</v>
      </c>
      <c r="AE90" s="239">
        <v>0</v>
      </c>
      <c r="AF90" s="239">
        <v>0</v>
      </c>
      <c r="AG90" s="239">
        <v>0</v>
      </c>
      <c r="AH90" s="239">
        <v>0</v>
      </c>
      <c r="AI90" s="239">
        <v>0</v>
      </c>
      <c r="AJ90" s="239">
        <v>0</v>
      </c>
      <c r="AK90" s="239">
        <v>535724.75583333336</v>
      </c>
      <c r="AL90" s="239">
        <v>120538.0700625</v>
      </c>
      <c r="AM90" s="239">
        <v>13393.118895833335</v>
      </c>
      <c r="AN90" s="239">
        <v>509568</v>
      </c>
      <c r="AO90" s="239">
        <v>114654</v>
      </c>
      <c r="AP90" s="239">
        <v>12740</v>
      </c>
      <c r="AQ90" s="239">
        <v>26157</v>
      </c>
      <c r="AR90" s="239">
        <v>5884</v>
      </c>
      <c r="AS90" s="239">
        <v>653</v>
      </c>
      <c r="AT90" s="239">
        <v>14161.554166666667</v>
      </c>
      <c r="AU90" s="239">
        <v>3186.3496874999996</v>
      </c>
      <c r="AV90" s="239">
        <v>354.03885416666662</v>
      </c>
      <c r="AW90" s="239">
        <v>8118</v>
      </c>
      <c r="AX90" s="239">
        <v>1826</v>
      </c>
      <c r="AY90" s="239">
        <v>202</v>
      </c>
      <c r="AZ90" s="239">
        <v>6044</v>
      </c>
      <c r="BA90" s="239">
        <v>1360</v>
      </c>
      <c r="BB90" s="239">
        <v>152</v>
      </c>
      <c r="BC90" s="239">
        <v>0</v>
      </c>
      <c r="BD90" s="239">
        <v>0</v>
      </c>
      <c r="BE90" s="239">
        <v>0</v>
      </c>
      <c r="BF90" s="239">
        <v>4057</v>
      </c>
      <c r="BG90" s="239">
        <v>914</v>
      </c>
      <c r="BH90" s="239">
        <v>102</v>
      </c>
      <c r="BI90" s="239">
        <v>-4057</v>
      </c>
      <c r="BJ90" s="239">
        <v>-914</v>
      </c>
      <c r="BK90" s="239">
        <v>-102</v>
      </c>
      <c r="BL90" s="239">
        <v>16378.215833333334</v>
      </c>
      <c r="BM90" s="239">
        <v>3685.0985624999994</v>
      </c>
      <c r="BN90" s="239">
        <v>409.45539583333334</v>
      </c>
      <c r="BO90" s="239">
        <v>6314</v>
      </c>
      <c r="BP90" s="239">
        <v>1420</v>
      </c>
      <c r="BQ90" s="239">
        <v>158</v>
      </c>
      <c r="BR90" s="239">
        <v>10064</v>
      </c>
      <c r="BS90" s="239">
        <v>2265</v>
      </c>
      <c r="BT90" s="239">
        <v>251</v>
      </c>
      <c r="BU90" s="239">
        <v>332647.78500000003</v>
      </c>
      <c r="BV90" s="239">
        <v>74845.75162499999</v>
      </c>
      <c r="BW90" s="239">
        <v>8316.1946250000001</v>
      </c>
      <c r="BX90" s="239">
        <v>299505</v>
      </c>
      <c r="BY90" s="239">
        <v>67388</v>
      </c>
      <c r="BZ90" s="239">
        <v>7488</v>
      </c>
      <c r="CA90" s="239">
        <v>33143</v>
      </c>
      <c r="CB90" s="239">
        <v>7458</v>
      </c>
      <c r="CC90" s="239">
        <v>828</v>
      </c>
      <c r="CD90" s="239">
        <v>-771.08333333333337</v>
      </c>
      <c r="CE90" s="239">
        <v>-173.49374999999998</v>
      </c>
      <c r="CF90" s="239">
        <v>-19.277083333333334</v>
      </c>
      <c r="CG90" s="239">
        <v>0</v>
      </c>
      <c r="CH90" s="239">
        <v>0</v>
      </c>
      <c r="CI90" s="239">
        <v>0</v>
      </c>
      <c r="CJ90" s="239">
        <v>-771</v>
      </c>
      <c r="CK90" s="239">
        <v>-173</v>
      </c>
      <c r="CL90" s="239">
        <v>-19</v>
      </c>
      <c r="CM90" s="239">
        <v>6642.68</v>
      </c>
      <c r="CN90" s="239">
        <v>1494.6030000000001</v>
      </c>
      <c r="CO90" s="239">
        <v>166.06700000000001</v>
      </c>
      <c r="CP90" s="239">
        <v>0</v>
      </c>
      <c r="CQ90" s="239">
        <v>0</v>
      </c>
      <c r="CR90" s="239">
        <v>0</v>
      </c>
      <c r="CS90" s="239">
        <v>6643</v>
      </c>
      <c r="CT90" s="239">
        <v>1495</v>
      </c>
      <c r="CU90" s="239">
        <v>166</v>
      </c>
      <c r="CV90" s="239">
        <v>157396.07916666666</v>
      </c>
      <c r="CW90" s="239">
        <v>35414.117812500001</v>
      </c>
      <c r="CX90" s="239">
        <v>3934.901979166666</v>
      </c>
      <c r="CY90" s="239">
        <v>168101</v>
      </c>
      <c r="CZ90" s="239">
        <v>37823</v>
      </c>
      <c r="DA90" s="239">
        <v>4203</v>
      </c>
      <c r="DB90" s="239">
        <v>-10705</v>
      </c>
      <c r="DC90" s="239">
        <v>-2409</v>
      </c>
      <c r="DD90" s="239">
        <v>-268</v>
      </c>
      <c r="DE90" s="214">
        <v>0.5</v>
      </c>
      <c r="DF90" s="214">
        <v>0.4</v>
      </c>
      <c r="DG90" s="214">
        <v>0.09</v>
      </c>
      <c r="DH90" s="214">
        <v>0.01</v>
      </c>
      <c r="DI90" s="214" t="s">
        <v>1294</v>
      </c>
    </row>
    <row r="91" spans="2:113" s="214" customFormat="1" x14ac:dyDescent="0.2">
      <c r="B91" s="610" t="s">
        <v>265</v>
      </c>
      <c r="C91" s="610" t="s">
        <v>264</v>
      </c>
      <c r="D91" s="239">
        <v>-84280</v>
      </c>
      <c r="E91" s="239">
        <v>0</v>
      </c>
      <c r="F91" s="239">
        <v>-84280</v>
      </c>
      <c r="G91" s="239">
        <v>0</v>
      </c>
      <c r="H91" s="239">
        <v>0</v>
      </c>
      <c r="I91" s="239">
        <v>0</v>
      </c>
      <c r="J91" s="239">
        <v>-84280</v>
      </c>
      <c r="K91" s="239">
        <v>0</v>
      </c>
      <c r="L91" s="239">
        <v>-84280</v>
      </c>
      <c r="M91" s="239">
        <v>194976</v>
      </c>
      <c r="N91" s="239">
        <v>194976</v>
      </c>
      <c r="O91" s="239">
        <v>0</v>
      </c>
      <c r="P91" s="239">
        <v>0</v>
      </c>
      <c r="Q91" s="239">
        <v>0</v>
      </c>
      <c r="R91" s="239">
        <v>0</v>
      </c>
      <c r="S91" s="239">
        <v>0</v>
      </c>
      <c r="T91" s="239">
        <v>0</v>
      </c>
      <c r="U91" s="239">
        <v>0</v>
      </c>
      <c r="V91" s="239">
        <v>0</v>
      </c>
      <c r="W91" s="239">
        <v>0</v>
      </c>
      <c r="X91" s="239">
        <v>0</v>
      </c>
      <c r="Y91" s="239">
        <v>0</v>
      </c>
      <c r="Z91" s="239">
        <v>0</v>
      </c>
      <c r="AA91" s="239">
        <v>0</v>
      </c>
      <c r="AB91" s="239">
        <v>0</v>
      </c>
      <c r="AC91" s="239">
        <v>0</v>
      </c>
      <c r="AD91" s="239">
        <v>0</v>
      </c>
      <c r="AE91" s="239">
        <v>0</v>
      </c>
      <c r="AF91" s="239">
        <v>0</v>
      </c>
      <c r="AG91" s="239">
        <v>0</v>
      </c>
      <c r="AH91" s="239">
        <v>0</v>
      </c>
      <c r="AI91" s="239">
        <v>0</v>
      </c>
      <c r="AJ91" s="239">
        <v>0</v>
      </c>
      <c r="AK91" s="239">
        <v>546456.00375000003</v>
      </c>
      <c r="AL91" s="239">
        <v>136614.00093750001</v>
      </c>
      <c r="AM91" s="239">
        <v>0</v>
      </c>
      <c r="AN91" s="239">
        <v>521193</v>
      </c>
      <c r="AO91" s="239">
        <v>130298</v>
      </c>
      <c r="AP91" s="239">
        <v>0</v>
      </c>
      <c r="AQ91" s="239">
        <v>25263</v>
      </c>
      <c r="AR91" s="239">
        <v>6316</v>
      </c>
      <c r="AS91" s="239">
        <v>0</v>
      </c>
      <c r="AT91" s="239">
        <v>0</v>
      </c>
      <c r="AU91" s="239">
        <v>0</v>
      </c>
      <c r="AV91" s="239">
        <v>0</v>
      </c>
      <c r="AW91" s="239">
        <v>0</v>
      </c>
      <c r="AX91" s="239">
        <v>0</v>
      </c>
      <c r="AY91" s="239">
        <v>0</v>
      </c>
      <c r="AZ91" s="239">
        <v>0</v>
      </c>
      <c r="BA91" s="239">
        <v>0</v>
      </c>
      <c r="BB91" s="239">
        <v>0</v>
      </c>
      <c r="BC91" s="239">
        <v>14204.978333333333</v>
      </c>
      <c r="BD91" s="239">
        <v>3551.2445833333331</v>
      </c>
      <c r="BE91" s="239">
        <v>0</v>
      </c>
      <c r="BF91" s="239">
        <v>20291</v>
      </c>
      <c r="BG91" s="239">
        <v>5074</v>
      </c>
      <c r="BH91" s="239">
        <v>0</v>
      </c>
      <c r="BI91" s="239">
        <v>-6086</v>
      </c>
      <c r="BJ91" s="239">
        <v>-1523</v>
      </c>
      <c r="BK91" s="239">
        <v>0</v>
      </c>
      <c r="BL91" s="239">
        <v>15988.210000000003</v>
      </c>
      <c r="BM91" s="239">
        <v>3997.0525000000007</v>
      </c>
      <c r="BN91" s="239">
        <v>0</v>
      </c>
      <c r="BO91" s="239">
        <v>8116</v>
      </c>
      <c r="BP91" s="239">
        <v>2030</v>
      </c>
      <c r="BQ91" s="239">
        <v>0</v>
      </c>
      <c r="BR91" s="239">
        <v>7872</v>
      </c>
      <c r="BS91" s="239">
        <v>1967</v>
      </c>
      <c r="BT91" s="239">
        <v>0</v>
      </c>
      <c r="BU91" s="239">
        <v>308911.40500000003</v>
      </c>
      <c r="BV91" s="239">
        <v>77227.851250000007</v>
      </c>
      <c r="BW91" s="239">
        <v>0</v>
      </c>
      <c r="BX91" s="239">
        <v>234556</v>
      </c>
      <c r="BY91" s="239">
        <v>58638</v>
      </c>
      <c r="BZ91" s="239">
        <v>0</v>
      </c>
      <c r="CA91" s="239">
        <v>74355</v>
      </c>
      <c r="CB91" s="239">
        <v>18590</v>
      </c>
      <c r="CC91" s="239">
        <v>0</v>
      </c>
      <c r="CD91" s="239">
        <v>-223.20833333333337</v>
      </c>
      <c r="CE91" s="239">
        <v>-55.802083333333343</v>
      </c>
      <c r="CF91" s="239">
        <v>0</v>
      </c>
      <c r="CG91" s="239">
        <v>0</v>
      </c>
      <c r="CH91" s="239">
        <v>0</v>
      </c>
      <c r="CI91" s="239">
        <v>0</v>
      </c>
      <c r="CJ91" s="239">
        <v>-223</v>
      </c>
      <c r="CK91" s="239">
        <v>-56</v>
      </c>
      <c r="CL91" s="239">
        <v>0</v>
      </c>
      <c r="CM91" s="239">
        <v>2710.9666666666672</v>
      </c>
      <c r="CN91" s="239">
        <v>677.74166666666679</v>
      </c>
      <c r="CO91" s="239">
        <v>0</v>
      </c>
      <c r="CP91" s="239">
        <v>0</v>
      </c>
      <c r="CQ91" s="239">
        <v>0</v>
      </c>
      <c r="CR91" s="239">
        <v>0</v>
      </c>
      <c r="CS91" s="239">
        <v>2711</v>
      </c>
      <c r="CT91" s="239">
        <v>678</v>
      </c>
      <c r="CU91" s="239">
        <v>0</v>
      </c>
      <c r="CV91" s="239">
        <v>255819.08333333334</v>
      </c>
      <c r="CW91" s="239">
        <v>63954.770833333336</v>
      </c>
      <c r="CX91" s="239">
        <v>0</v>
      </c>
      <c r="CY91" s="239">
        <v>261187</v>
      </c>
      <c r="CZ91" s="239">
        <v>65297</v>
      </c>
      <c r="DA91" s="239">
        <v>0</v>
      </c>
      <c r="DB91" s="239">
        <v>-5368</v>
      </c>
      <c r="DC91" s="239">
        <v>-1342</v>
      </c>
      <c r="DD91" s="239">
        <v>0</v>
      </c>
      <c r="DE91" s="214">
        <v>0.5</v>
      </c>
      <c r="DF91" s="214">
        <v>0.4</v>
      </c>
      <c r="DG91" s="214">
        <v>0.1</v>
      </c>
      <c r="DH91" s="214">
        <v>0</v>
      </c>
      <c r="DI91" s="214" t="s">
        <v>1294</v>
      </c>
    </row>
    <row r="92" spans="2:113" s="214" customFormat="1" x14ac:dyDescent="0.2">
      <c r="B92" s="610" t="s">
        <v>267</v>
      </c>
      <c r="C92" s="610" t="s">
        <v>266</v>
      </c>
      <c r="D92" s="239">
        <v>-271813</v>
      </c>
      <c r="E92" s="239">
        <v>0</v>
      </c>
      <c r="F92" s="239">
        <v>-271813</v>
      </c>
      <c r="G92" s="239">
        <v>0</v>
      </c>
      <c r="H92" s="239">
        <v>0</v>
      </c>
      <c r="I92" s="239">
        <v>0</v>
      </c>
      <c r="J92" s="239">
        <v>-271813</v>
      </c>
      <c r="K92" s="239">
        <v>0</v>
      </c>
      <c r="L92" s="239">
        <v>-271813</v>
      </c>
      <c r="M92" s="239">
        <v>268475</v>
      </c>
      <c r="N92" s="239">
        <v>268475</v>
      </c>
      <c r="O92" s="239">
        <v>0</v>
      </c>
      <c r="P92" s="239">
        <v>0</v>
      </c>
      <c r="Q92" s="239">
        <v>0</v>
      </c>
      <c r="R92" s="239">
        <v>0</v>
      </c>
      <c r="S92" s="239">
        <v>158557</v>
      </c>
      <c r="T92" s="239">
        <v>49673</v>
      </c>
      <c r="U92" s="239">
        <v>66555</v>
      </c>
      <c r="V92" s="239">
        <v>0</v>
      </c>
      <c r="W92" s="239">
        <v>92002</v>
      </c>
      <c r="X92" s="239">
        <v>49673</v>
      </c>
      <c r="Y92" s="239">
        <v>0</v>
      </c>
      <c r="Z92" s="239">
        <v>0</v>
      </c>
      <c r="AA92" s="239">
        <v>0</v>
      </c>
      <c r="AB92" s="239">
        <v>0</v>
      </c>
      <c r="AC92" s="239">
        <v>0</v>
      </c>
      <c r="AD92" s="239">
        <v>0</v>
      </c>
      <c r="AE92" s="239">
        <v>0</v>
      </c>
      <c r="AF92" s="239">
        <v>0</v>
      </c>
      <c r="AG92" s="239">
        <v>0</v>
      </c>
      <c r="AH92" s="239">
        <v>0</v>
      </c>
      <c r="AI92" s="239">
        <v>0</v>
      </c>
      <c r="AJ92" s="239">
        <v>0</v>
      </c>
      <c r="AK92" s="239">
        <v>966690.33291666675</v>
      </c>
      <c r="AL92" s="239">
        <v>241672.58322916669</v>
      </c>
      <c r="AM92" s="239">
        <v>0</v>
      </c>
      <c r="AN92" s="239">
        <v>946078</v>
      </c>
      <c r="AO92" s="239">
        <v>236520</v>
      </c>
      <c r="AP92" s="239">
        <v>0</v>
      </c>
      <c r="AQ92" s="239">
        <v>20612</v>
      </c>
      <c r="AR92" s="239">
        <v>5153</v>
      </c>
      <c r="AS92" s="239">
        <v>0</v>
      </c>
      <c r="AT92" s="239">
        <v>5268.5283333333336</v>
      </c>
      <c r="AU92" s="239">
        <v>1317.1320833333334</v>
      </c>
      <c r="AV92" s="239">
        <v>0</v>
      </c>
      <c r="AW92" s="239">
        <v>0</v>
      </c>
      <c r="AX92" s="239">
        <v>0</v>
      </c>
      <c r="AY92" s="239">
        <v>0</v>
      </c>
      <c r="AZ92" s="239">
        <v>5269</v>
      </c>
      <c r="BA92" s="239">
        <v>1317</v>
      </c>
      <c r="BB92" s="239">
        <v>0</v>
      </c>
      <c r="BC92" s="239">
        <v>646.0866666666667</v>
      </c>
      <c r="BD92" s="239">
        <v>161.52166666666668</v>
      </c>
      <c r="BE92" s="239">
        <v>0</v>
      </c>
      <c r="BF92" s="239">
        <v>0</v>
      </c>
      <c r="BG92" s="239">
        <v>0</v>
      </c>
      <c r="BH92" s="239">
        <v>0</v>
      </c>
      <c r="BI92" s="239">
        <v>646</v>
      </c>
      <c r="BJ92" s="239">
        <v>162</v>
      </c>
      <c r="BK92" s="239">
        <v>0</v>
      </c>
      <c r="BL92" s="239">
        <v>3603.8</v>
      </c>
      <c r="BM92" s="239">
        <v>900.95</v>
      </c>
      <c r="BN92" s="239">
        <v>0</v>
      </c>
      <c r="BO92" s="239">
        <v>0</v>
      </c>
      <c r="BP92" s="239">
        <v>0</v>
      </c>
      <c r="BQ92" s="239">
        <v>0</v>
      </c>
      <c r="BR92" s="239">
        <v>3604</v>
      </c>
      <c r="BS92" s="239">
        <v>901</v>
      </c>
      <c r="BT92" s="239">
        <v>0</v>
      </c>
      <c r="BU92" s="239">
        <v>383358.28333333338</v>
      </c>
      <c r="BV92" s="239">
        <v>95839.570833333346</v>
      </c>
      <c r="BW92" s="239">
        <v>0</v>
      </c>
      <c r="BX92" s="239">
        <v>368890</v>
      </c>
      <c r="BY92" s="239">
        <v>92222</v>
      </c>
      <c r="BZ92" s="239">
        <v>0</v>
      </c>
      <c r="CA92" s="239">
        <v>14468</v>
      </c>
      <c r="CB92" s="239">
        <v>3618</v>
      </c>
      <c r="CC92" s="239">
        <v>0</v>
      </c>
      <c r="CD92" s="239">
        <v>0</v>
      </c>
      <c r="CE92" s="239">
        <v>0</v>
      </c>
      <c r="CF92" s="239">
        <v>0</v>
      </c>
      <c r="CG92" s="239">
        <v>0</v>
      </c>
      <c r="CH92" s="239">
        <v>0</v>
      </c>
      <c r="CI92" s="239">
        <v>0</v>
      </c>
      <c r="CJ92" s="239">
        <v>0</v>
      </c>
      <c r="CK92" s="239">
        <v>0</v>
      </c>
      <c r="CL92" s="239">
        <v>0</v>
      </c>
      <c r="CM92" s="239">
        <v>6953.9541666666673</v>
      </c>
      <c r="CN92" s="239">
        <v>1738.4885416666668</v>
      </c>
      <c r="CO92" s="239">
        <v>0</v>
      </c>
      <c r="CP92" s="239">
        <v>0</v>
      </c>
      <c r="CQ92" s="239">
        <v>0</v>
      </c>
      <c r="CR92" s="239">
        <v>0</v>
      </c>
      <c r="CS92" s="239">
        <v>6954</v>
      </c>
      <c r="CT92" s="239">
        <v>1738</v>
      </c>
      <c r="CU92" s="239">
        <v>0</v>
      </c>
      <c r="CV92" s="239">
        <v>178494.93375000003</v>
      </c>
      <c r="CW92" s="239">
        <v>44770.058958333342</v>
      </c>
      <c r="CX92" s="239">
        <v>0</v>
      </c>
      <c r="CY92" s="239">
        <v>193064</v>
      </c>
      <c r="CZ92" s="239">
        <v>48023</v>
      </c>
      <c r="DA92" s="239">
        <v>0</v>
      </c>
      <c r="DB92" s="239">
        <v>-14569</v>
      </c>
      <c r="DC92" s="239">
        <v>-3253</v>
      </c>
      <c r="DD92" s="239">
        <v>0</v>
      </c>
      <c r="DE92" s="214">
        <v>0.5</v>
      </c>
      <c r="DF92" s="214">
        <v>0.4</v>
      </c>
      <c r="DG92" s="214">
        <v>0.1</v>
      </c>
      <c r="DH92" s="214">
        <v>0</v>
      </c>
      <c r="DI92" s="214" t="s">
        <v>1294</v>
      </c>
    </row>
    <row r="93" spans="2:113" s="214" customFormat="1" x14ac:dyDescent="0.2">
      <c r="B93" s="610" t="s">
        <v>269</v>
      </c>
      <c r="C93" s="610" t="s">
        <v>268</v>
      </c>
      <c r="D93" s="239">
        <v>-32047</v>
      </c>
      <c r="E93" s="239">
        <v>0</v>
      </c>
      <c r="F93" s="239">
        <v>-32047</v>
      </c>
      <c r="G93" s="239">
        <v>0</v>
      </c>
      <c r="H93" s="239">
        <v>0</v>
      </c>
      <c r="I93" s="239">
        <v>0</v>
      </c>
      <c r="J93" s="239">
        <v>-32047</v>
      </c>
      <c r="K93" s="239">
        <v>0</v>
      </c>
      <c r="L93" s="239">
        <v>-32047</v>
      </c>
      <c r="M93" s="239">
        <v>100730</v>
      </c>
      <c r="N93" s="239">
        <v>100730</v>
      </c>
      <c r="O93" s="239">
        <v>0</v>
      </c>
      <c r="P93" s="239">
        <v>0</v>
      </c>
      <c r="Q93" s="239">
        <v>0</v>
      </c>
      <c r="R93" s="239">
        <v>0</v>
      </c>
      <c r="S93" s="239">
        <v>483529</v>
      </c>
      <c r="T93" s="239">
        <v>0</v>
      </c>
      <c r="U93" s="239">
        <v>500000</v>
      </c>
      <c r="V93" s="239">
        <v>0</v>
      </c>
      <c r="W93" s="239">
        <v>-16471</v>
      </c>
      <c r="X93" s="239">
        <v>0</v>
      </c>
      <c r="Y93" s="239">
        <v>0</v>
      </c>
      <c r="Z93" s="239">
        <v>0</v>
      </c>
      <c r="AA93" s="239">
        <v>0</v>
      </c>
      <c r="AB93" s="239">
        <v>0</v>
      </c>
      <c r="AC93" s="239">
        <v>0</v>
      </c>
      <c r="AD93" s="239">
        <v>0</v>
      </c>
      <c r="AE93" s="239">
        <v>0</v>
      </c>
      <c r="AF93" s="239">
        <v>0</v>
      </c>
      <c r="AG93" s="239">
        <v>0</v>
      </c>
      <c r="AH93" s="239">
        <v>0</v>
      </c>
      <c r="AI93" s="239">
        <v>0</v>
      </c>
      <c r="AJ93" s="239">
        <v>0</v>
      </c>
      <c r="AK93" s="239">
        <v>386905.46958333335</v>
      </c>
      <c r="AL93" s="239">
        <v>96726.367395833338</v>
      </c>
      <c r="AM93" s="239">
        <v>0</v>
      </c>
      <c r="AN93" s="239">
        <v>377678</v>
      </c>
      <c r="AO93" s="239">
        <v>94420</v>
      </c>
      <c r="AP93" s="239">
        <v>0</v>
      </c>
      <c r="AQ93" s="239">
        <v>9227</v>
      </c>
      <c r="AR93" s="239">
        <v>2306</v>
      </c>
      <c r="AS93" s="239">
        <v>0</v>
      </c>
      <c r="AT93" s="239">
        <v>6357.3791666666666</v>
      </c>
      <c r="AU93" s="239">
        <v>1589.3447916666667</v>
      </c>
      <c r="AV93" s="239">
        <v>0</v>
      </c>
      <c r="AW93" s="239">
        <v>1754</v>
      </c>
      <c r="AX93" s="239">
        <v>438</v>
      </c>
      <c r="AY93" s="239">
        <v>0</v>
      </c>
      <c r="AZ93" s="239">
        <v>4603</v>
      </c>
      <c r="BA93" s="239">
        <v>1151</v>
      </c>
      <c r="BB93" s="239">
        <v>0</v>
      </c>
      <c r="BC93" s="239">
        <v>1353.0483333333334</v>
      </c>
      <c r="BD93" s="239">
        <v>338.26208333333335</v>
      </c>
      <c r="BE93" s="239">
        <v>0</v>
      </c>
      <c r="BF93" s="239">
        <v>2081</v>
      </c>
      <c r="BG93" s="239">
        <v>520</v>
      </c>
      <c r="BH93" s="239">
        <v>0</v>
      </c>
      <c r="BI93" s="239">
        <v>-728</v>
      </c>
      <c r="BJ93" s="239">
        <v>-182</v>
      </c>
      <c r="BK93" s="239">
        <v>0</v>
      </c>
      <c r="BL93" s="239">
        <v>0</v>
      </c>
      <c r="BM93" s="239">
        <v>0</v>
      </c>
      <c r="BN93" s="239">
        <v>0</v>
      </c>
      <c r="BO93" s="239">
        <v>0</v>
      </c>
      <c r="BP93" s="239">
        <v>0</v>
      </c>
      <c r="BQ93" s="239">
        <v>0</v>
      </c>
      <c r="BR93" s="239">
        <v>0</v>
      </c>
      <c r="BS93" s="239">
        <v>0</v>
      </c>
      <c r="BT93" s="239">
        <v>0</v>
      </c>
      <c r="BU93" s="239">
        <v>138656.20500000002</v>
      </c>
      <c r="BV93" s="239">
        <v>34664.051250000004</v>
      </c>
      <c r="BW93" s="239">
        <v>0</v>
      </c>
      <c r="BX93" s="239">
        <v>136964</v>
      </c>
      <c r="BY93" s="239">
        <v>34242</v>
      </c>
      <c r="BZ93" s="239">
        <v>0</v>
      </c>
      <c r="CA93" s="239">
        <v>1692</v>
      </c>
      <c r="CB93" s="239">
        <v>422</v>
      </c>
      <c r="CC93" s="239">
        <v>0</v>
      </c>
      <c r="CD93" s="239">
        <v>0</v>
      </c>
      <c r="CE93" s="239">
        <v>0</v>
      </c>
      <c r="CF93" s="239">
        <v>0</v>
      </c>
      <c r="CG93" s="239">
        <v>0</v>
      </c>
      <c r="CH93" s="239">
        <v>0</v>
      </c>
      <c r="CI93" s="239">
        <v>0</v>
      </c>
      <c r="CJ93" s="239">
        <v>0</v>
      </c>
      <c r="CK93" s="239">
        <v>0</v>
      </c>
      <c r="CL93" s="239">
        <v>0</v>
      </c>
      <c r="CM93" s="239">
        <v>0</v>
      </c>
      <c r="CN93" s="239">
        <v>0</v>
      </c>
      <c r="CO93" s="239">
        <v>0</v>
      </c>
      <c r="CP93" s="239">
        <v>0</v>
      </c>
      <c r="CQ93" s="239">
        <v>0</v>
      </c>
      <c r="CR93" s="239">
        <v>0</v>
      </c>
      <c r="CS93" s="239">
        <v>0</v>
      </c>
      <c r="CT93" s="239">
        <v>0</v>
      </c>
      <c r="CU93" s="239">
        <v>0</v>
      </c>
      <c r="CV93" s="239">
        <v>137305.74958333335</v>
      </c>
      <c r="CW93" s="239">
        <v>32563.571250000001</v>
      </c>
      <c r="CX93" s="239">
        <v>0</v>
      </c>
      <c r="CY93" s="239">
        <v>136390</v>
      </c>
      <c r="CZ93" s="239">
        <v>32275</v>
      </c>
      <c r="DA93" s="239">
        <v>0</v>
      </c>
      <c r="DB93" s="239">
        <v>916</v>
      </c>
      <c r="DC93" s="239">
        <v>289</v>
      </c>
      <c r="DD93" s="239">
        <v>0</v>
      </c>
      <c r="DE93" s="214">
        <v>0.5</v>
      </c>
      <c r="DF93" s="214">
        <v>0.4</v>
      </c>
      <c r="DG93" s="214">
        <v>0.1</v>
      </c>
      <c r="DH93" s="214">
        <v>0</v>
      </c>
      <c r="DI93" s="214" t="s">
        <v>1294</v>
      </c>
    </row>
    <row r="94" spans="2:113" s="214" customFormat="1" x14ac:dyDescent="0.2">
      <c r="B94" s="610" t="s">
        <v>271</v>
      </c>
      <c r="C94" s="610" t="s">
        <v>270</v>
      </c>
      <c r="D94" s="239">
        <v>-3596218</v>
      </c>
      <c r="E94" s="239">
        <v>0</v>
      </c>
      <c r="F94" s="239">
        <v>-3596218</v>
      </c>
      <c r="G94" s="239">
        <v>0</v>
      </c>
      <c r="H94" s="239">
        <v>0</v>
      </c>
      <c r="I94" s="239">
        <v>0</v>
      </c>
      <c r="J94" s="239">
        <v>-3596218</v>
      </c>
      <c r="K94" s="239">
        <v>0</v>
      </c>
      <c r="L94" s="239">
        <v>-3596218</v>
      </c>
      <c r="M94" s="239">
        <v>442204</v>
      </c>
      <c r="N94" s="239">
        <v>442204</v>
      </c>
      <c r="O94" s="239">
        <v>0</v>
      </c>
      <c r="P94" s="239">
        <v>0</v>
      </c>
      <c r="Q94" s="239">
        <v>898</v>
      </c>
      <c r="R94" s="239">
        <v>-898</v>
      </c>
      <c r="S94" s="239">
        <v>3130966</v>
      </c>
      <c r="T94" s="239">
        <v>0</v>
      </c>
      <c r="U94" s="239">
        <v>1718125</v>
      </c>
      <c r="V94" s="239">
        <v>0</v>
      </c>
      <c r="W94" s="239">
        <v>1412841</v>
      </c>
      <c r="X94" s="239">
        <v>0</v>
      </c>
      <c r="Y94" s="239">
        <v>230543.26354166667</v>
      </c>
      <c r="Z94" s="239">
        <v>227236.48281250001</v>
      </c>
      <c r="AA94" s="239">
        <v>0</v>
      </c>
      <c r="AB94" s="239">
        <v>3306.7807291666668</v>
      </c>
      <c r="AC94" s="239">
        <v>75512</v>
      </c>
      <c r="AD94" s="239">
        <v>74002</v>
      </c>
      <c r="AE94" s="239">
        <v>0</v>
      </c>
      <c r="AF94" s="239">
        <v>1510</v>
      </c>
      <c r="AG94" s="239">
        <v>155031</v>
      </c>
      <c r="AH94" s="239">
        <v>153234</v>
      </c>
      <c r="AI94" s="239">
        <v>0</v>
      </c>
      <c r="AJ94" s="239">
        <v>1797</v>
      </c>
      <c r="AK94" s="239">
        <v>2055101.4458333333</v>
      </c>
      <c r="AL94" s="239">
        <v>0</v>
      </c>
      <c r="AM94" s="239">
        <v>41940.845833333333</v>
      </c>
      <c r="AN94" s="239">
        <v>1887698</v>
      </c>
      <c r="AO94" s="239">
        <v>0</v>
      </c>
      <c r="AP94" s="239">
        <v>38524</v>
      </c>
      <c r="AQ94" s="239">
        <v>167403</v>
      </c>
      <c r="AR94" s="239">
        <v>0</v>
      </c>
      <c r="AS94" s="239">
        <v>3417</v>
      </c>
      <c r="AT94" s="239">
        <v>645.79243749999989</v>
      </c>
      <c r="AU94" s="239">
        <v>0</v>
      </c>
      <c r="AV94" s="239">
        <v>13.179437499999999</v>
      </c>
      <c r="AW94" s="239">
        <v>1010</v>
      </c>
      <c r="AX94" s="239">
        <v>0</v>
      </c>
      <c r="AY94" s="239">
        <v>20</v>
      </c>
      <c r="AZ94" s="239">
        <v>-364</v>
      </c>
      <c r="BA94" s="239">
        <v>0</v>
      </c>
      <c r="BB94" s="239">
        <v>-7</v>
      </c>
      <c r="BC94" s="239">
        <v>621.43229166666663</v>
      </c>
      <c r="BD94" s="239">
        <v>0</v>
      </c>
      <c r="BE94" s="239">
        <v>12.682291666666666</v>
      </c>
      <c r="BF94" s="239">
        <v>0</v>
      </c>
      <c r="BG94" s="239">
        <v>0</v>
      </c>
      <c r="BH94" s="239">
        <v>0</v>
      </c>
      <c r="BI94" s="239">
        <v>621</v>
      </c>
      <c r="BJ94" s="239">
        <v>0</v>
      </c>
      <c r="BK94" s="239">
        <v>13</v>
      </c>
      <c r="BL94" s="239">
        <v>29861.561624999998</v>
      </c>
      <c r="BM94" s="239">
        <v>0</v>
      </c>
      <c r="BN94" s="239">
        <v>609.419625</v>
      </c>
      <c r="BO94" s="239">
        <v>6998</v>
      </c>
      <c r="BP94" s="239">
        <v>0</v>
      </c>
      <c r="BQ94" s="239">
        <v>142</v>
      </c>
      <c r="BR94" s="239">
        <v>22864</v>
      </c>
      <c r="BS94" s="239">
        <v>0</v>
      </c>
      <c r="BT94" s="239">
        <v>467</v>
      </c>
      <c r="BU94" s="239">
        <v>984458.61922916654</v>
      </c>
      <c r="BV94" s="239">
        <v>0</v>
      </c>
      <c r="BW94" s="239">
        <v>20090.992229166666</v>
      </c>
      <c r="BX94" s="239">
        <v>975996</v>
      </c>
      <c r="BY94" s="239">
        <v>0</v>
      </c>
      <c r="BZ94" s="239">
        <v>19918</v>
      </c>
      <c r="CA94" s="239">
        <v>8463</v>
      </c>
      <c r="CB94" s="239">
        <v>0</v>
      </c>
      <c r="CC94" s="239">
        <v>173</v>
      </c>
      <c r="CD94" s="239">
        <v>-288.34458333333333</v>
      </c>
      <c r="CE94" s="239">
        <v>0</v>
      </c>
      <c r="CF94" s="239">
        <v>-5.8845833333333335</v>
      </c>
      <c r="CG94" s="239">
        <v>23449</v>
      </c>
      <c r="CH94" s="239">
        <v>0</v>
      </c>
      <c r="CI94" s="239">
        <v>0</v>
      </c>
      <c r="CJ94" s="239">
        <v>-23737</v>
      </c>
      <c r="CK94" s="239">
        <v>0</v>
      </c>
      <c r="CL94" s="239">
        <v>-6</v>
      </c>
      <c r="CM94" s="239">
        <v>18264.143624999997</v>
      </c>
      <c r="CN94" s="239">
        <v>0</v>
      </c>
      <c r="CO94" s="239">
        <v>372.73762499999998</v>
      </c>
      <c r="CP94" s="239">
        <v>0</v>
      </c>
      <c r="CQ94" s="239">
        <v>0</v>
      </c>
      <c r="CR94" s="239">
        <v>0</v>
      </c>
      <c r="CS94" s="239">
        <v>18264</v>
      </c>
      <c r="CT94" s="239">
        <v>0</v>
      </c>
      <c r="CU94" s="239">
        <v>373</v>
      </c>
      <c r="CV94" s="239">
        <v>746670.03672916663</v>
      </c>
      <c r="CW94" s="239">
        <v>0</v>
      </c>
      <c r="CX94" s="239">
        <v>14306.328895833334</v>
      </c>
      <c r="CY94" s="239">
        <v>735852</v>
      </c>
      <c r="CZ94" s="239">
        <v>0</v>
      </c>
      <c r="DA94" s="239">
        <v>14506</v>
      </c>
      <c r="DB94" s="239">
        <v>10818</v>
      </c>
      <c r="DC94" s="239">
        <v>0</v>
      </c>
      <c r="DD94" s="239">
        <v>-200</v>
      </c>
      <c r="DE94" s="214">
        <v>0.5</v>
      </c>
      <c r="DF94" s="214">
        <v>0.49</v>
      </c>
      <c r="DG94" s="214">
        <v>0</v>
      </c>
      <c r="DH94" s="214">
        <v>0.01</v>
      </c>
      <c r="DI94" s="214" t="s">
        <v>748</v>
      </c>
    </row>
    <row r="95" spans="2:113" s="214" customFormat="1" x14ac:dyDescent="0.2">
      <c r="B95" s="610" t="s">
        <v>273</v>
      </c>
      <c r="C95" s="610" t="s">
        <v>272</v>
      </c>
      <c r="D95" s="239">
        <v>-58010</v>
      </c>
      <c r="E95" s="239">
        <v>0</v>
      </c>
      <c r="F95" s="239">
        <v>-58010</v>
      </c>
      <c r="G95" s="239">
        <v>0</v>
      </c>
      <c r="H95" s="239">
        <v>0</v>
      </c>
      <c r="I95" s="239">
        <v>0</v>
      </c>
      <c r="J95" s="239">
        <v>-58010</v>
      </c>
      <c r="K95" s="239">
        <v>0</v>
      </c>
      <c r="L95" s="239">
        <v>-58010</v>
      </c>
      <c r="M95" s="239">
        <v>179426</v>
      </c>
      <c r="N95" s="239">
        <v>179426</v>
      </c>
      <c r="O95" s="239">
        <v>0</v>
      </c>
      <c r="P95" s="239">
        <v>0</v>
      </c>
      <c r="Q95" s="239">
        <v>0</v>
      </c>
      <c r="R95" s="239">
        <v>0</v>
      </c>
      <c r="S95" s="239">
        <v>0</v>
      </c>
      <c r="T95" s="239">
        <v>0</v>
      </c>
      <c r="U95" s="239">
        <v>0</v>
      </c>
      <c r="V95" s="239">
        <v>0</v>
      </c>
      <c r="W95" s="239">
        <v>0</v>
      </c>
      <c r="X95" s="239">
        <v>0</v>
      </c>
      <c r="Y95" s="239">
        <v>0</v>
      </c>
      <c r="Z95" s="239">
        <v>0</v>
      </c>
      <c r="AA95" s="239">
        <v>0</v>
      </c>
      <c r="AB95" s="239">
        <v>0</v>
      </c>
      <c r="AC95" s="239">
        <v>0</v>
      </c>
      <c r="AD95" s="239">
        <v>0</v>
      </c>
      <c r="AE95" s="239">
        <v>0</v>
      </c>
      <c r="AF95" s="239">
        <v>0</v>
      </c>
      <c r="AG95" s="239">
        <v>0</v>
      </c>
      <c r="AH95" s="239">
        <v>0</v>
      </c>
      <c r="AI95" s="239">
        <v>0</v>
      </c>
      <c r="AJ95" s="239">
        <v>0</v>
      </c>
      <c r="AK95" s="239">
        <v>556488.20374999999</v>
      </c>
      <c r="AL95" s="239">
        <v>125209.84584374999</v>
      </c>
      <c r="AM95" s="239">
        <v>13912.205093749999</v>
      </c>
      <c r="AN95" s="239">
        <v>511047</v>
      </c>
      <c r="AO95" s="239">
        <v>114986</v>
      </c>
      <c r="AP95" s="239">
        <v>12776</v>
      </c>
      <c r="AQ95" s="239">
        <v>45441</v>
      </c>
      <c r="AR95" s="239">
        <v>10224</v>
      </c>
      <c r="AS95" s="239">
        <v>1136</v>
      </c>
      <c r="AT95" s="239">
        <v>1175.6991666666668</v>
      </c>
      <c r="AU95" s="239">
        <v>264.53231249999999</v>
      </c>
      <c r="AV95" s="239">
        <v>29.392479166666668</v>
      </c>
      <c r="AW95" s="239">
        <v>627</v>
      </c>
      <c r="AX95" s="239">
        <v>140</v>
      </c>
      <c r="AY95" s="239">
        <v>16</v>
      </c>
      <c r="AZ95" s="239">
        <v>549</v>
      </c>
      <c r="BA95" s="239">
        <v>125</v>
      </c>
      <c r="BB95" s="239">
        <v>13</v>
      </c>
      <c r="BC95" s="239">
        <v>217.12083333333337</v>
      </c>
      <c r="BD95" s="239">
        <v>48.852187499999999</v>
      </c>
      <c r="BE95" s="239">
        <v>5.428020833333334</v>
      </c>
      <c r="BF95" s="239">
        <v>1231</v>
      </c>
      <c r="BG95" s="239">
        <v>278</v>
      </c>
      <c r="BH95" s="239">
        <v>30</v>
      </c>
      <c r="BI95" s="239">
        <v>-1014</v>
      </c>
      <c r="BJ95" s="239">
        <v>-229</v>
      </c>
      <c r="BK95" s="239">
        <v>-25</v>
      </c>
      <c r="BL95" s="239">
        <v>626.60666666666668</v>
      </c>
      <c r="BM95" s="239">
        <v>140.98650000000001</v>
      </c>
      <c r="BN95" s="239">
        <v>15.665166666666666</v>
      </c>
      <c r="BO95" s="239">
        <v>0</v>
      </c>
      <c r="BP95" s="239">
        <v>0</v>
      </c>
      <c r="BQ95" s="239">
        <v>0</v>
      </c>
      <c r="BR95" s="239">
        <v>627</v>
      </c>
      <c r="BS95" s="239">
        <v>141</v>
      </c>
      <c r="BT95" s="239">
        <v>16</v>
      </c>
      <c r="BU95" s="239">
        <v>241100.3075</v>
      </c>
      <c r="BV95" s="239">
        <v>54247.569187499997</v>
      </c>
      <c r="BW95" s="239">
        <v>6027.5076875000004</v>
      </c>
      <c r="BX95" s="239">
        <v>180378</v>
      </c>
      <c r="BY95" s="239">
        <v>40584</v>
      </c>
      <c r="BZ95" s="239">
        <v>4510</v>
      </c>
      <c r="CA95" s="239">
        <v>60722</v>
      </c>
      <c r="CB95" s="239">
        <v>13664</v>
      </c>
      <c r="CC95" s="239">
        <v>1518</v>
      </c>
      <c r="CD95" s="239">
        <v>0</v>
      </c>
      <c r="CE95" s="239">
        <v>0</v>
      </c>
      <c r="CF95" s="239">
        <v>0</v>
      </c>
      <c r="CG95" s="239">
        <v>0</v>
      </c>
      <c r="CH95" s="239">
        <v>0</v>
      </c>
      <c r="CI95" s="239">
        <v>0</v>
      </c>
      <c r="CJ95" s="239">
        <v>0</v>
      </c>
      <c r="CK95" s="239">
        <v>0</v>
      </c>
      <c r="CL95" s="239">
        <v>0</v>
      </c>
      <c r="CM95" s="239">
        <v>0</v>
      </c>
      <c r="CN95" s="239">
        <v>0</v>
      </c>
      <c r="CO95" s="239">
        <v>0</v>
      </c>
      <c r="CP95" s="239">
        <v>0</v>
      </c>
      <c r="CQ95" s="239">
        <v>0</v>
      </c>
      <c r="CR95" s="239">
        <v>0</v>
      </c>
      <c r="CS95" s="239">
        <v>0</v>
      </c>
      <c r="CT95" s="239">
        <v>0</v>
      </c>
      <c r="CU95" s="239">
        <v>0</v>
      </c>
      <c r="CV95" s="239">
        <v>321487.02250000002</v>
      </c>
      <c r="CW95" s="239">
        <v>72334.580062499997</v>
      </c>
      <c r="CX95" s="239">
        <v>8037.1755624999996</v>
      </c>
      <c r="CY95" s="239">
        <v>316373</v>
      </c>
      <c r="CZ95" s="239">
        <v>71184</v>
      </c>
      <c r="DA95" s="239">
        <v>7909</v>
      </c>
      <c r="DB95" s="239">
        <v>5114</v>
      </c>
      <c r="DC95" s="239">
        <v>1151</v>
      </c>
      <c r="DD95" s="239">
        <v>128</v>
      </c>
      <c r="DE95" s="214">
        <v>0.5</v>
      </c>
      <c r="DF95" s="214">
        <v>0.4</v>
      </c>
      <c r="DG95" s="214">
        <v>0.09</v>
      </c>
      <c r="DH95" s="214">
        <v>0.01</v>
      </c>
      <c r="DI95" s="214" t="s">
        <v>1294</v>
      </c>
    </row>
    <row r="96" spans="2:113" s="214" customFormat="1" x14ac:dyDescent="0.2">
      <c r="B96" s="610" t="s">
        <v>275</v>
      </c>
      <c r="C96" s="610" t="s">
        <v>274</v>
      </c>
      <c r="D96" s="239">
        <v>-44779</v>
      </c>
      <c r="E96" s="239">
        <v>0</v>
      </c>
      <c r="F96" s="239">
        <v>-44779</v>
      </c>
      <c r="G96" s="239">
        <v>0</v>
      </c>
      <c r="H96" s="239">
        <v>0</v>
      </c>
      <c r="I96" s="239">
        <v>0</v>
      </c>
      <c r="J96" s="239">
        <v>-44779</v>
      </c>
      <c r="K96" s="239">
        <v>0</v>
      </c>
      <c r="L96" s="239">
        <v>-44779</v>
      </c>
      <c r="M96" s="239">
        <v>125494</v>
      </c>
      <c r="N96" s="239">
        <v>125494</v>
      </c>
      <c r="O96" s="239">
        <v>0</v>
      </c>
      <c r="P96" s="239">
        <v>0</v>
      </c>
      <c r="Q96" s="239">
        <v>0</v>
      </c>
      <c r="R96" s="239">
        <v>0</v>
      </c>
      <c r="S96" s="239">
        <v>0</v>
      </c>
      <c r="T96" s="239">
        <v>0</v>
      </c>
      <c r="U96" s="239">
        <v>0</v>
      </c>
      <c r="V96" s="239">
        <v>0</v>
      </c>
      <c r="W96" s="239">
        <v>0</v>
      </c>
      <c r="X96" s="239">
        <v>0</v>
      </c>
      <c r="Y96" s="239">
        <v>0</v>
      </c>
      <c r="Z96" s="239">
        <v>0</v>
      </c>
      <c r="AA96" s="239">
        <v>0</v>
      </c>
      <c r="AB96" s="239">
        <v>0</v>
      </c>
      <c r="AC96" s="239">
        <v>0</v>
      </c>
      <c r="AD96" s="239">
        <v>0</v>
      </c>
      <c r="AE96" s="239">
        <v>0</v>
      </c>
      <c r="AF96" s="239">
        <v>0</v>
      </c>
      <c r="AG96" s="239">
        <v>0</v>
      </c>
      <c r="AH96" s="239">
        <v>0</v>
      </c>
      <c r="AI96" s="239">
        <v>0</v>
      </c>
      <c r="AJ96" s="239">
        <v>0</v>
      </c>
      <c r="AK96" s="239">
        <v>419073.24</v>
      </c>
      <c r="AL96" s="239">
        <v>94291.478999999992</v>
      </c>
      <c r="AM96" s="239">
        <v>10476.831</v>
      </c>
      <c r="AN96" s="239">
        <v>409249</v>
      </c>
      <c r="AO96" s="239">
        <v>92082</v>
      </c>
      <c r="AP96" s="239">
        <v>10232</v>
      </c>
      <c r="AQ96" s="239">
        <v>9824</v>
      </c>
      <c r="AR96" s="239">
        <v>2209</v>
      </c>
      <c r="AS96" s="239">
        <v>245</v>
      </c>
      <c r="AT96" s="239">
        <v>0</v>
      </c>
      <c r="AU96" s="239">
        <v>0</v>
      </c>
      <c r="AV96" s="239">
        <v>0</v>
      </c>
      <c r="AW96" s="239">
        <v>0</v>
      </c>
      <c r="AX96" s="239">
        <v>0</v>
      </c>
      <c r="AY96" s="239">
        <v>0</v>
      </c>
      <c r="AZ96" s="239">
        <v>0</v>
      </c>
      <c r="BA96" s="239">
        <v>0</v>
      </c>
      <c r="BB96" s="239">
        <v>0</v>
      </c>
      <c r="BC96" s="239">
        <v>0</v>
      </c>
      <c r="BD96" s="239">
        <v>0</v>
      </c>
      <c r="BE96" s="239">
        <v>0</v>
      </c>
      <c r="BF96" s="239">
        <v>0</v>
      </c>
      <c r="BG96" s="239">
        <v>0</v>
      </c>
      <c r="BH96" s="239">
        <v>0</v>
      </c>
      <c r="BI96" s="239">
        <v>0</v>
      </c>
      <c r="BJ96" s="239">
        <v>0</v>
      </c>
      <c r="BK96" s="239">
        <v>0</v>
      </c>
      <c r="BL96" s="239">
        <v>28942.004166666669</v>
      </c>
      <c r="BM96" s="239">
        <v>6511.9509374999998</v>
      </c>
      <c r="BN96" s="239">
        <v>723.55010416666676</v>
      </c>
      <c r="BO96" s="239">
        <v>0</v>
      </c>
      <c r="BP96" s="239">
        <v>0</v>
      </c>
      <c r="BQ96" s="239">
        <v>0</v>
      </c>
      <c r="BR96" s="239">
        <v>28942</v>
      </c>
      <c r="BS96" s="239">
        <v>6512</v>
      </c>
      <c r="BT96" s="239">
        <v>724</v>
      </c>
      <c r="BU96" s="239">
        <v>249767.28416666668</v>
      </c>
      <c r="BV96" s="239">
        <v>56197.638937499993</v>
      </c>
      <c r="BW96" s="239">
        <v>6244.1821041666662</v>
      </c>
      <c r="BX96" s="239">
        <v>142866</v>
      </c>
      <c r="BY96" s="239">
        <v>32144</v>
      </c>
      <c r="BZ96" s="239">
        <v>3572</v>
      </c>
      <c r="CA96" s="239">
        <v>106901</v>
      </c>
      <c r="CB96" s="239">
        <v>24054</v>
      </c>
      <c r="CC96" s="239">
        <v>2672</v>
      </c>
      <c r="CD96" s="239">
        <v>0</v>
      </c>
      <c r="CE96" s="239">
        <v>0</v>
      </c>
      <c r="CF96" s="239">
        <v>0</v>
      </c>
      <c r="CG96" s="239">
        <v>0</v>
      </c>
      <c r="CH96" s="239">
        <v>0</v>
      </c>
      <c r="CI96" s="239">
        <v>0</v>
      </c>
      <c r="CJ96" s="239">
        <v>0</v>
      </c>
      <c r="CK96" s="239">
        <v>0</v>
      </c>
      <c r="CL96" s="239">
        <v>0</v>
      </c>
      <c r="CM96" s="239">
        <v>10022.460000000001</v>
      </c>
      <c r="CN96" s="239">
        <v>2255.0535</v>
      </c>
      <c r="CO96" s="239">
        <v>250.56150000000002</v>
      </c>
      <c r="CP96" s="239">
        <v>0</v>
      </c>
      <c r="CQ96" s="239">
        <v>0</v>
      </c>
      <c r="CR96" s="239">
        <v>0</v>
      </c>
      <c r="CS96" s="239">
        <v>10022</v>
      </c>
      <c r="CT96" s="239">
        <v>2255</v>
      </c>
      <c r="CU96" s="239">
        <v>251</v>
      </c>
      <c r="CV96" s="239">
        <v>194154.73583333337</v>
      </c>
      <c r="CW96" s="239">
        <v>43684.8155625</v>
      </c>
      <c r="CX96" s="239">
        <v>4853.8683958333331</v>
      </c>
      <c r="CY96" s="239">
        <v>200661</v>
      </c>
      <c r="CZ96" s="239">
        <v>45149</v>
      </c>
      <c r="DA96" s="239">
        <v>5017</v>
      </c>
      <c r="DB96" s="239">
        <v>-6506</v>
      </c>
      <c r="DC96" s="239">
        <v>-1464</v>
      </c>
      <c r="DD96" s="239">
        <v>-163</v>
      </c>
      <c r="DE96" s="214">
        <v>0.5</v>
      </c>
      <c r="DF96" s="214">
        <v>0.4</v>
      </c>
      <c r="DG96" s="214">
        <v>0.09</v>
      </c>
      <c r="DH96" s="214">
        <v>0.01</v>
      </c>
      <c r="DI96" s="214" t="s">
        <v>1294</v>
      </c>
    </row>
    <row r="97" spans="1:113" s="214" customFormat="1" x14ac:dyDescent="0.2">
      <c r="A97" s="215" t="s">
        <v>1321</v>
      </c>
      <c r="B97" s="610" t="s">
        <v>277</v>
      </c>
      <c r="C97" s="610" t="s">
        <v>276</v>
      </c>
      <c r="D97" s="239">
        <v>332349</v>
      </c>
      <c r="E97" s="239">
        <v>0</v>
      </c>
      <c r="F97" s="239">
        <v>332349</v>
      </c>
      <c r="G97" s="239">
        <v>0</v>
      </c>
      <c r="H97" s="239">
        <v>0</v>
      </c>
      <c r="I97" s="239">
        <v>0</v>
      </c>
      <c r="J97" s="239">
        <v>332349</v>
      </c>
      <c r="K97" s="239">
        <v>0</v>
      </c>
      <c r="L97" s="239">
        <v>332349</v>
      </c>
      <c r="M97" s="239">
        <v>246825</v>
      </c>
      <c r="N97" s="239">
        <v>150925</v>
      </c>
      <c r="O97" s="239">
        <v>95900</v>
      </c>
      <c r="P97" s="239">
        <v>0</v>
      </c>
      <c r="Q97" s="239">
        <v>0</v>
      </c>
      <c r="R97" s="239">
        <v>0</v>
      </c>
      <c r="S97" s="239">
        <v>0</v>
      </c>
      <c r="T97" s="239">
        <v>0</v>
      </c>
      <c r="U97" s="239">
        <v>0</v>
      </c>
      <c r="V97" s="239">
        <v>0</v>
      </c>
      <c r="W97" s="239">
        <v>0</v>
      </c>
      <c r="X97" s="239">
        <v>0</v>
      </c>
      <c r="Y97" s="239">
        <v>0</v>
      </c>
      <c r="Z97" s="239">
        <v>0</v>
      </c>
      <c r="AA97" s="239">
        <v>0</v>
      </c>
      <c r="AB97" s="239">
        <v>0</v>
      </c>
      <c r="AC97" s="239">
        <v>0</v>
      </c>
      <c r="AD97" s="239">
        <v>0</v>
      </c>
      <c r="AE97" s="239">
        <v>0</v>
      </c>
      <c r="AF97" s="239">
        <v>0</v>
      </c>
      <c r="AG97" s="239">
        <v>0</v>
      </c>
      <c r="AH97" s="239">
        <v>0</v>
      </c>
      <c r="AI97" s="239">
        <v>0</v>
      </c>
      <c r="AJ97" s="239">
        <v>0</v>
      </c>
      <c r="AK97" s="239">
        <v>360024.08416666667</v>
      </c>
      <c r="AL97" s="239">
        <v>81005.418937499999</v>
      </c>
      <c r="AM97" s="239">
        <v>9000.6021041666663</v>
      </c>
      <c r="AN97" s="239">
        <v>340901</v>
      </c>
      <c r="AO97" s="239">
        <v>76702</v>
      </c>
      <c r="AP97" s="239">
        <v>8522</v>
      </c>
      <c r="AQ97" s="239">
        <v>19123</v>
      </c>
      <c r="AR97" s="239">
        <v>4303</v>
      </c>
      <c r="AS97" s="239">
        <v>479</v>
      </c>
      <c r="AT97" s="239">
        <v>0</v>
      </c>
      <c r="AU97" s="239">
        <v>0</v>
      </c>
      <c r="AV97" s="239">
        <v>0</v>
      </c>
      <c r="AW97" s="239">
        <v>0</v>
      </c>
      <c r="AX97" s="239">
        <v>0</v>
      </c>
      <c r="AY97" s="239">
        <v>0</v>
      </c>
      <c r="AZ97" s="239">
        <v>0</v>
      </c>
      <c r="BA97" s="239">
        <v>0</v>
      </c>
      <c r="BB97" s="239">
        <v>0</v>
      </c>
      <c r="BC97" s="239">
        <v>0</v>
      </c>
      <c r="BD97" s="239">
        <v>0</v>
      </c>
      <c r="BE97" s="239">
        <v>0</v>
      </c>
      <c r="BF97" s="239">
        <v>0</v>
      </c>
      <c r="BG97" s="239">
        <v>0</v>
      </c>
      <c r="BH97" s="239">
        <v>0</v>
      </c>
      <c r="BI97" s="239">
        <v>0</v>
      </c>
      <c r="BJ97" s="239">
        <v>0</v>
      </c>
      <c r="BK97" s="239">
        <v>0</v>
      </c>
      <c r="BL97" s="239">
        <v>5485.2433333333329</v>
      </c>
      <c r="BM97" s="239">
        <v>1234.17975</v>
      </c>
      <c r="BN97" s="239">
        <v>137.13108333333332</v>
      </c>
      <c r="BO97" s="239">
        <v>0</v>
      </c>
      <c r="BP97" s="239">
        <v>0</v>
      </c>
      <c r="BQ97" s="239">
        <v>0</v>
      </c>
      <c r="BR97" s="239">
        <v>5485</v>
      </c>
      <c r="BS97" s="239">
        <v>1234</v>
      </c>
      <c r="BT97" s="239">
        <v>137</v>
      </c>
      <c r="BU97" s="239">
        <v>210749.65583333335</v>
      </c>
      <c r="BV97" s="239">
        <v>47418.672562499996</v>
      </c>
      <c r="BW97" s="239">
        <v>5268.7413958333336</v>
      </c>
      <c r="BX97" s="239">
        <v>223208</v>
      </c>
      <c r="BY97" s="239">
        <v>50222</v>
      </c>
      <c r="BZ97" s="239">
        <v>5580</v>
      </c>
      <c r="CA97" s="239">
        <v>-12458</v>
      </c>
      <c r="CB97" s="239">
        <v>-2803</v>
      </c>
      <c r="CC97" s="239">
        <v>-311</v>
      </c>
      <c r="CD97" s="239">
        <v>0</v>
      </c>
      <c r="CE97" s="239">
        <v>0</v>
      </c>
      <c r="CF97" s="239">
        <v>0</v>
      </c>
      <c r="CG97" s="239">
        <v>0</v>
      </c>
      <c r="CH97" s="239">
        <v>0</v>
      </c>
      <c r="CI97" s="239">
        <v>0</v>
      </c>
      <c r="CJ97" s="239">
        <v>0</v>
      </c>
      <c r="CK97" s="239">
        <v>0</v>
      </c>
      <c r="CL97" s="239">
        <v>0</v>
      </c>
      <c r="CM97" s="239">
        <v>1390.7908333333335</v>
      </c>
      <c r="CN97" s="239">
        <v>312.92793749999998</v>
      </c>
      <c r="CO97" s="239">
        <v>34.769770833333332</v>
      </c>
      <c r="CP97" s="239">
        <v>0</v>
      </c>
      <c r="CQ97" s="239">
        <v>0</v>
      </c>
      <c r="CR97" s="239">
        <v>0</v>
      </c>
      <c r="CS97" s="239">
        <v>1391</v>
      </c>
      <c r="CT97" s="239">
        <v>313</v>
      </c>
      <c r="CU97" s="239">
        <v>35</v>
      </c>
      <c r="CV97" s="239">
        <v>335105.75583333336</v>
      </c>
      <c r="CW97" s="239">
        <v>75398.795062499994</v>
      </c>
      <c r="CX97" s="239">
        <v>8377.6438958333347</v>
      </c>
      <c r="CY97" s="239">
        <v>331626</v>
      </c>
      <c r="CZ97" s="239">
        <v>74616</v>
      </c>
      <c r="DA97" s="239">
        <v>8291</v>
      </c>
      <c r="DB97" s="239">
        <v>3480</v>
      </c>
      <c r="DC97" s="239">
        <v>783</v>
      </c>
      <c r="DD97" s="239">
        <v>87</v>
      </c>
      <c r="DE97" s="214">
        <v>0.5</v>
      </c>
      <c r="DF97" s="214">
        <v>0.4</v>
      </c>
      <c r="DG97" s="214">
        <v>0.09</v>
      </c>
      <c r="DH97" s="214">
        <v>0.01</v>
      </c>
      <c r="DI97" s="214" t="s">
        <v>1294</v>
      </c>
    </row>
    <row r="98" spans="1:113" s="214" customFormat="1" x14ac:dyDescent="0.2">
      <c r="B98" s="610" t="s">
        <v>279</v>
      </c>
      <c r="C98" s="610" t="s">
        <v>278</v>
      </c>
      <c r="D98" s="239">
        <v>-214112</v>
      </c>
      <c r="E98" s="239">
        <v>0</v>
      </c>
      <c r="F98" s="239">
        <v>-214112</v>
      </c>
      <c r="G98" s="239">
        <v>0</v>
      </c>
      <c r="H98" s="239">
        <v>0</v>
      </c>
      <c r="I98" s="239">
        <v>0</v>
      </c>
      <c r="J98" s="239">
        <v>-214112</v>
      </c>
      <c r="K98" s="239">
        <v>0</v>
      </c>
      <c r="L98" s="239">
        <v>-214112</v>
      </c>
      <c r="M98" s="239">
        <v>128148</v>
      </c>
      <c r="N98" s="239">
        <v>128148</v>
      </c>
      <c r="O98" s="239">
        <v>0</v>
      </c>
      <c r="P98" s="239">
        <v>0</v>
      </c>
      <c r="Q98" s="239">
        <v>0</v>
      </c>
      <c r="R98" s="239">
        <v>0</v>
      </c>
      <c r="S98" s="239">
        <v>0</v>
      </c>
      <c r="T98" s="239">
        <v>0</v>
      </c>
      <c r="U98" s="239">
        <v>0</v>
      </c>
      <c r="V98" s="239">
        <v>0</v>
      </c>
      <c r="W98" s="239">
        <v>0</v>
      </c>
      <c r="X98" s="239">
        <v>0</v>
      </c>
      <c r="Y98" s="239">
        <v>0</v>
      </c>
      <c r="Z98" s="239">
        <v>0</v>
      </c>
      <c r="AA98" s="239">
        <v>0</v>
      </c>
      <c r="AB98" s="239">
        <v>0</v>
      </c>
      <c r="AC98" s="239">
        <v>0</v>
      </c>
      <c r="AD98" s="239">
        <v>0</v>
      </c>
      <c r="AE98" s="239">
        <v>0</v>
      </c>
      <c r="AF98" s="239">
        <v>0</v>
      </c>
      <c r="AG98" s="239">
        <v>0</v>
      </c>
      <c r="AH98" s="239">
        <v>0</v>
      </c>
      <c r="AI98" s="239">
        <v>0</v>
      </c>
      <c r="AJ98" s="239">
        <v>0</v>
      </c>
      <c r="AK98" s="239">
        <v>475021.62625000003</v>
      </c>
      <c r="AL98" s="239">
        <v>118755.40656250001</v>
      </c>
      <c r="AM98" s="239">
        <v>0</v>
      </c>
      <c r="AN98" s="239">
        <v>439150</v>
      </c>
      <c r="AO98" s="239">
        <v>109788</v>
      </c>
      <c r="AP98" s="239">
        <v>0</v>
      </c>
      <c r="AQ98" s="239">
        <v>35872</v>
      </c>
      <c r="AR98" s="239">
        <v>8967</v>
      </c>
      <c r="AS98" s="239">
        <v>0</v>
      </c>
      <c r="AT98" s="239">
        <v>0</v>
      </c>
      <c r="AU98" s="239">
        <v>0</v>
      </c>
      <c r="AV98" s="239">
        <v>0</v>
      </c>
      <c r="AW98" s="239">
        <v>0</v>
      </c>
      <c r="AX98" s="239">
        <v>0</v>
      </c>
      <c r="AY98" s="239">
        <v>0</v>
      </c>
      <c r="AZ98" s="239">
        <v>0</v>
      </c>
      <c r="BA98" s="239">
        <v>0</v>
      </c>
      <c r="BB98" s="239">
        <v>0</v>
      </c>
      <c r="BC98" s="239">
        <v>0</v>
      </c>
      <c r="BD98" s="239">
        <v>0</v>
      </c>
      <c r="BE98" s="239">
        <v>0</v>
      </c>
      <c r="BF98" s="239">
        <v>0</v>
      </c>
      <c r="BG98" s="239">
        <v>0</v>
      </c>
      <c r="BH98" s="239">
        <v>0</v>
      </c>
      <c r="BI98" s="239">
        <v>0</v>
      </c>
      <c r="BJ98" s="239">
        <v>0</v>
      </c>
      <c r="BK98" s="239">
        <v>0</v>
      </c>
      <c r="BL98" s="239">
        <v>2317.7141666666666</v>
      </c>
      <c r="BM98" s="239">
        <v>579.42854166666666</v>
      </c>
      <c r="BN98" s="239">
        <v>0</v>
      </c>
      <c r="BO98" s="239">
        <v>0</v>
      </c>
      <c r="BP98" s="239">
        <v>0</v>
      </c>
      <c r="BQ98" s="239">
        <v>0</v>
      </c>
      <c r="BR98" s="239">
        <v>2318</v>
      </c>
      <c r="BS98" s="239">
        <v>579</v>
      </c>
      <c r="BT98" s="239">
        <v>0</v>
      </c>
      <c r="BU98" s="239">
        <v>142664.62083333335</v>
      </c>
      <c r="BV98" s="239">
        <v>35666.155208333337</v>
      </c>
      <c r="BW98" s="239">
        <v>0</v>
      </c>
      <c r="BX98" s="239">
        <v>132838</v>
      </c>
      <c r="BY98" s="239">
        <v>33210</v>
      </c>
      <c r="BZ98" s="239">
        <v>0</v>
      </c>
      <c r="CA98" s="239">
        <v>9827</v>
      </c>
      <c r="CB98" s="239">
        <v>2456</v>
      </c>
      <c r="CC98" s="239">
        <v>0</v>
      </c>
      <c r="CD98" s="239">
        <v>44102.720000000001</v>
      </c>
      <c r="CE98" s="239">
        <v>11025.68</v>
      </c>
      <c r="CF98" s="239">
        <v>0</v>
      </c>
      <c r="CG98" s="239">
        <v>230225</v>
      </c>
      <c r="CH98" s="239">
        <v>0</v>
      </c>
      <c r="CI98" s="239">
        <v>0</v>
      </c>
      <c r="CJ98" s="239">
        <v>-186122</v>
      </c>
      <c r="CK98" s="239">
        <v>11026</v>
      </c>
      <c r="CL98" s="239">
        <v>0</v>
      </c>
      <c r="CM98" s="239">
        <v>8944.5666666666675</v>
      </c>
      <c r="CN98" s="239">
        <v>2236.1416666666669</v>
      </c>
      <c r="CO98" s="239">
        <v>0</v>
      </c>
      <c r="CP98" s="239">
        <v>0</v>
      </c>
      <c r="CQ98" s="239">
        <v>0</v>
      </c>
      <c r="CR98" s="239">
        <v>0</v>
      </c>
      <c r="CS98" s="239">
        <v>8945</v>
      </c>
      <c r="CT98" s="239">
        <v>2236</v>
      </c>
      <c r="CU98" s="239">
        <v>0</v>
      </c>
      <c r="CV98" s="239">
        <v>111170.49416666667</v>
      </c>
      <c r="CW98" s="239">
        <v>27792.623541666668</v>
      </c>
      <c r="CX98" s="239">
        <v>0</v>
      </c>
      <c r="CY98" s="239">
        <v>123723</v>
      </c>
      <c r="CZ98" s="239">
        <v>30931</v>
      </c>
      <c r="DA98" s="239">
        <v>0</v>
      </c>
      <c r="DB98" s="239">
        <v>-12553</v>
      </c>
      <c r="DC98" s="239">
        <v>-3138</v>
      </c>
      <c r="DD98" s="239">
        <v>0</v>
      </c>
      <c r="DE98" s="214">
        <v>0.5</v>
      </c>
      <c r="DF98" s="214">
        <v>0.4</v>
      </c>
      <c r="DG98" s="214">
        <v>0.1</v>
      </c>
      <c r="DH98" s="214">
        <v>0</v>
      </c>
      <c r="DI98" s="214" t="s">
        <v>1294</v>
      </c>
    </row>
    <row r="99" spans="1:113" s="214" customFormat="1" x14ac:dyDescent="0.2">
      <c r="B99" s="610" t="s">
        <v>281</v>
      </c>
      <c r="C99" s="610" t="s">
        <v>280</v>
      </c>
      <c r="D99" s="239">
        <v>42253</v>
      </c>
      <c r="E99" s="239">
        <v>0</v>
      </c>
      <c r="F99" s="239">
        <v>42253</v>
      </c>
      <c r="G99" s="239">
        <v>0</v>
      </c>
      <c r="H99" s="239">
        <v>0</v>
      </c>
      <c r="I99" s="239">
        <v>0</v>
      </c>
      <c r="J99" s="239">
        <v>42253</v>
      </c>
      <c r="K99" s="239">
        <v>0</v>
      </c>
      <c r="L99" s="239">
        <v>42253</v>
      </c>
      <c r="M99" s="239">
        <v>181697</v>
      </c>
      <c r="N99" s="239">
        <v>181697</v>
      </c>
      <c r="O99" s="239">
        <v>0</v>
      </c>
      <c r="P99" s="239">
        <v>0</v>
      </c>
      <c r="Q99" s="239">
        <v>0</v>
      </c>
      <c r="R99" s="239">
        <v>0</v>
      </c>
      <c r="S99" s="239">
        <v>0</v>
      </c>
      <c r="T99" s="239">
        <v>0</v>
      </c>
      <c r="U99" s="239">
        <v>0</v>
      </c>
      <c r="V99" s="239">
        <v>0</v>
      </c>
      <c r="W99" s="239">
        <v>0</v>
      </c>
      <c r="X99" s="239">
        <v>0</v>
      </c>
      <c r="Y99" s="239">
        <v>0</v>
      </c>
      <c r="Z99" s="239">
        <v>0</v>
      </c>
      <c r="AA99" s="239">
        <v>0</v>
      </c>
      <c r="AB99" s="239">
        <v>0</v>
      </c>
      <c r="AC99" s="239">
        <v>0</v>
      </c>
      <c r="AD99" s="239">
        <v>0</v>
      </c>
      <c r="AE99" s="239">
        <v>0</v>
      </c>
      <c r="AF99" s="239">
        <v>0</v>
      </c>
      <c r="AG99" s="239">
        <v>0</v>
      </c>
      <c r="AH99" s="239">
        <v>0</v>
      </c>
      <c r="AI99" s="239">
        <v>0</v>
      </c>
      <c r="AJ99" s="239">
        <v>0</v>
      </c>
      <c r="AK99" s="239">
        <v>396914.74000000005</v>
      </c>
      <c r="AL99" s="239">
        <v>99228.685000000012</v>
      </c>
      <c r="AM99" s="239">
        <v>0</v>
      </c>
      <c r="AN99" s="239">
        <v>371353</v>
      </c>
      <c r="AO99" s="239">
        <v>92838</v>
      </c>
      <c r="AP99" s="239">
        <v>0</v>
      </c>
      <c r="AQ99" s="239">
        <v>25562</v>
      </c>
      <c r="AR99" s="239">
        <v>6391</v>
      </c>
      <c r="AS99" s="239">
        <v>0</v>
      </c>
      <c r="AT99" s="239">
        <v>0</v>
      </c>
      <c r="AU99" s="239">
        <v>0</v>
      </c>
      <c r="AV99" s="239">
        <v>0</v>
      </c>
      <c r="AW99" s="239">
        <v>0</v>
      </c>
      <c r="AX99" s="239">
        <v>0</v>
      </c>
      <c r="AY99" s="239">
        <v>0</v>
      </c>
      <c r="AZ99" s="239">
        <v>0</v>
      </c>
      <c r="BA99" s="239">
        <v>0</v>
      </c>
      <c r="BB99" s="239">
        <v>0</v>
      </c>
      <c r="BC99" s="239">
        <v>-10175.053333333335</v>
      </c>
      <c r="BD99" s="239">
        <v>-2543.7633333333338</v>
      </c>
      <c r="BE99" s="239">
        <v>0</v>
      </c>
      <c r="BF99" s="239">
        <v>38814</v>
      </c>
      <c r="BG99" s="239">
        <v>9704</v>
      </c>
      <c r="BH99" s="239">
        <v>0</v>
      </c>
      <c r="BI99" s="239">
        <v>-48989</v>
      </c>
      <c r="BJ99" s="239">
        <v>-12248</v>
      </c>
      <c r="BK99" s="239">
        <v>0</v>
      </c>
      <c r="BL99" s="239">
        <v>11563.409166666668</v>
      </c>
      <c r="BM99" s="239">
        <v>2890.852291666667</v>
      </c>
      <c r="BN99" s="239">
        <v>0</v>
      </c>
      <c r="BO99" s="239">
        <v>1631</v>
      </c>
      <c r="BP99" s="239">
        <v>408</v>
      </c>
      <c r="BQ99" s="239">
        <v>0</v>
      </c>
      <c r="BR99" s="239">
        <v>9932</v>
      </c>
      <c r="BS99" s="239">
        <v>2483</v>
      </c>
      <c r="BT99" s="239">
        <v>0</v>
      </c>
      <c r="BU99" s="239">
        <v>397574.625</v>
      </c>
      <c r="BV99" s="239">
        <v>99393.65625</v>
      </c>
      <c r="BW99" s="239">
        <v>0</v>
      </c>
      <c r="BX99" s="239">
        <v>386287</v>
      </c>
      <c r="BY99" s="239">
        <v>96572</v>
      </c>
      <c r="BZ99" s="239">
        <v>0</v>
      </c>
      <c r="CA99" s="239">
        <v>11288</v>
      </c>
      <c r="CB99" s="239">
        <v>2822</v>
      </c>
      <c r="CC99" s="239">
        <v>0</v>
      </c>
      <c r="CD99" s="239">
        <v>5729.149166666667</v>
      </c>
      <c r="CE99" s="239">
        <v>1432.2872916666668</v>
      </c>
      <c r="CF99" s="239">
        <v>0</v>
      </c>
      <c r="CG99" s="239">
        <v>0</v>
      </c>
      <c r="CH99" s="239">
        <v>0</v>
      </c>
      <c r="CI99" s="239">
        <v>0</v>
      </c>
      <c r="CJ99" s="239">
        <v>5729</v>
      </c>
      <c r="CK99" s="239">
        <v>1432</v>
      </c>
      <c r="CL99" s="239">
        <v>0</v>
      </c>
      <c r="CM99" s="239">
        <v>2031.1958333333332</v>
      </c>
      <c r="CN99" s="239">
        <v>507.7989583333333</v>
      </c>
      <c r="CO99" s="239">
        <v>0</v>
      </c>
      <c r="CP99" s="239">
        <v>0</v>
      </c>
      <c r="CQ99" s="239">
        <v>0</v>
      </c>
      <c r="CR99" s="239">
        <v>0</v>
      </c>
      <c r="CS99" s="239">
        <v>2031</v>
      </c>
      <c r="CT99" s="239">
        <v>508</v>
      </c>
      <c r="CU99" s="239">
        <v>0</v>
      </c>
      <c r="CV99" s="239">
        <v>356473.53000000009</v>
      </c>
      <c r="CW99" s="239">
        <v>89118.382500000022</v>
      </c>
      <c r="CX99" s="239">
        <v>0</v>
      </c>
      <c r="CY99" s="239">
        <v>313862</v>
      </c>
      <c r="CZ99" s="239">
        <v>78466</v>
      </c>
      <c r="DA99" s="239">
        <v>0</v>
      </c>
      <c r="DB99" s="239">
        <v>42612</v>
      </c>
      <c r="DC99" s="239">
        <v>10652</v>
      </c>
      <c r="DD99" s="239">
        <v>0</v>
      </c>
      <c r="DE99" s="214">
        <v>0.5</v>
      </c>
      <c r="DF99" s="214">
        <v>0.4</v>
      </c>
      <c r="DG99" s="214">
        <v>0.1</v>
      </c>
      <c r="DH99" s="214">
        <v>0</v>
      </c>
      <c r="DI99" s="214" t="s">
        <v>1294</v>
      </c>
    </row>
    <row r="100" spans="1:113" s="214" customFormat="1" x14ac:dyDescent="0.2">
      <c r="B100" s="610" t="s">
        <v>283</v>
      </c>
      <c r="C100" s="610" t="s">
        <v>282</v>
      </c>
      <c r="D100" s="239">
        <v>-76585</v>
      </c>
      <c r="E100" s="239">
        <v>0</v>
      </c>
      <c r="F100" s="239">
        <v>-76585</v>
      </c>
      <c r="G100" s="239">
        <v>0</v>
      </c>
      <c r="H100" s="239">
        <v>0</v>
      </c>
      <c r="I100" s="239">
        <v>0</v>
      </c>
      <c r="J100" s="239">
        <v>-76585</v>
      </c>
      <c r="K100" s="239">
        <v>0</v>
      </c>
      <c r="L100" s="239">
        <v>-76585</v>
      </c>
      <c r="M100" s="239">
        <v>346759</v>
      </c>
      <c r="N100" s="239">
        <v>346759</v>
      </c>
      <c r="O100" s="239">
        <v>0</v>
      </c>
      <c r="P100" s="239">
        <v>0</v>
      </c>
      <c r="Q100" s="239">
        <v>0</v>
      </c>
      <c r="R100" s="239">
        <v>0</v>
      </c>
      <c r="S100" s="239">
        <v>0</v>
      </c>
      <c r="T100" s="239">
        <v>0</v>
      </c>
      <c r="U100" s="239">
        <v>0</v>
      </c>
      <c r="V100" s="239">
        <v>0</v>
      </c>
      <c r="W100" s="239">
        <v>0</v>
      </c>
      <c r="X100" s="239">
        <v>0</v>
      </c>
      <c r="Y100" s="239">
        <v>0</v>
      </c>
      <c r="Z100" s="239">
        <v>0</v>
      </c>
      <c r="AA100" s="239">
        <v>0</v>
      </c>
      <c r="AB100" s="239">
        <v>0</v>
      </c>
      <c r="AC100" s="239">
        <v>0</v>
      </c>
      <c r="AD100" s="239">
        <v>0</v>
      </c>
      <c r="AE100" s="239">
        <v>0</v>
      </c>
      <c r="AF100" s="239">
        <v>0</v>
      </c>
      <c r="AG100" s="239">
        <v>0</v>
      </c>
      <c r="AH100" s="239">
        <v>0</v>
      </c>
      <c r="AI100" s="239">
        <v>0</v>
      </c>
      <c r="AJ100" s="239">
        <v>0</v>
      </c>
      <c r="AK100" s="239">
        <v>603098.06062499993</v>
      </c>
      <c r="AL100" s="239">
        <v>402065.37375000003</v>
      </c>
      <c r="AM100" s="239">
        <v>0</v>
      </c>
      <c r="AN100" s="239">
        <v>593313</v>
      </c>
      <c r="AO100" s="239">
        <v>395542</v>
      </c>
      <c r="AP100" s="239">
        <v>0</v>
      </c>
      <c r="AQ100" s="239">
        <v>9785</v>
      </c>
      <c r="AR100" s="239">
        <v>6523</v>
      </c>
      <c r="AS100" s="239">
        <v>0</v>
      </c>
      <c r="AT100" s="239">
        <v>0</v>
      </c>
      <c r="AU100" s="239">
        <v>0</v>
      </c>
      <c r="AV100" s="239">
        <v>0</v>
      </c>
      <c r="AW100" s="239">
        <v>0</v>
      </c>
      <c r="AX100" s="239">
        <v>0</v>
      </c>
      <c r="AY100" s="239">
        <v>0</v>
      </c>
      <c r="AZ100" s="239">
        <v>0</v>
      </c>
      <c r="BA100" s="239">
        <v>0</v>
      </c>
      <c r="BB100" s="239">
        <v>0</v>
      </c>
      <c r="BC100" s="239">
        <v>0</v>
      </c>
      <c r="BD100" s="239">
        <v>0</v>
      </c>
      <c r="BE100" s="239">
        <v>0</v>
      </c>
      <c r="BF100" s="239">
        <v>0</v>
      </c>
      <c r="BG100" s="239">
        <v>0</v>
      </c>
      <c r="BH100" s="239">
        <v>0</v>
      </c>
      <c r="BI100" s="239">
        <v>0</v>
      </c>
      <c r="BJ100" s="239">
        <v>0</v>
      </c>
      <c r="BK100" s="239">
        <v>0</v>
      </c>
      <c r="BL100" s="239">
        <v>12120.2125</v>
      </c>
      <c r="BM100" s="239">
        <v>8080.1416666666673</v>
      </c>
      <c r="BN100" s="239">
        <v>0</v>
      </c>
      <c r="BO100" s="239">
        <v>0</v>
      </c>
      <c r="BP100" s="239">
        <v>0</v>
      </c>
      <c r="BQ100" s="239">
        <v>0</v>
      </c>
      <c r="BR100" s="239">
        <v>12120</v>
      </c>
      <c r="BS100" s="239">
        <v>8080</v>
      </c>
      <c r="BT100" s="239">
        <v>0</v>
      </c>
      <c r="BU100" s="239">
        <v>605121.24124999996</v>
      </c>
      <c r="BV100" s="239">
        <v>403414.16083333333</v>
      </c>
      <c r="BW100" s="239">
        <v>0</v>
      </c>
      <c r="BX100" s="239">
        <v>940519</v>
      </c>
      <c r="BY100" s="239">
        <v>627012</v>
      </c>
      <c r="BZ100" s="239">
        <v>0</v>
      </c>
      <c r="CA100" s="239">
        <v>-335398</v>
      </c>
      <c r="CB100" s="239">
        <v>-223598</v>
      </c>
      <c r="CC100" s="239">
        <v>0</v>
      </c>
      <c r="CD100" s="239">
        <v>0</v>
      </c>
      <c r="CE100" s="239">
        <v>0</v>
      </c>
      <c r="CF100" s="239">
        <v>0</v>
      </c>
      <c r="CG100" s="239">
        <v>0</v>
      </c>
      <c r="CH100" s="239">
        <v>0</v>
      </c>
      <c r="CI100" s="239">
        <v>0</v>
      </c>
      <c r="CJ100" s="239">
        <v>0</v>
      </c>
      <c r="CK100" s="239">
        <v>0</v>
      </c>
      <c r="CL100" s="239">
        <v>0</v>
      </c>
      <c r="CM100" s="239">
        <v>5321.9968749999998</v>
      </c>
      <c r="CN100" s="239">
        <v>3547.9979166666667</v>
      </c>
      <c r="CO100" s="239">
        <v>0</v>
      </c>
      <c r="CP100" s="239">
        <v>0</v>
      </c>
      <c r="CQ100" s="239">
        <v>0</v>
      </c>
      <c r="CR100" s="239">
        <v>0</v>
      </c>
      <c r="CS100" s="239">
        <v>5322</v>
      </c>
      <c r="CT100" s="239">
        <v>3548</v>
      </c>
      <c r="CU100" s="239">
        <v>0</v>
      </c>
      <c r="CV100" s="239">
        <v>437338.27812500001</v>
      </c>
      <c r="CW100" s="239">
        <v>291558.85208333336</v>
      </c>
      <c r="CX100" s="239">
        <v>0</v>
      </c>
      <c r="CY100" s="239">
        <v>459653</v>
      </c>
      <c r="CZ100" s="239">
        <v>306436</v>
      </c>
      <c r="DA100" s="239">
        <v>0</v>
      </c>
      <c r="DB100" s="239">
        <v>-22315</v>
      </c>
      <c r="DC100" s="239">
        <v>-14877</v>
      </c>
      <c r="DD100" s="239">
        <v>0</v>
      </c>
      <c r="DE100" s="214">
        <v>0.5</v>
      </c>
      <c r="DF100" s="214">
        <v>0.3</v>
      </c>
      <c r="DG100" s="214">
        <v>0.2</v>
      </c>
      <c r="DH100" s="214">
        <v>0</v>
      </c>
      <c r="DI100" s="214" t="s">
        <v>1295</v>
      </c>
    </row>
    <row r="101" spans="1:113" s="214" customFormat="1" x14ac:dyDescent="0.2">
      <c r="B101" s="610" t="s">
        <v>285</v>
      </c>
      <c r="C101" s="610" t="s">
        <v>284</v>
      </c>
      <c r="D101" s="239">
        <v>-322351</v>
      </c>
      <c r="E101" s="239">
        <v>0</v>
      </c>
      <c r="F101" s="239">
        <v>-322351</v>
      </c>
      <c r="G101" s="239">
        <v>0</v>
      </c>
      <c r="H101" s="239">
        <v>0</v>
      </c>
      <c r="I101" s="239">
        <v>0</v>
      </c>
      <c r="J101" s="239">
        <v>-322351</v>
      </c>
      <c r="K101" s="239">
        <v>0</v>
      </c>
      <c r="L101" s="239">
        <v>-322351</v>
      </c>
      <c r="M101" s="239">
        <v>170744</v>
      </c>
      <c r="N101" s="239">
        <v>170744</v>
      </c>
      <c r="O101" s="239">
        <v>0</v>
      </c>
      <c r="P101" s="239">
        <v>0</v>
      </c>
      <c r="Q101" s="239">
        <v>0</v>
      </c>
      <c r="R101" s="239">
        <v>0</v>
      </c>
      <c r="S101" s="239">
        <v>0</v>
      </c>
      <c r="T101" s="239">
        <v>0</v>
      </c>
      <c r="U101" s="239">
        <v>0</v>
      </c>
      <c r="V101" s="239">
        <v>0</v>
      </c>
      <c r="W101" s="239">
        <v>0</v>
      </c>
      <c r="X101" s="239">
        <v>0</v>
      </c>
      <c r="Y101" s="239">
        <v>0</v>
      </c>
      <c r="Z101" s="239">
        <v>0</v>
      </c>
      <c r="AA101" s="239">
        <v>0</v>
      </c>
      <c r="AB101" s="239">
        <v>0</v>
      </c>
      <c r="AC101" s="239">
        <v>0</v>
      </c>
      <c r="AD101" s="239">
        <v>0</v>
      </c>
      <c r="AE101" s="239">
        <v>0</v>
      </c>
      <c r="AF101" s="239">
        <v>0</v>
      </c>
      <c r="AG101" s="239">
        <v>0</v>
      </c>
      <c r="AH101" s="239">
        <v>0</v>
      </c>
      <c r="AI101" s="239">
        <v>0</v>
      </c>
      <c r="AJ101" s="239">
        <v>0</v>
      </c>
      <c r="AK101" s="239">
        <v>549273.90750000009</v>
      </c>
      <c r="AL101" s="239">
        <v>123586.6291875</v>
      </c>
      <c r="AM101" s="239">
        <v>13731.847687500001</v>
      </c>
      <c r="AN101" s="239">
        <v>497784</v>
      </c>
      <c r="AO101" s="239">
        <v>112002</v>
      </c>
      <c r="AP101" s="239">
        <v>12444</v>
      </c>
      <c r="AQ101" s="239">
        <v>51490</v>
      </c>
      <c r="AR101" s="239">
        <v>11585</v>
      </c>
      <c r="AS101" s="239">
        <v>1288</v>
      </c>
      <c r="AT101" s="239">
        <v>3129.3808333333336</v>
      </c>
      <c r="AU101" s="239">
        <v>704.11068749999993</v>
      </c>
      <c r="AV101" s="239">
        <v>78.234520833333335</v>
      </c>
      <c r="AW101" s="239">
        <v>1941</v>
      </c>
      <c r="AX101" s="239">
        <v>436</v>
      </c>
      <c r="AY101" s="239">
        <v>48</v>
      </c>
      <c r="AZ101" s="239">
        <v>1188</v>
      </c>
      <c r="BA101" s="239">
        <v>268</v>
      </c>
      <c r="BB101" s="239">
        <v>30</v>
      </c>
      <c r="BC101" s="239">
        <v>5040.4500000000007</v>
      </c>
      <c r="BD101" s="239">
        <v>1134.1012499999999</v>
      </c>
      <c r="BE101" s="239">
        <v>126.01125000000002</v>
      </c>
      <c r="BF101" s="239">
        <v>45698</v>
      </c>
      <c r="BG101" s="239">
        <v>10282</v>
      </c>
      <c r="BH101" s="239">
        <v>1142</v>
      </c>
      <c r="BI101" s="239">
        <v>-40658</v>
      </c>
      <c r="BJ101" s="239">
        <v>-9148</v>
      </c>
      <c r="BK101" s="239">
        <v>-1016</v>
      </c>
      <c r="BL101" s="239">
        <v>4245.8283333333338</v>
      </c>
      <c r="BM101" s="239">
        <v>955.311375</v>
      </c>
      <c r="BN101" s="239">
        <v>106.14570833333333</v>
      </c>
      <c r="BO101" s="239">
        <v>9418</v>
      </c>
      <c r="BP101" s="239">
        <v>2118</v>
      </c>
      <c r="BQ101" s="239">
        <v>236</v>
      </c>
      <c r="BR101" s="239">
        <v>-5172</v>
      </c>
      <c r="BS101" s="239">
        <v>-1163</v>
      </c>
      <c r="BT101" s="239">
        <v>-130</v>
      </c>
      <c r="BU101" s="239">
        <v>341005.11083333334</v>
      </c>
      <c r="BV101" s="239">
        <v>76726.149937499998</v>
      </c>
      <c r="BW101" s="239">
        <v>8525.1277708333328</v>
      </c>
      <c r="BX101" s="239">
        <v>190201</v>
      </c>
      <c r="BY101" s="239">
        <v>42796</v>
      </c>
      <c r="BZ101" s="239">
        <v>4756</v>
      </c>
      <c r="CA101" s="239">
        <v>150804</v>
      </c>
      <c r="CB101" s="239">
        <v>33930</v>
      </c>
      <c r="CC101" s="239">
        <v>3769</v>
      </c>
      <c r="CD101" s="239">
        <v>0</v>
      </c>
      <c r="CE101" s="239">
        <v>0</v>
      </c>
      <c r="CF101" s="239">
        <v>0</v>
      </c>
      <c r="CG101" s="239">
        <v>0</v>
      </c>
      <c r="CH101" s="239">
        <v>0</v>
      </c>
      <c r="CI101" s="239">
        <v>0</v>
      </c>
      <c r="CJ101" s="239">
        <v>0</v>
      </c>
      <c r="CK101" s="239">
        <v>0</v>
      </c>
      <c r="CL101" s="239">
        <v>0</v>
      </c>
      <c r="CM101" s="239">
        <v>16838.430833333332</v>
      </c>
      <c r="CN101" s="239">
        <v>3788.6469374999997</v>
      </c>
      <c r="CO101" s="239">
        <v>420.9607708333333</v>
      </c>
      <c r="CP101" s="239">
        <v>0</v>
      </c>
      <c r="CQ101" s="239">
        <v>0</v>
      </c>
      <c r="CR101" s="239">
        <v>0</v>
      </c>
      <c r="CS101" s="239">
        <v>16838</v>
      </c>
      <c r="CT101" s="239">
        <v>3789</v>
      </c>
      <c r="CU101" s="239">
        <v>421</v>
      </c>
      <c r="CV101" s="239">
        <v>195496.93916666665</v>
      </c>
      <c r="CW101" s="239">
        <v>43986.811312500002</v>
      </c>
      <c r="CX101" s="239">
        <v>4887.4234791666668</v>
      </c>
      <c r="CY101" s="239">
        <v>201910</v>
      </c>
      <c r="CZ101" s="239">
        <v>45430</v>
      </c>
      <c r="DA101" s="239">
        <v>5048</v>
      </c>
      <c r="DB101" s="239">
        <v>-6413</v>
      </c>
      <c r="DC101" s="239">
        <v>-1443</v>
      </c>
      <c r="DD101" s="239">
        <v>-161</v>
      </c>
      <c r="DE101" s="214">
        <v>0.5</v>
      </c>
      <c r="DF101" s="214">
        <v>0.4</v>
      </c>
      <c r="DG101" s="214">
        <v>0.09</v>
      </c>
      <c r="DH101" s="214">
        <v>0.01</v>
      </c>
      <c r="DI101" s="214" t="s">
        <v>1294</v>
      </c>
    </row>
    <row r="102" spans="1:113" s="214" customFormat="1" x14ac:dyDescent="0.2">
      <c r="B102" s="610" t="s">
        <v>287</v>
      </c>
      <c r="C102" s="610" t="s">
        <v>286</v>
      </c>
      <c r="D102" s="239">
        <v>-76797</v>
      </c>
      <c r="E102" s="239">
        <v>0</v>
      </c>
      <c r="F102" s="239">
        <v>-76797</v>
      </c>
      <c r="G102" s="239">
        <v>0</v>
      </c>
      <c r="H102" s="239">
        <v>0</v>
      </c>
      <c r="I102" s="239">
        <v>0</v>
      </c>
      <c r="J102" s="239">
        <v>-76797</v>
      </c>
      <c r="K102" s="239">
        <v>0</v>
      </c>
      <c r="L102" s="239">
        <v>-76797</v>
      </c>
      <c r="M102" s="239">
        <v>86618</v>
      </c>
      <c r="N102" s="239">
        <v>86618</v>
      </c>
      <c r="O102" s="239">
        <v>0</v>
      </c>
      <c r="P102" s="239">
        <v>0</v>
      </c>
      <c r="Q102" s="239">
        <v>0</v>
      </c>
      <c r="R102" s="239">
        <v>0</v>
      </c>
      <c r="S102" s="239">
        <v>0</v>
      </c>
      <c r="T102" s="239">
        <v>0</v>
      </c>
      <c r="U102" s="239">
        <v>0</v>
      </c>
      <c r="V102" s="239">
        <v>0</v>
      </c>
      <c r="W102" s="239">
        <v>0</v>
      </c>
      <c r="X102" s="239">
        <v>0</v>
      </c>
      <c r="Y102" s="239">
        <v>0</v>
      </c>
      <c r="Z102" s="239">
        <v>0</v>
      </c>
      <c r="AA102" s="239">
        <v>0</v>
      </c>
      <c r="AB102" s="239">
        <v>0</v>
      </c>
      <c r="AC102" s="239">
        <v>0</v>
      </c>
      <c r="AD102" s="239">
        <v>0</v>
      </c>
      <c r="AE102" s="239">
        <v>0</v>
      </c>
      <c r="AF102" s="239">
        <v>0</v>
      </c>
      <c r="AG102" s="239">
        <v>0</v>
      </c>
      <c r="AH102" s="239">
        <v>0</v>
      </c>
      <c r="AI102" s="239">
        <v>0</v>
      </c>
      <c r="AJ102" s="239">
        <v>0</v>
      </c>
      <c r="AK102" s="239">
        <v>228958.78875000001</v>
      </c>
      <c r="AL102" s="239">
        <v>57239.697187500002</v>
      </c>
      <c r="AM102" s="239">
        <v>0</v>
      </c>
      <c r="AN102" s="239">
        <v>212667</v>
      </c>
      <c r="AO102" s="239">
        <v>53168</v>
      </c>
      <c r="AP102" s="239">
        <v>0</v>
      </c>
      <c r="AQ102" s="239">
        <v>16292</v>
      </c>
      <c r="AR102" s="239">
        <v>4072</v>
      </c>
      <c r="AS102" s="239">
        <v>0</v>
      </c>
      <c r="AT102" s="239">
        <v>0</v>
      </c>
      <c r="AU102" s="239">
        <v>0</v>
      </c>
      <c r="AV102" s="239">
        <v>0</v>
      </c>
      <c r="AW102" s="239">
        <v>0</v>
      </c>
      <c r="AX102" s="239">
        <v>0</v>
      </c>
      <c r="AY102" s="239">
        <v>0</v>
      </c>
      <c r="AZ102" s="239">
        <v>0</v>
      </c>
      <c r="BA102" s="239">
        <v>0</v>
      </c>
      <c r="BB102" s="239">
        <v>0</v>
      </c>
      <c r="BC102" s="239">
        <v>8920.6225000000013</v>
      </c>
      <c r="BD102" s="239">
        <v>2230.1556250000003</v>
      </c>
      <c r="BE102" s="239">
        <v>0</v>
      </c>
      <c r="BF102" s="239">
        <v>0</v>
      </c>
      <c r="BG102" s="239">
        <v>0</v>
      </c>
      <c r="BH102" s="239">
        <v>0</v>
      </c>
      <c r="BI102" s="239">
        <v>8921</v>
      </c>
      <c r="BJ102" s="239">
        <v>2230</v>
      </c>
      <c r="BK102" s="239">
        <v>0</v>
      </c>
      <c r="BL102" s="239">
        <v>2997.0791666666669</v>
      </c>
      <c r="BM102" s="239">
        <v>749.26979166666672</v>
      </c>
      <c r="BN102" s="239">
        <v>0</v>
      </c>
      <c r="BO102" s="239">
        <v>4177</v>
      </c>
      <c r="BP102" s="239">
        <v>1044</v>
      </c>
      <c r="BQ102" s="239">
        <v>0</v>
      </c>
      <c r="BR102" s="239">
        <v>-1180</v>
      </c>
      <c r="BS102" s="239">
        <v>-295</v>
      </c>
      <c r="BT102" s="239">
        <v>0</v>
      </c>
      <c r="BU102" s="239">
        <v>186607.84833333336</v>
      </c>
      <c r="BV102" s="239">
        <v>46651.962083333339</v>
      </c>
      <c r="BW102" s="239">
        <v>0</v>
      </c>
      <c r="BX102" s="239">
        <v>196421</v>
      </c>
      <c r="BY102" s="239">
        <v>49106</v>
      </c>
      <c r="BZ102" s="239">
        <v>0</v>
      </c>
      <c r="CA102" s="239">
        <v>-9813</v>
      </c>
      <c r="CB102" s="239">
        <v>-2454</v>
      </c>
      <c r="CC102" s="239">
        <v>0</v>
      </c>
      <c r="CD102" s="239">
        <v>0</v>
      </c>
      <c r="CE102" s="239">
        <v>0</v>
      </c>
      <c r="CF102" s="239">
        <v>0</v>
      </c>
      <c r="CG102" s="239">
        <v>0</v>
      </c>
      <c r="CH102" s="239">
        <v>0</v>
      </c>
      <c r="CI102" s="239">
        <v>0</v>
      </c>
      <c r="CJ102" s="239">
        <v>0</v>
      </c>
      <c r="CK102" s="239">
        <v>0</v>
      </c>
      <c r="CL102" s="239">
        <v>0</v>
      </c>
      <c r="CM102" s="239">
        <v>0</v>
      </c>
      <c r="CN102" s="239">
        <v>0</v>
      </c>
      <c r="CO102" s="239">
        <v>0</v>
      </c>
      <c r="CP102" s="239">
        <v>0</v>
      </c>
      <c r="CQ102" s="239">
        <v>0</v>
      </c>
      <c r="CR102" s="239">
        <v>0</v>
      </c>
      <c r="CS102" s="239">
        <v>0</v>
      </c>
      <c r="CT102" s="239">
        <v>0</v>
      </c>
      <c r="CU102" s="239">
        <v>0</v>
      </c>
      <c r="CV102" s="239">
        <v>133330.34166666667</v>
      </c>
      <c r="CW102" s="239">
        <v>33332.585416666669</v>
      </c>
      <c r="CX102" s="239">
        <v>0</v>
      </c>
      <c r="CY102" s="239">
        <v>134756</v>
      </c>
      <c r="CZ102" s="239">
        <v>33689</v>
      </c>
      <c r="DA102" s="239">
        <v>0</v>
      </c>
      <c r="DB102" s="239">
        <v>-1426</v>
      </c>
      <c r="DC102" s="239">
        <v>-356</v>
      </c>
      <c r="DD102" s="239">
        <v>0</v>
      </c>
      <c r="DE102" s="214">
        <v>0.5</v>
      </c>
      <c r="DF102" s="214">
        <v>0.4</v>
      </c>
      <c r="DG102" s="214">
        <v>0.1</v>
      </c>
      <c r="DH102" s="214">
        <v>0</v>
      </c>
      <c r="DI102" s="214" t="s">
        <v>1294</v>
      </c>
    </row>
    <row r="103" spans="1:113" s="214" customFormat="1" x14ac:dyDescent="0.2">
      <c r="B103" s="610" t="s">
        <v>289</v>
      </c>
      <c r="C103" s="610" t="s">
        <v>288</v>
      </c>
      <c r="D103" s="239">
        <v>-25438</v>
      </c>
      <c r="E103" s="239">
        <v>0</v>
      </c>
      <c r="F103" s="239">
        <v>-25438</v>
      </c>
      <c r="G103" s="239">
        <v>0</v>
      </c>
      <c r="H103" s="239">
        <v>0</v>
      </c>
      <c r="I103" s="239">
        <v>0</v>
      </c>
      <c r="J103" s="239">
        <v>-25438</v>
      </c>
      <c r="K103" s="239">
        <v>0</v>
      </c>
      <c r="L103" s="239">
        <v>-25438</v>
      </c>
      <c r="M103" s="239">
        <v>134058</v>
      </c>
      <c r="N103" s="239">
        <v>134058</v>
      </c>
      <c r="O103" s="239">
        <v>0</v>
      </c>
      <c r="P103" s="239">
        <v>0</v>
      </c>
      <c r="Q103" s="239">
        <v>0</v>
      </c>
      <c r="R103" s="239">
        <v>0</v>
      </c>
      <c r="S103" s="239">
        <v>0</v>
      </c>
      <c r="T103" s="239">
        <v>0</v>
      </c>
      <c r="U103" s="239">
        <v>0</v>
      </c>
      <c r="V103" s="239">
        <v>0</v>
      </c>
      <c r="W103" s="239">
        <v>0</v>
      </c>
      <c r="X103" s="239">
        <v>0</v>
      </c>
      <c r="Y103" s="239">
        <v>0</v>
      </c>
      <c r="Z103" s="239">
        <v>0</v>
      </c>
      <c r="AA103" s="239">
        <v>0</v>
      </c>
      <c r="AB103" s="239">
        <v>0</v>
      </c>
      <c r="AC103" s="239">
        <v>0</v>
      </c>
      <c r="AD103" s="239">
        <v>0</v>
      </c>
      <c r="AE103" s="239">
        <v>0</v>
      </c>
      <c r="AF103" s="239">
        <v>0</v>
      </c>
      <c r="AG103" s="239">
        <v>0</v>
      </c>
      <c r="AH103" s="239">
        <v>0</v>
      </c>
      <c r="AI103" s="239">
        <v>0</v>
      </c>
      <c r="AJ103" s="239">
        <v>0</v>
      </c>
      <c r="AK103" s="239">
        <v>529751.49791666667</v>
      </c>
      <c r="AL103" s="239">
        <v>119194.08703124999</v>
      </c>
      <c r="AM103" s="239">
        <v>13243.787447916668</v>
      </c>
      <c r="AN103" s="239">
        <v>506347</v>
      </c>
      <c r="AO103" s="239">
        <v>113928</v>
      </c>
      <c r="AP103" s="239">
        <v>12658</v>
      </c>
      <c r="AQ103" s="239">
        <v>23404</v>
      </c>
      <c r="AR103" s="239">
        <v>5266</v>
      </c>
      <c r="AS103" s="239">
        <v>586</v>
      </c>
      <c r="AT103" s="239">
        <v>692.35166666666669</v>
      </c>
      <c r="AU103" s="239">
        <v>155.77912499999999</v>
      </c>
      <c r="AV103" s="239">
        <v>17.308791666666668</v>
      </c>
      <c r="AW103" s="239">
        <v>0</v>
      </c>
      <c r="AX103" s="239">
        <v>0</v>
      </c>
      <c r="AY103" s="239">
        <v>0</v>
      </c>
      <c r="AZ103" s="239">
        <v>692</v>
      </c>
      <c r="BA103" s="239">
        <v>156</v>
      </c>
      <c r="BB103" s="239">
        <v>17</v>
      </c>
      <c r="BC103" s="239">
        <v>88.06583333333333</v>
      </c>
      <c r="BD103" s="239">
        <v>19.814812499999999</v>
      </c>
      <c r="BE103" s="239">
        <v>2.2016458333333335</v>
      </c>
      <c r="BF103" s="239">
        <v>0</v>
      </c>
      <c r="BG103" s="239">
        <v>0</v>
      </c>
      <c r="BH103" s="239">
        <v>0</v>
      </c>
      <c r="BI103" s="239">
        <v>88</v>
      </c>
      <c r="BJ103" s="239">
        <v>20</v>
      </c>
      <c r="BK103" s="239">
        <v>2</v>
      </c>
      <c r="BL103" s="239">
        <v>7896.7049999999999</v>
      </c>
      <c r="BM103" s="239">
        <v>1776.7586249999999</v>
      </c>
      <c r="BN103" s="239">
        <v>197.41762500000002</v>
      </c>
      <c r="BO103" s="239">
        <v>1534</v>
      </c>
      <c r="BP103" s="239">
        <v>346</v>
      </c>
      <c r="BQ103" s="239">
        <v>38</v>
      </c>
      <c r="BR103" s="239">
        <v>6363</v>
      </c>
      <c r="BS103" s="239">
        <v>1431</v>
      </c>
      <c r="BT103" s="239">
        <v>159</v>
      </c>
      <c r="BU103" s="239">
        <v>165883.96916666668</v>
      </c>
      <c r="BV103" s="239">
        <v>37323.893062499999</v>
      </c>
      <c r="BW103" s="239">
        <v>4147.0992291666671</v>
      </c>
      <c r="BX103" s="239">
        <v>74043</v>
      </c>
      <c r="BY103" s="239">
        <v>16660</v>
      </c>
      <c r="BZ103" s="239">
        <v>1852</v>
      </c>
      <c r="CA103" s="239">
        <v>91841</v>
      </c>
      <c r="CB103" s="239">
        <v>20664</v>
      </c>
      <c r="CC103" s="239">
        <v>2295</v>
      </c>
      <c r="CD103" s="239">
        <v>0</v>
      </c>
      <c r="CE103" s="239">
        <v>0</v>
      </c>
      <c r="CF103" s="239">
        <v>0</v>
      </c>
      <c r="CG103" s="239">
        <v>0</v>
      </c>
      <c r="CH103" s="239">
        <v>0</v>
      </c>
      <c r="CI103" s="239">
        <v>0</v>
      </c>
      <c r="CJ103" s="239">
        <v>0</v>
      </c>
      <c r="CK103" s="239">
        <v>0</v>
      </c>
      <c r="CL103" s="239">
        <v>0</v>
      </c>
      <c r="CM103" s="239">
        <v>1304.7541666666666</v>
      </c>
      <c r="CN103" s="239">
        <v>293.56968749999999</v>
      </c>
      <c r="CO103" s="239">
        <v>32.618854166666665</v>
      </c>
      <c r="CP103" s="239">
        <v>0</v>
      </c>
      <c r="CQ103" s="239">
        <v>0</v>
      </c>
      <c r="CR103" s="239">
        <v>0</v>
      </c>
      <c r="CS103" s="239">
        <v>1305</v>
      </c>
      <c r="CT103" s="239">
        <v>294</v>
      </c>
      <c r="CU103" s="239">
        <v>33</v>
      </c>
      <c r="CV103" s="239">
        <v>144872.64166666666</v>
      </c>
      <c r="CW103" s="239">
        <v>32596.344374999997</v>
      </c>
      <c r="CX103" s="239">
        <v>3621.8160416666665</v>
      </c>
      <c r="CY103" s="239">
        <v>151544</v>
      </c>
      <c r="CZ103" s="239">
        <v>34097</v>
      </c>
      <c r="DA103" s="239">
        <v>3789</v>
      </c>
      <c r="DB103" s="239">
        <v>-6671</v>
      </c>
      <c r="DC103" s="239">
        <v>-1501</v>
      </c>
      <c r="DD103" s="239">
        <v>-167</v>
      </c>
      <c r="DE103" s="214">
        <v>0.5</v>
      </c>
      <c r="DF103" s="214">
        <v>0.4</v>
      </c>
      <c r="DG103" s="214">
        <v>0.09</v>
      </c>
      <c r="DH103" s="214">
        <v>0.01</v>
      </c>
      <c r="DI103" s="214" t="s">
        <v>1294</v>
      </c>
    </row>
    <row r="104" spans="1:113" s="214" customFormat="1" x14ac:dyDescent="0.2">
      <c r="B104" s="610" t="s">
        <v>291</v>
      </c>
      <c r="C104" s="610" t="s">
        <v>290</v>
      </c>
      <c r="D104" s="239">
        <v>-154712</v>
      </c>
      <c r="E104" s="239">
        <v>0</v>
      </c>
      <c r="F104" s="239">
        <v>-154712</v>
      </c>
      <c r="G104" s="239">
        <v>0</v>
      </c>
      <c r="H104" s="239">
        <v>0</v>
      </c>
      <c r="I104" s="239">
        <v>0</v>
      </c>
      <c r="J104" s="239">
        <v>-154712</v>
      </c>
      <c r="K104" s="239">
        <v>0</v>
      </c>
      <c r="L104" s="239">
        <v>-154712</v>
      </c>
      <c r="M104" s="239">
        <v>220072</v>
      </c>
      <c r="N104" s="239">
        <v>220072</v>
      </c>
      <c r="O104" s="239">
        <v>0</v>
      </c>
      <c r="P104" s="239">
        <v>0</v>
      </c>
      <c r="Q104" s="239">
        <v>0</v>
      </c>
      <c r="R104" s="239">
        <v>0</v>
      </c>
      <c r="S104" s="239">
        <v>0</v>
      </c>
      <c r="T104" s="239">
        <v>0</v>
      </c>
      <c r="U104" s="239">
        <v>0</v>
      </c>
      <c r="V104" s="239">
        <v>0</v>
      </c>
      <c r="W104" s="239">
        <v>0</v>
      </c>
      <c r="X104" s="239">
        <v>0</v>
      </c>
      <c r="Y104" s="239">
        <v>0</v>
      </c>
      <c r="Z104" s="239">
        <v>0</v>
      </c>
      <c r="AA104" s="239">
        <v>0</v>
      </c>
      <c r="AB104" s="239">
        <v>0</v>
      </c>
      <c r="AC104" s="239">
        <v>0</v>
      </c>
      <c r="AD104" s="239">
        <v>0</v>
      </c>
      <c r="AE104" s="239">
        <v>0</v>
      </c>
      <c r="AF104" s="239">
        <v>0</v>
      </c>
      <c r="AG104" s="239">
        <v>0</v>
      </c>
      <c r="AH104" s="239">
        <v>0</v>
      </c>
      <c r="AI104" s="239">
        <v>0</v>
      </c>
      <c r="AJ104" s="239">
        <v>0</v>
      </c>
      <c r="AK104" s="239">
        <v>466979.02416666667</v>
      </c>
      <c r="AL104" s="239">
        <v>105070.28043750001</v>
      </c>
      <c r="AM104" s="239">
        <v>11674.475604166668</v>
      </c>
      <c r="AN104" s="239">
        <v>426354</v>
      </c>
      <c r="AO104" s="239">
        <v>95930</v>
      </c>
      <c r="AP104" s="239">
        <v>10658</v>
      </c>
      <c r="AQ104" s="239">
        <v>40625</v>
      </c>
      <c r="AR104" s="239">
        <v>9140</v>
      </c>
      <c r="AS104" s="239">
        <v>1016</v>
      </c>
      <c r="AT104" s="239">
        <v>3710.1283333333336</v>
      </c>
      <c r="AU104" s="239">
        <v>834.77887499999997</v>
      </c>
      <c r="AV104" s="239">
        <v>92.753208333333333</v>
      </c>
      <c r="AW104" s="239">
        <v>2996</v>
      </c>
      <c r="AX104" s="239">
        <v>674</v>
      </c>
      <c r="AY104" s="239">
        <v>74</v>
      </c>
      <c r="AZ104" s="239">
        <v>714</v>
      </c>
      <c r="BA104" s="239">
        <v>161</v>
      </c>
      <c r="BB104" s="239">
        <v>19</v>
      </c>
      <c r="BC104" s="239">
        <v>739.02250000000004</v>
      </c>
      <c r="BD104" s="239">
        <v>166.28006250000001</v>
      </c>
      <c r="BE104" s="239">
        <v>18.475562500000002</v>
      </c>
      <c r="BF104" s="239">
        <v>0</v>
      </c>
      <c r="BG104" s="239">
        <v>0</v>
      </c>
      <c r="BH104" s="239">
        <v>0</v>
      </c>
      <c r="BI104" s="239">
        <v>739</v>
      </c>
      <c r="BJ104" s="239">
        <v>166</v>
      </c>
      <c r="BK104" s="239">
        <v>18</v>
      </c>
      <c r="BL104" s="239">
        <v>3511.6758333333337</v>
      </c>
      <c r="BM104" s="239">
        <v>790.12706249999997</v>
      </c>
      <c r="BN104" s="239">
        <v>87.791895833333328</v>
      </c>
      <c r="BO104" s="239">
        <v>2976</v>
      </c>
      <c r="BP104" s="239">
        <v>670</v>
      </c>
      <c r="BQ104" s="239">
        <v>74</v>
      </c>
      <c r="BR104" s="239">
        <v>536</v>
      </c>
      <c r="BS104" s="239">
        <v>120</v>
      </c>
      <c r="BT104" s="239">
        <v>14</v>
      </c>
      <c r="BU104" s="239">
        <v>414365.97916666669</v>
      </c>
      <c r="BV104" s="239">
        <v>93232.345312500009</v>
      </c>
      <c r="BW104" s="239">
        <v>10359.149479166666</v>
      </c>
      <c r="BX104" s="239">
        <v>421461</v>
      </c>
      <c r="BY104" s="239">
        <v>94828</v>
      </c>
      <c r="BZ104" s="239">
        <v>10536</v>
      </c>
      <c r="CA104" s="239">
        <v>-7095</v>
      </c>
      <c r="CB104" s="239">
        <v>-1596</v>
      </c>
      <c r="CC104" s="239">
        <v>-177</v>
      </c>
      <c r="CD104" s="239">
        <v>0</v>
      </c>
      <c r="CE104" s="239">
        <v>0</v>
      </c>
      <c r="CF104" s="239">
        <v>0</v>
      </c>
      <c r="CG104" s="239">
        <v>0</v>
      </c>
      <c r="CH104" s="239">
        <v>0</v>
      </c>
      <c r="CI104" s="239">
        <v>0</v>
      </c>
      <c r="CJ104" s="239">
        <v>0</v>
      </c>
      <c r="CK104" s="239">
        <v>0</v>
      </c>
      <c r="CL104" s="239">
        <v>0</v>
      </c>
      <c r="CM104" s="239">
        <v>9681.5600000000013</v>
      </c>
      <c r="CN104" s="239">
        <v>2178.3510000000001</v>
      </c>
      <c r="CO104" s="239">
        <v>242.03900000000002</v>
      </c>
      <c r="CP104" s="239">
        <v>0</v>
      </c>
      <c r="CQ104" s="239">
        <v>0</v>
      </c>
      <c r="CR104" s="239">
        <v>0</v>
      </c>
      <c r="CS104" s="239">
        <v>9682</v>
      </c>
      <c r="CT104" s="239">
        <v>2178</v>
      </c>
      <c r="CU104" s="239">
        <v>242</v>
      </c>
      <c r="CV104" s="239">
        <v>455955.37750000006</v>
      </c>
      <c r="CW104" s="239">
        <v>102589.9599375</v>
      </c>
      <c r="CX104" s="239">
        <v>11398.884437500001</v>
      </c>
      <c r="CY104" s="239">
        <v>459478</v>
      </c>
      <c r="CZ104" s="239">
        <v>103382</v>
      </c>
      <c r="DA104" s="239">
        <v>11487</v>
      </c>
      <c r="DB104" s="239">
        <v>-3523</v>
      </c>
      <c r="DC104" s="239">
        <v>-792</v>
      </c>
      <c r="DD104" s="239">
        <v>-88</v>
      </c>
      <c r="DE104" s="214">
        <v>0.5</v>
      </c>
      <c r="DF104" s="214">
        <v>0.4</v>
      </c>
      <c r="DG104" s="214">
        <v>0.09</v>
      </c>
      <c r="DH104" s="214">
        <v>0.01</v>
      </c>
      <c r="DI104" s="214" t="s">
        <v>1294</v>
      </c>
    </row>
    <row r="105" spans="1:113" s="214" customFormat="1" x14ac:dyDescent="0.2">
      <c r="B105" s="610" t="s">
        <v>293</v>
      </c>
      <c r="C105" s="610" t="s">
        <v>292</v>
      </c>
      <c r="D105" s="239">
        <v>-13889</v>
      </c>
      <c r="E105" s="239">
        <v>-9710</v>
      </c>
      <c r="F105" s="239">
        <v>-23599</v>
      </c>
      <c r="G105" s="239">
        <v>0</v>
      </c>
      <c r="H105" s="239">
        <v>0</v>
      </c>
      <c r="I105" s="239">
        <v>0</v>
      </c>
      <c r="J105" s="239">
        <v>-13889</v>
      </c>
      <c r="K105" s="239">
        <v>-9710</v>
      </c>
      <c r="L105" s="239">
        <v>-23599</v>
      </c>
      <c r="M105" s="239">
        <v>142033</v>
      </c>
      <c r="N105" s="239">
        <v>142033</v>
      </c>
      <c r="O105" s="239">
        <v>0</v>
      </c>
      <c r="P105" s="239">
        <v>5640</v>
      </c>
      <c r="Q105" s="239">
        <v>0</v>
      </c>
      <c r="R105" s="239">
        <v>5640</v>
      </c>
      <c r="S105" s="239">
        <v>80925</v>
      </c>
      <c r="T105" s="239">
        <v>0</v>
      </c>
      <c r="U105" s="239">
        <v>80852</v>
      </c>
      <c r="V105" s="239">
        <v>0</v>
      </c>
      <c r="W105" s="239">
        <v>73</v>
      </c>
      <c r="X105" s="239">
        <v>0</v>
      </c>
      <c r="Y105" s="239">
        <v>276328.87291666667</v>
      </c>
      <c r="Z105" s="239">
        <v>276328.87291666667</v>
      </c>
      <c r="AA105" s="239">
        <v>0</v>
      </c>
      <c r="AB105" s="239">
        <v>0</v>
      </c>
      <c r="AC105" s="239">
        <v>281568</v>
      </c>
      <c r="AD105" s="239">
        <v>281568</v>
      </c>
      <c r="AE105" s="239">
        <v>0</v>
      </c>
      <c r="AF105" s="239">
        <v>0</v>
      </c>
      <c r="AG105" s="239">
        <v>-5239</v>
      </c>
      <c r="AH105" s="239">
        <v>-5239</v>
      </c>
      <c r="AI105" s="239">
        <v>0</v>
      </c>
      <c r="AJ105" s="239">
        <v>0</v>
      </c>
      <c r="AK105" s="239">
        <v>355079.41083333333</v>
      </c>
      <c r="AL105" s="239">
        <v>79892.867437499997</v>
      </c>
      <c r="AM105" s="239">
        <v>8876.9852708333328</v>
      </c>
      <c r="AN105" s="239">
        <v>337471</v>
      </c>
      <c r="AO105" s="239">
        <v>75932</v>
      </c>
      <c r="AP105" s="239">
        <v>8436</v>
      </c>
      <c r="AQ105" s="239">
        <v>17608</v>
      </c>
      <c r="AR105" s="239">
        <v>3961</v>
      </c>
      <c r="AS105" s="239">
        <v>441</v>
      </c>
      <c r="AT105" s="239">
        <v>3404.5358333333334</v>
      </c>
      <c r="AU105" s="239">
        <v>766.02056249999987</v>
      </c>
      <c r="AV105" s="239">
        <v>85.113395833333328</v>
      </c>
      <c r="AW105" s="239">
        <v>1623</v>
      </c>
      <c r="AX105" s="239">
        <v>366</v>
      </c>
      <c r="AY105" s="239">
        <v>40</v>
      </c>
      <c r="AZ105" s="239">
        <v>1782</v>
      </c>
      <c r="BA105" s="239">
        <v>400</v>
      </c>
      <c r="BB105" s="239">
        <v>45</v>
      </c>
      <c r="BC105" s="239">
        <v>25851.380416666667</v>
      </c>
      <c r="BD105" s="239">
        <v>306.0795</v>
      </c>
      <c r="BE105" s="239">
        <v>34.008833333333335</v>
      </c>
      <c r="BF105" s="239">
        <v>4057</v>
      </c>
      <c r="BG105" s="239">
        <v>914</v>
      </c>
      <c r="BH105" s="239">
        <v>102</v>
      </c>
      <c r="BI105" s="239">
        <v>21794</v>
      </c>
      <c r="BJ105" s="239">
        <v>-608</v>
      </c>
      <c r="BK105" s="239">
        <v>-68</v>
      </c>
      <c r="BL105" s="239">
        <v>14993.512500000001</v>
      </c>
      <c r="BM105" s="239">
        <v>3373.5403124999998</v>
      </c>
      <c r="BN105" s="239">
        <v>374.83781250000004</v>
      </c>
      <c r="BO105" s="239">
        <v>8271</v>
      </c>
      <c r="BP105" s="239">
        <v>1860</v>
      </c>
      <c r="BQ105" s="239">
        <v>206</v>
      </c>
      <c r="BR105" s="239">
        <v>6723</v>
      </c>
      <c r="BS105" s="239">
        <v>1514</v>
      </c>
      <c r="BT105" s="239">
        <v>169</v>
      </c>
      <c r="BU105" s="239">
        <v>226514.25166666665</v>
      </c>
      <c r="BV105" s="239">
        <v>50965.706624999992</v>
      </c>
      <c r="BW105" s="239">
        <v>5662.8562916666669</v>
      </c>
      <c r="BX105" s="239">
        <v>203650</v>
      </c>
      <c r="BY105" s="239">
        <v>45822</v>
      </c>
      <c r="BZ105" s="239">
        <v>5092</v>
      </c>
      <c r="CA105" s="239">
        <v>22864</v>
      </c>
      <c r="CB105" s="239">
        <v>5144</v>
      </c>
      <c r="CC105" s="239">
        <v>571</v>
      </c>
      <c r="CD105" s="239">
        <v>0</v>
      </c>
      <c r="CE105" s="239">
        <v>0</v>
      </c>
      <c r="CF105" s="239">
        <v>0</v>
      </c>
      <c r="CG105" s="239">
        <v>0</v>
      </c>
      <c r="CH105" s="239">
        <v>0</v>
      </c>
      <c r="CI105" s="239">
        <v>0</v>
      </c>
      <c r="CJ105" s="239">
        <v>0</v>
      </c>
      <c r="CK105" s="239">
        <v>0</v>
      </c>
      <c r="CL105" s="239">
        <v>0</v>
      </c>
      <c r="CM105" s="239">
        <v>4038.4475000000002</v>
      </c>
      <c r="CN105" s="239">
        <v>908.65068749999989</v>
      </c>
      <c r="CO105" s="239">
        <v>100.96118749999999</v>
      </c>
      <c r="CP105" s="239">
        <v>0</v>
      </c>
      <c r="CQ105" s="239">
        <v>0</v>
      </c>
      <c r="CR105" s="239">
        <v>0</v>
      </c>
      <c r="CS105" s="239">
        <v>4038</v>
      </c>
      <c r="CT105" s="239">
        <v>909</v>
      </c>
      <c r="CU105" s="239">
        <v>101</v>
      </c>
      <c r="CV105" s="239">
        <v>225437.91375000001</v>
      </c>
      <c r="CW105" s="239">
        <v>50439.489187500003</v>
      </c>
      <c r="CX105" s="239">
        <v>5604.3876874999996</v>
      </c>
      <c r="CY105" s="239">
        <v>254490</v>
      </c>
      <c r="CZ105" s="239">
        <v>56071</v>
      </c>
      <c r="DA105" s="239">
        <v>6230</v>
      </c>
      <c r="DB105" s="239">
        <v>-29052</v>
      </c>
      <c r="DC105" s="239">
        <v>-5632</v>
      </c>
      <c r="DD105" s="239">
        <v>-626</v>
      </c>
      <c r="DE105" s="214">
        <v>0.5</v>
      </c>
      <c r="DF105" s="214">
        <v>0.4</v>
      </c>
      <c r="DG105" s="214">
        <v>0.09</v>
      </c>
      <c r="DH105" s="214">
        <v>0.01</v>
      </c>
      <c r="DI105" s="214" t="s">
        <v>1294</v>
      </c>
    </row>
    <row r="106" spans="1:113" s="214" customFormat="1" x14ac:dyDescent="0.2">
      <c r="B106" s="610" t="s">
        <v>295</v>
      </c>
      <c r="C106" s="610" t="s">
        <v>294</v>
      </c>
      <c r="D106" s="239">
        <v>-12270</v>
      </c>
      <c r="E106" s="239">
        <v>0</v>
      </c>
      <c r="F106" s="239">
        <v>-12270</v>
      </c>
      <c r="G106" s="239">
        <v>0</v>
      </c>
      <c r="H106" s="239">
        <v>0</v>
      </c>
      <c r="I106" s="239">
        <v>0</v>
      </c>
      <c r="J106" s="239">
        <v>-12270</v>
      </c>
      <c r="K106" s="239">
        <v>0</v>
      </c>
      <c r="L106" s="239">
        <v>-12270</v>
      </c>
      <c r="M106" s="239">
        <v>127492</v>
      </c>
      <c r="N106" s="239">
        <v>127492</v>
      </c>
      <c r="O106" s="239">
        <v>0</v>
      </c>
      <c r="P106" s="239">
        <v>0</v>
      </c>
      <c r="Q106" s="239">
        <v>0</v>
      </c>
      <c r="R106" s="239">
        <v>0</v>
      </c>
      <c r="S106" s="239">
        <v>162334</v>
      </c>
      <c r="T106" s="239">
        <v>0</v>
      </c>
      <c r="U106" s="239">
        <v>0</v>
      </c>
      <c r="V106" s="239">
        <v>0</v>
      </c>
      <c r="W106" s="239">
        <v>162334</v>
      </c>
      <c r="X106" s="239">
        <v>0</v>
      </c>
      <c r="Y106" s="239">
        <v>0</v>
      </c>
      <c r="Z106" s="239">
        <v>0</v>
      </c>
      <c r="AA106" s="239">
        <v>0</v>
      </c>
      <c r="AB106" s="239">
        <v>0</v>
      </c>
      <c r="AC106" s="239">
        <v>0</v>
      </c>
      <c r="AD106" s="239">
        <v>0</v>
      </c>
      <c r="AE106" s="239">
        <v>0</v>
      </c>
      <c r="AF106" s="239">
        <v>0</v>
      </c>
      <c r="AG106" s="239">
        <v>0</v>
      </c>
      <c r="AH106" s="239">
        <v>0</v>
      </c>
      <c r="AI106" s="239">
        <v>0</v>
      </c>
      <c r="AJ106" s="239">
        <v>0</v>
      </c>
      <c r="AK106" s="239">
        <v>511276.74708333338</v>
      </c>
      <c r="AL106" s="239">
        <v>115037.26809375001</v>
      </c>
      <c r="AM106" s="239">
        <v>12781.918677083335</v>
      </c>
      <c r="AN106" s="239">
        <v>461016</v>
      </c>
      <c r="AO106" s="239">
        <v>103728</v>
      </c>
      <c r="AP106" s="239">
        <v>11526</v>
      </c>
      <c r="AQ106" s="239">
        <v>50261</v>
      </c>
      <c r="AR106" s="239">
        <v>11309</v>
      </c>
      <c r="AS106" s="239">
        <v>1256</v>
      </c>
      <c r="AT106" s="239">
        <v>482.13000000000005</v>
      </c>
      <c r="AU106" s="239">
        <v>108.47924999999999</v>
      </c>
      <c r="AV106" s="239">
        <v>12.05325</v>
      </c>
      <c r="AW106" s="239">
        <v>0</v>
      </c>
      <c r="AX106" s="239">
        <v>0</v>
      </c>
      <c r="AY106" s="239">
        <v>0</v>
      </c>
      <c r="AZ106" s="239">
        <v>482</v>
      </c>
      <c r="BA106" s="239">
        <v>108</v>
      </c>
      <c r="BB106" s="239">
        <v>12</v>
      </c>
      <c r="BC106" s="239">
        <v>0</v>
      </c>
      <c r="BD106" s="239">
        <v>0</v>
      </c>
      <c r="BE106" s="239">
        <v>0</v>
      </c>
      <c r="BF106" s="239">
        <v>0</v>
      </c>
      <c r="BG106" s="239">
        <v>0</v>
      </c>
      <c r="BH106" s="239">
        <v>0</v>
      </c>
      <c r="BI106" s="239">
        <v>0</v>
      </c>
      <c r="BJ106" s="239">
        <v>0</v>
      </c>
      <c r="BK106" s="239">
        <v>0</v>
      </c>
      <c r="BL106" s="239">
        <v>279.21333333333331</v>
      </c>
      <c r="BM106" s="239">
        <v>62.822999999999993</v>
      </c>
      <c r="BN106" s="239">
        <v>6.9803333333333333</v>
      </c>
      <c r="BO106" s="239">
        <v>0</v>
      </c>
      <c r="BP106" s="239">
        <v>0</v>
      </c>
      <c r="BQ106" s="239">
        <v>0</v>
      </c>
      <c r="BR106" s="239">
        <v>279</v>
      </c>
      <c r="BS106" s="239">
        <v>63</v>
      </c>
      <c r="BT106" s="239">
        <v>7</v>
      </c>
      <c r="BU106" s="239">
        <v>185279.55583333335</v>
      </c>
      <c r="BV106" s="239">
        <v>41687.900062500004</v>
      </c>
      <c r="BW106" s="239">
        <v>4631.9888958333331</v>
      </c>
      <c r="BX106" s="239">
        <v>186179</v>
      </c>
      <c r="BY106" s="239">
        <v>41890</v>
      </c>
      <c r="BZ106" s="239">
        <v>4654</v>
      </c>
      <c r="CA106" s="239">
        <v>-899</v>
      </c>
      <c r="CB106" s="239">
        <v>-202</v>
      </c>
      <c r="CC106" s="239">
        <v>-22</v>
      </c>
      <c r="CD106" s="239">
        <v>0</v>
      </c>
      <c r="CE106" s="239">
        <v>0</v>
      </c>
      <c r="CF106" s="239">
        <v>0</v>
      </c>
      <c r="CG106" s="239">
        <v>0</v>
      </c>
      <c r="CH106" s="239">
        <v>0</v>
      </c>
      <c r="CI106" s="239">
        <v>0</v>
      </c>
      <c r="CJ106" s="239">
        <v>0</v>
      </c>
      <c r="CK106" s="239">
        <v>0</v>
      </c>
      <c r="CL106" s="239">
        <v>0</v>
      </c>
      <c r="CM106" s="239">
        <v>6001.0574999999999</v>
      </c>
      <c r="CN106" s="239">
        <v>1350.2379374999998</v>
      </c>
      <c r="CO106" s="239">
        <v>150.02643749999999</v>
      </c>
      <c r="CP106" s="239">
        <v>0</v>
      </c>
      <c r="CQ106" s="239">
        <v>0</v>
      </c>
      <c r="CR106" s="239">
        <v>0</v>
      </c>
      <c r="CS106" s="239">
        <v>6001</v>
      </c>
      <c r="CT106" s="239">
        <v>1350</v>
      </c>
      <c r="CU106" s="239">
        <v>150</v>
      </c>
      <c r="CV106" s="239">
        <v>141108.80583333332</v>
      </c>
      <c r="CW106" s="239">
        <v>31216.822875000002</v>
      </c>
      <c r="CX106" s="239">
        <v>3468.535875</v>
      </c>
      <c r="CY106" s="239">
        <v>142558</v>
      </c>
      <c r="CZ106" s="239">
        <v>32076</v>
      </c>
      <c r="DA106" s="239">
        <v>3564</v>
      </c>
      <c r="DB106" s="239">
        <v>-1449</v>
      </c>
      <c r="DC106" s="239">
        <v>-859</v>
      </c>
      <c r="DD106" s="239">
        <v>-95</v>
      </c>
      <c r="DE106" s="214">
        <v>0.5</v>
      </c>
      <c r="DF106" s="214">
        <v>0.4</v>
      </c>
      <c r="DG106" s="214">
        <v>0.09</v>
      </c>
      <c r="DH106" s="214">
        <v>0.01</v>
      </c>
      <c r="DI106" s="214" t="s">
        <v>1294</v>
      </c>
    </row>
    <row r="107" spans="1:113" s="214" customFormat="1" x14ac:dyDescent="0.2">
      <c r="B107" s="610" t="s">
        <v>297</v>
      </c>
      <c r="C107" s="610" t="s">
        <v>296</v>
      </c>
      <c r="D107" s="239">
        <v>-21679</v>
      </c>
      <c r="E107" s="239">
        <v>0</v>
      </c>
      <c r="F107" s="239">
        <v>-21679</v>
      </c>
      <c r="G107" s="239">
        <v>0</v>
      </c>
      <c r="H107" s="239">
        <v>0</v>
      </c>
      <c r="I107" s="239">
        <v>0</v>
      </c>
      <c r="J107" s="239">
        <v>-21679</v>
      </c>
      <c r="K107" s="239">
        <v>0</v>
      </c>
      <c r="L107" s="239">
        <v>-21679</v>
      </c>
      <c r="M107" s="239">
        <v>89555</v>
      </c>
      <c r="N107" s="239">
        <v>89555</v>
      </c>
      <c r="O107" s="239">
        <v>0</v>
      </c>
      <c r="P107" s="239">
        <v>0</v>
      </c>
      <c r="Q107" s="239">
        <v>0</v>
      </c>
      <c r="R107" s="239">
        <v>0</v>
      </c>
      <c r="S107" s="239">
        <v>51519</v>
      </c>
      <c r="T107" s="239">
        <v>0</v>
      </c>
      <c r="U107" s="239">
        <v>128000</v>
      </c>
      <c r="V107" s="239">
        <v>0</v>
      </c>
      <c r="W107" s="239">
        <v>-76481</v>
      </c>
      <c r="X107" s="239">
        <v>0</v>
      </c>
      <c r="Y107" s="239">
        <v>0</v>
      </c>
      <c r="Z107" s="239">
        <v>0</v>
      </c>
      <c r="AA107" s="239">
        <v>0</v>
      </c>
      <c r="AB107" s="239">
        <v>0</v>
      </c>
      <c r="AC107" s="239">
        <v>0</v>
      </c>
      <c r="AD107" s="239">
        <v>0</v>
      </c>
      <c r="AE107" s="239">
        <v>0</v>
      </c>
      <c r="AF107" s="239">
        <v>0</v>
      </c>
      <c r="AG107" s="239">
        <v>0</v>
      </c>
      <c r="AH107" s="239">
        <v>0</v>
      </c>
      <c r="AI107" s="239">
        <v>0</v>
      </c>
      <c r="AJ107" s="239">
        <v>0</v>
      </c>
      <c r="AK107" s="239">
        <v>293572.12250000006</v>
      </c>
      <c r="AL107" s="239">
        <v>73393.030625000014</v>
      </c>
      <c r="AM107" s="239">
        <v>0</v>
      </c>
      <c r="AN107" s="239">
        <v>271988</v>
      </c>
      <c r="AO107" s="239">
        <v>67998</v>
      </c>
      <c r="AP107" s="239">
        <v>0</v>
      </c>
      <c r="AQ107" s="239">
        <v>21584</v>
      </c>
      <c r="AR107" s="239">
        <v>5395</v>
      </c>
      <c r="AS107" s="239">
        <v>0</v>
      </c>
      <c r="AT107" s="239">
        <v>1859.1224999999999</v>
      </c>
      <c r="AU107" s="239">
        <v>464.78062499999999</v>
      </c>
      <c r="AV107" s="239">
        <v>0</v>
      </c>
      <c r="AW107" s="239">
        <v>1071</v>
      </c>
      <c r="AX107" s="239">
        <v>268</v>
      </c>
      <c r="AY107" s="239">
        <v>0</v>
      </c>
      <c r="AZ107" s="239">
        <v>788</v>
      </c>
      <c r="BA107" s="239">
        <v>197</v>
      </c>
      <c r="BB107" s="239">
        <v>0</v>
      </c>
      <c r="BC107" s="239">
        <v>0</v>
      </c>
      <c r="BD107" s="239">
        <v>0</v>
      </c>
      <c r="BE107" s="239">
        <v>0</v>
      </c>
      <c r="BF107" s="239">
        <v>0</v>
      </c>
      <c r="BG107" s="239">
        <v>0</v>
      </c>
      <c r="BH107" s="239">
        <v>0</v>
      </c>
      <c r="BI107" s="239">
        <v>0</v>
      </c>
      <c r="BJ107" s="239">
        <v>0</v>
      </c>
      <c r="BK107" s="239">
        <v>0</v>
      </c>
      <c r="BL107" s="239">
        <v>2908.2016666666668</v>
      </c>
      <c r="BM107" s="239">
        <v>727.05041666666671</v>
      </c>
      <c r="BN107" s="239">
        <v>0</v>
      </c>
      <c r="BO107" s="239">
        <v>1631</v>
      </c>
      <c r="BP107" s="239">
        <v>408</v>
      </c>
      <c r="BQ107" s="239">
        <v>0</v>
      </c>
      <c r="BR107" s="239">
        <v>1277</v>
      </c>
      <c r="BS107" s="239">
        <v>319</v>
      </c>
      <c r="BT107" s="239">
        <v>0</v>
      </c>
      <c r="BU107" s="239">
        <v>137267.44333333333</v>
      </c>
      <c r="BV107" s="239">
        <v>34316.860833333332</v>
      </c>
      <c r="BW107" s="239">
        <v>0</v>
      </c>
      <c r="BX107" s="239">
        <v>142109</v>
      </c>
      <c r="BY107" s="239">
        <v>35528</v>
      </c>
      <c r="BZ107" s="239">
        <v>0</v>
      </c>
      <c r="CA107" s="239">
        <v>-4842</v>
      </c>
      <c r="CB107" s="239">
        <v>-1211</v>
      </c>
      <c r="CC107" s="239">
        <v>0</v>
      </c>
      <c r="CD107" s="239">
        <v>0</v>
      </c>
      <c r="CE107" s="239">
        <v>0</v>
      </c>
      <c r="CF107" s="239">
        <v>0</v>
      </c>
      <c r="CG107" s="239">
        <v>0</v>
      </c>
      <c r="CH107" s="239">
        <v>0</v>
      </c>
      <c r="CI107" s="239">
        <v>0</v>
      </c>
      <c r="CJ107" s="239">
        <v>0</v>
      </c>
      <c r="CK107" s="239">
        <v>0</v>
      </c>
      <c r="CL107" s="239">
        <v>0</v>
      </c>
      <c r="CM107" s="239">
        <v>880.25250000000005</v>
      </c>
      <c r="CN107" s="239">
        <v>220.06312500000001</v>
      </c>
      <c r="CO107" s="239">
        <v>0</v>
      </c>
      <c r="CP107" s="239">
        <v>0</v>
      </c>
      <c r="CQ107" s="239">
        <v>0</v>
      </c>
      <c r="CR107" s="239">
        <v>0</v>
      </c>
      <c r="CS107" s="239">
        <v>880</v>
      </c>
      <c r="CT107" s="239">
        <v>220</v>
      </c>
      <c r="CU107" s="239">
        <v>0</v>
      </c>
      <c r="CV107" s="239">
        <v>128658.17124999998</v>
      </c>
      <c r="CW107" s="239">
        <v>31976.713124999998</v>
      </c>
      <c r="CX107" s="239">
        <v>0</v>
      </c>
      <c r="CY107" s="239">
        <v>128535</v>
      </c>
      <c r="CZ107" s="239">
        <v>31667</v>
      </c>
      <c r="DA107" s="239">
        <v>0</v>
      </c>
      <c r="DB107" s="239">
        <v>123</v>
      </c>
      <c r="DC107" s="239">
        <v>310</v>
      </c>
      <c r="DD107" s="239">
        <v>0</v>
      </c>
      <c r="DE107" s="214">
        <v>0.5</v>
      </c>
      <c r="DF107" s="214">
        <v>0.4</v>
      </c>
      <c r="DG107" s="214">
        <v>0.1</v>
      </c>
      <c r="DH107" s="214">
        <v>0</v>
      </c>
      <c r="DI107" s="214" t="s">
        <v>1294</v>
      </c>
    </row>
    <row r="108" spans="1:113" s="214" customFormat="1" x14ac:dyDescent="0.2">
      <c r="B108" s="610" t="s">
        <v>299</v>
      </c>
      <c r="C108" s="610" t="s">
        <v>298</v>
      </c>
      <c r="D108" s="239">
        <v>35694</v>
      </c>
      <c r="E108" s="239">
        <v>0</v>
      </c>
      <c r="F108" s="239">
        <v>35694</v>
      </c>
      <c r="G108" s="239">
        <v>0</v>
      </c>
      <c r="H108" s="239">
        <v>0</v>
      </c>
      <c r="I108" s="239">
        <v>0</v>
      </c>
      <c r="J108" s="239">
        <v>35694</v>
      </c>
      <c r="K108" s="239">
        <v>0</v>
      </c>
      <c r="L108" s="239">
        <v>35694</v>
      </c>
      <c r="M108" s="239">
        <v>118413</v>
      </c>
      <c r="N108" s="239">
        <v>118413</v>
      </c>
      <c r="O108" s="239">
        <v>0</v>
      </c>
      <c r="P108" s="239">
        <v>0</v>
      </c>
      <c r="Q108" s="239">
        <v>0</v>
      </c>
      <c r="R108" s="239">
        <v>0</v>
      </c>
      <c r="S108" s="239">
        <v>102335</v>
      </c>
      <c r="T108" s="239">
        <v>0</v>
      </c>
      <c r="U108" s="239">
        <v>0</v>
      </c>
      <c r="V108" s="239">
        <v>0</v>
      </c>
      <c r="W108" s="239">
        <v>102335</v>
      </c>
      <c r="X108" s="239">
        <v>0</v>
      </c>
      <c r="Y108" s="239">
        <v>0</v>
      </c>
      <c r="Z108" s="239">
        <v>0</v>
      </c>
      <c r="AA108" s="239">
        <v>0</v>
      </c>
      <c r="AB108" s="239">
        <v>0</v>
      </c>
      <c r="AC108" s="239">
        <v>0</v>
      </c>
      <c r="AD108" s="239">
        <v>0</v>
      </c>
      <c r="AE108" s="239">
        <v>0</v>
      </c>
      <c r="AF108" s="239">
        <v>0</v>
      </c>
      <c r="AG108" s="239">
        <v>0</v>
      </c>
      <c r="AH108" s="239">
        <v>0</v>
      </c>
      <c r="AI108" s="239">
        <v>0</v>
      </c>
      <c r="AJ108" s="239">
        <v>0</v>
      </c>
      <c r="AK108" s="239">
        <v>503789.93375000003</v>
      </c>
      <c r="AL108" s="239">
        <v>125947.48343750001</v>
      </c>
      <c r="AM108" s="239">
        <v>0</v>
      </c>
      <c r="AN108" s="239">
        <v>453451</v>
      </c>
      <c r="AO108" s="239">
        <v>113364</v>
      </c>
      <c r="AP108" s="239">
        <v>0</v>
      </c>
      <c r="AQ108" s="239">
        <v>50339</v>
      </c>
      <c r="AR108" s="239">
        <v>12583</v>
      </c>
      <c r="AS108" s="239">
        <v>0</v>
      </c>
      <c r="AT108" s="239">
        <v>1410.2708333333335</v>
      </c>
      <c r="AU108" s="239">
        <v>352.56770833333337</v>
      </c>
      <c r="AV108" s="239">
        <v>0</v>
      </c>
      <c r="AW108" s="239">
        <v>3790</v>
      </c>
      <c r="AX108" s="239">
        <v>948</v>
      </c>
      <c r="AY108" s="239">
        <v>0</v>
      </c>
      <c r="AZ108" s="239">
        <v>-2380</v>
      </c>
      <c r="BA108" s="239">
        <v>-595</v>
      </c>
      <c r="BB108" s="239">
        <v>0</v>
      </c>
      <c r="BC108" s="239">
        <v>0</v>
      </c>
      <c r="BD108" s="239">
        <v>0</v>
      </c>
      <c r="BE108" s="239">
        <v>0</v>
      </c>
      <c r="BF108" s="239">
        <v>0</v>
      </c>
      <c r="BG108" s="239">
        <v>0</v>
      </c>
      <c r="BH108" s="239">
        <v>0</v>
      </c>
      <c r="BI108" s="239">
        <v>0</v>
      </c>
      <c r="BJ108" s="239">
        <v>0</v>
      </c>
      <c r="BK108" s="239">
        <v>0</v>
      </c>
      <c r="BL108" s="239">
        <v>3588.7841666666668</v>
      </c>
      <c r="BM108" s="239">
        <v>897.1960416666667</v>
      </c>
      <c r="BN108" s="239">
        <v>0</v>
      </c>
      <c r="BO108" s="239">
        <v>3019</v>
      </c>
      <c r="BP108" s="239">
        <v>754</v>
      </c>
      <c r="BQ108" s="239">
        <v>0</v>
      </c>
      <c r="BR108" s="239">
        <v>570</v>
      </c>
      <c r="BS108" s="239">
        <v>143</v>
      </c>
      <c r="BT108" s="239">
        <v>0</v>
      </c>
      <c r="BU108" s="239">
        <v>104304.84833333334</v>
      </c>
      <c r="BV108" s="239">
        <v>26076.212083333336</v>
      </c>
      <c r="BW108" s="239">
        <v>0</v>
      </c>
      <c r="BX108" s="239">
        <v>98994</v>
      </c>
      <c r="BY108" s="239">
        <v>24748</v>
      </c>
      <c r="BZ108" s="239">
        <v>0</v>
      </c>
      <c r="CA108" s="239">
        <v>5311</v>
      </c>
      <c r="CB108" s="239">
        <v>1328</v>
      </c>
      <c r="CC108" s="239">
        <v>0</v>
      </c>
      <c r="CD108" s="239">
        <v>0</v>
      </c>
      <c r="CE108" s="239">
        <v>0</v>
      </c>
      <c r="CF108" s="239">
        <v>0</v>
      </c>
      <c r="CG108" s="239">
        <v>0</v>
      </c>
      <c r="CH108" s="239">
        <v>0</v>
      </c>
      <c r="CI108" s="239">
        <v>0</v>
      </c>
      <c r="CJ108" s="239">
        <v>0</v>
      </c>
      <c r="CK108" s="239">
        <v>0</v>
      </c>
      <c r="CL108" s="239">
        <v>0</v>
      </c>
      <c r="CM108" s="239">
        <v>12696.495833333334</v>
      </c>
      <c r="CN108" s="239">
        <v>3174.1239583333336</v>
      </c>
      <c r="CO108" s="239">
        <v>0</v>
      </c>
      <c r="CP108" s="239">
        <v>0</v>
      </c>
      <c r="CQ108" s="239">
        <v>0</v>
      </c>
      <c r="CR108" s="239">
        <v>0</v>
      </c>
      <c r="CS108" s="239">
        <v>12696</v>
      </c>
      <c r="CT108" s="239">
        <v>3174</v>
      </c>
      <c r="CU108" s="239">
        <v>0</v>
      </c>
      <c r="CV108" s="239">
        <v>61696.719583333339</v>
      </c>
      <c r="CW108" s="239">
        <v>15051.083541666669</v>
      </c>
      <c r="CX108" s="239">
        <v>0</v>
      </c>
      <c r="CY108" s="239">
        <v>72427</v>
      </c>
      <c r="CZ108" s="239">
        <v>18107</v>
      </c>
      <c r="DA108" s="239">
        <v>0</v>
      </c>
      <c r="DB108" s="239">
        <v>-10730</v>
      </c>
      <c r="DC108" s="239">
        <v>-3056</v>
      </c>
      <c r="DD108" s="239">
        <v>0</v>
      </c>
      <c r="DE108" s="214">
        <v>0.5</v>
      </c>
      <c r="DF108" s="214">
        <v>0.4</v>
      </c>
      <c r="DG108" s="214">
        <v>0.1</v>
      </c>
      <c r="DH108" s="214">
        <v>0</v>
      </c>
      <c r="DI108" s="214" t="s">
        <v>1294</v>
      </c>
    </row>
    <row r="109" spans="1:113" s="214" customFormat="1" x14ac:dyDescent="0.2">
      <c r="B109" s="610" t="s">
        <v>301</v>
      </c>
      <c r="C109" s="610" t="s">
        <v>300</v>
      </c>
      <c r="D109" s="239">
        <v>134188</v>
      </c>
      <c r="E109" s="239">
        <v>0</v>
      </c>
      <c r="F109" s="239">
        <v>134188</v>
      </c>
      <c r="G109" s="239">
        <v>0</v>
      </c>
      <c r="H109" s="239">
        <v>0</v>
      </c>
      <c r="I109" s="239">
        <v>0</v>
      </c>
      <c r="J109" s="239">
        <v>134188</v>
      </c>
      <c r="K109" s="239">
        <v>0</v>
      </c>
      <c r="L109" s="239">
        <v>134188</v>
      </c>
      <c r="M109" s="239">
        <v>111852</v>
      </c>
      <c r="N109" s="239">
        <v>111852</v>
      </c>
      <c r="O109" s="239">
        <v>0</v>
      </c>
      <c r="P109" s="239">
        <v>0</v>
      </c>
      <c r="Q109" s="239">
        <v>0</v>
      </c>
      <c r="R109" s="239">
        <v>0</v>
      </c>
      <c r="S109" s="239">
        <v>0</v>
      </c>
      <c r="T109" s="239">
        <v>0</v>
      </c>
      <c r="U109" s="239">
        <v>0</v>
      </c>
      <c r="V109" s="239">
        <v>0</v>
      </c>
      <c r="W109" s="239">
        <v>0</v>
      </c>
      <c r="X109" s="239">
        <v>0</v>
      </c>
      <c r="Y109" s="239">
        <v>0</v>
      </c>
      <c r="Z109" s="239">
        <v>0</v>
      </c>
      <c r="AA109" s="239">
        <v>0</v>
      </c>
      <c r="AB109" s="239">
        <v>0</v>
      </c>
      <c r="AC109" s="239">
        <v>0</v>
      </c>
      <c r="AD109" s="239">
        <v>0</v>
      </c>
      <c r="AE109" s="239">
        <v>0</v>
      </c>
      <c r="AF109" s="239">
        <v>0</v>
      </c>
      <c r="AG109" s="239">
        <v>0</v>
      </c>
      <c r="AH109" s="239">
        <v>0</v>
      </c>
      <c r="AI109" s="239">
        <v>0</v>
      </c>
      <c r="AJ109" s="239">
        <v>0</v>
      </c>
      <c r="AK109" s="239">
        <v>468414.05083333334</v>
      </c>
      <c r="AL109" s="239">
        <v>105393.16143750001</v>
      </c>
      <c r="AM109" s="239">
        <v>11710.351270833333</v>
      </c>
      <c r="AN109" s="239">
        <v>419002</v>
      </c>
      <c r="AO109" s="239">
        <v>94276</v>
      </c>
      <c r="AP109" s="239">
        <v>10476</v>
      </c>
      <c r="AQ109" s="239">
        <v>49412</v>
      </c>
      <c r="AR109" s="239">
        <v>11117</v>
      </c>
      <c r="AS109" s="239">
        <v>1234</v>
      </c>
      <c r="AT109" s="239">
        <v>146.50583333333336</v>
      </c>
      <c r="AU109" s="239">
        <v>32.963812500000003</v>
      </c>
      <c r="AV109" s="239">
        <v>3.6626458333333334</v>
      </c>
      <c r="AW109" s="239">
        <v>0</v>
      </c>
      <c r="AX109" s="239">
        <v>0</v>
      </c>
      <c r="AY109" s="239">
        <v>0</v>
      </c>
      <c r="AZ109" s="239">
        <v>147</v>
      </c>
      <c r="BA109" s="239">
        <v>33</v>
      </c>
      <c r="BB109" s="239">
        <v>4</v>
      </c>
      <c r="BC109" s="239">
        <v>1333.5683333333334</v>
      </c>
      <c r="BD109" s="239">
        <v>300.05287499999997</v>
      </c>
      <c r="BE109" s="239">
        <v>33.339208333333332</v>
      </c>
      <c r="BF109" s="239">
        <v>5661</v>
      </c>
      <c r="BG109" s="239">
        <v>1274</v>
      </c>
      <c r="BH109" s="239">
        <v>142</v>
      </c>
      <c r="BI109" s="239">
        <v>-4327</v>
      </c>
      <c r="BJ109" s="239">
        <v>-974</v>
      </c>
      <c r="BK109" s="239">
        <v>-109</v>
      </c>
      <c r="BL109" s="239">
        <v>4214.1733333333332</v>
      </c>
      <c r="BM109" s="239">
        <v>948.18899999999985</v>
      </c>
      <c r="BN109" s="239">
        <v>105.35433333333333</v>
      </c>
      <c r="BO109" s="239">
        <v>6555</v>
      </c>
      <c r="BP109" s="239">
        <v>1474</v>
      </c>
      <c r="BQ109" s="239">
        <v>164</v>
      </c>
      <c r="BR109" s="239">
        <v>-2341</v>
      </c>
      <c r="BS109" s="239">
        <v>-526</v>
      </c>
      <c r="BT109" s="239">
        <v>-59</v>
      </c>
      <c r="BU109" s="239">
        <v>196551.98249999998</v>
      </c>
      <c r="BV109" s="239">
        <v>44224.196062499999</v>
      </c>
      <c r="BW109" s="239">
        <v>4913.7995625000003</v>
      </c>
      <c r="BX109" s="239">
        <v>194298</v>
      </c>
      <c r="BY109" s="239">
        <v>43718</v>
      </c>
      <c r="BZ109" s="239">
        <v>4858</v>
      </c>
      <c r="CA109" s="239">
        <v>2254</v>
      </c>
      <c r="CB109" s="239">
        <v>506</v>
      </c>
      <c r="CC109" s="239">
        <v>56</v>
      </c>
      <c r="CD109" s="239">
        <v>0</v>
      </c>
      <c r="CE109" s="239">
        <v>0</v>
      </c>
      <c r="CF109" s="239">
        <v>0</v>
      </c>
      <c r="CG109" s="239">
        <v>0</v>
      </c>
      <c r="CH109" s="239">
        <v>0</v>
      </c>
      <c r="CI109" s="239">
        <v>0</v>
      </c>
      <c r="CJ109" s="239">
        <v>0</v>
      </c>
      <c r="CK109" s="239">
        <v>0</v>
      </c>
      <c r="CL109" s="239">
        <v>0</v>
      </c>
      <c r="CM109" s="239">
        <v>4751.0908333333336</v>
      </c>
      <c r="CN109" s="239">
        <v>1068.9954375</v>
      </c>
      <c r="CO109" s="239">
        <v>118.77727083333333</v>
      </c>
      <c r="CP109" s="239">
        <v>0</v>
      </c>
      <c r="CQ109" s="239">
        <v>0</v>
      </c>
      <c r="CR109" s="239">
        <v>0</v>
      </c>
      <c r="CS109" s="239">
        <v>4751</v>
      </c>
      <c r="CT109" s="239">
        <v>1069</v>
      </c>
      <c r="CU109" s="239">
        <v>119</v>
      </c>
      <c r="CV109" s="239">
        <v>119244.64416666668</v>
      </c>
      <c r="CW109" s="239">
        <v>26830.044937499999</v>
      </c>
      <c r="CX109" s="239">
        <v>2981.1161041666664</v>
      </c>
      <c r="CY109" s="239">
        <v>141493</v>
      </c>
      <c r="CZ109" s="239">
        <v>31836</v>
      </c>
      <c r="DA109" s="239">
        <v>3537</v>
      </c>
      <c r="DB109" s="239">
        <v>-22248</v>
      </c>
      <c r="DC109" s="239">
        <v>-5006</v>
      </c>
      <c r="DD109" s="239">
        <v>-556</v>
      </c>
      <c r="DE109" s="214">
        <v>0.5</v>
      </c>
      <c r="DF109" s="214">
        <v>0.4</v>
      </c>
      <c r="DG109" s="214">
        <v>0.09</v>
      </c>
      <c r="DH109" s="214">
        <v>0.01</v>
      </c>
      <c r="DI109" s="214" t="s">
        <v>1294</v>
      </c>
    </row>
    <row r="110" spans="1:113" s="214" customFormat="1" x14ac:dyDescent="0.2">
      <c r="B110" s="610" t="s">
        <v>303</v>
      </c>
      <c r="C110" s="610" t="s">
        <v>302</v>
      </c>
      <c r="D110" s="239">
        <v>-414604</v>
      </c>
      <c r="E110" s="239">
        <v>0</v>
      </c>
      <c r="F110" s="239">
        <v>-414604</v>
      </c>
      <c r="G110" s="239">
        <v>0</v>
      </c>
      <c r="H110" s="239">
        <v>0</v>
      </c>
      <c r="I110" s="239">
        <v>0</v>
      </c>
      <c r="J110" s="239">
        <v>-414604</v>
      </c>
      <c r="K110" s="239">
        <v>0</v>
      </c>
      <c r="L110" s="239">
        <v>-414604</v>
      </c>
      <c r="M110" s="239">
        <v>292496</v>
      </c>
      <c r="N110" s="239">
        <v>292496</v>
      </c>
      <c r="O110" s="239">
        <v>0</v>
      </c>
      <c r="P110" s="239">
        <v>360293</v>
      </c>
      <c r="Q110" s="239">
        <v>356260</v>
      </c>
      <c r="R110" s="239">
        <v>4033</v>
      </c>
      <c r="S110" s="239">
        <v>0</v>
      </c>
      <c r="T110" s="239">
        <v>0</v>
      </c>
      <c r="U110" s="239">
        <v>0</v>
      </c>
      <c r="V110" s="239">
        <v>0</v>
      </c>
      <c r="W110" s="239">
        <v>0</v>
      </c>
      <c r="X110" s="239">
        <v>0</v>
      </c>
      <c r="Y110" s="239">
        <v>0</v>
      </c>
      <c r="Z110" s="239">
        <v>0</v>
      </c>
      <c r="AA110" s="239">
        <v>0</v>
      </c>
      <c r="AB110" s="239">
        <v>0</v>
      </c>
      <c r="AC110" s="239">
        <v>0</v>
      </c>
      <c r="AD110" s="239">
        <v>0</v>
      </c>
      <c r="AE110" s="239">
        <v>0</v>
      </c>
      <c r="AF110" s="239">
        <v>0</v>
      </c>
      <c r="AG110" s="239">
        <v>0</v>
      </c>
      <c r="AH110" s="239">
        <v>0</v>
      </c>
      <c r="AI110" s="239">
        <v>0</v>
      </c>
      <c r="AJ110" s="239">
        <v>0</v>
      </c>
      <c r="AK110" s="239">
        <v>1033046.2744166666</v>
      </c>
      <c r="AL110" s="239">
        <v>0</v>
      </c>
      <c r="AM110" s="239">
        <v>20538.149541666669</v>
      </c>
      <c r="AN110" s="239">
        <v>955040</v>
      </c>
      <c r="AO110" s="239">
        <v>0</v>
      </c>
      <c r="AP110" s="239">
        <v>19490</v>
      </c>
      <c r="AQ110" s="239">
        <v>78006</v>
      </c>
      <c r="AR110" s="239">
        <v>0</v>
      </c>
      <c r="AS110" s="239">
        <v>1048</v>
      </c>
      <c r="AT110" s="239">
        <v>1575.9522916666665</v>
      </c>
      <c r="AU110" s="239">
        <v>0</v>
      </c>
      <c r="AV110" s="239">
        <v>32.162291666666668</v>
      </c>
      <c r="AW110" s="239">
        <v>796</v>
      </c>
      <c r="AX110" s="239">
        <v>0</v>
      </c>
      <c r="AY110" s="239">
        <v>16</v>
      </c>
      <c r="AZ110" s="239">
        <v>780</v>
      </c>
      <c r="BA110" s="239">
        <v>0</v>
      </c>
      <c r="BB110" s="239">
        <v>16</v>
      </c>
      <c r="BC110" s="239">
        <v>0</v>
      </c>
      <c r="BD110" s="239">
        <v>0</v>
      </c>
      <c r="BE110" s="239">
        <v>0</v>
      </c>
      <c r="BF110" s="239">
        <v>0</v>
      </c>
      <c r="BG110" s="239">
        <v>0</v>
      </c>
      <c r="BH110" s="239">
        <v>0</v>
      </c>
      <c r="BI110" s="239">
        <v>0</v>
      </c>
      <c r="BJ110" s="239">
        <v>0</v>
      </c>
      <c r="BK110" s="239">
        <v>0</v>
      </c>
      <c r="BL110" s="239">
        <v>25639.09914583333</v>
      </c>
      <c r="BM110" s="239">
        <v>0</v>
      </c>
      <c r="BN110" s="239">
        <v>487.94356250000004</v>
      </c>
      <c r="BO110" s="239">
        <v>0</v>
      </c>
      <c r="BP110" s="239">
        <v>0</v>
      </c>
      <c r="BQ110" s="239">
        <v>0</v>
      </c>
      <c r="BR110" s="239">
        <v>25639</v>
      </c>
      <c r="BS110" s="239">
        <v>0</v>
      </c>
      <c r="BT110" s="239">
        <v>488</v>
      </c>
      <c r="BU110" s="239">
        <v>557579.80410416669</v>
      </c>
      <c r="BV110" s="239">
        <v>0</v>
      </c>
      <c r="BW110" s="239">
        <v>11244.819854166666</v>
      </c>
      <c r="BX110" s="239">
        <v>382109</v>
      </c>
      <c r="BY110" s="239">
        <v>0</v>
      </c>
      <c r="BZ110" s="239">
        <v>7798</v>
      </c>
      <c r="CA110" s="239">
        <v>175471</v>
      </c>
      <c r="CB110" s="239">
        <v>0</v>
      </c>
      <c r="CC110" s="239">
        <v>3447</v>
      </c>
      <c r="CD110" s="239">
        <v>0</v>
      </c>
      <c r="CE110" s="239">
        <v>0</v>
      </c>
      <c r="CF110" s="239">
        <v>0</v>
      </c>
      <c r="CG110" s="239">
        <v>0</v>
      </c>
      <c r="CH110" s="239">
        <v>0</v>
      </c>
      <c r="CI110" s="239">
        <v>0</v>
      </c>
      <c r="CJ110" s="239">
        <v>0</v>
      </c>
      <c r="CK110" s="239">
        <v>0</v>
      </c>
      <c r="CL110" s="239">
        <v>0</v>
      </c>
      <c r="CM110" s="239">
        <v>22613.175374999999</v>
      </c>
      <c r="CN110" s="239">
        <v>0</v>
      </c>
      <c r="CO110" s="239">
        <v>461.49337500000001</v>
      </c>
      <c r="CP110" s="239">
        <v>0</v>
      </c>
      <c r="CQ110" s="239">
        <v>0</v>
      </c>
      <c r="CR110" s="239">
        <v>0</v>
      </c>
      <c r="CS110" s="239">
        <v>22613</v>
      </c>
      <c r="CT110" s="239">
        <v>0</v>
      </c>
      <c r="CU110" s="239">
        <v>461</v>
      </c>
      <c r="CV110" s="239">
        <v>632053.77345833334</v>
      </c>
      <c r="CW110" s="239">
        <v>0</v>
      </c>
      <c r="CX110" s="239">
        <v>12791.826541666667</v>
      </c>
      <c r="CY110" s="239">
        <v>667417</v>
      </c>
      <c r="CZ110" s="239">
        <v>0</v>
      </c>
      <c r="DA110" s="239">
        <v>13515</v>
      </c>
      <c r="DB110" s="239">
        <v>-35363</v>
      </c>
      <c r="DC110" s="239">
        <v>0</v>
      </c>
      <c r="DD110" s="239">
        <v>-723</v>
      </c>
      <c r="DE110" s="214">
        <v>0.5</v>
      </c>
      <c r="DF110" s="214">
        <v>0.49</v>
      </c>
      <c r="DG110" s="214">
        <v>0</v>
      </c>
      <c r="DH110" s="214">
        <v>0.01</v>
      </c>
      <c r="DI110" s="214" t="s">
        <v>1296</v>
      </c>
    </row>
    <row r="111" spans="1:113" s="214" customFormat="1" x14ac:dyDescent="0.2">
      <c r="B111" s="610" t="s">
        <v>305</v>
      </c>
      <c r="C111" s="610" t="s">
        <v>304</v>
      </c>
      <c r="D111" s="239">
        <v>-66760</v>
      </c>
      <c r="E111" s="239">
        <v>0</v>
      </c>
      <c r="F111" s="239">
        <v>-66760</v>
      </c>
      <c r="G111" s="239">
        <v>0</v>
      </c>
      <c r="H111" s="239">
        <v>0</v>
      </c>
      <c r="I111" s="239">
        <v>0</v>
      </c>
      <c r="J111" s="239">
        <v>-66760</v>
      </c>
      <c r="K111" s="239">
        <v>0</v>
      </c>
      <c r="L111" s="239">
        <v>-66760</v>
      </c>
      <c r="M111" s="239">
        <v>101364</v>
      </c>
      <c r="N111" s="239">
        <v>101364</v>
      </c>
      <c r="O111" s="239">
        <v>0</v>
      </c>
      <c r="P111" s="239">
        <v>0</v>
      </c>
      <c r="Q111" s="239">
        <v>0</v>
      </c>
      <c r="R111" s="239">
        <v>0</v>
      </c>
      <c r="S111" s="239">
        <v>79933</v>
      </c>
      <c r="T111" s="239">
        <v>0</v>
      </c>
      <c r="U111" s="239">
        <v>0</v>
      </c>
      <c r="V111" s="239">
        <v>0</v>
      </c>
      <c r="W111" s="239">
        <v>79933</v>
      </c>
      <c r="X111" s="239">
        <v>0</v>
      </c>
      <c r="Y111" s="239">
        <v>0</v>
      </c>
      <c r="Z111" s="239">
        <v>0</v>
      </c>
      <c r="AA111" s="239">
        <v>0</v>
      </c>
      <c r="AB111" s="239">
        <v>0</v>
      </c>
      <c r="AC111" s="239">
        <v>0</v>
      </c>
      <c r="AD111" s="239">
        <v>0</v>
      </c>
      <c r="AE111" s="239">
        <v>0</v>
      </c>
      <c r="AF111" s="239">
        <v>0</v>
      </c>
      <c r="AG111" s="239">
        <v>0</v>
      </c>
      <c r="AH111" s="239">
        <v>0</v>
      </c>
      <c r="AI111" s="239">
        <v>0</v>
      </c>
      <c r="AJ111" s="239">
        <v>0</v>
      </c>
      <c r="AK111" s="239">
        <v>352541.12625000009</v>
      </c>
      <c r="AL111" s="239">
        <v>79321.753406250005</v>
      </c>
      <c r="AM111" s="239">
        <v>8813.5281562500004</v>
      </c>
      <c r="AN111" s="239">
        <v>333569</v>
      </c>
      <c r="AO111" s="239">
        <v>75052</v>
      </c>
      <c r="AP111" s="239">
        <v>8340</v>
      </c>
      <c r="AQ111" s="239">
        <v>18972</v>
      </c>
      <c r="AR111" s="239">
        <v>4270</v>
      </c>
      <c r="AS111" s="239">
        <v>474</v>
      </c>
      <c r="AT111" s="239">
        <v>0</v>
      </c>
      <c r="AU111" s="239">
        <v>0</v>
      </c>
      <c r="AV111" s="239">
        <v>0</v>
      </c>
      <c r="AW111" s="239">
        <v>0</v>
      </c>
      <c r="AX111" s="239">
        <v>0</v>
      </c>
      <c r="AY111" s="239">
        <v>0</v>
      </c>
      <c r="AZ111" s="239">
        <v>0</v>
      </c>
      <c r="BA111" s="239">
        <v>0</v>
      </c>
      <c r="BB111" s="239">
        <v>0</v>
      </c>
      <c r="BC111" s="239">
        <v>1933.7958333333333</v>
      </c>
      <c r="BD111" s="239">
        <v>435.10406249999994</v>
      </c>
      <c r="BE111" s="239">
        <v>48.344895833333332</v>
      </c>
      <c r="BF111" s="239">
        <v>0</v>
      </c>
      <c r="BG111" s="239">
        <v>0</v>
      </c>
      <c r="BH111" s="239">
        <v>0</v>
      </c>
      <c r="BI111" s="239">
        <v>1934</v>
      </c>
      <c r="BJ111" s="239">
        <v>435</v>
      </c>
      <c r="BK111" s="239">
        <v>48</v>
      </c>
      <c r="BL111" s="239">
        <v>8794.4083333333347</v>
      </c>
      <c r="BM111" s="239">
        <v>1978.7418749999999</v>
      </c>
      <c r="BN111" s="239">
        <v>219.86020833333336</v>
      </c>
      <c r="BO111" s="239">
        <v>13997</v>
      </c>
      <c r="BP111" s="239">
        <v>3150</v>
      </c>
      <c r="BQ111" s="239">
        <v>350</v>
      </c>
      <c r="BR111" s="239">
        <v>-5203</v>
      </c>
      <c r="BS111" s="239">
        <v>-1171</v>
      </c>
      <c r="BT111" s="239">
        <v>-130</v>
      </c>
      <c r="BU111" s="239">
        <v>169940.67916666667</v>
      </c>
      <c r="BV111" s="239">
        <v>38236.652812499997</v>
      </c>
      <c r="BW111" s="239">
        <v>4248.5169791666667</v>
      </c>
      <c r="BX111" s="239">
        <v>166186</v>
      </c>
      <c r="BY111" s="239">
        <v>37392</v>
      </c>
      <c r="BZ111" s="239">
        <v>4154</v>
      </c>
      <c r="CA111" s="239">
        <v>3755</v>
      </c>
      <c r="CB111" s="239">
        <v>845</v>
      </c>
      <c r="CC111" s="239">
        <v>95</v>
      </c>
      <c r="CD111" s="239">
        <v>0</v>
      </c>
      <c r="CE111" s="239">
        <v>0</v>
      </c>
      <c r="CF111" s="239">
        <v>0</v>
      </c>
      <c r="CG111" s="239">
        <v>0</v>
      </c>
      <c r="CH111" s="239">
        <v>0</v>
      </c>
      <c r="CI111" s="239">
        <v>0</v>
      </c>
      <c r="CJ111" s="239">
        <v>0</v>
      </c>
      <c r="CK111" s="239">
        <v>0</v>
      </c>
      <c r="CL111" s="239">
        <v>0</v>
      </c>
      <c r="CM111" s="239">
        <v>2809.1783333333333</v>
      </c>
      <c r="CN111" s="239">
        <v>632.06512499999997</v>
      </c>
      <c r="CO111" s="239">
        <v>70.229458333333341</v>
      </c>
      <c r="CP111" s="239">
        <v>0</v>
      </c>
      <c r="CQ111" s="239">
        <v>0</v>
      </c>
      <c r="CR111" s="239">
        <v>0</v>
      </c>
      <c r="CS111" s="239">
        <v>2809</v>
      </c>
      <c r="CT111" s="239">
        <v>632</v>
      </c>
      <c r="CU111" s="239">
        <v>70</v>
      </c>
      <c r="CV111" s="239">
        <v>121857.97458333334</v>
      </c>
      <c r="CW111" s="239">
        <v>27155.764125000002</v>
      </c>
      <c r="CX111" s="239">
        <v>3017.3071249999998</v>
      </c>
      <c r="CY111" s="239">
        <v>125793</v>
      </c>
      <c r="CZ111" s="239">
        <v>28303</v>
      </c>
      <c r="DA111" s="239">
        <v>3145</v>
      </c>
      <c r="DB111" s="239">
        <v>-3935</v>
      </c>
      <c r="DC111" s="239">
        <v>-1147</v>
      </c>
      <c r="DD111" s="239">
        <v>-128</v>
      </c>
      <c r="DE111" s="214">
        <v>0.5</v>
      </c>
      <c r="DF111" s="214">
        <v>0.4</v>
      </c>
      <c r="DG111" s="214">
        <v>0.09</v>
      </c>
      <c r="DH111" s="214">
        <v>0.01</v>
      </c>
      <c r="DI111" s="214" t="s">
        <v>1294</v>
      </c>
    </row>
    <row r="112" spans="1:113" s="214" customFormat="1" x14ac:dyDescent="0.2">
      <c r="B112" s="610" t="s">
        <v>307</v>
      </c>
      <c r="C112" s="610" t="s">
        <v>306</v>
      </c>
      <c r="D112" s="239">
        <v>-81471</v>
      </c>
      <c r="E112" s="239">
        <v>0</v>
      </c>
      <c r="F112" s="239">
        <v>-81471</v>
      </c>
      <c r="G112" s="239">
        <v>0</v>
      </c>
      <c r="H112" s="239">
        <v>0</v>
      </c>
      <c r="I112" s="239">
        <v>0</v>
      </c>
      <c r="J112" s="239">
        <v>-81471</v>
      </c>
      <c r="K112" s="239">
        <v>0</v>
      </c>
      <c r="L112" s="239">
        <v>-81471</v>
      </c>
      <c r="M112" s="239">
        <v>179533</v>
      </c>
      <c r="N112" s="239">
        <v>179533</v>
      </c>
      <c r="O112" s="239">
        <v>0</v>
      </c>
      <c r="P112" s="239">
        <v>0</v>
      </c>
      <c r="Q112" s="239">
        <v>0</v>
      </c>
      <c r="R112" s="239">
        <v>0</v>
      </c>
      <c r="S112" s="239">
        <v>0</v>
      </c>
      <c r="T112" s="239">
        <v>0</v>
      </c>
      <c r="U112" s="239">
        <v>0</v>
      </c>
      <c r="V112" s="239">
        <v>0</v>
      </c>
      <c r="W112" s="239">
        <v>0</v>
      </c>
      <c r="X112" s="239">
        <v>0</v>
      </c>
      <c r="Y112" s="239">
        <v>0</v>
      </c>
      <c r="Z112" s="239">
        <v>0</v>
      </c>
      <c r="AA112" s="239">
        <v>0</v>
      </c>
      <c r="AB112" s="239">
        <v>0</v>
      </c>
      <c r="AC112" s="239">
        <v>0</v>
      </c>
      <c r="AD112" s="239">
        <v>0</v>
      </c>
      <c r="AE112" s="239">
        <v>0</v>
      </c>
      <c r="AF112" s="239">
        <v>0</v>
      </c>
      <c r="AG112" s="239">
        <v>0</v>
      </c>
      <c r="AH112" s="239">
        <v>0</v>
      </c>
      <c r="AI112" s="239">
        <v>0</v>
      </c>
      <c r="AJ112" s="239">
        <v>0</v>
      </c>
      <c r="AK112" s="239">
        <v>410066.37791666668</v>
      </c>
      <c r="AL112" s="239">
        <v>102516.59447916667</v>
      </c>
      <c r="AM112" s="239">
        <v>0</v>
      </c>
      <c r="AN112" s="239">
        <v>316830</v>
      </c>
      <c r="AO112" s="239">
        <v>79208</v>
      </c>
      <c r="AP112" s="239">
        <v>0</v>
      </c>
      <c r="AQ112" s="239">
        <v>93236</v>
      </c>
      <c r="AR112" s="239">
        <v>23309</v>
      </c>
      <c r="AS112" s="239">
        <v>0</v>
      </c>
      <c r="AT112" s="239">
        <v>2561.2141666666671</v>
      </c>
      <c r="AU112" s="239">
        <v>640.30354166666677</v>
      </c>
      <c r="AV112" s="239">
        <v>0</v>
      </c>
      <c r="AW112" s="239">
        <v>0</v>
      </c>
      <c r="AX112" s="239">
        <v>0</v>
      </c>
      <c r="AY112" s="239">
        <v>0</v>
      </c>
      <c r="AZ112" s="239">
        <v>2561</v>
      </c>
      <c r="BA112" s="239">
        <v>640</v>
      </c>
      <c r="BB112" s="239">
        <v>0</v>
      </c>
      <c r="BC112" s="239">
        <v>0</v>
      </c>
      <c r="BD112" s="239">
        <v>0</v>
      </c>
      <c r="BE112" s="239">
        <v>0</v>
      </c>
      <c r="BF112" s="239">
        <v>0</v>
      </c>
      <c r="BG112" s="239">
        <v>0</v>
      </c>
      <c r="BH112" s="239">
        <v>0</v>
      </c>
      <c r="BI112" s="239">
        <v>0</v>
      </c>
      <c r="BJ112" s="239">
        <v>0</v>
      </c>
      <c r="BK112" s="239">
        <v>0</v>
      </c>
      <c r="BL112" s="239">
        <v>6091.9641666666666</v>
      </c>
      <c r="BM112" s="239">
        <v>1522.9910416666667</v>
      </c>
      <c r="BN112" s="239">
        <v>0</v>
      </c>
      <c r="BO112" s="239">
        <v>482</v>
      </c>
      <c r="BP112" s="239">
        <v>120</v>
      </c>
      <c r="BQ112" s="239">
        <v>0</v>
      </c>
      <c r="BR112" s="239">
        <v>5610</v>
      </c>
      <c r="BS112" s="239">
        <v>1403</v>
      </c>
      <c r="BT112" s="239">
        <v>0</v>
      </c>
      <c r="BU112" s="239">
        <v>160656.02416666667</v>
      </c>
      <c r="BV112" s="239">
        <v>40164.006041666667</v>
      </c>
      <c r="BW112" s="239">
        <v>0</v>
      </c>
      <c r="BX112" s="239">
        <v>314050</v>
      </c>
      <c r="BY112" s="239">
        <v>78512</v>
      </c>
      <c r="BZ112" s="239">
        <v>0</v>
      </c>
      <c r="CA112" s="239">
        <v>-153394</v>
      </c>
      <c r="CB112" s="239">
        <v>-38348</v>
      </c>
      <c r="CC112" s="239">
        <v>0</v>
      </c>
      <c r="CD112" s="239">
        <v>0</v>
      </c>
      <c r="CE112" s="239">
        <v>0</v>
      </c>
      <c r="CF112" s="239">
        <v>0</v>
      </c>
      <c r="CG112" s="239">
        <v>0</v>
      </c>
      <c r="CH112" s="239">
        <v>0</v>
      </c>
      <c r="CI112" s="239">
        <v>0</v>
      </c>
      <c r="CJ112" s="239">
        <v>0</v>
      </c>
      <c r="CK112" s="239">
        <v>0</v>
      </c>
      <c r="CL112" s="239">
        <v>0</v>
      </c>
      <c r="CM112" s="239">
        <v>6426.3708333333343</v>
      </c>
      <c r="CN112" s="239">
        <v>1606.5927083333336</v>
      </c>
      <c r="CO112" s="239">
        <v>0</v>
      </c>
      <c r="CP112" s="239">
        <v>0</v>
      </c>
      <c r="CQ112" s="239">
        <v>0</v>
      </c>
      <c r="CR112" s="239">
        <v>0</v>
      </c>
      <c r="CS112" s="239">
        <v>6426</v>
      </c>
      <c r="CT112" s="239">
        <v>1607</v>
      </c>
      <c r="CU112" s="239">
        <v>0</v>
      </c>
      <c r="CV112" s="239">
        <v>299454.64499999996</v>
      </c>
      <c r="CW112" s="239">
        <v>74863.66124999999</v>
      </c>
      <c r="CX112" s="239">
        <v>0</v>
      </c>
      <c r="CY112" s="239">
        <v>313563</v>
      </c>
      <c r="CZ112" s="239">
        <v>78391</v>
      </c>
      <c r="DA112" s="239">
        <v>0</v>
      </c>
      <c r="DB112" s="239">
        <v>-14108</v>
      </c>
      <c r="DC112" s="239">
        <v>-3527</v>
      </c>
      <c r="DD112" s="239">
        <v>0</v>
      </c>
      <c r="DE112" s="214">
        <v>0.5</v>
      </c>
      <c r="DF112" s="214">
        <v>0.4</v>
      </c>
      <c r="DG112" s="214">
        <v>0.1</v>
      </c>
      <c r="DH112" s="214">
        <v>0</v>
      </c>
      <c r="DI112" s="214" t="s">
        <v>1294</v>
      </c>
    </row>
    <row r="113" spans="1:113" s="214" customFormat="1" x14ac:dyDescent="0.2">
      <c r="B113" s="610" t="s">
        <v>309</v>
      </c>
      <c r="C113" s="610" t="s">
        <v>308</v>
      </c>
      <c r="D113" s="239">
        <v>-17555</v>
      </c>
      <c r="E113" s="239">
        <v>-798</v>
      </c>
      <c r="F113" s="239">
        <v>-18353</v>
      </c>
      <c r="G113" s="239">
        <v>0</v>
      </c>
      <c r="H113" s="239">
        <v>0</v>
      </c>
      <c r="I113" s="239">
        <v>0</v>
      </c>
      <c r="J113" s="239">
        <v>-17555</v>
      </c>
      <c r="K113" s="239">
        <v>-798</v>
      </c>
      <c r="L113" s="239">
        <v>-18353</v>
      </c>
      <c r="M113" s="239">
        <v>80817</v>
      </c>
      <c r="N113" s="239">
        <v>80817</v>
      </c>
      <c r="O113" s="239">
        <v>0</v>
      </c>
      <c r="P113" s="239">
        <v>0</v>
      </c>
      <c r="Q113" s="239">
        <v>0</v>
      </c>
      <c r="R113" s="239">
        <v>0</v>
      </c>
      <c r="S113" s="239">
        <v>0</v>
      </c>
      <c r="T113" s="239">
        <v>0</v>
      </c>
      <c r="U113" s="239">
        <v>0</v>
      </c>
      <c r="V113" s="239">
        <v>0</v>
      </c>
      <c r="W113" s="239">
        <v>0</v>
      </c>
      <c r="X113" s="239">
        <v>0</v>
      </c>
      <c r="Y113" s="239">
        <v>108152.55416666667</v>
      </c>
      <c r="Z113" s="239">
        <v>108152.55416666667</v>
      </c>
      <c r="AA113" s="239">
        <v>0</v>
      </c>
      <c r="AB113" s="239">
        <v>0</v>
      </c>
      <c r="AC113" s="239">
        <v>79395</v>
      </c>
      <c r="AD113" s="239">
        <v>0</v>
      </c>
      <c r="AE113" s="239">
        <v>0</v>
      </c>
      <c r="AF113" s="239">
        <v>0</v>
      </c>
      <c r="AG113" s="239">
        <v>28758</v>
      </c>
      <c r="AH113" s="239">
        <v>108153</v>
      </c>
      <c r="AI113" s="239">
        <v>0</v>
      </c>
      <c r="AJ113" s="239">
        <v>0</v>
      </c>
      <c r="AK113" s="239">
        <v>309273.91562500002</v>
      </c>
      <c r="AL113" s="239">
        <v>67420.127812499995</v>
      </c>
      <c r="AM113" s="239">
        <v>7491.1253125000003</v>
      </c>
      <c r="AN113" s="239">
        <v>252499</v>
      </c>
      <c r="AO113" s="239">
        <v>56812</v>
      </c>
      <c r="AP113" s="239">
        <v>6312</v>
      </c>
      <c r="AQ113" s="239">
        <v>56775</v>
      </c>
      <c r="AR113" s="239">
        <v>10608</v>
      </c>
      <c r="AS113" s="239">
        <v>1179</v>
      </c>
      <c r="AT113" s="239">
        <v>0</v>
      </c>
      <c r="AU113" s="239">
        <v>0</v>
      </c>
      <c r="AV113" s="239">
        <v>0</v>
      </c>
      <c r="AW113" s="239">
        <v>0</v>
      </c>
      <c r="AX113" s="239">
        <v>0</v>
      </c>
      <c r="AY113" s="239">
        <v>0</v>
      </c>
      <c r="AZ113" s="239">
        <v>0</v>
      </c>
      <c r="BA113" s="239">
        <v>0</v>
      </c>
      <c r="BB113" s="239">
        <v>0</v>
      </c>
      <c r="BC113" s="239">
        <v>0</v>
      </c>
      <c r="BD113" s="239">
        <v>0</v>
      </c>
      <c r="BE113" s="239">
        <v>0</v>
      </c>
      <c r="BF113" s="239">
        <v>15219</v>
      </c>
      <c r="BG113" s="239">
        <v>3424</v>
      </c>
      <c r="BH113" s="239">
        <v>380</v>
      </c>
      <c r="BI113" s="239">
        <v>-15219</v>
      </c>
      <c r="BJ113" s="239">
        <v>-3424</v>
      </c>
      <c r="BK113" s="239">
        <v>-380</v>
      </c>
      <c r="BL113" s="239">
        <v>5018.940833333334</v>
      </c>
      <c r="BM113" s="239">
        <v>1129.2616874999999</v>
      </c>
      <c r="BN113" s="239">
        <v>125.47352083333334</v>
      </c>
      <c r="BO113" s="239">
        <v>8118</v>
      </c>
      <c r="BP113" s="239">
        <v>1826</v>
      </c>
      <c r="BQ113" s="239">
        <v>202</v>
      </c>
      <c r="BR113" s="239">
        <v>-3099</v>
      </c>
      <c r="BS113" s="239">
        <v>-697</v>
      </c>
      <c r="BT113" s="239">
        <v>-77</v>
      </c>
      <c r="BU113" s="239">
        <v>94778.722500000018</v>
      </c>
      <c r="BV113" s="239">
        <v>21325.212562500001</v>
      </c>
      <c r="BW113" s="239">
        <v>2369.4680625000001</v>
      </c>
      <c r="BX113" s="239">
        <v>106940</v>
      </c>
      <c r="BY113" s="239">
        <v>24062</v>
      </c>
      <c r="BZ113" s="239">
        <v>2674</v>
      </c>
      <c r="CA113" s="239">
        <v>-12161</v>
      </c>
      <c r="CB113" s="239">
        <v>-2737</v>
      </c>
      <c r="CC113" s="239">
        <v>-305</v>
      </c>
      <c r="CD113" s="239">
        <v>0</v>
      </c>
      <c r="CE113" s="239">
        <v>0</v>
      </c>
      <c r="CF113" s="239">
        <v>0</v>
      </c>
      <c r="CG113" s="239">
        <v>0</v>
      </c>
      <c r="CH113" s="239">
        <v>0</v>
      </c>
      <c r="CI113" s="239">
        <v>0</v>
      </c>
      <c r="CJ113" s="239">
        <v>0</v>
      </c>
      <c r="CK113" s="239">
        <v>0</v>
      </c>
      <c r="CL113" s="239">
        <v>0</v>
      </c>
      <c r="CM113" s="239">
        <v>99.42916666666666</v>
      </c>
      <c r="CN113" s="239">
        <v>0</v>
      </c>
      <c r="CO113" s="239">
        <v>0</v>
      </c>
      <c r="CP113" s="239">
        <v>0</v>
      </c>
      <c r="CQ113" s="239">
        <v>0</v>
      </c>
      <c r="CR113" s="239">
        <v>0</v>
      </c>
      <c r="CS113" s="239">
        <v>99</v>
      </c>
      <c r="CT113" s="239">
        <v>0</v>
      </c>
      <c r="CU113" s="239">
        <v>0</v>
      </c>
      <c r="CV113" s="239">
        <v>83549.01916666668</v>
      </c>
      <c r="CW113" s="239">
        <v>18798.529312499999</v>
      </c>
      <c r="CX113" s="239">
        <v>2088.7254791666669</v>
      </c>
      <c r="CY113" s="239">
        <v>87856</v>
      </c>
      <c r="CZ113" s="239">
        <v>19507</v>
      </c>
      <c r="DA113" s="239">
        <v>2167</v>
      </c>
      <c r="DB113" s="239">
        <v>-4307</v>
      </c>
      <c r="DC113" s="239">
        <v>-708</v>
      </c>
      <c r="DD113" s="239">
        <v>-78</v>
      </c>
      <c r="DE113" s="214">
        <v>0.5</v>
      </c>
      <c r="DF113" s="214">
        <v>0.4</v>
      </c>
      <c r="DG113" s="214">
        <v>0.09</v>
      </c>
      <c r="DH113" s="214">
        <v>0.01</v>
      </c>
      <c r="DI113" s="214" t="s">
        <v>1294</v>
      </c>
    </row>
    <row r="114" spans="1:113" s="214" customFormat="1" x14ac:dyDescent="0.2">
      <c r="B114" s="610" t="s">
        <v>311</v>
      </c>
      <c r="C114" s="610" t="s">
        <v>310</v>
      </c>
      <c r="D114" s="239">
        <v>38937</v>
      </c>
      <c r="E114" s="239">
        <v>0</v>
      </c>
      <c r="F114" s="239">
        <v>38937</v>
      </c>
      <c r="G114" s="239">
        <v>0</v>
      </c>
      <c r="H114" s="239">
        <v>0</v>
      </c>
      <c r="I114" s="239">
        <v>0</v>
      </c>
      <c r="J114" s="239">
        <v>38937</v>
      </c>
      <c r="K114" s="239">
        <v>0</v>
      </c>
      <c r="L114" s="239">
        <v>38937</v>
      </c>
      <c r="M114" s="239">
        <v>96531</v>
      </c>
      <c r="N114" s="239">
        <v>96531</v>
      </c>
      <c r="O114" s="239">
        <v>0</v>
      </c>
      <c r="P114" s="239">
        <v>0</v>
      </c>
      <c r="Q114" s="239">
        <v>0</v>
      </c>
      <c r="R114" s="239">
        <v>0</v>
      </c>
      <c r="S114" s="239">
        <v>0</v>
      </c>
      <c r="T114" s="239">
        <v>0</v>
      </c>
      <c r="U114" s="239">
        <v>0</v>
      </c>
      <c r="V114" s="239">
        <v>0</v>
      </c>
      <c r="W114" s="239">
        <v>0</v>
      </c>
      <c r="X114" s="239">
        <v>0</v>
      </c>
      <c r="Y114" s="239">
        <v>0</v>
      </c>
      <c r="Z114" s="239">
        <v>0</v>
      </c>
      <c r="AA114" s="239">
        <v>0</v>
      </c>
      <c r="AB114" s="239">
        <v>0</v>
      </c>
      <c r="AC114" s="239">
        <v>0</v>
      </c>
      <c r="AD114" s="239">
        <v>0</v>
      </c>
      <c r="AE114" s="239">
        <v>0</v>
      </c>
      <c r="AF114" s="239">
        <v>0</v>
      </c>
      <c r="AG114" s="239">
        <v>0</v>
      </c>
      <c r="AH114" s="239">
        <v>0</v>
      </c>
      <c r="AI114" s="239">
        <v>0</v>
      </c>
      <c r="AJ114" s="239">
        <v>0</v>
      </c>
      <c r="AK114" s="239">
        <v>365689.92333333334</v>
      </c>
      <c r="AL114" s="239">
        <v>82280.232749999996</v>
      </c>
      <c r="AM114" s="239">
        <v>9142.2480833333339</v>
      </c>
      <c r="AN114" s="239">
        <v>324764</v>
      </c>
      <c r="AO114" s="239">
        <v>73072</v>
      </c>
      <c r="AP114" s="239">
        <v>8120</v>
      </c>
      <c r="AQ114" s="239">
        <v>40926</v>
      </c>
      <c r="AR114" s="239">
        <v>9208</v>
      </c>
      <c r="AS114" s="239">
        <v>1022</v>
      </c>
      <c r="AT114" s="239">
        <v>967.50666666666677</v>
      </c>
      <c r="AU114" s="239">
        <v>217.68900000000002</v>
      </c>
      <c r="AV114" s="239">
        <v>24.187666666666669</v>
      </c>
      <c r="AW114" s="239">
        <v>0</v>
      </c>
      <c r="AX114" s="239">
        <v>0</v>
      </c>
      <c r="AY114" s="239">
        <v>0</v>
      </c>
      <c r="AZ114" s="239">
        <v>968</v>
      </c>
      <c r="BA114" s="239">
        <v>218</v>
      </c>
      <c r="BB114" s="239">
        <v>24</v>
      </c>
      <c r="BC114" s="239">
        <v>0</v>
      </c>
      <c r="BD114" s="239">
        <v>0</v>
      </c>
      <c r="BE114" s="239">
        <v>0</v>
      </c>
      <c r="BF114" s="239">
        <v>0</v>
      </c>
      <c r="BG114" s="239">
        <v>0</v>
      </c>
      <c r="BH114" s="239">
        <v>0</v>
      </c>
      <c r="BI114" s="239">
        <v>0</v>
      </c>
      <c r="BJ114" s="239">
        <v>0</v>
      </c>
      <c r="BK114" s="239">
        <v>0</v>
      </c>
      <c r="BL114" s="239">
        <v>7670.6558333333342</v>
      </c>
      <c r="BM114" s="239">
        <v>1725.8975624999998</v>
      </c>
      <c r="BN114" s="239">
        <v>191.76639583333332</v>
      </c>
      <c r="BO114" s="239">
        <v>13579</v>
      </c>
      <c r="BP114" s="239">
        <v>3056</v>
      </c>
      <c r="BQ114" s="239">
        <v>340</v>
      </c>
      <c r="BR114" s="239">
        <v>-5908</v>
      </c>
      <c r="BS114" s="239">
        <v>-1330</v>
      </c>
      <c r="BT114" s="239">
        <v>-148</v>
      </c>
      <c r="BU114" s="239">
        <v>216371.25916666668</v>
      </c>
      <c r="BV114" s="239">
        <v>48683.533312500003</v>
      </c>
      <c r="BW114" s="239">
        <v>5409.2814791666669</v>
      </c>
      <c r="BX114" s="239">
        <v>215373</v>
      </c>
      <c r="BY114" s="239">
        <v>48458</v>
      </c>
      <c r="BZ114" s="239">
        <v>5384</v>
      </c>
      <c r="CA114" s="239">
        <v>998</v>
      </c>
      <c r="CB114" s="239">
        <v>226</v>
      </c>
      <c r="CC114" s="239">
        <v>25</v>
      </c>
      <c r="CD114" s="239">
        <v>0</v>
      </c>
      <c r="CE114" s="239">
        <v>0</v>
      </c>
      <c r="CF114" s="239">
        <v>0</v>
      </c>
      <c r="CG114" s="239">
        <v>0</v>
      </c>
      <c r="CH114" s="239">
        <v>0</v>
      </c>
      <c r="CI114" s="239">
        <v>0</v>
      </c>
      <c r="CJ114" s="239">
        <v>0</v>
      </c>
      <c r="CK114" s="239">
        <v>0</v>
      </c>
      <c r="CL114" s="239">
        <v>0</v>
      </c>
      <c r="CM114" s="239">
        <v>0</v>
      </c>
      <c r="CN114" s="239">
        <v>0</v>
      </c>
      <c r="CO114" s="239">
        <v>0</v>
      </c>
      <c r="CP114" s="239">
        <v>0</v>
      </c>
      <c r="CQ114" s="239">
        <v>0</v>
      </c>
      <c r="CR114" s="239">
        <v>0</v>
      </c>
      <c r="CS114" s="239">
        <v>0</v>
      </c>
      <c r="CT114" s="239">
        <v>0</v>
      </c>
      <c r="CU114" s="239">
        <v>0</v>
      </c>
      <c r="CV114" s="239">
        <v>139529.36083333331</v>
      </c>
      <c r="CW114" s="239">
        <v>31394.106187499998</v>
      </c>
      <c r="CX114" s="239">
        <v>3488.2340208333335</v>
      </c>
      <c r="CY114" s="239">
        <v>136644</v>
      </c>
      <c r="CZ114" s="239">
        <v>30745</v>
      </c>
      <c r="DA114" s="239">
        <v>3416</v>
      </c>
      <c r="DB114" s="239">
        <v>2885</v>
      </c>
      <c r="DC114" s="239">
        <v>649</v>
      </c>
      <c r="DD114" s="239">
        <v>72</v>
      </c>
      <c r="DE114" s="214">
        <v>0.5</v>
      </c>
      <c r="DF114" s="214">
        <v>0.4</v>
      </c>
      <c r="DG114" s="214">
        <v>0.09</v>
      </c>
      <c r="DH114" s="214">
        <v>0.01</v>
      </c>
      <c r="DI114" s="214" t="s">
        <v>1294</v>
      </c>
    </row>
    <row r="115" spans="1:113" s="214" customFormat="1" x14ac:dyDescent="0.2">
      <c r="A115" s="215" t="s">
        <v>1321</v>
      </c>
      <c r="B115" s="610" t="s">
        <v>313</v>
      </c>
      <c r="C115" s="610" t="s">
        <v>312</v>
      </c>
      <c r="D115" s="239">
        <v>-2763</v>
      </c>
      <c r="E115" s="239">
        <v>0</v>
      </c>
      <c r="F115" s="239">
        <v>-2763</v>
      </c>
      <c r="G115" s="239">
        <v>0</v>
      </c>
      <c r="H115" s="239">
        <v>0</v>
      </c>
      <c r="I115" s="239">
        <v>0</v>
      </c>
      <c r="J115" s="239">
        <v>-2763</v>
      </c>
      <c r="K115" s="239">
        <v>0</v>
      </c>
      <c r="L115" s="239">
        <v>-2763</v>
      </c>
      <c r="M115" s="239">
        <v>185334</v>
      </c>
      <c r="N115" s="239">
        <v>185334</v>
      </c>
      <c r="O115" s="239">
        <v>0</v>
      </c>
      <c r="P115" s="239">
        <v>0</v>
      </c>
      <c r="Q115" s="239">
        <v>0</v>
      </c>
      <c r="R115" s="239">
        <v>0</v>
      </c>
      <c r="S115" s="239">
        <v>55216</v>
      </c>
      <c r="T115" s="239">
        <v>0</v>
      </c>
      <c r="U115" s="239">
        <v>55000</v>
      </c>
      <c r="V115" s="239">
        <v>0</v>
      </c>
      <c r="W115" s="239">
        <v>216</v>
      </c>
      <c r="X115" s="239">
        <v>0</v>
      </c>
      <c r="Y115" s="239">
        <v>409474.67291666666</v>
      </c>
      <c r="Z115" s="239">
        <v>409474.67291666666</v>
      </c>
      <c r="AA115" s="239">
        <v>0</v>
      </c>
      <c r="AB115" s="239">
        <v>0</v>
      </c>
      <c r="AC115" s="239">
        <v>332394</v>
      </c>
      <c r="AD115" s="239">
        <v>332394</v>
      </c>
      <c r="AE115" s="239">
        <v>0</v>
      </c>
      <c r="AF115" s="239">
        <v>0</v>
      </c>
      <c r="AG115" s="239">
        <v>77081</v>
      </c>
      <c r="AH115" s="239">
        <v>77081</v>
      </c>
      <c r="AI115" s="239">
        <v>0</v>
      </c>
      <c r="AJ115" s="239">
        <v>0</v>
      </c>
      <c r="AK115" s="239">
        <v>596920.36416666664</v>
      </c>
      <c r="AL115" s="239">
        <v>149230.09104166666</v>
      </c>
      <c r="AM115" s="239">
        <v>0</v>
      </c>
      <c r="AN115" s="239">
        <v>552211</v>
      </c>
      <c r="AO115" s="239">
        <v>138054</v>
      </c>
      <c r="AP115" s="239">
        <v>0</v>
      </c>
      <c r="AQ115" s="239">
        <v>44709</v>
      </c>
      <c r="AR115" s="239">
        <v>11176</v>
      </c>
      <c r="AS115" s="239">
        <v>0</v>
      </c>
      <c r="AT115" s="239">
        <v>0</v>
      </c>
      <c r="AU115" s="239">
        <v>0</v>
      </c>
      <c r="AV115" s="239">
        <v>0</v>
      </c>
      <c r="AW115" s="239">
        <v>0</v>
      </c>
      <c r="AX115" s="239">
        <v>0</v>
      </c>
      <c r="AY115" s="239">
        <v>0</v>
      </c>
      <c r="AZ115" s="239">
        <v>0</v>
      </c>
      <c r="BA115" s="239">
        <v>0</v>
      </c>
      <c r="BB115" s="239">
        <v>0</v>
      </c>
      <c r="BC115" s="239">
        <v>0</v>
      </c>
      <c r="BD115" s="239">
        <v>0</v>
      </c>
      <c r="BE115" s="239">
        <v>0</v>
      </c>
      <c r="BF115" s="239">
        <v>0</v>
      </c>
      <c r="BG115" s="239">
        <v>0</v>
      </c>
      <c r="BH115" s="239">
        <v>0</v>
      </c>
      <c r="BI115" s="239">
        <v>0</v>
      </c>
      <c r="BJ115" s="239">
        <v>0</v>
      </c>
      <c r="BK115" s="239">
        <v>0</v>
      </c>
      <c r="BL115" s="239">
        <v>6134.1708333333336</v>
      </c>
      <c r="BM115" s="239">
        <v>1533.5427083333334</v>
      </c>
      <c r="BN115" s="239">
        <v>0</v>
      </c>
      <c r="BO115" s="239">
        <v>0</v>
      </c>
      <c r="BP115" s="239">
        <v>0</v>
      </c>
      <c r="BQ115" s="239">
        <v>0</v>
      </c>
      <c r="BR115" s="239">
        <v>6134</v>
      </c>
      <c r="BS115" s="239">
        <v>1534</v>
      </c>
      <c r="BT115" s="239">
        <v>0</v>
      </c>
      <c r="BU115" s="239">
        <v>150675.77083333334</v>
      </c>
      <c r="BV115" s="239">
        <v>37668.942708333336</v>
      </c>
      <c r="BW115" s="239">
        <v>0</v>
      </c>
      <c r="BX115" s="239">
        <v>57222</v>
      </c>
      <c r="BY115" s="239">
        <v>14306</v>
      </c>
      <c r="BZ115" s="239">
        <v>0</v>
      </c>
      <c r="CA115" s="239">
        <v>93454</v>
      </c>
      <c r="CB115" s="239">
        <v>23363</v>
      </c>
      <c r="CC115" s="239">
        <v>0</v>
      </c>
      <c r="CD115" s="239">
        <v>0</v>
      </c>
      <c r="CE115" s="239">
        <v>0</v>
      </c>
      <c r="CF115" s="239">
        <v>0</v>
      </c>
      <c r="CG115" s="239">
        <v>0</v>
      </c>
      <c r="CH115" s="239">
        <v>0</v>
      </c>
      <c r="CI115" s="239">
        <v>0</v>
      </c>
      <c r="CJ115" s="239">
        <v>0</v>
      </c>
      <c r="CK115" s="239">
        <v>0</v>
      </c>
      <c r="CL115" s="239">
        <v>0</v>
      </c>
      <c r="CM115" s="239">
        <v>9796.4108333333334</v>
      </c>
      <c r="CN115" s="239">
        <v>2449.1027083333333</v>
      </c>
      <c r="CO115" s="239">
        <v>0</v>
      </c>
      <c r="CP115" s="239">
        <v>0</v>
      </c>
      <c r="CQ115" s="239">
        <v>0</v>
      </c>
      <c r="CR115" s="239">
        <v>0</v>
      </c>
      <c r="CS115" s="239">
        <v>9796</v>
      </c>
      <c r="CT115" s="239">
        <v>2449</v>
      </c>
      <c r="CU115" s="239">
        <v>0</v>
      </c>
      <c r="CV115" s="239">
        <v>174934.42750000005</v>
      </c>
      <c r="CW115" s="239">
        <v>43532.298541666678</v>
      </c>
      <c r="CX115" s="239">
        <v>0</v>
      </c>
      <c r="CY115" s="239">
        <v>171467</v>
      </c>
      <c r="CZ115" s="239">
        <v>41454</v>
      </c>
      <c r="DA115" s="239">
        <v>0</v>
      </c>
      <c r="DB115" s="239">
        <v>3467</v>
      </c>
      <c r="DC115" s="239">
        <v>2078</v>
      </c>
      <c r="DD115" s="239">
        <v>0</v>
      </c>
      <c r="DE115" s="214">
        <v>0.5</v>
      </c>
      <c r="DF115" s="214">
        <v>0.4</v>
      </c>
      <c r="DG115" s="214">
        <v>0.1</v>
      </c>
      <c r="DH115" s="214">
        <v>0</v>
      </c>
      <c r="DI115" s="214" t="s">
        <v>1294</v>
      </c>
    </row>
    <row r="116" spans="1:113" s="214" customFormat="1" x14ac:dyDescent="0.2">
      <c r="B116" s="610" t="s">
        <v>315</v>
      </c>
      <c r="C116" s="610" t="s">
        <v>314</v>
      </c>
      <c r="D116" s="239">
        <v>4502</v>
      </c>
      <c r="E116" s="239">
        <v>0</v>
      </c>
      <c r="F116" s="239">
        <v>4502</v>
      </c>
      <c r="G116" s="239">
        <v>0</v>
      </c>
      <c r="H116" s="239">
        <v>0</v>
      </c>
      <c r="I116" s="239">
        <v>0</v>
      </c>
      <c r="J116" s="239">
        <v>4502</v>
      </c>
      <c r="K116" s="239">
        <v>0</v>
      </c>
      <c r="L116" s="239">
        <v>4502</v>
      </c>
      <c r="M116" s="239">
        <v>279949</v>
      </c>
      <c r="N116" s="239">
        <v>279949</v>
      </c>
      <c r="O116" s="239">
        <v>0</v>
      </c>
      <c r="P116" s="239">
        <v>0</v>
      </c>
      <c r="Q116" s="239">
        <v>0</v>
      </c>
      <c r="R116" s="239">
        <v>0</v>
      </c>
      <c r="S116" s="239">
        <v>0</v>
      </c>
      <c r="T116" s="239">
        <v>0</v>
      </c>
      <c r="U116" s="239">
        <v>0</v>
      </c>
      <c r="V116" s="239">
        <v>0</v>
      </c>
      <c r="W116" s="239">
        <v>0</v>
      </c>
      <c r="X116" s="239">
        <v>0</v>
      </c>
      <c r="Y116" s="239">
        <v>0</v>
      </c>
      <c r="Z116" s="239">
        <v>0</v>
      </c>
      <c r="AA116" s="239">
        <v>0</v>
      </c>
      <c r="AB116" s="239">
        <v>0</v>
      </c>
      <c r="AC116" s="239">
        <v>0</v>
      </c>
      <c r="AD116" s="239">
        <v>0</v>
      </c>
      <c r="AE116" s="239">
        <v>0</v>
      </c>
      <c r="AF116" s="239">
        <v>0</v>
      </c>
      <c r="AG116" s="239">
        <v>0</v>
      </c>
      <c r="AH116" s="239">
        <v>0</v>
      </c>
      <c r="AI116" s="239">
        <v>0</v>
      </c>
      <c r="AJ116" s="239">
        <v>0</v>
      </c>
      <c r="AK116" s="239">
        <v>523675.36124999996</v>
      </c>
      <c r="AL116" s="239">
        <v>349116.90750000003</v>
      </c>
      <c r="AM116" s="239">
        <v>0</v>
      </c>
      <c r="AN116" s="239">
        <v>504415</v>
      </c>
      <c r="AO116" s="239">
        <v>336276</v>
      </c>
      <c r="AP116" s="239">
        <v>0</v>
      </c>
      <c r="AQ116" s="239">
        <v>19260</v>
      </c>
      <c r="AR116" s="239">
        <v>12841</v>
      </c>
      <c r="AS116" s="239">
        <v>0</v>
      </c>
      <c r="AT116" s="239">
        <v>0</v>
      </c>
      <c r="AU116" s="239">
        <v>0</v>
      </c>
      <c r="AV116" s="239">
        <v>0</v>
      </c>
      <c r="AW116" s="239">
        <v>0</v>
      </c>
      <c r="AX116" s="239">
        <v>0</v>
      </c>
      <c r="AY116" s="239">
        <v>0</v>
      </c>
      <c r="AZ116" s="239">
        <v>0</v>
      </c>
      <c r="BA116" s="239">
        <v>0</v>
      </c>
      <c r="BB116" s="239">
        <v>0</v>
      </c>
      <c r="BC116" s="239">
        <v>0</v>
      </c>
      <c r="BD116" s="239">
        <v>0</v>
      </c>
      <c r="BE116" s="239">
        <v>0</v>
      </c>
      <c r="BF116" s="239">
        <v>19784</v>
      </c>
      <c r="BG116" s="239">
        <v>13190</v>
      </c>
      <c r="BH116" s="239">
        <v>0</v>
      </c>
      <c r="BI116" s="239">
        <v>-19784</v>
      </c>
      <c r="BJ116" s="239">
        <v>-13190</v>
      </c>
      <c r="BK116" s="239">
        <v>0</v>
      </c>
      <c r="BL116" s="239">
        <v>89302.103124999994</v>
      </c>
      <c r="BM116" s="239">
        <v>59534.735416666663</v>
      </c>
      <c r="BN116" s="239">
        <v>0</v>
      </c>
      <c r="BO116" s="239">
        <v>107413</v>
      </c>
      <c r="BP116" s="239">
        <v>71610</v>
      </c>
      <c r="BQ116" s="239">
        <v>0</v>
      </c>
      <c r="BR116" s="239">
        <v>-18111</v>
      </c>
      <c r="BS116" s="239">
        <v>-12075</v>
      </c>
      <c r="BT116" s="239">
        <v>0</v>
      </c>
      <c r="BU116" s="239">
        <v>347457.45500000002</v>
      </c>
      <c r="BV116" s="239">
        <v>231638.30333333337</v>
      </c>
      <c r="BW116" s="239">
        <v>0</v>
      </c>
      <c r="BX116" s="239">
        <v>337856</v>
      </c>
      <c r="BY116" s="239">
        <v>225238</v>
      </c>
      <c r="BZ116" s="239">
        <v>0</v>
      </c>
      <c r="CA116" s="239">
        <v>9601</v>
      </c>
      <c r="CB116" s="239">
        <v>6400</v>
      </c>
      <c r="CC116" s="239">
        <v>0</v>
      </c>
      <c r="CD116" s="239">
        <v>0</v>
      </c>
      <c r="CE116" s="239">
        <v>0</v>
      </c>
      <c r="CF116" s="239">
        <v>0</v>
      </c>
      <c r="CG116" s="239">
        <v>0</v>
      </c>
      <c r="CH116" s="239">
        <v>0</v>
      </c>
      <c r="CI116" s="239">
        <v>0</v>
      </c>
      <c r="CJ116" s="239">
        <v>0</v>
      </c>
      <c r="CK116" s="239">
        <v>0</v>
      </c>
      <c r="CL116" s="239">
        <v>0</v>
      </c>
      <c r="CM116" s="239">
        <v>0</v>
      </c>
      <c r="CN116" s="239">
        <v>0</v>
      </c>
      <c r="CO116" s="239">
        <v>0</v>
      </c>
      <c r="CP116" s="239">
        <v>0</v>
      </c>
      <c r="CQ116" s="239">
        <v>0</v>
      </c>
      <c r="CR116" s="239">
        <v>0</v>
      </c>
      <c r="CS116" s="239">
        <v>0</v>
      </c>
      <c r="CT116" s="239">
        <v>0</v>
      </c>
      <c r="CU116" s="239">
        <v>0</v>
      </c>
      <c r="CV116" s="239">
        <v>290658.85625000001</v>
      </c>
      <c r="CW116" s="239">
        <v>193772.57083333333</v>
      </c>
      <c r="CX116" s="239">
        <v>0</v>
      </c>
      <c r="CY116" s="239">
        <v>301407</v>
      </c>
      <c r="CZ116" s="239">
        <v>200938</v>
      </c>
      <c r="DA116" s="239">
        <v>0</v>
      </c>
      <c r="DB116" s="239">
        <v>-10748</v>
      </c>
      <c r="DC116" s="239">
        <v>-7165</v>
      </c>
      <c r="DD116" s="239">
        <v>0</v>
      </c>
      <c r="DE116" s="214">
        <v>0.5</v>
      </c>
      <c r="DF116" s="214">
        <v>0.3</v>
      </c>
      <c r="DG116" s="214">
        <v>0.2</v>
      </c>
      <c r="DH116" s="214">
        <v>0</v>
      </c>
      <c r="DI116" s="214" t="s">
        <v>1297</v>
      </c>
    </row>
    <row r="117" spans="1:113" s="214" customFormat="1" x14ac:dyDescent="0.2">
      <c r="B117" s="610" t="s">
        <v>317</v>
      </c>
      <c r="C117" s="610" t="s">
        <v>316</v>
      </c>
      <c r="D117" s="239">
        <v>17145</v>
      </c>
      <c r="E117" s="239">
        <v>0</v>
      </c>
      <c r="F117" s="239">
        <v>17145</v>
      </c>
      <c r="G117" s="239">
        <v>0</v>
      </c>
      <c r="H117" s="239">
        <v>0</v>
      </c>
      <c r="I117" s="239">
        <v>0</v>
      </c>
      <c r="J117" s="239">
        <v>17145</v>
      </c>
      <c r="K117" s="239">
        <v>0</v>
      </c>
      <c r="L117" s="239">
        <v>17145</v>
      </c>
      <c r="M117" s="239">
        <v>234931</v>
      </c>
      <c r="N117" s="239">
        <v>234931</v>
      </c>
      <c r="O117" s="239">
        <v>0</v>
      </c>
      <c r="P117" s="239">
        <v>0</v>
      </c>
      <c r="Q117" s="239">
        <v>0</v>
      </c>
      <c r="R117" s="239">
        <v>0</v>
      </c>
      <c r="S117" s="239">
        <v>0</v>
      </c>
      <c r="T117" s="239">
        <v>0</v>
      </c>
      <c r="U117" s="239">
        <v>0</v>
      </c>
      <c r="V117" s="239">
        <v>0</v>
      </c>
      <c r="W117" s="239">
        <v>0</v>
      </c>
      <c r="X117" s="239">
        <v>0</v>
      </c>
      <c r="Y117" s="239">
        <v>0</v>
      </c>
      <c r="Z117" s="239">
        <v>0</v>
      </c>
      <c r="AA117" s="239">
        <v>0</v>
      </c>
      <c r="AB117" s="239">
        <v>0</v>
      </c>
      <c r="AC117" s="239">
        <v>0</v>
      </c>
      <c r="AD117" s="239">
        <v>0</v>
      </c>
      <c r="AE117" s="239">
        <v>0</v>
      </c>
      <c r="AF117" s="239">
        <v>0</v>
      </c>
      <c r="AG117" s="239">
        <v>0</v>
      </c>
      <c r="AH117" s="239">
        <v>0</v>
      </c>
      <c r="AI117" s="239">
        <v>0</v>
      </c>
      <c r="AJ117" s="239">
        <v>0</v>
      </c>
      <c r="AK117" s="239">
        <v>385540.04333333339</v>
      </c>
      <c r="AL117" s="239">
        <v>96385.010833333348</v>
      </c>
      <c r="AM117" s="239">
        <v>0</v>
      </c>
      <c r="AN117" s="239">
        <v>358083</v>
      </c>
      <c r="AO117" s="239">
        <v>89522</v>
      </c>
      <c r="AP117" s="239">
        <v>0</v>
      </c>
      <c r="AQ117" s="239">
        <v>27457</v>
      </c>
      <c r="AR117" s="239">
        <v>6863</v>
      </c>
      <c r="AS117" s="239">
        <v>0</v>
      </c>
      <c r="AT117" s="239">
        <v>700.0625</v>
      </c>
      <c r="AU117" s="239">
        <v>175.015625</v>
      </c>
      <c r="AV117" s="239">
        <v>0</v>
      </c>
      <c r="AW117" s="239">
        <v>7234</v>
      </c>
      <c r="AX117" s="239">
        <v>1808</v>
      </c>
      <c r="AY117" s="239">
        <v>0</v>
      </c>
      <c r="AZ117" s="239">
        <v>-6534</v>
      </c>
      <c r="BA117" s="239">
        <v>-1633</v>
      </c>
      <c r="BB117" s="239">
        <v>0</v>
      </c>
      <c r="BC117" s="239">
        <v>0</v>
      </c>
      <c r="BD117" s="239">
        <v>0</v>
      </c>
      <c r="BE117" s="239">
        <v>0</v>
      </c>
      <c r="BF117" s="239">
        <v>0</v>
      </c>
      <c r="BG117" s="239">
        <v>0</v>
      </c>
      <c r="BH117" s="239">
        <v>0</v>
      </c>
      <c r="BI117" s="239">
        <v>0</v>
      </c>
      <c r="BJ117" s="239">
        <v>0</v>
      </c>
      <c r="BK117" s="239">
        <v>0</v>
      </c>
      <c r="BL117" s="239">
        <v>31032.045833333334</v>
      </c>
      <c r="BM117" s="239">
        <v>7758.0114583333334</v>
      </c>
      <c r="BN117" s="239">
        <v>0</v>
      </c>
      <c r="BO117" s="239">
        <v>18388</v>
      </c>
      <c r="BP117" s="239">
        <v>4598</v>
      </c>
      <c r="BQ117" s="239">
        <v>0</v>
      </c>
      <c r="BR117" s="239">
        <v>12644</v>
      </c>
      <c r="BS117" s="239">
        <v>3160</v>
      </c>
      <c r="BT117" s="239">
        <v>0</v>
      </c>
      <c r="BU117" s="239">
        <v>221600.42166666669</v>
      </c>
      <c r="BV117" s="239">
        <v>55400.105416666673</v>
      </c>
      <c r="BW117" s="239">
        <v>0</v>
      </c>
      <c r="BX117" s="239">
        <v>195665</v>
      </c>
      <c r="BY117" s="239">
        <v>48916</v>
      </c>
      <c r="BZ117" s="239">
        <v>0</v>
      </c>
      <c r="CA117" s="239">
        <v>25935</v>
      </c>
      <c r="CB117" s="239">
        <v>6484</v>
      </c>
      <c r="CC117" s="239">
        <v>0</v>
      </c>
      <c r="CD117" s="239">
        <v>0</v>
      </c>
      <c r="CE117" s="239">
        <v>0</v>
      </c>
      <c r="CF117" s="239">
        <v>0</v>
      </c>
      <c r="CG117" s="239">
        <v>0</v>
      </c>
      <c r="CH117" s="239">
        <v>0</v>
      </c>
      <c r="CI117" s="239">
        <v>0</v>
      </c>
      <c r="CJ117" s="239">
        <v>0</v>
      </c>
      <c r="CK117" s="239">
        <v>0</v>
      </c>
      <c r="CL117" s="239">
        <v>0</v>
      </c>
      <c r="CM117" s="239">
        <v>4402.0741666666672</v>
      </c>
      <c r="CN117" s="239">
        <v>1100.5185416666668</v>
      </c>
      <c r="CO117" s="239">
        <v>0</v>
      </c>
      <c r="CP117" s="239">
        <v>0</v>
      </c>
      <c r="CQ117" s="239">
        <v>0</v>
      </c>
      <c r="CR117" s="239">
        <v>0</v>
      </c>
      <c r="CS117" s="239">
        <v>4402</v>
      </c>
      <c r="CT117" s="239">
        <v>1101</v>
      </c>
      <c r="CU117" s="239">
        <v>0</v>
      </c>
      <c r="CV117" s="239">
        <v>443312.53749999998</v>
      </c>
      <c r="CW117" s="239">
        <v>110828.13437499999</v>
      </c>
      <c r="CX117" s="239">
        <v>0</v>
      </c>
      <c r="CY117" s="239">
        <v>467643</v>
      </c>
      <c r="CZ117" s="239">
        <v>116911</v>
      </c>
      <c r="DA117" s="239">
        <v>0</v>
      </c>
      <c r="DB117" s="239">
        <v>-24330</v>
      </c>
      <c r="DC117" s="239">
        <v>-6083</v>
      </c>
      <c r="DD117" s="239">
        <v>0</v>
      </c>
      <c r="DE117" s="214">
        <v>0.5</v>
      </c>
      <c r="DF117" s="214">
        <v>0.4</v>
      </c>
      <c r="DG117" s="214">
        <v>0.1</v>
      </c>
      <c r="DH117" s="214">
        <v>0</v>
      </c>
      <c r="DI117" s="214" t="s">
        <v>1294</v>
      </c>
    </row>
    <row r="118" spans="1:113" s="214" customFormat="1" x14ac:dyDescent="0.2">
      <c r="B118" s="610" t="s">
        <v>319</v>
      </c>
      <c r="C118" s="610" t="s">
        <v>318</v>
      </c>
      <c r="D118" s="239">
        <v>-602045</v>
      </c>
      <c r="E118" s="239">
        <v>0</v>
      </c>
      <c r="F118" s="239">
        <v>-602045</v>
      </c>
      <c r="G118" s="239">
        <v>0</v>
      </c>
      <c r="H118" s="239">
        <v>0</v>
      </c>
      <c r="I118" s="239">
        <v>0</v>
      </c>
      <c r="J118" s="239">
        <v>-602045</v>
      </c>
      <c r="K118" s="239">
        <v>0</v>
      </c>
      <c r="L118" s="239">
        <v>-602045</v>
      </c>
      <c r="M118" s="239">
        <v>505991</v>
      </c>
      <c r="N118" s="239">
        <v>505991</v>
      </c>
      <c r="O118" s="239">
        <v>0</v>
      </c>
      <c r="P118" s="239">
        <v>0</v>
      </c>
      <c r="Q118" s="239">
        <v>0</v>
      </c>
      <c r="R118" s="239">
        <v>0</v>
      </c>
      <c r="S118" s="239">
        <v>0</v>
      </c>
      <c r="T118" s="239">
        <v>0</v>
      </c>
      <c r="U118" s="239">
        <v>0</v>
      </c>
      <c r="V118" s="239">
        <v>0</v>
      </c>
      <c r="W118" s="239">
        <v>0</v>
      </c>
      <c r="X118" s="239">
        <v>0</v>
      </c>
      <c r="Y118" s="239">
        <v>0</v>
      </c>
      <c r="Z118" s="239">
        <v>0</v>
      </c>
      <c r="AA118" s="239">
        <v>0</v>
      </c>
      <c r="AB118" s="239">
        <v>0</v>
      </c>
      <c r="AC118" s="239">
        <v>0</v>
      </c>
      <c r="AD118" s="239">
        <v>0</v>
      </c>
      <c r="AE118" s="239">
        <v>0</v>
      </c>
      <c r="AF118" s="239">
        <v>0</v>
      </c>
      <c r="AG118" s="239">
        <v>0</v>
      </c>
      <c r="AH118" s="239">
        <v>0</v>
      </c>
      <c r="AI118" s="239">
        <v>0</v>
      </c>
      <c r="AJ118" s="239">
        <v>0</v>
      </c>
      <c r="AK118" s="239">
        <v>923970.18562500004</v>
      </c>
      <c r="AL118" s="239">
        <v>615980.12375000003</v>
      </c>
      <c r="AM118" s="239">
        <v>0</v>
      </c>
      <c r="AN118" s="239">
        <v>835633</v>
      </c>
      <c r="AO118" s="239">
        <v>557088</v>
      </c>
      <c r="AP118" s="239">
        <v>0</v>
      </c>
      <c r="AQ118" s="239">
        <v>88337</v>
      </c>
      <c r="AR118" s="239">
        <v>58892</v>
      </c>
      <c r="AS118" s="239">
        <v>0</v>
      </c>
      <c r="AT118" s="239">
        <v>0</v>
      </c>
      <c r="AU118" s="239">
        <v>0</v>
      </c>
      <c r="AV118" s="239">
        <v>0</v>
      </c>
      <c r="AW118" s="239">
        <v>0</v>
      </c>
      <c r="AX118" s="239">
        <v>0</v>
      </c>
      <c r="AY118" s="239">
        <v>0</v>
      </c>
      <c r="AZ118" s="239">
        <v>0</v>
      </c>
      <c r="BA118" s="239">
        <v>0</v>
      </c>
      <c r="BB118" s="239">
        <v>0</v>
      </c>
      <c r="BC118" s="239">
        <v>2836.7750000000001</v>
      </c>
      <c r="BD118" s="239">
        <v>1891.1833333333334</v>
      </c>
      <c r="BE118" s="239">
        <v>0</v>
      </c>
      <c r="BF118" s="239">
        <v>0</v>
      </c>
      <c r="BG118" s="239">
        <v>0</v>
      </c>
      <c r="BH118" s="239">
        <v>0</v>
      </c>
      <c r="BI118" s="239">
        <v>2837</v>
      </c>
      <c r="BJ118" s="239">
        <v>1891</v>
      </c>
      <c r="BK118" s="239">
        <v>0</v>
      </c>
      <c r="BL118" s="239">
        <v>1707.2393749999999</v>
      </c>
      <c r="BM118" s="239">
        <v>1138.1595833333333</v>
      </c>
      <c r="BN118" s="239">
        <v>0</v>
      </c>
      <c r="BO118" s="239">
        <v>0</v>
      </c>
      <c r="BP118" s="239">
        <v>0</v>
      </c>
      <c r="BQ118" s="239">
        <v>0</v>
      </c>
      <c r="BR118" s="239">
        <v>1707</v>
      </c>
      <c r="BS118" s="239">
        <v>1138</v>
      </c>
      <c r="BT118" s="239">
        <v>0</v>
      </c>
      <c r="BU118" s="239">
        <v>763498.20687500003</v>
      </c>
      <c r="BV118" s="239">
        <v>508998.80458333337</v>
      </c>
      <c r="BW118" s="239">
        <v>0</v>
      </c>
      <c r="BX118" s="239">
        <v>515566</v>
      </c>
      <c r="BY118" s="239">
        <v>343712</v>
      </c>
      <c r="BZ118" s="239">
        <v>0</v>
      </c>
      <c r="CA118" s="239">
        <v>247932</v>
      </c>
      <c r="CB118" s="239">
        <v>165287</v>
      </c>
      <c r="CC118" s="239">
        <v>0</v>
      </c>
      <c r="CD118" s="239">
        <v>0</v>
      </c>
      <c r="CE118" s="239">
        <v>0</v>
      </c>
      <c r="CF118" s="239">
        <v>0</v>
      </c>
      <c r="CG118" s="239">
        <v>0</v>
      </c>
      <c r="CH118" s="239">
        <v>0</v>
      </c>
      <c r="CI118" s="239">
        <v>0</v>
      </c>
      <c r="CJ118" s="239">
        <v>0</v>
      </c>
      <c r="CK118" s="239">
        <v>0</v>
      </c>
      <c r="CL118" s="239">
        <v>0</v>
      </c>
      <c r="CM118" s="239">
        <v>39340.46875</v>
      </c>
      <c r="CN118" s="239">
        <v>26226.979166666672</v>
      </c>
      <c r="CO118" s="239">
        <v>0</v>
      </c>
      <c r="CP118" s="239">
        <v>0</v>
      </c>
      <c r="CQ118" s="239">
        <v>0</v>
      </c>
      <c r="CR118" s="239">
        <v>0</v>
      </c>
      <c r="CS118" s="239">
        <v>39340</v>
      </c>
      <c r="CT118" s="239">
        <v>26227</v>
      </c>
      <c r="CU118" s="239">
        <v>0</v>
      </c>
      <c r="CV118" s="239">
        <v>364417.94374999998</v>
      </c>
      <c r="CW118" s="239">
        <v>242945.29583333334</v>
      </c>
      <c r="CX118" s="239">
        <v>0</v>
      </c>
      <c r="CY118" s="239">
        <v>392543</v>
      </c>
      <c r="CZ118" s="239">
        <v>261696</v>
      </c>
      <c r="DA118" s="239">
        <v>0</v>
      </c>
      <c r="DB118" s="239">
        <v>-28125</v>
      </c>
      <c r="DC118" s="239">
        <v>-18751</v>
      </c>
      <c r="DD118" s="239">
        <v>0</v>
      </c>
      <c r="DE118" s="214">
        <v>0.5</v>
      </c>
      <c r="DF118" s="214">
        <v>0.3</v>
      </c>
      <c r="DG118" s="214">
        <v>0.2</v>
      </c>
      <c r="DH118" s="214">
        <v>0</v>
      </c>
      <c r="DI118" s="214" t="s">
        <v>1297</v>
      </c>
    </row>
    <row r="119" spans="1:113" s="214" customFormat="1" x14ac:dyDescent="0.2">
      <c r="B119" s="610" t="s">
        <v>321</v>
      </c>
      <c r="C119" s="610" t="s">
        <v>320</v>
      </c>
      <c r="D119" s="239">
        <v>-89990</v>
      </c>
      <c r="E119" s="239">
        <v>0</v>
      </c>
      <c r="F119" s="239">
        <v>-89990</v>
      </c>
      <c r="G119" s="239">
        <v>0</v>
      </c>
      <c r="H119" s="239">
        <v>0</v>
      </c>
      <c r="I119" s="239">
        <v>0</v>
      </c>
      <c r="J119" s="239">
        <v>-89990</v>
      </c>
      <c r="K119" s="239">
        <v>0</v>
      </c>
      <c r="L119" s="239">
        <v>-89990</v>
      </c>
      <c r="M119" s="239">
        <v>165598</v>
      </c>
      <c r="N119" s="239">
        <v>165598</v>
      </c>
      <c r="O119" s="239">
        <v>0</v>
      </c>
      <c r="P119" s="239">
        <v>0</v>
      </c>
      <c r="Q119" s="239">
        <v>0</v>
      </c>
      <c r="R119" s="239">
        <v>0</v>
      </c>
      <c r="S119" s="239">
        <v>0</v>
      </c>
      <c r="T119" s="239">
        <v>0</v>
      </c>
      <c r="U119" s="239">
        <v>0</v>
      </c>
      <c r="V119" s="239">
        <v>0</v>
      </c>
      <c r="W119" s="239">
        <v>0</v>
      </c>
      <c r="X119" s="239">
        <v>0</v>
      </c>
      <c r="Y119" s="239">
        <v>164029.71666666667</v>
      </c>
      <c r="Z119" s="239">
        <v>163692.34741666669</v>
      </c>
      <c r="AA119" s="239">
        <v>0</v>
      </c>
      <c r="AB119" s="239">
        <v>337.36925000000002</v>
      </c>
      <c r="AC119" s="239">
        <v>160374</v>
      </c>
      <c r="AD119" s="239">
        <v>160041</v>
      </c>
      <c r="AE119" s="239">
        <v>0</v>
      </c>
      <c r="AF119" s="239">
        <v>333</v>
      </c>
      <c r="AG119" s="239">
        <v>3656</v>
      </c>
      <c r="AH119" s="239">
        <v>3651</v>
      </c>
      <c r="AI119" s="239">
        <v>0</v>
      </c>
      <c r="AJ119" s="239">
        <v>4</v>
      </c>
      <c r="AK119" s="239">
        <v>490590.7169479166</v>
      </c>
      <c r="AL119" s="239">
        <v>0</v>
      </c>
      <c r="AM119" s="239">
        <v>10012.055447916666</v>
      </c>
      <c r="AN119" s="239">
        <v>468423</v>
      </c>
      <c r="AO119" s="239">
        <v>0</v>
      </c>
      <c r="AP119" s="239">
        <v>9560</v>
      </c>
      <c r="AQ119" s="239">
        <v>22168</v>
      </c>
      <c r="AR119" s="239">
        <v>0</v>
      </c>
      <c r="AS119" s="239">
        <v>452</v>
      </c>
      <c r="AT119" s="239">
        <v>4643.8392291666669</v>
      </c>
      <c r="AU119" s="239">
        <v>0</v>
      </c>
      <c r="AV119" s="239">
        <v>94.772229166666676</v>
      </c>
      <c r="AW119" s="239">
        <v>0</v>
      </c>
      <c r="AX119" s="239">
        <v>0</v>
      </c>
      <c r="AY119" s="239">
        <v>0</v>
      </c>
      <c r="AZ119" s="239">
        <v>4644</v>
      </c>
      <c r="BA119" s="239">
        <v>0</v>
      </c>
      <c r="BB119" s="239">
        <v>95</v>
      </c>
      <c r="BC119" s="239">
        <v>0</v>
      </c>
      <c r="BD119" s="239">
        <v>0</v>
      </c>
      <c r="BE119" s="239">
        <v>0</v>
      </c>
      <c r="BF119" s="239">
        <v>0</v>
      </c>
      <c r="BG119" s="239">
        <v>0</v>
      </c>
      <c r="BH119" s="239">
        <v>0</v>
      </c>
      <c r="BI119" s="239">
        <v>0</v>
      </c>
      <c r="BJ119" s="239">
        <v>0</v>
      </c>
      <c r="BK119" s="239">
        <v>0</v>
      </c>
      <c r="BL119" s="239">
        <v>12936.231729166668</v>
      </c>
      <c r="BM119" s="239">
        <v>0</v>
      </c>
      <c r="BN119" s="239">
        <v>264.00472916666666</v>
      </c>
      <c r="BO119" s="239">
        <v>0</v>
      </c>
      <c r="BP119" s="239">
        <v>0</v>
      </c>
      <c r="BQ119" s="239">
        <v>0</v>
      </c>
      <c r="BR119" s="239">
        <v>12936</v>
      </c>
      <c r="BS119" s="239">
        <v>0</v>
      </c>
      <c r="BT119" s="239">
        <v>264</v>
      </c>
      <c r="BU119" s="239">
        <v>249107.34843750001</v>
      </c>
      <c r="BV119" s="239">
        <v>0</v>
      </c>
      <c r="BW119" s="239">
        <v>5083.8234375000002</v>
      </c>
      <c r="BX119" s="239">
        <v>198480</v>
      </c>
      <c r="BY119" s="239">
        <v>0</v>
      </c>
      <c r="BZ119" s="239">
        <v>4050</v>
      </c>
      <c r="CA119" s="239">
        <v>50627</v>
      </c>
      <c r="CB119" s="239">
        <v>0</v>
      </c>
      <c r="CC119" s="239">
        <v>1034</v>
      </c>
      <c r="CD119" s="239">
        <v>0</v>
      </c>
      <c r="CE119" s="239">
        <v>0</v>
      </c>
      <c r="CF119" s="239">
        <v>0</v>
      </c>
      <c r="CG119" s="239">
        <v>0</v>
      </c>
      <c r="CH119" s="239">
        <v>0</v>
      </c>
      <c r="CI119" s="239">
        <v>0</v>
      </c>
      <c r="CJ119" s="239">
        <v>0</v>
      </c>
      <c r="CK119" s="239">
        <v>0</v>
      </c>
      <c r="CL119" s="239">
        <v>0</v>
      </c>
      <c r="CM119" s="239">
        <v>0</v>
      </c>
      <c r="CN119" s="239">
        <v>0</v>
      </c>
      <c r="CO119" s="239">
        <v>0</v>
      </c>
      <c r="CP119" s="239">
        <v>0</v>
      </c>
      <c r="CQ119" s="239">
        <v>0</v>
      </c>
      <c r="CR119" s="239">
        <v>0</v>
      </c>
      <c r="CS119" s="239">
        <v>0</v>
      </c>
      <c r="CT119" s="239">
        <v>0</v>
      </c>
      <c r="CU119" s="239">
        <v>0</v>
      </c>
      <c r="CV119" s="239">
        <v>397401.01479166665</v>
      </c>
      <c r="CW119" s="239">
        <v>0</v>
      </c>
      <c r="CX119" s="239">
        <v>8110.2247916666656</v>
      </c>
      <c r="CY119" s="239">
        <v>377817</v>
      </c>
      <c r="CZ119" s="239">
        <v>0</v>
      </c>
      <c r="DA119" s="239">
        <v>7668</v>
      </c>
      <c r="DB119" s="239">
        <v>19584</v>
      </c>
      <c r="DC119" s="239">
        <v>0</v>
      </c>
      <c r="DD119" s="239">
        <v>442</v>
      </c>
      <c r="DE119" s="214">
        <v>0.5</v>
      </c>
      <c r="DF119" s="214">
        <v>0.49</v>
      </c>
      <c r="DG119" s="214">
        <v>0</v>
      </c>
      <c r="DH119" s="214">
        <v>0.01</v>
      </c>
      <c r="DI119" s="214" t="s">
        <v>748</v>
      </c>
    </row>
    <row r="120" spans="1:113" s="214" customFormat="1" x14ac:dyDescent="0.2">
      <c r="B120" s="610" t="s">
        <v>323</v>
      </c>
      <c r="C120" s="610" t="s">
        <v>322</v>
      </c>
      <c r="D120" s="239">
        <v>-8050</v>
      </c>
      <c r="E120" s="239">
        <v>0</v>
      </c>
      <c r="F120" s="239">
        <v>-8050</v>
      </c>
      <c r="G120" s="239">
        <v>0</v>
      </c>
      <c r="H120" s="239">
        <v>0</v>
      </c>
      <c r="I120" s="239">
        <v>0</v>
      </c>
      <c r="J120" s="239">
        <v>-8050</v>
      </c>
      <c r="K120" s="239">
        <v>0</v>
      </c>
      <c r="L120" s="239">
        <v>-8050</v>
      </c>
      <c r="M120" s="239">
        <v>155517</v>
      </c>
      <c r="N120" s="239">
        <v>155517</v>
      </c>
      <c r="O120" s="239">
        <v>0</v>
      </c>
      <c r="P120" s="239">
        <v>0</v>
      </c>
      <c r="Q120" s="239">
        <v>0</v>
      </c>
      <c r="R120" s="239">
        <v>0</v>
      </c>
      <c r="S120" s="239">
        <v>0</v>
      </c>
      <c r="T120" s="239">
        <v>0</v>
      </c>
      <c r="U120" s="239">
        <v>0</v>
      </c>
      <c r="V120" s="239">
        <v>0</v>
      </c>
      <c r="W120" s="239">
        <v>0</v>
      </c>
      <c r="X120" s="239">
        <v>0</v>
      </c>
      <c r="Y120" s="239">
        <v>0</v>
      </c>
      <c r="Z120" s="239">
        <v>0</v>
      </c>
      <c r="AA120" s="239">
        <v>0</v>
      </c>
      <c r="AB120" s="239">
        <v>0</v>
      </c>
      <c r="AC120" s="239">
        <v>0</v>
      </c>
      <c r="AD120" s="239">
        <v>0</v>
      </c>
      <c r="AE120" s="239">
        <v>0</v>
      </c>
      <c r="AF120" s="239">
        <v>0</v>
      </c>
      <c r="AG120" s="239">
        <v>0</v>
      </c>
      <c r="AH120" s="239">
        <v>0</v>
      </c>
      <c r="AI120" s="239">
        <v>0</v>
      </c>
      <c r="AJ120" s="239">
        <v>0</v>
      </c>
      <c r="AK120" s="239">
        <v>610511.72250000003</v>
      </c>
      <c r="AL120" s="239">
        <v>137365.13756249999</v>
      </c>
      <c r="AM120" s="239">
        <v>15262.793062500001</v>
      </c>
      <c r="AN120" s="239">
        <v>528928</v>
      </c>
      <c r="AO120" s="239">
        <v>119010</v>
      </c>
      <c r="AP120" s="239">
        <v>13224</v>
      </c>
      <c r="AQ120" s="239">
        <v>81584</v>
      </c>
      <c r="AR120" s="239">
        <v>18355</v>
      </c>
      <c r="AS120" s="239">
        <v>2039</v>
      </c>
      <c r="AT120" s="239">
        <v>4398.4216666666671</v>
      </c>
      <c r="AU120" s="239">
        <v>989.64487499999996</v>
      </c>
      <c r="AV120" s="239">
        <v>109.96054166666667</v>
      </c>
      <c r="AW120" s="239">
        <v>6778</v>
      </c>
      <c r="AX120" s="239">
        <v>1524</v>
      </c>
      <c r="AY120" s="239">
        <v>170</v>
      </c>
      <c r="AZ120" s="239">
        <v>-2380</v>
      </c>
      <c r="BA120" s="239">
        <v>-534</v>
      </c>
      <c r="BB120" s="239">
        <v>-60</v>
      </c>
      <c r="BC120" s="239">
        <v>0</v>
      </c>
      <c r="BD120" s="239">
        <v>0</v>
      </c>
      <c r="BE120" s="239">
        <v>0</v>
      </c>
      <c r="BF120" s="239">
        <v>8118</v>
      </c>
      <c r="BG120" s="239">
        <v>1826</v>
      </c>
      <c r="BH120" s="239">
        <v>202</v>
      </c>
      <c r="BI120" s="239">
        <v>-8118</v>
      </c>
      <c r="BJ120" s="239">
        <v>-1826</v>
      </c>
      <c r="BK120" s="239">
        <v>-202</v>
      </c>
      <c r="BL120" s="239">
        <v>1775.115</v>
      </c>
      <c r="BM120" s="239">
        <v>399.40087499999998</v>
      </c>
      <c r="BN120" s="239">
        <v>44.377875000000003</v>
      </c>
      <c r="BO120" s="239">
        <v>8118</v>
      </c>
      <c r="BP120" s="239">
        <v>1826</v>
      </c>
      <c r="BQ120" s="239">
        <v>202</v>
      </c>
      <c r="BR120" s="239">
        <v>-6343</v>
      </c>
      <c r="BS120" s="239">
        <v>-1427</v>
      </c>
      <c r="BT120" s="239">
        <v>-158</v>
      </c>
      <c r="BU120" s="239">
        <v>229234.95833333334</v>
      </c>
      <c r="BV120" s="239">
        <v>51577.865625000006</v>
      </c>
      <c r="BW120" s="239">
        <v>5730.8739583333336</v>
      </c>
      <c r="BX120" s="239">
        <v>202918</v>
      </c>
      <c r="BY120" s="239">
        <v>45656</v>
      </c>
      <c r="BZ120" s="239">
        <v>5072</v>
      </c>
      <c r="CA120" s="239">
        <v>26317</v>
      </c>
      <c r="CB120" s="239">
        <v>5922</v>
      </c>
      <c r="CC120" s="239">
        <v>659</v>
      </c>
      <c r="CD120" s="239">
        <v>5256.7591666666667</v>
      </c>
      <c r="CE120" s="239">
        <v>1182.7708124999999</v>
      </c>
      <c r="CF120" s="239">
        <v>131.41897916666667</v>
      </c>
      <c r="CG120" s="239">
        <v>2492</v>
      </c>
      <c r="CH120" s="239">
        <v>0</v>
      </c>
      <c r="CI120" s="239">
        <v>0</v>
      </c>
      <c r="CJ120" s="239">
        <v>2765</v>
      </c>
      <c r="CK120" s="239">
        <v>1183</v>
      </c>
      <c r="CL120" s="239">
        <v>131</v>
      </c>
      <c r="CM120" s="239">
        <v>749.98</v>
      </c>
      <c r="CN120" s="239">
        <v>168.74549999999999</v>
      </c>
      <c r="CO120" s="239">
        <v>18.749500000000001</v>
      </c>
      <c r="CP120" s="239">
        <v>0</v>
      </c>
      <c r="CQ120" s="239">
        <v>0</v>
      </c>
      <c r="CR120" s="239">
        <v>0</v>
      </c>
      <c r="CS120" s="239">
        <v>750</v>
      </c>
      <c r="CT120" s="239">
        <v>169</v>
      </c>
      <c r="CU120" s="239">
        <v>19</v>
      </c>
      <c r="CV120" s="239">
        <v>156589.00250000003</v>
      </c>
      <c r="CW120" s="239">
        <v>35232.525562499999</v>
      </c>
      <c r="CX120" s="239">
        <v>3914.7250624999997</v>
      </c>
      <c r="CY120" s="239">
        <v>157213</v>
      </c>
      <c r="CZ120" s="239">
        <v>35373</v>
      </c>
      <c r="DA120" s="239">
        <v>3930</v>
      </c>
      <c r="DB120" s="239">
        <v>-624</v>
      </c>
      <c r="DC120" s="239">
        <v>-140</v>
      </c>
      <c r="DD120" s="239">
        <v>-15</v>
      </c>
      <c r="DE120" s="214">
        <v>0.5</v>
      </c>
      <c r="DF120" s="214">
        <v>0.4</v>
      </c>
      <c r="DG120" s="214">
        <v>0.09</v>
      </c>
      <c r="DH120" s="214">
        <v>0.01</v>
      </c>
      <c r="DI120" s="214" t="s">
        <v>1294</v>
      </c>
    </row>
    <row r="121" spans="1:113" s="214" customFormat="1" x14ac:dyDescent="0.2">
      <c r="B121" s="610" t="s">
        <v>325</v>
      </c>
      <c r="C121" s="610" t="s">
        <v>324</v>
      </c>
      <c r="D121" s="239">
        <v>-260507</v>
      </c>
      <c r="E121" s="239">
        <v>0</v>
      </c>
      <c r="F121" s="239">
        <v>-260507</v>
      </c>
      <c r="G121" s="239">
        <v>0</v>
      </c>
      <c r="H121" s="239">
        <v>0</v>
      </c>
      <c r="I121" s="239">
        <v>0</v>
      </c>
      <c r="J121" s="239">
        <v>-260507</v>
      </c>
      <c r="K121" s="239">
        <v>0</v>
      </c>
      <c r="L121" s="239">
        <v>-260507</v>
      </c>
      <c r="M121" s="239">
        <v>568907</v>
      </c>
      <c r="N121" s="239">
        <v>568907</v>
      </c>
      <c r="O121" s="239">
        <v>0</v>
      </c>
      <c r="P121" s="239">
        <v>0</v>
      </c>
      <c r="Q121" s="239">
        <v>0</v>
      </c>
      <c r="R121" s="239">
        <v>0</v>
      </c>
      <c r="S121" s="239">
        <v>0</v>
      </c>
      <c r="T121" s="239">
        <v>0</v>
      </c>
      <c r="U121" s="239">
        <v>0</v>
      </c>
      <c r="V121" s="239">
        <v>0</v>
      </c>
      <c r="W121" s="239">
        <v>0</v>
      </c>
      <c r="X121" s="239">
        <v>0</v>
      </c>
      <c r="Y121" s="239">
        <v>0</v>
      </c>
      <c r="Z121" s="239">
        <v>0</v>
      </c>
      <c r="AA121" s="239">
        <v>0</v>
      </c>
      <c r="AB121" s="239">
        <v>0</v>
      </c>
      <c r="AC121" s="239">
        <v>0</v>
      </c>
      <c r="AD121" s="239">
        <v>0</v>
      </c>
      <c r="AE121" s="239">
        <v>0</v>
      </c>
      <c r="AF121" s="239">
        <v>0</v>
      </c>
      <c r="AG121" s="239">
        <v>0</v>
      </c>
      <c r="AH121" s="239">
        <v>0</v>
      </c>
      <c r="AI121" s="239">
        <v>0</v>
      </c>
      <c r="AJ121" s="239">
        <v>0</v>
      </c>
      <c r="AK121" s="239">
        <v>377088.81781249994</v>
      </c>
      <c r="AL121" s="239">
        <v>251392.54520833335</v>
      </c>
      <c r="AM121" s="239">
        <v>0</v>
      </c>
      <c r="AN121" s="239">
        <v>344036</v>
      </c>
      <c r="AO121" s="239">
        <v>229358</v>
      </c>
      <c r="AP121" s="239">
        <v>0</v>
      </c>
      <c r="AQ121" s="239">
        <v>33053</v>
      </c>
      <c r="AR121" s="239">
        <v>22035</v>
      </c>
      <c r="AS121" s="239">
        <v>0</v>
      </c>
      <c r="AT121" s="239">
        <v>0</v>
      </c>
      <c r="AU121" s="239">
        <v>0</v>
      </c>
      <c r="AV121" s="239">
        <v>0</v>
      </c>
      <c r="AW121" s="239">
        <v>0</v>
      </c>
      <c r="AX121" s="239">
        <v>0</v>
      </c>
      <c r="AY121" s="239">
        <v>0</v>
      </c>
      <c r="AZ121" s="239">
        <v>0</v>
      </c>
      <c r="BA121" s="239">
        <v>0</v>
      </c>
      <c r="BB121" s="239">
        <v>0</v>
      </c>
      <c r="BC121" s="239">
        <v>0</v>
      </c>
      <c r="BD121" s="239">
        <v>0</v>
      </c>
      <c r="BE121" s="239">
        <v>0</v>
      </c>
      <c r="BF121" s="239">
        <v>115580</v>
      </c>
      <c r="BG121" s="239">
        <v>77054</v>
      </c>
      <c r="BH121" s="239">
        <v>0</v>
      </c>
      <c r="BI121" s="239">
        <v>-115580</v>
      </c>
      <c r="BJ121" s="239">
        <v>-77054</v>
      </c>
      <c r="BK121" s="239">
        <v>0</v>
      </c>
      <c r="BL121" s="239">
        <v>14817.888124999999</v>
      </c>
      <c r="BM121" s="239">
        <v>9878.592083333333</v>
      </c>
      <c r="BN121" s="239">
        <v>0</v>
      </c>
      <c r="BO121" s="239">
        <v>9253</v>
      </c>
      <c r="BP121" s="239">
        <v>6170</v>
      </c>
      <c r="BQ121" s="239">
        <v>0</v>
      </c>
      <c r="BR121" s="239">
        <v>5565</v>
      </c>
      <c r="BS121" s="239">
        <v>3709</v>
      </c>
      <c r="BT121" s="239">
        <v>0</v>
      </c>
      <c r="BU121" s="239">
        <v>638603.1</v>
      </c>
      <c r="BV121" s="239">
        <v>425735.4</v>
      </c>
      <c r="BW121" s="239">
        <v>0</v>
      </c>
      <c r="BX121" s="239">
        <v>448323</v>
      </c>
      <c r="BY121" s="239">
        <v>298882</v>
      </c>
      <c r="BZ121" s="239">
        <v>0</v>
      </c>
      <c r="CA121" s="239">
        <v>190280</v>
      </c>
      <c r="CB121" s="239">
        <v>126853</v>
      </c>
      <c r="CC121" s="239">
        <v>0</v>
      </c>
      <c r="CD121" s="239">
        <v>0</v>
      </c>
      <c r="CE121" s="239">
        <v>0</v>
      </c>
      <c r="CF121" s="239">
        <v>0</v>
      </c>
      <c r="CG121" s="239">
        <v>0</v>
      </c>
      <c r="CH121" s="239">
        <v>0</v>
      </c>
      <c r="CI121" s="239">
        <v>0</v>
      </c>
      <c r="CJ121" s="239">
        <v>0</v>
      </c>
      <c r="CK121" s="239">
        <v>0</v>
      </c>
      <c r="CL121" s="239">
        <v>0</v>
      </c>
      <c r="CM121" s="239">
        <v>5902.1356249999999</v>
      </c>
      <c r="CN121" s="239">
        <v>3934.7570833333334</v>
      </c>
      <c r="CO121" s="239">
        <v>0</v>
      </c>
      <c r="CP121" s="239">
        <v>0</v>
      </c>
      <c r="CQ121" s="239">
        <v>0</v>
      </c>
      <c r="CR121" s="239">
        <v>0</v>
      </c>
      <c r="CS121" s="239">
        <v>5902</v>
      </c>
      <c r="CT121" s="239">
        <v>3935</v>
      </c>
      <c r="CU121" s="239">
        <v>0</v>
      </c>
      <c r="CV121" s="239">
        <v>920248.86187499983</v>
      </c>
      <c r="CW121" s="239">
        <v>613499.2412500002</v>
      </c>
      <c r="CX121" s="239">
        <v>0</v>
      </c>
      <c r="CY121" s="239">
        <v>822749</v>
      </c>
      <c r="CZ121" s="239">
        <v>548500</v>
      </c>
      <c r="DA121" s="239">
        <v>0</v>
      </c>
      <c r="DB121" s="239">
        <v>97500</v>
      </c>
      <c r="DC121" s="239">
        <v>64999</v>
      </c>
      <c r="DD121" s="239">
        <v>0</v>
      </c>
      <c r="DE121" s="214">
        <v>0.5</v>
      </c>
      <c r="DF121" s="214">
        <v>0.3</v>
      </c>
      <c r="DG121" s="214">
        <v>0.2</v>
      </c>
      <c r="DH121" s="214">
        <v>0</v>
      </c>
      <c r="DI121" s="214" t="s">
        <v>1297</v>
      </c>
    </row>
    <row r="122" spans="1:113" s="214" customFormat="1" x14ac:dyDescent="0.2">
      <c r="B122" s="610" t="s">
        <v>327</v>
      </c>
      <c r="C122" s="610" t="s">
        <v>326</v>
      </c>
      <c r="D122" s="239">
        <v>1882</v>
      </c>
      <c r="E122" s="239">
        <v>0</v>
      </c>
      <c r="F122" s="239">
        <v>1882</v>
      </c>
      <c r="G122" s="239">
        <v>0</v>
      </c>
      <c r="H122" s="239">
        <v>0</v>
      </c>
      <c r="I122" s="239">
        <v>0</v>
      </c>
      <c r="J122" s="239">
        <v>1882</v>
      </c>
      <c r="K122" s="239">
        <v>0</v>
      </c>
      <c r="L122" s="239">
        <v>1882</v>
      </c>
      <c r="M122" s="239">
        <v>126157</v>
      </c>
      <c r="N122" s="239">
        <v>126157</v>
      </c>
      <c r="O122" s="239">
        <v>0</v>
      </c>
      <c r="P122" s="239">
        <v>0</v>
      </c>
      <c r="Q122" s="239">
        <v>0</v>
      </c>
      <c r="R122" s="239">
        <v>0</v>
      </c>
      <c r="S122" s="239">
        <v>0</v>
      </c>
      <c r="T122" s="239">
        <v>0</v>
      </c>
      <c r="U122" s="239">
        <v>0</v>
      </c>
      <c r="V122" s="239">
        <v>0</v>
      </c>
      <c r="W122" s="239">
        <v>0</v>
      </c>
      <c r="X122" s="239">
        <v>0</v>
      </c>
      <c r="Y122" s="239">
        <v>0</v>
      </c>
      <c r="Z122" s="239">
        <v>0</v>
      </c>
      <c r="AA122" s="239">
        <v>0</v>
      </c>
      <c r="AB122" s="239">
        <v>0</v>
      </c>
      <c r="AC122" s="239">
        <v>0</v>
      </c>
      <c r="AD122" s="239">
        <v>0</v>
      </c>
      <c r="AE122" s="239">
        <v>0</v>
      </c>
      <c r="AF122" s="239">
        <v>0</v>
      </c>
      <c r="AG122" s="239">
        <v>0</v>
      </c>
      <c r="AH122" s="239">
        <v>0</v>
      </c>
      <c r="AI122" s="239">
        <v>0</v>
      </c>
      <c r="AJ122" s="239">
        <v>0</v>
      </c>
      <c r="AK122" s="239">
        <v>379772.13708333339</v>
      </c>
      <c r="AL122" s="239">
        <v>85448.730843749989</v>
      </c>
      <c r="AM122" s="239">
        <v>9494.3034270833341</v>
      </c>
      <c r="AN122" s="239">
        <v>352772</v>
      </c>
      <c r="AO122" s="239">
        <v>79374</v>
      </c>
      <c r="AP122" s="239">
        <v>8820</v>
      </c>
      <c r="AQ122" s="239">
        <v>27000</v>
      </c>
      <c r="AR122" s="239">
        <v>6075</v>
      </c>
      <c r="AS122" s="239">
        <v>674</v>
      </c>
      <c r="AT122" s="239">
        <v>2343.6875</v>
      </c>
      <c r="AU122" s="239">
        <v>527.32968749999998</v>
      </c>
      <c r="AV122" s="239">
        <v>58.592187500000001</v>
      </c>
      <c r="AW122" s="239">
        <v>0</v>
      </c>
      <c r="AX122" s="239">
        <v>0</v>
      </c>
      <c r="AY122" s="239">
        <v>0</v>
      </c>
      <c r="AZ122" s="239">
        <v>2344</v>
      </c>
      <c r="BA122" s="239">
        <v>527</v>
      </c>
      <c r="BB122" s="239">
        <v>59</v>
      </c>
      <c r="BC122" s="239">
        <v>3239.7674999999999</v>
      </c>
      <c r="BD122" s="239">
        <v>728.9476874999998</v>
      </c>
      <c r="BE122" s="239">
        <v>80.994187499999981</v>
      </c>
      <c r="BF122" s="239">
        <v>15016</v>
      </c>
      <c r="BG122" s="239">
        <v>3378</v>
      </c>
      <c r="BH122" s="239">
        <v>376</v>
      </c>
      <c r="BI122" s="239">
        <v>-11776</v>
      </c>
      <c r="BJ122" s="239">
        <v>-2649</v>
      </c>
      <c r="BK122" s="239">
        <v>-295</v>
      </c>
      <c r="BL122" s="239">
        <v>0</v>
      </c>
      <c r="BM122" s="239">
        <v>0</v>
      </c>
      <c r="BN122" s="239">
        <v>0</v>
      </c>
      <c r="BO122" s="239">
        <v>0</v>
      </c>
      <c r="BP122" s="239">
        <v>0</v>
      </c>
      <c r="BQ122" s="239">
        <v>0</v>
      </c>
      <c r="BR122" s="239">
        <v>0</v>
      </c>
      <c r="BS122" s="239">
        <v>0</v>
      </c>
      <c r="BT122" s="239">
        <v>0</v>
      </c>
      <c r="BU122" s="239">
        <v>159192.995</v>
      </c>
      <c r="BV122" s="239">
        <v>35818.423875</v>
      </c>
      <c r="BW122" s="239">
        <v>3979.8248749999998</v>
      </c>
      <c r="BX122" s="239">
        <v>140901</v>
      </c>
      <c r="BY122" s="239">
        <v>31702</v>
      </c>
      <c r="BZ122" s="239">
        <v>3522</v>
      </c>
      <c r="CA122" s="239">
        <v>18292</v>
      </c>
      <c r="CB122" s="239">
        <v>4116</v>
      </c>
      <c r="CC122" s="239">
        <v>458</v>
      </c>
      <c r="CD122" s="239">
        <v>0</v>
      </c>
      <c r="CE122" s="239">
        <v>0</v>
      </c>
      <c r="CF122" s="239">
        <v>0</v>
      </c>
      <c r="CG122" s="239">
        <v>0</v>
      </c>
      <c r="CH122" s="239">
        <v>0</v>
      </c>
      <c r="CI122" s="239">
        <v>0</v>
      </c>
      <c r="CJ122" s="239">
        <v>0</v>
      </c>
      <c r="CK122" s="239">
        <v>0</v>
      </c>
      <c r="CL122" s="239">
        <v>0</v>
      </c>
      <c r="CM122" s="239">
        <v>2085.5775000000003</v>
      </c>
      <c r="CN122" s="239">
        <v>469.25493750000004</v>
      </c>
      <c r="CO122" s="239">
        <v>52.139437500000007</v>
      </c>
      <c r="CP122" s="239">
        <v>0</v>
      </c>
      <c r="CQ122" s="239">
        <v>0</v>
      </c>
      <c r="CR122" s="239">
        <v>0</v>
      </c>
      <c r="CS122" s="239">
        <v>2086</v>
      </c>
      <c r="CT122" s="239">
        <v>469</v>
      </c>
      <c r="CU122" s="239">
        <v>52</v>
      </c>
      <c r="CV122" s="239">
        <v>212897.9941666667</v>
      </c>
      <c r="CW122" s="239">
        <v>47902.048687499992</v>
      </c>
      <c r="CX122" s="239">
        <v>5322.4498541666662</v>
      </c>
      <c r="CY122" s="239">
        <v>222815</v>
      </c>
      <c r="CZ122" s="239">
        <v>50133</v>
      </c>
      <c r="DA122" s="239">
        <v>5570</v>
      </c>
      <c r="DB122" s="239">
        <v>-9917</v>
      </c>
      <c r="DC122" s="239">
        <v>-2231</v>
      </c>
      <c r="DD122" s="239">
        <v>-248</v>
      </c>
      <c r="DE122" s="214">
        <v>0.5</v>
      </c>
      <c r="DF122" s="214">
        <v>0.4</v>
      </c>
      <c r="DG122" s="214">
        <v>0.09</v>
      </c>
      <c r="DH122" s="214">
        <v>0.01</v>
      </c>
      <c r="DI122" s="214" t="s">
        <v>1294</v>
      </c>
    </row>
    <row r="123" spans="1:113" s="214" customFormat="1" x14ac:dyDescent="0.2">
      <c r="B123" s="610" t="s">
        <v>329</v>
      </c>
      <c r="C123" s="610" t="s">
        <v>328</v>
      </c>
      <c r="D123" s="239">
        <v>-32284</v>
      </c>
      <c r="E123" s="239">
        <v>0</v>
      </c>
      <c r="F123" s="239">
        <v>-32284</v>
      </c>
      <c r="G123" s="239">
        <v>0</v>
      </c>
      <c r="H123" s="239">
        <v>0</v>
      </c>
      <c r="I123" s="239">
        <v>0</v>
      </c>
      <c r="J123" s="239">
        <v>-32284</v>
      </c>
      <c r="K123" s="239">
        <v>0</v>
      </c>
      <c r="L123" s="239">
        <v>-32284</v>
      </c>
      <c r="M123" s="239">
        <v>307187</v>
      </c>
      <c r="N123" s="239">
        <v>307187</v>
      </c>
      <c r="O123" s="239">
        <v>0</v>
      </c>
      <c r="P123" s="239">
        <v>0</v>
      </c>
      <c r="Q123" s="239">
        <v>0</v>
      </c>
      <c r="R123" s="239">
        <v>0</v>
      </c>
      <c r="S123" s="239">
        <v>0</v>
      </c>
      <c r="T123" s="239">
        <v>0</v>
      </c>
      <c r="U123" s="239">
        <v>0</v>
      </c>
      <c r="V123" s="239">
        <v>0</v>
      </c>
      <c r="W123" s="239">
        <v>0</v>
      </c>
      <c r="X123" s="239">
        <v>0</v>
      </c>
      <c r="Y123" s="239">
        <v>0</v>
      </c>
      <c r="Z123" s="239">
        <v>0</v>
      </c>
      <c r="AA123" s="239">
        <v>0</v>
      </c>
      <c r="AB123" s="239">
        <v>0</v>
      </c>
      <c r="AC123" s="239">
        <v>0</v>
      </c>
      <c r="AD123" s="239">
        <v>0</v>
      </c>
      <c r="AE123" s="239">
        <v>0</v>
      </c>
      <c r="AF123" s="239">
        <v>0</v>
      </c>
      <c r="AG123" s="239">
        <v>0</v>
      </c>
      <c r="AH123" s="239">
        <v>0</v>
      </c>
      <c r="AI123" s="239">
        <v>0</v>
      </c>
      <c r="AJ123" s="239">
        <v>0</v>
      </c>
      <c r="AK123" s="239">
        <v>667023.20250000001</v>
      </c>
      <c r="AL123" s="239">
        <v>444682.13500000007</v>
      </c>
      <c r="AM123" s="239">
        <v>0</v>
      </c>
      <c r="AN123" s="239">
        <v>636080</v>
      </c>
      <c r="AO123" s="239">
        <v>424054</v>
      </c>
      <c r="AP123" s="239">
        <v>0</v>
      </c>
      <c r="AQ123" s="239">
        <v>30943</v>
      </c>
      <c r="AR123" s="239">
        <v>20628</v>
      </c>
      <c r="AS123" s="239">
        <v>0</v>
      </c>
      <c r="AT123" s="239">
        <v>81837.001874999987</v>
      </c>
      <c r="AU123" s="239">
        <v>54558.001250000001</v>
      </c>
      <c r="AV123" s="239">
        <v>0</v>
      </c>
      <c r="AW123" s="239">
        <v>0</v>
      </c>
      <c r="AX123" s="239">
        <v>0</v>
      </c>
      <c r="AY123" s="239">
        <v>0</v>
      </c>
      <c r="AZ123" s="239">
        <v>81837</v>
      </c>
      <c r="BA123" s="239">
        <v>54558</v>
      </c>
      <c r="BB123" s="239">
        <v>0</v>
      </c>
      <c r="BC123" s="239">
        <v>26193.599374999998</v>
      </c>
      <c r="BD123" s="239">
        <v>17462.399583333336</v>
      </c>
      <c r="BE123" s="239">
        <v>0</v>
      </c>
      <c r="BF123" s="239">
        <v>30611</v>
      </c>
      <c r="BG123" s="239">
        <v>20408</v>
      </c>
      <c r="BH123" s="239">
        <v>0</v>
      </c>
      <c r="BI123" s="239">
        <v>-4417</v>
      </c>
      <c r="BJ123" s="239">
        <v>-2946</v>
      </c>
      <c r="BK123" s="239">
        <v>0</v>
      </c>
      <c r="BL123" s="239">
        <v>6821.3481250000004</v>
      </c>
      <c r="BM123" s="239">
        <v>4547.5654166666664</v>
      </c>
      <c r="BN123" s="239">
        <v>0</v>
      </c>
      <c r="BO123" s="239">
        <v>0</v>
      </c>
      <c r="BP123" s="239">
        <v>0</v>
      </c>
      <c r="BQ123" s="239">
        <v>0</v>
      </c>
      <c r="BR123" s="239">
        <v>6821</v>
      </c>
      <c r="BS123" s="239">
        <v>4548</v>
      </c>
      <c r="BT123" s="239">
        <v>0</v>
      </c>
      <c r="BU123" s="239">
        <v>838764.05687500001</v>
      </c>
      <c r="BV123" s="239">
        <v>559176.03791666671</v>
      </c>
      <c r="BW123" s="239">
        <v>0</v>
      </c>
      <c r="BX123" s="239">
        <v>929430</v>
      </c>
      <c r="BY123" s="239">
        <v>619620</v>
      </c>
      <c r="BZ123" s="239">
        <v>0</v>
      </c>
      <c r="CA123" s="239">
        <v>-90666</v>
      </c>
      <c r="CB123" s="239">
        <v>-60444</v>
      </c>
      <c r="CC123" s="239">
        <v>0</v>
      </c>
      <c r="CD123" s="239">
        <v>0</v>
      </c>
      <c r="CE123" s="239">
        <v>0</v>
      </c>
      <c r="CF123" s="239">
        <v>0</v>
      </c>
      <c r="CG123" s="239">
        <v>0</v>
      </c>
      <c r="CH123" s="239">
        <v>0</v>
      </c>
      <c r="CI123" s="239">
        <v>0</v>
      </c>
      <c r="CJ123" s="239">
        <v>0</v>
      </c>
      <c r="CK123" s="239">
        <v>0</v>
      </c>
      <c r="CL123" s="239">
        <v>0</v>
      </c>
      <c r="CM123" s="239">
        <v>0</v>
      </c>
      <c r="CN123" s="239">
        <v>0</v>
      </c>
      <c r="CO123" s="239">
        <v>0</v>
      </c>
      <c r="CP123" s="239">
        <v>0</v>
      </c>
      <c r="CQ123" s="239">
        <v>0</v>
      </c>
      <c r="CR123" s="239">
        <v>0</v>
      </c>
      <c r="CS123" s="239">
        <v>0</v>
      </c>
      <c r="CT123" s="239">
        <v>0</v>
      </c>
      <c r="CU123" s="239">
        <v>0</v>
      </c>
      <c r="CV123" s="239">
        <v>245661.19781874999</v>
      </c>
      <c r="CW123" s="239">
        <v>163774.13187916667</v>
      </c>
      <c r="CX123" s="239">
        <v>0</v>
      </c>
      <c r="CY123" s="239">
        <v>281531</v>
      </c>
      <c r="CZ123" s="239">
        <v>187687</v>
      </c>
      <c r="DA123" s="239">
        <v>0</v>
      </c>
      <c r="DB123" s="239">
        <v>-35870</v>
      </c>
      <c r="DC123" s="239">
        <v>-23913</v>
      </c>
      <c r="DD123" s="239">
        <v>0</v>
      </c>
      <c r="DE123" s="214">
        <v>0.5</v>
      </c>
      <c r="DF123" s="214">
        <v>0.3</v>
      </c>
      <c r="DG123" s="214">
        <v>0.2</v>
      </c>
      <c r="DH123" s="214">
        <v>0</v>
      </c>
      <c r="DI123" s="214" t="s">
        <v>1295</v>
      </c>
    </row>
    <row r="124" spans="1:113" s="214" customFormat="1" x14ac:dyDescent="0.2">
      <c r="B124" s="610" t="s">
        <v>331</v>
      </c>
      <c r="C124" s="610" t="s">
        <v>330</v>
      </c>
      <c r="D124" s="239">
        <v>-246878</v>
      </c>
      <c r="E124" s="239">
        <v>-4074</v>
      </c>
      <c r="F124" s="239">
        <v>-250952</v>
      </c>
      <c r="G124" s="239">
        <v>0</v>
      </c>
      <c r="H124" s="239">
        <v>0</v>
      </c>
      <c r="I124" s="239">
        <v>0</v>
      </c>
      <c r="J124" s="239">
        <v>-246878</v>
      </c>
      <c r="K124" s="239">
        <v>-4074</v>
      </c>
      <c r="L124" s="239">
        <v>-250952</v>
      </c>
      <c r="M124" s="239">
        <v>120638</v>
      </c>
      <c r="N124" s="239">
        <v>120638</v>
      </c>
      <c r="O124" s="239">
        <v>0</v>
      </c>
      <c r="P124" s="239">
        <v>0</v>
      </c>
      <c r="Q124" s="239">
        <v>0</v>
      </c>
      <c r="R124" s="239">
        <v>0</v>
      </c>
      <c r="S124" s="239">
        <v>0</v>
      </c>
      <c r="T124" s="239">
        <v>0</v>
      </c>
      <c r="U124" s="239">
        <v>0</v>
      </c>
      <c r="V124" s="239">
        <v>0</v>
      </c>
      <c r="W124" s="239">
        <v>0</v>
      </c>
      <c r="X124" s="239">
        <v>0</v>
      </c>
      <c r="Y124" s="239">
        <v>0</v>
      </c>
      <c r="Z124" s="239">
        <v>0</v>
      </c>
      <c r="AA124" s="239">
        <v>0</v>
      </c>
      <c r="AB124" s="239">
        <v>0</v>
      </c>
      <c r="AC124" s="239">
        <v>0</v>
      </c>
      <c r="AD124" s="239">
        <v>0</v>
      </c>
      <c r="AE124" s="239">
        <v>0</v>
      </c>
      <c r="AF124" s="239">
        <v>0</v>
      </c>
      <c r="AG124" s="239">
        <v>0</v>
      </c>
      <c r="AH124" s="239">
        <v>0</v>
      </c>
      <c r="AI124" s="239">
        <v>0</v>
      </c>
      <c r="AJ124" s="239">
        <v>0</v>
      </c>
      <c r="AK124" s="239">
        <v>192424.04875000002</v>
      </c>
      <c r="AL124" s="239">
        <v>38845.296281249997</v>
      </c>
      <c r="AM124" s="239">
        <v>4316.1440312499999</v>
      </c>
      <c r="AN124" s="239">
        <v>173674</v>
      </c>
      <c r="AO124" s="239">
        <v>39076</v>
      </c>
      <c r="AP124" s="239">
        <v>4342</v>
      </c>
      <c r="AQ124" s="239">
        <v>18750</v>
      </c>
      <c r="AR124" s="239">
        <v>-231</v>
      </c>
      <c r="AS124" s="239">
        <v>-26</v>
      </c>
      <c r="AT124" s="239">
        <v>34195.110833333332</v>
      </c>
      <c r="AU124" s="239">
        <v>7693.8999374999994</v>
      </c>
      <c r="AV124" s="239">
        <v>854.87777083333333</v>
      </c>
      <c r="AW124" s="239">
        <v>0</v>
      </c>
      <c r="AX124" s="239">
        <v>0</v>
      </c>
      <c r="AY124" s="239">
        <v>0</v>
      </c>
      <c r="AZ124" s="239">
        <v>34195</v>
      </c>
      <c r="BA124" s="239">
        <v>7694</v>
      </c>
      <c r="BB124" s="239">
        <v>855</v>
      </c>
      <c r="BC124" s="239">
        <v>0</v>
      </c>
      <c r="BD124" s="239">
        <v>0</v>
      </c>
      <c r="BE124" s="239">
        <v>0</v>
      </c>
      <c r="BF124" s="239">
        <v>0</v>
      </c>
      <c r="BG124" s="239">
        <v>0</v>
      </c>
      <c r="BH124" s="239">
        <v>0</v>
      </c>
      <c r="BI124" s="239">
        <v>0</v>
      </c>
      <c r="BJ124" s="239">
        <v>0</v>
      </c>
      <c r="BK124" s="239">
        <v>0</v>
      </c>
      <c r="BL124" s="239">
        <v>3574.9858333333332</v>
      </c>
      <c r="BM124" s="239">
        <v>804.37181249999992</v>
      </c>
      <c r="BN124" s="239">
        <v>89.374645833333332</v>
      </c>
      <c r="BO124" s="239">
        <v>5053</v>
      </c>
      <c r="BP124" s="239">
        <v>1136</v>
      </c>
      <c r="BQ124" s="239">
        <v>126</v>
      </c>
      <c r="BR124" s="239">
        <v>-1478</v>
      </c>
      <c r="BS124" s="239">
        <v>-332</v>
      </c>
      <c r="BT124" s="239">
        <v>-37</v>
      </c>
      <c r="BU124" s="239">
        <v>110622.05</v>
      </c>
      <c r="BV124" s="239">
        <v>24827.412187499998</v>
      </c>
      <c r="BW124" s="239">
        <v>2758.6013541666666</v>
      </c>
      <c r="BX124" s="239">
        <v>67586</v>
      </c>
      <c r="BY124" s="239">
        <v>15208</v>
      </c>
      <c r="BZ124" s="239">
        <v>1690</v>
      </c>
      <c r="CA124" s="239">
        <v>43036</v>
      </c>
      <c r="CB124" s="239">
        <v>9619</v>
      </c>
      <c r="CC124" s="239">
        <v>1069</v>
      </c>
      <c r="CD124" s="239">
        <v>0</v>
      </c>
      <c r="CE124" s="239">
        <v>0</v>
      </c>
      <c r="CF124" s="239">
        <v>0</v>
      </c>
      <c r="CG124" s="239">
        <v>0</v>
      </c>
      <c r="CH124" s="239">
        <v>0</v>
      </c>
      <c r="CI124" s="239">
        <v>0</v>
      </c>
      <c r="CJ124" s="239">
        <v>0</v>
      </c>
      <c r="CK124" s="239">
        <v>0</v>
      </c>
      <c r="CL124" s="239">
        <v>0</v>
      </c>
      <c r="CM124" s="239">
        <v>3234.8975</v>
      </c>
      <c r="CN124" s="239">
        <v>727.85193749999996</v>
      </c>
      <c r="CO124" s="239">
        <v>80.872437500000004</v>
      </c>
      <c r="CP124" s="239">
        <v>0</v>
      </c>
      <c r="CQ124" s="239">
        <v>0</v>
      </c>
      <c r="CR124" s="239">
        <v>0</v>
      </c>
      <c r="CS124" s="239">
        <v>3235</v>
      </c>
      <c r="CT124" s="239">
        <v>728</v>
      </c>
      <c r="CU124" s="239">
        <v>81</v>
      </c>
      <c r="CV124" s="239">
        <v>274750.50166666671</v>
      </c>
      <c r="CW124" s="239">
        <v>61818.862874999999</v>
      </c>
      <c r="CX124" s="239">
        <v>6868.7625416666669</v>
      </c>
      <c r="CY124" s="239">
        <v>264102</v>
      </c>
      <c r="CZ124" s="239">
        <v>59423</v>
      </c>
      <c r="DA124" s="239">
        <v>6603</v>
      </c>
      <c r="DB124" s="239">
        <v>10649</v>
      </c>
      <c r="DC124" s="239">
        <v>2396</v>
      </c>
      <c r="DD124" s="239">
        <v>266</v>
      </c>
      <c r="DE124" s="214">
        <v>0.5</v>
      </c>
      <c r="DF124" s="214">
        <v>0.4</v>
      </c>
      <c r="DG124" s="214">
        <v>0.09</v>
      </c>
      <c r="DH124" s="214">
        <v>0.01</v>
      </c>
      <c r="DI124" s="214" t="s">
        <v>1294</v>
      </c>
    </row>
    <row r="125" spans="1:113" s="214" customFormat="1" x14ac:dyDescent="0.2">
      <c r="B125" s="610" t="s">
        <v>333</v>
      </c>
      <c r="C125" s="610" t="s">
        <v>332</v>
      </c>
      <c r="D125" s="239">
        <v>-122566</v>
      </c>
      <c r="E125" s="239">
        <v>0</v>
      </c>
      <c r="F125" s="239">
        <v>-122566</v>
      </c>
      <c r="G125" s="239">
        <v>0</v>
      </c>
      <c r="H125" s="239">
        <v>0</v>
      </c>
      <c r="I125" s="239">
        <v>0</v>
      </c>
      <c r="J125" s="239">
        <v>-122566</v>
      </c>
      <c r="K125" s="239">
        <v>0</v>
      </c>
      <c r="L125" s="239">
        <v>-122566</v>
      </c>
      <c r="M125" s="239">
        <v>287230</v>
      </c>
      <c r="N125" s="239">
        <v>287230</v>
      </c>
      <c r="O125" s="239">
        <v>0</v>
      </c>
      <c r="P125" s="239">
        <v>0</v>
      </c>
      <c r="Q125" s="239">
        <v>0</v>
      </c>
      <c r="R125" s="239">
        <v>0</v>
      </c>
      <c r="S125" s="239">
        <v>0</v>
      </c>
      <c r="T125" s="239">
        <v>0</v>
      </c>
      <c r="U125" s="239">
        <v>0</v>
      </c>
      <c r="V125" s="239">
        <v>0</v>
      </c>
      <c r="W125" s="239">
        <v>0</v>
      </c>
      <c r="X125" s="239">
        <v>0</v>
      </c>
      <c r="Y125" s="239">
        <v>0</v>
      </c>
      <c r="Z125" s="239">
        <v>0</v>
      </c>
      <c r="AA125" s="239">
        <v>0</v>
      </c>
      <c r="AB125" s="239">
        <v>0</v>
      </c>
      <c r="AC125" s="239">
        <v>0</v>
      </c>
      <c r="AD125" s="239">
        <v>0</v>
      </c>
      <c r="AE125" s="239">
        <v>0</v>
      </c>
      <c r="AF125" s="239">
        <v>0</v>
      </c>
      <c r="AG125" s="239">
        <v>0</v>
      </c>
      <c r="AH125" s="239">
        <v>0</v>
      </c>
      <c r="AI125" s="239">
        <v>0</v>
      </c>
      <c r="AJ125" s="239">
        <v>0</v>
      </c>
      <c r="AK125" s="239">
        <v>1056209.0495833333</v>
      </c>
      <c r="AL125" s="239">
        <v>237647.03615624999</v>
      </c>
      <c r="AM125" s="239">
        <v>26405.226239583335</v>
      </c>
      <c r="AN125" s="239">
        <v>975827</v>
      </c>
      <c r="AO125" s="239">
        <v>219560</v>
      </c>
      <c r="AP125" s="239">
        <v>24396</v>
      </c>
      <c r="AQ125" s="239">
        <v>80382</v>
      </c>
      <c r="AR125" s="239">
        <v>18087</v>
      </c>
      <c r="AS125" s="239">
        <v>2009</v>
      </c>
      <c r="AT125" s="239">
        <v>2756.0141666666668</v>
      </c>
      <c r="AU125" s="239">
        <v>620.10318749999999</v>
      </c>
      <c r="AV125" s="239">
        <v>68.900354166666673</v>
      </c>
      <c r="AW125" s="239">
        <v>4057</v>
      </c>
      <c r="AX125" s="239">
        <v>914</v>
      </c>
      <c r="AY125" s="239">
        <v>102</v>
      </c>
      <c r="AZ125" s="239">
        <v>-1301</v>
      </c>
      <c r="BA125" s="239">
        <v>-294</v>
      </c>
      <c r="BB125" s="239">
        <v>-33</v>
      </c>
      <c r="BC125" s="239">
        <v>-8024.1366666666654</v>
      </c>
      <c r="BD125" s="239">
        <v>-1805.4307499999995</v>
      </c>
      <c r="BE125" s="239">
        <v>-200.60341666666665</v>
      </c>
      <c r="BF125" s="239">
        <v>19333</v>
      </c>
      <c r="BG125" s="239">
        <v>4350</v>
      </c>
      <c r="BH125" s="239">
        <v>484</v>
      </c>
      <c r="BI125" s="239">
        <v>-27357</v>
      </c>
      <c r="BJ125" s="239">
        <v>-6155</v>
      </c>
      <c r="BK125" s="239">
        <v>-685</v>
      </c>
      <c r="BL125" s="239">
        <v>22305.005833333336</v>
      </c>
      <c r="BM125" s="239">
        <v>5018.6263125000005</v>
      </c>
      <c r="BN125" s="239">
        <v>557.62514583333336</v>
      </c>
      <c r="BO125" s="239">
        <v>15360</v>
      </c>
      <c r="BP125" s="239">
        <v>3456</v>
      </c>
      <c r="BQ125" s="239">
        <v>384</v>
      </c>
      <c r="BR125" s="239">
        <v>6945</v>
      </c>
      <c r="BS125" s="239">
        <v>1563</v>
      </c>
      <c r="BT125" s="239">
        <v>174</v>
      </c>
      <c r="BU125" s="239">
        <v>493412.97833333333</v>
      </c>
      <c r="BV125" s="239">
        <v>111017.92012499998</v>
      </c>
      <c r="BW125" s="239">
        <v>12335.324458333333</v>
      </c>
      <c r="BX125" s="239">
        <v>546835</v>
      </c>
      <c r="BY125" s="239">
        <v>123038</v>
      </c>
      <c r="BZ125" s="239">
        <v>13670</v>
      </c>
      <c r="CA125" s="239">
        <v>-53422</v>
      </c>
      <c r="CB125" s="239">
        <v>-12020</v>
      </c>
      <c r="CC125" s="239">
        <v>-1335</v>
      </c>
      <c r="CD125" s="239">
        <v>24261.93416666667</v>
      </c>
      <c r="CE125" s="239">
        <v>5458.9351875000002</v>
      </c>
      <c r="CF125" s="239">
        <v>606.54835416666674</v>
      </c>
      <c r="CG125" s="239">
        <v>24404</v>
      </c>
      <c r="CH125" s="239">
        <v>0</v>
      </c>
      <c r="CI125" s="239">
        <v>0</v>
      </c>
      <c r="CJ125" s="239">
        <v>-142</v>
      </c>
      <c r="CK125" s="239">
        <v>5459</v>
      </c>
      <c r="CL125" s="239">
        <v>607</v>
      </c>
      <c r="CM125" s="239">
        <v>8606.9133333333339</v>
      </c>
      <c r="CN125" s="239">
        <v>1936.5554999999999</v>
      </c>
      <c r="CO125" s="239">
        <v>215.17283333333333</v>
      </c>
      <c r="CP125" s="239">
        <v>0</v>
      </c>
      <c r="CQ125" s="239">
        <v>0</v>
      </c>
      <c r="CR125" s="239">
        <v>0</v>
      </c>
      <c r="CS125" s="239">
        <v>8607</v>
      </c>
      <c r="CT125" s="239">
        <v>1937</v>
      </c>
      <c r="CU125" s="239">
        <v>215</v>
      </c>
      <c r="CV125" s="239">
        <v>340796.12583333341</v>
      </c>
      <c r="CW125" s="239">
        <v>76679.128312500005</v>
      </c>
      <c r="CX125" s="239">
        <v>8519.9031458333338</v>
      </c>
      <c r="CY125" s="239">
        <v>348444</v>
      </c>
      <c r="CZ125" s="239">
        <v>78400</v>
      </c>
      <c r="DA125" s="239">
        <v>8711</v>
      </c>
      <c r="DB125" s="239">
        <v>-7648</v>
      </c>
      <c r="DC125" s="239">
        <v>-1721</v>
      </c>
      <c r="DD125" s="239">
        <v>-191</v>
      </c>
      <c r="DE125" s="214">
        <v>0.5</v>
      </c>
      <c r="DF125" s="214">
        <v>0.4</v>
      </c>
      <c r="DG125" s="214">
        <v>0.09</v>
      </c>
      <c r="DH125" s="214">
        <v>0.01</v>
      </c>
      <c r="DI125" s="214" t="s">
        <v>1294</v>
      </c>
    </row>
    <row r="126" spans="1:113" s="214" customFormat="1" x14ac:dyDescent="0.2">
      <c r="B126" s="610" t="s">
        <v>335</v>
      </c>
      <c r="C126" s="610" t="s">
        <v>334</v>
      </c>
      <c r="D126" s="239">
        <v>-411402</v>
      </c>
      <c r="E126" s="239">
        <v>0</v>
      </c>
      <c r="F126" s="239">
        <v>-411402</v>
      </c>
      <c r="G126" s="239">
        <v>0</v>
      </c>
      <c r="H126" s="239">
        <v>0</v>
      </c>
      <c r="I126" s="239">
        <v>0</v>
      </c>
      <c r="J126" s="239">
        <v>-411402</v>
      </c>
      <c r="K126" s="239">
        <v>0</v>
      </c>
      <c r="L126" s="239">
        <v>-411402</v>
      </c>
      <c r="M126" s="239">
        <v>254409</v>
      </c>
      <c r="N126" s="239">
        <v>254409</v>
      </c>
      <c r="O126" s="239">
        <v>0</v>
      </c>
      <c r="P126" s="239">
        <v>0</v>
      </c>
      <c r="Q126" s="239">
        <v>0</v>
      </c>
      <c r="R126" s="239">
        <v>0</v>
      </c>
      <c r="S126" s="239">
        <v>0</v>
      </c>
      <c r="T126" s="239">
        <v>0</v>
      </c>
      <c r="U126" s="239">
        <v>0</v>
      </c>
      <c r="V126" s="239">
        <v>0</v>
      </c>
      <c r="W126" s="239">
        <v>0</v>
      </c>
      <c r="X126" s="239">
        <v>0</v>
      </c>
      <c r="Y126" s="239">
        <v>0</v>
      </c>
      <c r="Z126" s="239">
        <v>0</v>
      </c>
      <c r="AA126" s="239">
        <v>0</v>
      </c>
      <c r="AB126" s="239">
        <v>0</v>
      </c>
      <c r="AC126" s="239">
        <v>0</v>
      </c>
      <c r="AD126" s="239">
        <v>0</v>
      </c>
      <c r="AE126" s="239">
        <v>0</v>
      </c>
      <c r="AF126" s="239">
        <v>0</v>
      </c>
      <c r="AG126" s="239">
        <v>0</v>
      </c>
      <c r="AH126" s="239">
        <v>0</v>
      </c>
      <c r="AI126" s="239">
        <v>0</v>
      </c>
      <c r="AJ126" s="239">
        <v>0</v>
      </c>
      <c r="AK126" s="239">
        <v>463948.92031250003</v>
      </c>
      <c r="AL126" s="239">
        <v>309299.28020833334</v>
      </c>
      <c r="AM126" s="239">
        <v>0</v>
      </c>
      <c r="AN126" s="239">
        <v>483196</v>
      </c>
      <c r="AO126" s="239">
        <v>322130</v>
      </c>
      <c r="AP126" s="239">
        <v>0</v>
      </c>
      <c r="AQ126" s="239">
        <v>-19247</v>
      </c>
      <c r="AR126" s="239">
        <v>-12831</v>
      </c>
      <c r="AS126" s="239">
        <v>0</v>
      </c>
      <c r="AT126" s="239">
        <v>0</v>
      </c>
      <c r="AU126" s="239">
        <v>0</v>
      </c>
      <c r="AV126" s="239">
        <v>0</v>
      </c>
      <c r="AW126" s="239">
        <v>0</v>
      </c>
      <c r="AX126" s="239">
        <v>0</v>
      </c>
      <c r="AY126" s="239">
        <v>0</v>
      </c>
      <c r="AZ126" s="239">
        <v>0</v>
      </c>
      <c r="BA126" s="239">
        <v>0</v>
      </c>
      <c r="BB126" s="239">
        <v>0</v>
      </c>
      <c r="BC126" s="239">
        <v>0</v>
      </c>
      <c r="BD126" s="239">
        <v>0</v>
      </c>
      <c r="BE126" s="239">
        <v>0</v>
      </c>
      <c r="BF126" s="239">
        <v>15219</v>
      </c>
      <c r="BG126" s="239">
        <v>10146</v>
      </c>
      <c r="BH126" s="239">
        <v>0</v>
      </c>
      <c r="BI126" s="239">
        <v>-15219</v>
      </c>
      <c r="BJ126" s="239">
        <v>-10146</v>
      </c>
      <c r="BK126" s="239">
        <v>0</v>
      </c>
      <c r="BL126" s="239">
        <v>2497.7012500000001</v>
      </c>
      <c r="BM126" s="239">
        <v>1665.1341666666667</v>
      </c>
      <c r="BN126" s="239">
        <v>0</v>
      </c>
      <c r="BO126" s="239">
        <v>15219</v>
      </c>
      <c r="BP126" s="239">
        <v>10146</v>
      </c>
      <c r="BQ126" s="239">
        <v>0</v>
      </c>
      <c r="BR126" s="239">
        <v>-12721</v>
      </c>
      <c r="BS126" s="239">
        <v>-8481</v>
      </c>
      <c r="BT126" s="239">
        <v>0</v>
      </c>
      <c r="BU126" s="239">
        <v>441854.49124999996</v>
      </c>
      <c r="BV126" s="239">
        <v>294569.66083333339</v>
      </c>
      <c r="BW126" s="239">
        <v>0</v>
      </c>
      <c r="BX126" s="239">
        <v>380469</v>
      </c>
      <c r="BY126" s="239">
        <v>253646</v>
      </c>
      <c r="BZ126" s="239">
        <v>0</v>
      </c>
      <c r="CA126" s="239">
        <v>61385</v>
      </c>
      <c r="CB126" s="239">
        <v>40924</v>
      </c>
      <c r="CC126" s="239">
        <v>0</v>
      </c>
      <c r="CD126" s="239">
        <v>0</v>
      </c>
      <c r="CE126" s="239">
        <v>0</v>
      </c>
      <c r="CF126" s="239">
        <v>0</v>
      </c>
      <c r="CG126" s="239">
        <v>0</v>
      </c>
      <c r="CH126" s="239">
        <v>0</v>
      </c>
      <c r="CI126" s="239">
        <v>0</v>
      </c>
      <c r="CJ126" s="239">
        <v>0</v>
      </c>
      <c r="CK126" s="239">
        <v>0</v>
      </c>
      <c r="CL126" s="239">
        <v>0</v>
      </c>
      <c r="CM126" s="239">
        <v>0</v>
      </c>
      <c r="CN126" s="239">
        <v>0</v>
      </c>
      <c r="CO126" s="239">
        <v>0</v>
      </c>
      <c r="CP126" s="239">
        <v>0</v>
      </c>
      <c r="CQ126" s="239">
        <v>0</v>
      </c>
      <c r="CR126" s="239">
        <v>0</v>
      </c>
      <c r="CS126" s="239">
        <v>0</v>
      </c>
      <c r="CT126" s="239">
        <v>0</v>
      </c>
      <c r="CU126" s="239">
        <v>0</v>
      </c>
      <c r="CV126" s="239">
        <v>221895.14374999999</v>
      </c>
      <c r="CW126" s="239">
        <v>147930.09583333333</v>
      </c>
      <c r="CX126" s="239">
        <v>0</v>
      </c>
      <c r="CY126" s="239">
        <v>203160</v>
      </c>
      <c r="CZ126" s="239">
        <v>135440</v>
      </c>
      <c r="DA126" s="239">
        <v>0</v>
      </c>
      <c r="DB126" s="239">
        <v>18735</v>
      </c>
      <c r="DC126" s="239">
        <v>12490</v>
      </c>
      <c r="DD126" s="239">
        <v>0</v>
      </c>
      <c r="DE126" s="214">
        <v>0.5</v>
      </c>
      <c r="DF126" s="214">
        <v>0.3</v>
      </c>
      <c r="DG126" s="214">
        <v>0.2</v>
      </c>
      <c r="DH126" s="214">
        <v>0</v>
      </c>
      <c r="DI126" s="214" t="s">
        <v>1295</v>
      </c>
    </row>
    <row r="127" spans="1:113" s="214" customFormat="1" x14ac:dyDescent="0.2">
      <c r="B127" s="610" t="s">
        <v>337</v>
      </c>
      <c r="C127" s="610" t="s">
        <v>336</v>
      </c>
      <c r="D127" s="239">
        <v>536405</v>
      </c>
      <c r="E127" s="239">
        <v>0</v>
      </c>
      <c r="F127" s="239">
        <v>536405</v>
      </c>
      <c r="G127" s="239">
        <v>0</v>
      </c>
      <c r="H127" s="239">
        <v>0</v>
      </c>
      <c r="I127" s="239">
        <v>0</v>
      </c>
      <c r="J127" s="239">
        <v>536405</v>
      </c>
      <c r="K127" s="239">
        <v>0</v>
      </c>
      <c r="L127" s="239">
        <v>536405</v>
      </c>
      <c r="M127" s="239">
        <v>99214</v>
      </c>
      <c r="N127" s="239">
        <v>99214</v>
      </c>
      <c r="O127" s="239">
        <v>0</v>
      </c>
      <c r="P127" s="239">
        <v>0</v>
      </c>
      <c r="Q127" s="239">
        <v>0</v>
      </c>
      <c r="R127" s="239">
        <v>0</v>
      </c>
      <c r="S127" s="239">
        <v>0</v>
      </c>
      <c r="T127" s="239">
        <v>0</v>
      </c>
      <c r="U127" s="239">
        <v>0</v>
      </c>
      <c r="V127" s="239">
        <v>0</v>
      </c>
      <c r="W127" s="239">
        <v>0</v>
      </c>
      <c r="X127" s="239">
        <v>0</v>
      </c>
      <c r="Y127" s="239">
        <v>0</v>
      </c>
      <c r="Z127" s="239">
        <v>0</v>
      </c>
      <c r="AA127" s="239">
        <v>0</v>
      </c>
      <c r="AB127" s="239">
        <v>0</v>
      </c>
      <c r="AC127" s="239">
        <v>0</v>
      </c>
      <c r="AD127" s="239">
        <v>0</v>
      </c>
      <c r="AE127" s="239">
        <v>0</v>
      </c>
      <c r="AF127" s="239">
        <v>0</v>
      </c>
      <c r="AG127" s="239">
        <v>0</v>
      </c>
      <c r="AH127" s="239">
        <v>0</v>
      </c>
      <c r="AI127" s="239">
        <v>0</v>
      </c>
      <c r="AJ127" s="239">
        <v>0</v>
      </c>
      <c r="AK127" s="239">
        <v>231861.30875000003</v>
      </c>
      <c r="AL127" s="239">
        <v>52168.794468749998</v>
      </c>
      <c r="AM127" s="239">
        <v>5796.5327187500006</v>
      </c>
      <c r="AN127" s="239">
        <v>215406</v>
      </c>
      <c r="AO127" s="239">
        <v>48466</v>
      </c>
      <c r="AP127" s="239">
        <v>5386</v>
      </c>
      <c r="AQ127" s="239">
        <v>16455</v>
      </c>
      <c r="AR127" s="239">
        <v>3703</v>
      </c>
      <c r="AS127" s="239">
        <v>411</v>
      </c>
      <c r="AT127" s="239">
        <v>4549.7974999999997</v>
      </c>
      <c r="AU127" s="239">
        <v>1023.7044374999999</v>
      </c>
      <c r="AV127" s="239">
        <v>113.74493749999999</v>
      </c>
      <c r="AW127" s="239">
        <v>0</v>
      </c>
      <c r="AX127" s="239">
        <v>0</v>
      </c>
      <c r="AY127" s="239">
        <v>0</v>
      </c>
      <c r="AZ127" s="239">
        <v>4550</v>
      </c>
      <c r="BA127" s="239">
        <v>1024</v>
      </c>
      <c r="BB127" s="239">
        <v>114</v>
      </c>
      <c r="BC127" s="239">
        <v>0</v>
      </c>
      <c r="BD127" s="239">
        <v>0</v>
      </c>
      <c r="BE127" s="239">
        <v>0</v>
      </c>
      <c r="BF127" s="239">
        <v>0</v>
      </c>
      <c r="BG127" s="239">
        <v>0</v>
      </c>
      <c r="BH127" s="239">
        <v>0</v>
      </c>
      <c r="BI127" s="239">
        <v>0</v>
      </c>
      <c r="BJ127" s="239">
        <v>0</v>
      </c>
      <c r="BK127" s="239">
        <v>0</v>
      </c>
      <c r="BL127" s="239">
        <v>0</v>
      </c>
      <c r="BM127" s="239">
        <v>0</v>
      </c>
      <c r="BN127" s="239">
        <v>0</v>
      </c>
      <c r="BO127" s="239">
        <v>446</v>
      </c>
      <c r="BP127" s="239">
        <v>100</v>
      </c>
      <c r="BQ127" s="239">
        <v>12</v>
      </c>
      <c r="BR127" s="239">
        <v>-446</v>
      </c>
      <c r="BS127" s="239">
        <v>-100</v>
      </c>
      <c r="BT127" s="239">
        <v>-12</v>
      </c>
      <c r="BU127" s="239">
        <v>190461.23583333334</v>
      </c>
      <c r="BV127" s="239">
        <v>42853.778062499994</v>
      </c>
      <c r="BW127" s="239">
        <v>4761.5308958333335</v>
      </c>
      <c r="BX127" s="239">
        <v>174188</v>
      </c>
      <c r="BY127" s="239">
        <v>39192</v>
      </c>
      <c r="BZ127" s="239">
        <v>4354</v>
      </c>
      <c r="CA127" s="239">
        <v>16273</v>
      </c>
      <c r="CB127" s="239">
        <v>3662</v>
      </c>
      <c r="CC127" s="239">
        <v>408</v>
      </c>
      <c r="CD127" s="239">
        <v>0</v>
      </c>
      <c r="CE127" s="239">
        <v>0</v>
      </c>
      <c r="CF127" s="239">
        <v>0</v>
      </c>
      <c r="CG127" s="239">
        <v>0</v>
      </c>
      <c r="CH127" s="239">
        <v>0</v>
      </c>
      <c r="CI127" s="239">
        <v>0</v>
      </c>
      <c r="CJ127" s="239">
        <v>0</v>
      </c>
      <c r="CK127" s="239">
        <v>0</v>
      </c>
      <c r="CL127" s="239">
        <v>0</v>
      </c>
      <c r="CM127" s="239">
        <v>1826.6558333333335</v>
      </c>
      <c r="CN127" s="239">
        <v>410.99756250000002</v>
      </c>
      <c r="CO127" s="239">
        <v>45.66639583333334</v>
      </c>
      <c r="CP127" s="239">
        <v>0</v>
      </c>
      <c r="CQ127" s="239">
        <v>0</v>
      </c>
      <c r="CR127" s="239">
        <v>0</v>
      </c>
      <c r="CS127" s="239">
        <v>1827</v>
      </c>
      <c r="CT127" s="239">
        <v>411</v>
      </c>
      <c r="CU127" s="239">
        <v>46</v>
      </c>
      <c r="CV127" s="239">
        <v>156265.52083333334</v>
      </c>
      <c r="CW127" s="239">
        <v>35159.7421875</v>
      </c>
      <c r="CX127" s="239">
        <v>3906.6380208333335</v>
      </c>
      <c r="CY127" s="239">
        <v>171969</v>
      </c>
      <c r="CZ127" s="239">
        <v>38693</v>
      </c>
      <c r="DA127" s="239">
        <v>4299</v>
      </c>
      <c r="DB127" s="239">
        <v>-15703</v>
      </c>
      <c r="DC127" s="239">
        <v>-3533</v>
      </c>
      <c r="DD127" s="239">
        <v>-392</v>
      </c>
      <c r="DE127" s="214">
        <v>0.5</v>
      </c>
      <c r="DF127" s="214">
        <v>0.4</v>
      </c>
      <c r="DG127" s="214">
        <v>0.09</v>
      </c>
      <c r="DH127" s="214">
        <v>0.01</v>
      </c>
      <c r="DI127" s="214" t="s">
        <v>1294</v>
      </c>
    </row>
    <row r="128" spans="1:113" s="214" customFormat="1" x14ac:dyDescent="0.2">
      <c r="B128" s="610" t="s">
        <v>339</v>
      </c>
      <c r="C128" s="610" t="s">
        <v>338</v>
      </c>
      <c r="D128" s="239">
        <v>-35869822</v>
      </c>
      <c r="E128" s="239">
        <v>0</v>
      </c>
      <c r="F128" s="239">
        <v>-35869822</v>
      </c>
      <c r="G128" s="239">
        <v>0</v>
      </c>
      <c r="H128" s="239">
        <v>0</v>
      </c>
      <c r="I128" s="239">
        <v>0</v>
      </c>
      <c r="J128" s="239">
        <v>-35869822</v>
      </c>
      <c r="K128" s="239">
        <v>0</v>
      </c>
      <c r="L128" s="239">
        <v>-35869822</v>
      </c>
      <c r="M128" s="239">
        <v>124897</v>
      </c>
      <c r="N128" s="239">
        <v>124897</v>
      </c>
      <c r="O128" s="239">
        <v>0</v>
      </c>
      <c r="P128" s="239">
        <v>0</v>
      </c>
      <c r="Q128" s="239">
        <v>0</v>
      </c>
      <c r="R128" s="239">
        <v>0</v>
      </c>
      <c r="S128" s="239">
        <v>0</v>
      </c>
      <c r="T128" s="239">
        <v>0</v>
      </c>
      <c r="U128" s="239">
        <v>0</v>
      </c>
      <c r="V128" s="239">
        <v>0</v>
      </c>
      <c r="W128" s="239">
        <v>0</v>
      </c>
      <c r="X128" s="239">
        <v>0</v>
      </c>
      <c r="Y128" s="239">
        <v>115338.84791666668</v>
      </c>
      <c r="Z128" s="239">
        <v>115338.84791666668</v>
      </c>
      <c r="AA128" s="239">
        <v>0</v>
      </c>
      <c r="AB128" s="239">
        <v>0</v>
      </c>
      <c r="AC128" s="239">
        <v>86028</v>
      </c>
      <c r="AD128" s="239">
        <v>86028</v>
      </c>
      <c r="AE128" s="239">
        <v>0</v>
      </c>
      <c r="AF128" s="239">
        <v>0</v>
      </c>
      <c r="AG128" s="239">
        <v>29311</v>
      </c>
      <c r="AH128" s="239">
        <v>29311</v>
      </c>
      <c r="AI128" s="239">
        <v>0</v>
      </c>
      <c r="AJ128" s="239">
        <v>0</v>
      </c>
      <c r="AK128" s="239">
        <v>519953.3927291666</v>
      </c>
      <c r="AL128" s="239">
        <v>0</v>
      </c>
      <c r="AM128" s="239">
        <v>10611.293729166666</v>
      </c>
      <c r="AN128" s="239">
        <v>490540</v>
      </c>
      <c r="AO128" s="239">
        <v>0</v>
      </c>
      <c r="AP128" s="239">
        <v>10012</v>
      </c>
      <c r="AQ128" s="239">
        <v>29413</v>
      </c>
      <c r="AR128" s="239">
        <v>0</v>
      </c>
      <c r="AS128" s="239">
        <v>599</v>
      </c>
      <c r="AT128" s="239">
        <v>3544.6497916666667</v>
      </c>
      <c r="AU128" s="239">
        <v>0</v>
      </c>
      <c r="AV128" s="239">
        <v>72.33979166666667</v>
      </c>
      <c r="AW128" s="239">
        <v>0</v>
      </c>
      <c r="AX128" s="239">
        <v>0</v>
      </c>
      <c r="AY128" s="239">
        <v>0</v>
      </c>
      <c r="AZ128" s="239">
        <v>3545</v>
      </c>
      <c r="BA128" s="239">
        <v>0</v>
      </c>
      <c r="BB128" s="239">
        <v>72</v>
      </c>
      <c r="BC128" s="239">
        <v>0</v>
      </c>
      <c r="BD128" s="239">
        <v>0</v>
      </c>
      <c r="BE128" s="239">
        <v>0</v>
      </c>
      <c r="BF128" s="239">
        <v>0</v>
      </c>
      <c r="BG128" s="239">
        <v>0</v>
      </c>
      <c r="BH128" s="239">
        <v>0</v>
      </c>
      <c r="BI128" s="239">
        <v>0</v>
      </c>
      <c r="BJ128" s="239">
        <v>0</v>
      </c>
      <c r="BK128" s="239">
        <v>0</v>
      </c>
      <c r="BL128" s="239">
        <v>0</v>
      </c>
      <c r="BM128" s="239">
        <v>0</v>
      </c>
      <c r="BN128" s="239">
        <v>0</v>
      </c>
      <c r="BO128" s="239">
        <v>0</v>
      </c>
      <c r="BP128" s="239">
        <v>0</v>
      </c>
      <c r="BQ128" s="239">
        <v>0</v>
      </c>
      <c r="BR128" s="239">
        <v>0</v>
      </c>
      <c r="BS128" s="239">
        <v>0</v>
      </c>
      <c r="BT128" s="239">
        <v>0</v>
      </c>
      <c r="BU128" s="239">
        <v>226695.51712499998</v>
      </c>
      <c r="BV128" s="239">
        <v>0</v>
      </c>
      <c r="BW128" s="239">
        <v>4626.4391249999999</v>
      </c>
      <c r="BX128" s="239">
        <v>198310</v>
      </c>
      <c r="BY128" s="239">
        <v>0</v>
      </c>
      <c r="BZ128" s="239">
        <v>4048</v>
      </c>
      <c r="CA128" s="239">
        <v>28386</v>
      </c>
      <c r="CB128" s="239">
        <v>0</v>
      </c>
      <c r="CC128" s="239">
        <v>578</v>
      </c>
      <c r="CD128" s="239">
        <v>0</v>
      </c>
      <c r="CE128" s="239">
        <v>0</v>
      </c>
      <c r="CF128" s="239">
        <v>0</v>
      </c>
      <c r="CG128" s="239">
        <v>0</v>
      </c>
      <c r="CH128" s="239">
        <v>0</v>
      </c>
      <c r="CI128" s="239">
        <v>0</v>
      </c>
      <c r="CJ128" s="239">
        <v>0</v>
      </c>
      <c r="CK128" s="239">
        <v>0</v>
      </c>
      <c r="CL128" s="239">
        <v>0</v>
      </c>
      <c r="CM128" s="239">
        <v>7236.4547499999999</v>
      </c>
      <c r="CN128" s="239">
        <v>0</v>
      </c>
      <c r="CO128" s="239">
        <v>147.68275</v>
      </c>
      <c r="CP128" s="239">
        <v>0</v>
      </c>
      <c r="CQ128" s="239">
        <v>0</v>
      </c>
      <c r="CR128" s="239">
        <v>0</v>
      </c>
      <c r="CS128" s="239">
        <v>7236</v>
      </c>
      <c r="CT128" s="239">
        <v>0</v>
      </c>
      <c r="CU128" s="239">
        <v>148</v>
      </c>
      <c r="CV128" s="239">
        <v>-83575.43716666667</v>
      </c>
      <c r="CW128" s="239">
        <v>0</v>
      </c>
      <c r="CX128" s="239">
        <v>-1705.6211666666668</v>
      </c>
      <c r="CY128" s="239">
        <v>281684</v>
      </c>
      <c r="CZ128" s="239">
        <v>0</v>
      </c>
      <c r="DA128" s="239">
        <v>5723</v>
      </c>
      <c r="DB128" s="239">
        <v>-365259</v>
      </c>
      <c r="DC128" s="239">
        <v>0</v>
      </c>
      <c r="DD128" s="239">
        <v>-7429</v>
      </c>
      <c r="DE128" s="214">
        <v>0.5</v>
      </c>
      <c r="DF128" s="214">
        <v>0.49</v>
      </c>
      <c r="DG128" s="214">
        <v>0</v>
      </c>
      <c r="DH128" s="214">
        <v>0.01</v>
      </c>
      <c r="DI128" s="214" t="s">
        <v>748</v>
      </c>
    </row>
    <row r="129" spans="2:113" s="214" customFormat="1" x14ac:dyDescent="0.2">
      <c r="B129" s="610" t="s">
        <v>341</v>
      </c>
      <c r="C129" s="610" t="s">
        <v>340</v>
      </c>
      <c r="D129" s="239">
        <v>-29572</v>
      </c>
      <c r="E129" s="239">
        <v>0</v>
      </c>
      <c r="F129" s="239">
        <v>-29572</v>
      </c>
      <c r="G129" s="239">
        <v>0</v>
      </c>
      <c r="H129" s="239">
        <v>0</v>
      </c>
      <c r="I129" s="239">
        <v>0</v>
      </c>
      <c r="J129" s="239">
        <v>-29572</v>
      </c>
      <c r="K129" s="239">
        <v>0</v>
      </c>
      <c r="L129" s="239">
        <v>-29572</v>
      </c>
      <c r="M129" s="239">
        <v>131732</v>
      </c>
      <c r="N129" s="239">
        <v>131732</v>
      </c>
      <c r="O129" s="239">
        <v>0</v>
      </c>
      <c r="P129" s="239">
        <v>0</v>
      </c>
      <c r="Q129" s="239">
        <v>0</v>
      </c>
      <c r="R129" s="239">
        <v>0</v>
      </c>
      <c r="S129" s="239">
        <v>0</v>
      </c>
      <c r="T129" s="239">
        <v>0</v>
      </c>
      <c r="U129" s="239">
        <v>0</v>
      </c>
      <c r="V129" s="239">
        <v>0</v>
      </c>
      <c r="W129" s="239">
        <v>0</v>
      </c>
      <c r="X129" s="239">
        <v>0</v>
      </c>
      <c r="Y129" s="239">
        <v>0</v>
      </c>
      <c r="Z129" s="239">
        <v>0</v>
      </c>
      <c r="AA129" s="239">
        <v>0</v>
      </c>
      <c r="AB129" s="239">
        <v>0</v>
      </c>
      <c r="AC129" s="239">
        <v>0</v>
      </c>
      <c r="AD129" s="239">
        <v>0</v>
      </c>
      <c r="AE129" s="239">
        <v>0</v>
      </c>
      <c r="AF129" s="239">
        <v>0</v>
      </c>
      <c r="AG129" s="239">
        <v>0</v>
      </c>
      <c r="AH129" s="239">
        <v>0</v>
      </c>
      <c r="AI129" s="239">
        <v>0</v>
      </c>
      <c r="AJ129" s="239">
        <v>0</v>
      </c>
      <c r="AK129" s="239">
        <v>525073.25416666665</v>
      </c>
      <c r="AL129" s="239">
        <v>118141.48218750001</v>
      </c>
      <c r="AM129" s="239">
        <v>13126.831354166667</v>
      </c>
      <c r="AN129" s="239">
        <v>481530</v>
      </c>
      <c r="AO129" s="239">
        <v>108344</v>
      </c>
      <c r="AP129" s="239">
        <v>12038</v>
      </c>
      <c r="AQ129" s="239">
        <v>43543</v>
      </c>
      <c r="AR129" s="239">
        <v>9797</v>
      </c>
      <c r="AS129" s="239">
        <v>1089</v>
      </c>
      <c r="AT129" s="239">
        <v>0</v>
      </c>
      <c r="AU129" s="239">
        <v>0</v>
      </c>
      <c r="AV129" s="239">
        <v>0</v>
      </c>
      <c r="AW129" s="239">
        <v>0</v>
      </c>
      <c r="AX129" s="239">
        <v>0</v>
      </c>
      <c r="AY129" s="239">
        <v>0</v>
      </c>
      <c r="AZ129" s="239">
        <v>0</v>
      </c>
      <c r="BA129" s="239">
        <v>0</v>
      </c>
      <c r="BB129" s="239">
        <v>0</v>
      </c>
      <c r="BC129" s="239">
        <v>3647.6300000000006</v>
      </c>
      <c r="BD129" s="239">
        <v>820.71675000000005</v>
      </c>
      <c r="BE129" s="239">
        <v>91.190750000000008</v>
      </c>
      <c r="BF129" s="239">
        <v>0</v>
      </c>
      <c r="BG129" s="239">
        <v>0</v>
      </c>
      <c r="BH129" s="239">
        <v>0</v>
      </c>
      <c r="BI129" s="239">
        <v>3648</v>
      </c>
      <c r="BJ129" s="239">
        <v>821</v>
      </c>
      <c r="BK129" s="239">
        <v>91</v>
      </c>
      <c r="BL129" s="239">
        <v>1398.5016666666668</v>
      </c>
      <c r="BM129" s="239">
        <v>314.66287499999999</v>
      </c>
      <c r="BN129" s="239">
        <v>34.962541666666667</v>
      </c>
      <c r="BO129" s="239">
        <v>0</v>
      </c>
      <c r="BP129" s="239">
        <v>0</v>
      </c>
      <c r="BQ129" s="239">
        <v>0</v>
      </c>
      <c r="BR129" s="239">
        <v>1399</v>
      </c>
      <c r="BS129" s="239">
        <v>315</v>
      </c>
      <c r="BT129" s="239">
        <v>35</v>
      </c>
      <c r="BU129" s="239">
        <v>213467.11583333332</v>
      </c>
      <c r="BV129" s="239">
        <v>48030.101062499998</v>
      </c>
      <c r="BW129" s="239">
        <v>5336.6778958333334</v>
      </c>
      <c r="BX129" s="239">
        <v>138090</v>
      </c>
      <c r="BY129" s="239">
        <v>31070</v>
      </c>
      <c r="BZ129" s="239">
        <v>3452</v>
      </c>
      <c r="CA129" s="239">
        <v>75377</v>
      </c>
      <c r="CB129" s="239">
        <v>16960</v>
      </c>
      <c r="CC129" s="239">
        <v>1885</v>
      </c>
      <c r="CD129" s="239">
        <v>0</v>
      </c>
      <c r="CE129" s="239">
        <v>0</v>
      </c>
      <c r="CF129" s="239">
        <v>0</v>
      </c>
      <c r="CG129" s="239">
        <v>0</v>
      </c>
      <c r="CH129" s="239">
        <v>0</v>
      </c>
      <c r="CI129" s="239">
        <v>0</v>
      </c>
      <c r="CJ129" s="239">
        <v>0</v>
      </c>
      <c r="CK129" s="239">
        <v>0</v>
      </c>
      <c r="CL129" s="239">
        <v>0</v>
      </c>
      <c r="CM129" s="239">
        <v>6320.0425000000005</v>
      </c>
      <c r="CN129" s="239">
        <v>1422.0095624999999</v>
      </c>
      <c r="CO129" s="239">
        <v>158.00106250000002</v>
      </c>
      <c r="CP129" s="239">
        <v>0</v>
      </c>
      <c r="CQ129" s="239">
        <v>0</v>
      </c>
      <c r="CR129" s="239">
        <v>0</v>
      </c>
      <c r="CS129" s="239">
        <v>6320</v>
      </c>
      <c r="CT129" s="239">
        <v>1422</v>
      </c>
      <c r="CU129" s="239">
        <v>158</v>
      </c>
      <c r="CV129" s="239">
        <v>116382.65916666666</v>
      </c>
      <c r="CW129" s="239">
        <v>26186.098312499998</v>
      </c>
      <c r="CX129" s="239">
        <v>2909.5664791666668</v>
      </c>
      <c r="CY129" s="239">
        <v>124168</v>
      </c>
      <c r="CZ129" s="239">
        <v>27938</v>
      </c>
      <c r="DA129" s="239">
        <v>3104</v>
      </c>
      <c r="DB129" s="239">
        <v>-7785</v>
      </c>
      <c r="DC129" s="239">
        <v>-1752</v>
      </c>
      <c r="DD129" s="239">
        <v>-194</v>
      </c>
      <c r="DE129" s="214">
        <v>0.5</v>
      </c>
      <c r="DF129" s="214">
        <v>0.4</v>
      </c>
      <c r="DG129" s="214">
        <v>0.09</v>
      </c>
      <c r="DH129" s="214">
        <v>0.01</v>
      </c>
      <c r="DI129" s="214" t="s">
        <v>1294</v>
      </c>
    </row>
    <row r="130" spans="2:113" s="214" customFormat="1" x14ac:dyDescent="0.2">
      <c r="B130" s="610" t="s">
        <v>343</v>
      </c>
      <c r="C130" s="610" t="s">
        <v>342</v>
      </c>
      <c r="D130" s="239">
        <v>292334</v>
      </c>
      <c r="E130" s="239">
        <v>0</v>
      </c>
      <c r="F130" s="239">
        <v>292334</v>
      </c>
      <c r="G130" s="239">
        <v>0</v>
      </c>
      <c r="H130" s="239">
        <v>0</v>
      </c>
      <c r="I130" s="239">
        <v>0</v>
      </c>
      <c r="J130" s="239">
        <v>292334</v>
      </c>
      <c r="K130" s="239">
        <v>0</v>
      </c>
      <c r="L130" s="239">
        <v>292334</v>
      </c>
      <c r="M130" s="239">
        <v>139832</v>
      </c>
      <c r="N130" s="239">
        <v>139832</v>
      </c>
      <c r="O130" s="239">
        <v>0</v>
      </c>
      <c r="P130" s="239">
        <v>0</v>
      </c>
      <c r="Q130" s="239">
        <v>0</v>
      </c>
      <c r="R130" s="239">
        <v>0</v>
      </c>
      <c r="S130" s="239">
        <v>0</v>
      </c>
      <c r="T130" s="239">
        <v>0</v>
      </c>
      <c r="U130" s="239">
        <v>0</v>
      </c>
      <c r="V130" s="239">
        <v>0</v>
      </c>
      <c r="W130" s="239">
        <v>0</v>
      </c>
      <c r="X130" s="239">
        <v>0</v>
      </c>
      <c r="Y130" s="239">
        <v>0</v>
      </c>
      <c r="Z130" s="239">
        <v>0</v>
      </c>
      <c r="AA130" s="239">
        <v>0</v>
      </c>
      <c r="AB130" s="239">
        <v>0</v>
      </c>
      <c r="AC130" s="239">
        <v>0</v>
      </c>
      <c r="AD130" s="239">
        <v>0</v>
      </c>
      <c r="AE130" s="239">
        <v>0</v>
      </c>
      <c r="AF130" s="239">
        <v>0</v>
      </c>
      <c r="AG130" s="239">
        <v>0</v>
      </c>
      <c r="AH130" s="239">
        <v>0</v>
      </c>
      <c r="AI130" s="239">
        <v>0</v>
      </c>
      <c r="AJ130" s="239">
        <v>0</v>
      </c>
      <c r="AK130" s="239">
        <v>433958.80083333334</v>
      </c>
      <c r="AL130" s="239">
        <v>97640.730187499983</v>
      </c>
      <c r="AM130" s="239">
        <v>10848.970020833332</v>
      </c>
      <c r="AN130" s="239">
        <v>410349</v>
      </c>
      <c r="AO130" s="239">
        <v>92328</v>
      </c>
      <c r="AP130" s="239">
        <v>10258</v>
      </c>
      <c r="AQ130" s="239">
        <v>23610</v>
      </c>
      <c r="AR130" s="239">
        <v>5313</v>
      </c>
      <c r="AS130" s="239">
        <v>591</v>
      </c>
      <c r="AT130" s="239">
        <v>137.17166666666668</v>
      </c>
      <c r="AU130" s="239">
        <v>30.863624999999999</v>
      </c>
      <c r="AV130" s="239">
        <v>3.4292916666666668</v>
      </c>
      <c r="AW130" s="239">
        <v>758</v>
      </c>
      <c r="AX130" s="239">
        <v>172</v>
      </c>
      <c r="AY130" s="239">
        <v>20</v>
      </c>
      <c r="AZ130" s="239">
        <v>-621</v>
      </c>
      <c r="BA130" s="239">
        <v>-141</v>
      </c>
      <c r="BB130" s="239">
        <v>-17</v>
      </c>
      <c r="BC130" s="239">
        <v>0</v>
      </c>
      <c r="BD130" s="239">
        <v>0</v>
      </c>
      <c r="BE130" s="239">
        <v>0</v>
      </c>
      <c r="BF130" s="239">
        <v>0</v>
      </c>
      <c r="BG130" s="239">
        <v>0</v>
      </c>
      <c r="BH130" s="239">
        <v>0</v>
      </c>
      <c r="BI130" s="239">
        <v>0</v>
      </c>
      <c r="BJ130" s="239">
        <v>0</v>
      </c>
      <c r="BK130" s="239">
        <v>0</v>
      </c>
      <c r="BL130" s="239">
        <v>859.96083333333343</v>
      </c>
      <c r="BM130" s="239">
        <v>193.4911875</v>
      </c>
      <c r="BN130" s="239">
        <v>21.499020833333333</v>
      </c>
      <c r="BO130" s="239">
        <v>0</v>
      </c>
      <c r="BP130" s="239">
        <v>0</v>
      </c>
      <c r="BQ130" s="239">
        <v>0</v>
      </c>
      <c r="BR130" s="239">
        <v>860</v>
      </c>
      <c r="BS130" s="239">
        <v>193</v>
      </c>
      <c r="BT130" s="239">
        <v>21</v>
      </c>
      <c r="BU130" s="239">
        <v>233096.46249999999</v>
      </c>
      <c r="BV130" s="239">
        <v>52446.704062500001</v>
      </c>
      <c r="BW130" s="239">
        <v>5827.4115625000004</v>
      </c>
      <c r="BX130" s="239">
        <v>224106</v>
      </c>
      <c r="BY130" s="239">
        <v>50424</v>
      </c>
      <c r="BZ130" s="239">
        <v>5602</v>
      </c>
      <c r="CA130" s="239">
        <v>8990</v>
      </c>
      <c r="CB130" s="239">
        <v>2023</v>
      </c>
      <c r="CC130" s="239">
        <v>225</v>
      </c>
      <c r="CD130" s="239">
        <v>0</v>
      </c>
      <c r="CE130" s="239">
        <v>0</v>
      </c>
      <c r="CF130" s="239">
        <v>0</v>
      </c>
      <c r="CG130" s="239">
        <v>0</v>
      </c>
      <c r="CH130" s="239">
        <v>0</v>
      </c>
      <c r="CI130" s="239">
        <v>0</v>
      </c>
      <c r="CJ130" s="239">
        <v>0</v>
      </c>
      <c r="CK130" s="239">
        <v>0</v>
      </c>
      <c r="CL130" s="239">
        <v>0</v>
      </c>
      <c r="CM130" s="239">
        <v>5127.7041666666664</v>
      </c>
      <c r="CN130" s="239">
        <v>1153.7334374999998</v>
      </c>
      <c r="CO130" s="239">
        <v>128.19260416666665</v>
      </c>
      <c r="CP130" s="239">
        <v>0</v>
      </c>
      <c r="CQ130" s="239">
        <v>0</v>
      </c>
      <c r="CR130" s="239">
        <v>0</v>
      </c>
      <c r="CS130" s="239">
        <v>5128</v>
      </c>
      <c r="CT130" s="239">
        <v>1154</v>
      </c>
      <c r="CU130" s="239">
        <v>128</v>
      </c>
      <c r="CV130" s="239">
        <v>191333.92249999999</v>
      </c>
      <c r="CW130" s="239">
        <v>43050.132562499995</v>
      </c>
      <c r="CX130" s="239">
        <v>4783.3480625000002</v>
      </c>
      <c r="CY130" s="239">
        <v>190816</v>
      </c>
      <c r="CZ130" s="239">
        <v>42934</v>
      </c>
      <c r="DA130" s="239">
        <v>4770</v>
      </c>
      <c r="DB130" s="239">
        <v>518</v>
      </c>
      <c r="DC130" s="239">
        <v>116</v>
      </c>
      <c r="DD130" s="239">
        <v>13</v>
      </c>
      <c r="DE130" s="214">
        <v>0.5</v>
      </c>
      <c r="DF130" s="214">
        <v>0.4</v>
      </c>
      <c r="DG130" s="214">
        <v>0.09</v>
      </c>
      <c r="DH130" s="214">
        <v>0.01</v>
      </c>
      <c r="DI130" s="214" t="s">
        <v>1294</v>
      </c>
    </row>
    <row r="131" spans="2:113" s="214" customFormat="1" x14ac:dyDescent="0.2">
      <c r="B131" s="610" t="s">
        <v>345</v>
      </c>
      <c r="C131" s="610" t="s">
        <v>344</v>
      </c>
      <c r="D131" s="239">
        <v>-325266</v>
      </c>
      <c r="E131" s="239">
        <v>0</v>
      </c>
      <c r="F131" s="239">
        <v>-325266</v>
      </c>
      <c r="G131" s="239">
        <v>0</v>
      </c>
      <c r="H131" s="239">
        <v>0</v>
      </c>
      <c r="I131" s="239">
        <v>0</v>
      </c>
      <c r="J131" s="239">
        <v>-325266</v>
      </c>
      <c r="K131" s="239">
        <v>0</v>
      </c>
      <c r="L131" s="239">
        <v>-325266</v>
      </c>
      <c r="M131" s="239">
        <v>271109</v>
      </c>
      <c r="N131" s="239">
        <v>271109</v>
      </c>
      <c r="O131" s="239">
        <v>0</v>
      </c>
      <c r="P131" s="239">
        <v>0</v>
      </c>
      <c r="Q131" s="239">
        <v>0</v>
      </c>
      <c r="R131" s="239">
        <v>0</v>
      </c>
      <c r="S131" s="239">
        <v>0</v>
      </c>
      <c r="T131" s="239">
        <v>0</v>
      </c>
      <c r="U131" s="239">
        <v>0</v>
      </c>
      <c r="V131" s="239">
        <v>0</v>
      </c>
      <c r="W131" s="239">
        <v>0</v>
      </c>
      <c r="X131" s="239">
        <v>0</v>
      </c>
      <c r="Y131" s="239">
        <v>0</v>
      </c>
      <c r="Z131" s="239">
        <v>0</v>
      </c>
      <c r="AA131" s="239">
        <v>0</v>
      </c>
      <c r="AB131" s="239">
        <v>0</v>
      </c>
      <c r="AC131" s="239">
        <v>0</v>
      </c>
      <c r="AD131" s="239">
        <v>0</v>
      </c>
      <c r="AE131" s="239">
        <v>0</v>
      </c>
      <c r="AF131" s="239">
        <v>0</v>
      </c>
      <c r="AG131" s="239">
        <v>0</v>
      </c>
      <c r="AH131" s="239">
        <v>0</v>
      </c>
      <c r="AI131" s="239">
        <v>0</v>
      </c>
      <c r="AJ131" s="239">
        <v>0</v>
      </c>
      <c r="AK131" s="239">
        <v>559833.58937499998</v>
      </c>
      <c r="AL131" s="239">
        <v>373222.39291666669</v>
      </c>
      <c r="AM131" s="239">
        <v>0</v>
      </c>
      <c r="AN131" s="239">
        <v>561992</v>
      </c>
      <c r="AO131" s="239">
        <v>374662</v>
      </c>
      <c r="AP131" s="239">
        <v>0</v>
      </c>
      <c r="AQ131" s="239">
        <v>-2158</v>
      </c>
      <c r="AR131" s="239">
        <v>-1440</v>
      </c>
      <c r="AS131" s="239">
        <v>0</v>
      </c>
      <c r="AT131" s="239">
        <v>0</v>
      </c>
      <c r="AU131" s="239">
        <v>0</v>
      </c>
      <c r="AV131" s="239">
        <v>0</v>
      </c>
      <c r="AW131" s="239">
        <v>875</v>
      </c>
      <c r="AX131" s="239">
        <v>584</v>
      </c>
      <c r="AY131" s="239">
        <v>0</v>
      </c>
      <c r="AZ131" s="239">
        <v>-875</v>
      </c>
      <c r="BA131" s="239">
        <v>-584</v>
      </c>
      <c r="BB131" s="239">
        <v>0</v>
      </c>
      <c r="BC131" s="239">
        <v>5688.1599999999989</v>
      </c>
      <c r="BD131" s="239">
        <v>3792.1066666666666</v>
      </c>
      <c r="BE131" s="239">
        <v>0</v>
      </c>
      <c r="BF131" s="239">
        <v>0</v>
      </c>
      <c r="BG131" s="239">
        <v>0</v>
      </c>
      <c r="BH131" s="239">
        <v>0</v>
      </c>
      <c r="BI131" s="239">
        <v>5688</v>
      </c>
      <c r="BJ131" s="239">
        <v>3792</v>
      </c>
      <c r="BK131" s="239">
        <v>0</v>
      </c>
      <c r="BL131" s="239">
        <v>3041.3150000000001</v>
      </c>
      <c r="BM131" s="239">
        <v>2027.5433333333335</v>
      </c>
      <c r="BN131" s="239">
        <v>0</v>
      </c>
      <c r="BO131" s="239">
        <v>0</v>
      </c>
      <c r="BP131" s="239">
        <v>0</v>
      </c>
      <c r="BQ131" s="239">
        <v>0</v>
      </c>
      <c r="BR131" s="239">
        <v>3041</v>
      </c>
      <c r="BS131" s="239">
        <v>2028</v>
      </c>
      <c r="BT131" s="239">
        <v>0</v>
      </c>
      <c r="BU131" s="239">
        <v>514825.96250000002</v>
      </c>
      <c r="BV131" s="239">
        <v>343217.30833333335</v>
      </c>
      <c r="BW131" s="239">
        <v>0</v>
      </c>
      <c r="BX131" s="239">
        <v>451996</v>
      </c>
      <c r="BY131" s="239">
        <v>301332</v>
      </c>
      <c r="BZ131" s="239">
        <v>0</v>
      </c>
      <c r="CA131" s="239">
        <v>62830</v>
      </c>
      <c r="CB131" s="239">
        <v>41885</v>
      </c>
      <c r="CC131" s="239">
        <v>0</v>
      </c>
      <c r="CD131" s="239">
        <v>0</v>
      </c>
      <c r="CE131" s="239">
        <v>0</v>
      </c>
      <c r="CF131" s="239">
        <v>0</v>
      </c>
      <c r="CG131" s="239">
        <v>0</v>
      </c>
      <c r="CH131" s="239">
        <v>0</v>
      </c>
      <c r="CI131" s="239">
        <v>0</v>
      </c>
      <c r="CJ131" s="239">
        <v>0</v>
      </c>
      <c r="CK131" s="239">
        <v>0</v>
      </c>
      <c r="CL131" s="239">
        <v>0</v>
      </c>
      <c r="CM131" s="239">
        <v>3923.6981249999999</v>
      </c>
      <c r="CN131" s="239">
        <v>2615.7987499999999</v>
      </c>
      <c r="CO131" s="239">
        <v>0</v>
      </c>
      <c r="CP131" s="239">
        <v>0</v>
      </c>
      <c r="CQ131" s="239">
        <v>0</v>
      </c>
      <c r="CR131" s="239">
        <v>0</v>
      </c>
      <c r="CS131" s="239">
        <v>3924</v>
      </c>
      <c r="CT131" s="239">
        <v>2616</v>
      </c>
      <c r="CU131" s="239">
        <v>0</v>
      </c>
      <c r="CV131" s="239">
        <v>292940.43699374999</v>
      </c>
      <c r="CW131" s="239">
        <v>195293.62466249999</v>
      </c>
      <c r="CX131" s="239">
        <v>0</v>
      </c>
      <c r="CY131" s="239">
        <v>318365</v>
      </c>
      <c r="CZ131" s="239">
        <v>212243</v>
      </c>
      <c r="DA131" s="239">
        <v>0</v>
      </c>
      <c r="DB131" s="239">
        <v>-25425</v>
      </c>
      <c r="DC131" s="239">
        <v>-16949</v>
      </c>
      <c r="DD131" s="239">
        <v>0</v>
      </c>
      <c r="DE131" s="214">
        <v>0.5</v>
      </c>
      <c r="DF131" s="214">
        <v>0.3</v>
      </c>
      <c r="DG131" s="214">
        <v>0.2</v>
      </c>
      <c r="DH131" s="214">
        <v>0</v>
      </c>
      <c r="DI131" s="214" t="s">
        <v>1295</v>
      </c>
    </row>
    <row r="132" spans="2:113" s="214" customFormat="1" x14ac:dyDescent="0.2">
      <c r="B132" s="610" t="s">
        <v>347</v>
      </c>
      <c r="C132" s="610" t="s">
        <v>346</v>
      </c>
      <c r="D132" s="239">
        <v>-261834</v>
      </c>
      <c r="E132" s="239">
        <v>0</v>
      </c>
      <c r="F132" s="239">
        <v>-261834</v>
      </c>
      <c r="G132" s="239">
        <v>0</v>
      </c>
      <c r="H132" s="239">
        <v>0</v>
      </c>
      <c r="I132" s="239">
        <v>0</v>
      </c>
      <c r="J132" s="239">
        <v>-261834</v>
      </c>
      <c r="K132" s="239">
        <v>0</v>
      </c>
      <c r="L132" s="239">
        <v>-261834</v>
      </c>
      <c r="M132" s="239">
        <v>301961</v>
      </c>
      <c r="N132" s="239">
        <v>301961</v>
      </c>
      <c r="O132" s="239">
        <v>0</v>
      </c>
      <c r="P132" s="239">
        <v>0</v>
      </c>
      <c r="Q132" s="239">
        <v>0</v>
      </c>
      <c r="R132" s="239">
        <v>0</v>
      </c>
      <c r="S132" s="239">
        <v>82333</v>
      </c>
      <c r="T132" s="239">
        <v>0</v>
      </c>
      <c r="U132" s="239">
        <v>43450</v>
      </c>
      <c r="V132" s="239">
        <v>0</v>
      </c>
      <c r="W132" s="239">
        <v>38883</v>
      </c>
      <c r="X132" s="239">
        <v>0</v>
      </c>
      <c r="Y132" s="239">
        <v>168422.86250000002</v>
      </c>
      <c r="Z132" s="239">
        <v>168422.86250000002</v>
      </c>
      <c r="AA132" s="239">
        <v>0</v>
      </c>
      <c r="AB132" s="239">
        <v>0</v>
      </c>
      <c r="AC132" s="239">
        <v>302000</v>
      </c>
      <c r="AD132" s="239">
        <v>302000</v>
      </c>
      <c r="AE132" s="239">
        <v>0</v>
      </c>
      <c r="AF132" s="239">
        <v>0</v>
      </c>
      <c r="AG132" s="239">
        <v>-133577</v>
      </c>
      <c r="AH132" s="239">
        <v>-133577</v>
      </c>
      <c r="AI132" s="239">
        <v>0</v>
      </c>
      <c r="AJ132" s="239">
        <v>0</v>
      </c>
      <c r="AK132" s="239">
        <v>1456961.5169895831</v>
      </c>
      <c r="AL132" s="239">
        <v>0</v>
      </c>
      <c r="AM132" s="239">
        <v>29105.539781250001</v>
      </c>
      <c r="AN132" s="239">
        <v>1333385</v>
      </c>
      <c r="AO132" s="239">
        <v>0</v>
      </c>
      <c r="AP132" s="239">
        <v>27212</v>
      </c>
      <c r="AQ132" s="239">
        <v>123577</v>
      </c>
      <c r="AR132" s="239">
        <v>0</v>
      </c>
      <c r="AS132" s="239">
        <v>1894</v>
      </c>
      <c r="AT132" s="239">
        <v>0</v>
      </c>
      <c r="AU132" s="239">
        <v>0</v>
      </c>
      <c r="AV132" s="239">
        <v>0</v>
      </c>
      <c r="AW132" s="239">
        <v>0</v>
      </c>
      <c r="AX132" s="239">
        <v>0</v>
      </c>
      <c r="AY132" s="239">
        <v>0</v>
      </c>
      <c r="AZ132" s="239">
        <v>0</v>
      </c>
      <c r="BA132" s="239">
        <v>0</v>
      </c>
      <c r="BB132" s="239">
        <v>0</v>
      </c>
      <c r="BC132" s="239">
        <v>8505.6680625000008</v>
      </c>
      <c r="BD132" s="239">
        <v>0</v>
      </c>
      <c r="BE132" s="239">
        <v>173.58506250000002</v>
      </c>
      <c r="BF132" s="239">
        <v>0</v>
      </c>
      <c r="BG132" s="239">
        <v>0</v>
      </c>
      <c r="BH132" s="239">
        <v>0</v>
      </c>
      <c r="BI132" s="239">
        <v>8506</v>
      </c>
      <c r="BJ132" s="239">
        <v>0</v>
      </c>
      <c r="BK132" s="239">
        <v>174</v>
      </c>
      <c r="BL132" s="239">
        <v>9643.1377291666668</v>
      </c>
      <c r="BM132" s="239">
        <v>0</v>
      </c>
      <c r="BN132" s="239">
        <v>196.79872916666667</v>
      </c>
      <c r="BO132" s="239">
        <v>0</v>
      </c>
      <c r="BP132" s="239">
        <v>0</v>
      </c>
      <c r="BQ132" s="239">
        <v>0</v>
      </c>
      <c r="BR132" s="239">
        <v>9643</v>
      </c>
      <c r="BS132" s="239">
        <v>0</v>
      </c>
      <c r="BT132" s="239">
        <v>197</v>
      </c>
      <c r="BU132" s="239">
        <v>620656.24702083331</v>
      </c>
      <c r="BV132" s="239">
        <v>0</v>
      </c>
      <c r="BW132" s="239">
        <v>12666.454020833333</v>
      </c>
      <c r="BX132" s="239">
        <v>675834</v>
      </c>
      <c r="BY132" s="239">
        <v>0</v>
      </c>
      <c r="BZ132" s="239">
        <v>13792</v>
      </c>
      <c r="CA132" s="239">
        <v>-55178</v>
      </c>
      <c r="CB132" s="239">
        <v>0</v>
      </c>
      <c r="CC132" s="239">
        <v>-1126</v>
      </c>
      <c r="CD132" s="239">
        <v>0</v>
      </c>
      <c r="CE132" s="239">
        <v>0</v>
      </c>
      <c r="CF132" s="239">
        <v>0</v>
      </c>
      <c r="CG132" s="239">
        <v>3222</v>
      </c>
      <c r="CH132" s="239">
        <v>0</v>
      </c>
      <c r="CI132" s="239">
        <v>0</v>
      </c>
      <c r="CJ132" s="239">
        <v>-3222</v>
      </c>
      <c r="CK132" s="239">
        <v>0</v>
      </c>
      <c r="CL132" s="239">
        <v>0</v>
      </c>
      <c r="CM132" s="239">
        <v>19658.140541666668</v>
      </c>
      <c r="CN132" s="239">
        <v>0</v>
      </c>
      <c r="CO132" s="239">
        <v>401.1865416666667</v>
      </c>
      <c r="CP132" s="239">
        <v>0</v>
      </c>
      <c r="CQ132" s="239">
        <v>0</v>
      </c>
      <c r="CR132" s="239">
        <v>0</v>
      </c>
      <c r="CS132" s="239">
        <v>19658</v>
      </c>
      <c r="CT132" s="239">
        <v>0</v>
      </c>
      <c r="CU132" s="239">
        <v>401</v>
      </c>
      <c r="CV132" s="239">
        <v>336991.22260416666</v>
      </c>
      <c r="CW132" s="239">
        <v>0</v>
      </c>
      <c r="CX132" s="239">
        <v>6852.8680208333335</v>
      </c>
      <c r="CY132" s="239">
        <v>344665</v>
      </c>
      <c r="CZ132" s="239">
        <v>0</v>
      </c>
      <c r="DA132" s="239">
        <v>6931</v>
      </c>
      <c r="DB132" s="239">
        <v>-7674</v>
      </c>
      <c r="DC132" s="239">
        <v>0</v>
      </c>
      <c r="DD132" s="239">
        <v>-78</v>
      </c>
      <c r="DE132" s="214">
        <v>0.5</v>
      </c>
      <c r="DF132" s="214">
        <v>0.49</v>
      </c>
      <c r="DG132" s="214">
        <v>0</v>
      </c>
      <c r="DH132" s="214">
        <v>0.01</v>
      </c>
      <c r="DI132" s="214" t="s">
        <v>748</v>
      </c>
    </row>
    <row r="133" spans="2:113" s="214" customFormat="1" x14ac:dyDescent="0.2">
      <c r="B133" s="610" t="s">
        <v>349</v>
      </c>
      <c r="C133" s="610" t="s">
        <v>348</v>
      </c>
      <c r="D133" s="239">
        <v>-110788</v>
      </c>
      <c r="E133" s="239">
        <v>0</v>
      </c>
      <c r="F133" s="239">
        <v>-110788</v>
      </c>
      <c r="G133" s="239">
        <v>0</v>
      </c>
      <c r="H133" s="239">
        <v>0</v>
      </c>
      <c r="I133" s="239">
        <v>0</v>
      </c>
      <c r="J133" s="239">
        <v>-110788</v>
      </c>
      <c r="K133" s="239">
        <v>0</v>
      </c>
      <c r="L133" s="239">
        <v>-110788</v>
      </c>
      <c r="M133" s="239">
        <v>149502</v>
      </c>
      <c r="N133" s="239">
        <v>149502</v>
      </c>
      <c r="O133" s="239">
        <v>0</v>
      </c>
      <c r="P133" s="239">
        <v>0</v>
      </c>
      <c r="Q133" s="239">
        <v>0</v>
      </c>
      <c r="R133" s="239">
        <v>0</v>
      </c>
      <c r="S133" s="239">
        <v>0</v>
      </c>
      <c r="T133" s="239">
        <v>0</v>
      </c>
      <c r="U133" s="239">
        <v>0</v>
      </c>
      <c r="V133" s="239">
        <v>0</v>
      </c>
      <c r="W133" s="239">
        <v>0</v>
      </c>
      <c r="X133" s="239">
        <v>0</v>
      </c>
      <c r="Y133" s="239">
        <v>0</v>
      </c>
      <c r="Z133" s="239">
        <v>0</v>
      </c>
      <c r="AA133" s="239">
        <v>0</v>
      </c>
      <c r="AB133" s="239">
        <v>0</v>
      </c>
      <c r="AC133" s="239">
        <v>0</v>
      </c>
      <c r="AD133" s="239">
        <v>0</v>
      </c>
      <c r="AE133" s="239">
        <v>0</v>
      </c>
      <c r="AF133" s="239">
        <v>0</v>
      </c>
      <c r="AG133" s="239">
        <v>0</v>
      </c>
      <c r="AH133" s="239">
        <v>0</v>
      </c>
      <c r="AI133" s="239">
        <v>0</v>
      </c>
      <c r="AJ133" s="239">
        <v>0</v>
      </c>
      <c r="AK133" s="239">
        <v>329690.47750000004</v>
      </c>
      <c r="AL133" s="239">
        <v>82422.619375000009</v>
      </c>
      <c r="AM133" s="239">
        <v>0</v>
      </c>
      <c r="AN133" s="239">
        <v>328454</v>
      </c>
      <c r="AO133" s="239">
        <v>82114</v>
      </c>
      <c r="AP133" s="239">
        <v>0</v>
      </c>
      <c r="AQ133" s="239">
        <v>1236</v>
      </c>
      <c r="AR133" s="239">
        <v>309</v>
      </c>
      <c r="AS133" s="239">
        <v>0</v>
      </c>
      <c r="AT133" s="239">
        <v>0</v>
      </c>
      <c r="AU133" s="239">
        <v>0</v>
      </c>
      <c r="AV133" s="239">
        <v>0</v>
      </c>
      <c r="AW133" s="239">
        <v>0</v>
      </c>
      <c r="AX133" s="239">
        <v>0</v>
      </c>
      <c r="AY133" s="239">
        <v>0</v>
      </c>
      <c r="AZ133" s="239">
        <v>0</v>
      </c>
      <c r="BA133" s="239">
        <v>0</v>
      </c>
      <c r="BB133" s="239">
        <v>0</v>
      </c>
      <c r="BC133" s="239">
        <v>25584.139166666668</v>
      </c>
      <c r="BD133" s="239">
        <v>6396.0347916666669</v>
      </c>
      <c r="BE133" s="239">
        <v>0</v>
      </c>
      <c r="BF133" s="239">
        <v>55620</v>
      </c>
      <c r="BG133" s="239">
        <v>13906</v>
      </c>
      <c r="BH133" s="239">
        <v>0</v>
      </c>
      <c r="BI133" s="239">
        <v>-30036</v>
      </c>
      <c r="BJ133" s="239">
        <v>-7510</v>
      </c>
      <c r="BK133" s="239">
        <v>0</v>
      </c>
      <c r="BL133" s="239">
        <v>17178.924999999999</v>
      </c>
      <c r="BM133" s="239">
        <v>4294.7312499999998</v>
      </c>
      <c r="BN133" s="239">
        <v>0</v>
      </c>
      <c r="BO133" s="239">
        <v>9357</v>
      </c>
      <c r="BP133" s="239">
        <v>2340</v>
      </c>
      <c r="BQ133" s="239">
        <v>0</v>
      </c>
      <c r="BR133" s="239">
        <v>7822</v>
      </c>
      <c r="BS133" s="239">
        <v>1955</v>
      </c>
      <c r="BT133" s="239">
        <v>0</v>
      </c>
      <c r="BU133" s="239">
        <v>307335.55416666664</v>
      </c>
      <c r="BV133" s="239">
        <v>76833.88854166666</v>
      </c>
      <c r="BW133" s="239">
        <v>0</v>
      </c>
      <c r="BX133" s="239">
        <v>331827</v>
      </c>
      <c r="BY133" s="239">
        <v>82956</v>
      </c>
      <c r="BZ133" s="239">
        <v>0</v>
      </c>
      <c r="CA133" s="239">
        <v>-24491</v>
      </c>
      <c r="CB133" s="239">
        <v>-6122</v>
      </c>
      <c r="CC133" s="239">
        <v>0</v>
      </c>
      <c r="CD133" s="239">
        <v>0</v>
      </c>
      <c r="CE133" s="239">
        <v>0</v>
      </c>
      <c r="CF133" s="239">
        <v>0</v>
      </c>
      <c r="CG133" s="239">
        <v>0</v>
      </c>
      <c r="CH133" s="239">
        <v>0</v>
      </c>
      <c r="CI133" s="239">
        <v>0</v>
      </c>
      <c r="CJ133" s="239">
        <v>0</v>
      </c>
      <c r="CK133" s="239">
        <v>0</v>
      </c>
      <c r="CL133" s="239">
        <v>0</v>
      </c>
      <c r="CM133" s="239">
        <v>2215.4441666666667</v>
      </c>
      <c r="CN133" s="239">
        <v>553.86104166666667</v>
      </c>
      <c r="CO133" s="239">
        <v>0</v>
      </c>
      <c r="CP133" s="239">
        <v>0</v>
      </c>
      <c r="CQ133" s="239">
        <v>0</v>
      </c>
      <c r="CR133" s="239">
        <v>0</v>
      </c>
      <c r="CS133" s="239">
        <v>2215</v>
      </c>
      <c r="CT133" s="239">
        <v>554</v>
      </c>
      <c r="CU133" s="239">
        <v>0</v>
      </c>
      <c r="CV133" s="239">
        <v>255429.72000000003</v>
      </c>
      <c r="CW133" s="239">
        <v>63857.430000000008</v>
      </c>
      <c r="CX133" s="239">
        <v>0</v>
      </c>
      <c r="CY133" s="239">
        <v>269305</v>
      </c>
      <c r="CZ133" s="239">
        <v>67326</v>
      </c>
      <c r="DA133" s="239">
        <v>0</v>
      </c>
      <c r="DB133" s="239">
        <v>-13875</v>
      </c>
      <c r="DC133" s="239">
        <v>-3469</v>
      </c>
      <c r="DD133" s="239">
        <v>0</v>
      </c>
      <c r="DE133" s="214">
        <v>0.5</v>
      </c>
      <c r="DF133" s="214">
        <v>0.4</v>
      </c>
      <c r="DG133" s="214">
        <v>0.1</v>
      </c>
      <c r="DH133" s="214">
        <v>0</v>
      </c>
      <c r="DI133" s="214" t="s">
        <v>1294</v>
      </c>
    </row>
    <row r="134" spans="2:113" s="214" customFormat="1" x14ac:dyDescent="0.2">
      <c r="B134" s="610" t="s">
        <v>351</v>
      </c>
      <c r="C134" s="610" t="s">
        <v>350</v>
      </c>
      <c r="D134" s="239">
        <v>-4881</v>
      </c>
      <c r="E134" s="239">
        <v>0</v>
      </c>
      <c r="F134" s="239">
        <v>-4881</v>
      </c>
      <c r="G134" s="239">
        <v>0</v>
      </c>
      <c r="H134" s="239">
        <v>0</v>
      </c>
      <c r="I134" s="239">
        <v>0</v>
      </c>
      <c r="J134" s="239">
        <v>-4881</v>
      </c>
      <c r="K134" s="239">
        <v>0</v>
      </c>
      <c r="L134" s="239">
        <v>-4881</v>
      </c>
      <c r="M134" s="239">
        <v>135499</v>
      </c>
      <c r="N134" s="239">
        <v>135499</v>
      </c>
      <c r="O134" s="239">
        <v>0</v>
      </c>
      <c r="P134" s="239">
        <v>0</v>
      </c>
      <c r="Q134" s="239">
        <v>0</v>
      </c>
      <c r="R134" s="239">
        <v>0</v>
      </c>
      <c r="S134" s="239">
        <v>0</v>
      </c>
      <c r="T134" s="239">
        <v>0</v>
      </c>
      <c r="U134" s="239">
        <v>0</v>
      </c>
      <c r="V134" s="239">
        <v>0</v>
      </c>
      <c r="W134" s="239">
        <v>0</v>
      </c>
      <c r="X134" s="239">
        <v>0</v>
      </c>
      <c r="Y134" s="239">
        <v>0</v>
      </c>
      <c r="Z134" s="239">
        <v>0</v>
      </c>
      <c r="AA134" s="239">
        <v>0</v>
      </c>
      <c r="AB134" s="239">
        <v>0</v>
      </c>
      <c r="AC134" s="239">
        <v>0</v>
      </c>
      <c r="AD134" s="239">
        <v>0</v>
      </c>
      <c r="AE134" s="239">
        <v>0</v>
      </c>
      <c r="AF134" s="239">
        <v>0</v>
      </c>
      <c r="AG134" s="239">
        <v>0</v>
      </c>
      <c r="AH134" s="239">
        <v>0</v>
      </c>
      <c r="AI134" s="239">
        <v>0</v>
      </c>
      <c r="AJ134" s="239">
        <v>0</v>
      </c>
      <c r="AK134" s="239">
        <v>574832.47916666674</v>
      </c>
      <c r="AL134" s="239">
        <v>129337.3078125</v>
      </c>
      <c r="AM134" s="239">
        <v>14370.811979166667</v>
      </c>
      <c r="AN134" s="239">
        <v>524803</v>
      </c>
      <c r="AO134" s="239">
        <v>118080</v>
      </c>
      <c r="AP134" s="239">
        <v>13120</v>
      </c>
      <c r="AQ134" s="239">
        <v>50029</v>
      </c>
      <c r="AR134" s="239">
        <v>11257</v>
      </c>
      <c r="AS134" s="239">
        <v>1251</v>
      </c>
      <c r="AT134" s="239">
        <v>66.556666666666672</v>
      </c>
      <c r="AU134" s="239">
        <v>14.975249999999999</v>
      </c>
      <c r="AV134" s="239">
        <v>1.6639166666666667</v>
      </c>
      <c r="AW134" s="239">
        <v>0</v>
      </c>
      <c r="AX134" s="239">
        <v>0</v>
      </c>
      <c r="AY134" s="239">
        <v>0</v>
      </c>
      <c r="AZ134" s="239">
        <v>67</v>
      </c>
      <c r="BA134" s="239">
        <v>15</v>
      </c>
      <c r="BB134" s="239">
        <v>2</v>
      </c>
      <c r="BC134" s="239">
        <v>0</v>
      </c>
      <c r="BD134" s="239">
        <v>0</v>
      </c>
      <c r="BE134" s="239">
        <v>0</v>
      </c>
      <c r="BF134" s="239">
        <v>168</v>
      </c>
      <c r="BG134" s="239">
        <v>38</v>
      </c>
      <c r="BH134" s="239">
        <v>4</v>
      </c>
      <c r="BI134" s="239">
        <v>-168</v>
      </c>
      <c r="BJ134" s="239">
        <v>-38</v>
      </c>
      <c r="BK134" s="239">
        <v>-4</v>
      </c>
      <c r="BL134" s="239">
        <v>4494.1983333333337</v>
      </c>
      <c r="BM134" s="239">
        <v>1011.1946249999999</v>
      </c>
      <c r="BN134" s="239">
        <v>112.35495833333333</v>
      </c>
      <c r="BO134" s="239">
        <v>339</v>
      </c>
      <c r="BP134" s="239">
        <v>76</v>
      </c>
      <c r="BQ134" s="239">
        <v>8</v>
      </c>
      <c r="BR134" s="239">
        <v>4155</v>
      </c>
      <c r="BS134" s="239">
        <v>935</v>
      </c>
      <c r="BT134" s="239">
        <v>104</v>
      </c>
      <c r="BU134" s="239">
        <v>237630.83833333338</v>
      </c>
      <c r="BV134" s="239">
        <v>53466.938625000003</v>
      </c>
      <c r="BW134" s="239">
        <v>5940.7709583333344</v>
      </c>
      <c r="BX134" s="239">
        <v>175079</v>
      </c>
      <c r="BY134" s="239">
        <v>39394</v>
      </c>
      <c r="BZ134" s="239">
        <v>4378</v>
      </c>
      <c r="CA134" s="239">
        <v>62552</v>
      </c>
      <c r="CB134" s="239">
        <v>14073</v>
      </c>
      <c r="CC134" s="239">
        <v>1563</v>
      </c>
      <c r="CD134" s="239">
        <v>0</v>
      </c>
      <c r="CE134" s="239">
        <v>0</v>
      </c>
      <c r="CF134" s="239">
        <v>0</v>
      </c>
      <c r="CG134" s="239">
        <v>0</v>
      </c>
      <c r="CH134" s="239">
        <v>0</v>
      </c>
      <c r="CI134" s="239">
        <v>0</v>
      </c>
      <c r="CJ134" s="239">
        <v>0</v>
      </c>
      <c r="CK134" s="239">
        <v>0</v>
      </c>
      <c r="CL134" s="239">
        <v>0</v>
      </c>
      <c r="CM134" s="239">
        <v>15564.114166666666</v>
      </c>
      <c r="CN134" s="239">
        <v>3501.9256874999996</v>
      </c>
      <c r="CO134" s="239">
        <v>389.10285416666665</v>
      </c>
      <c r="CP134" s="239">
        <v>0</v>
      </c>
      <c r="CQ134" s="239">
        <v>0</v>
      </c>
      <c r="CR134" s="239">
        <v>0</v>
      </c>
      <c r="CS134" s="239">
        <v>15564</v>
      </c>
      <c r="CT134" s="239">
        <v>3502</v>
      </c>
      <c r="CU134" s="239">
        <v>389</v>
      </c>
      <c r="CV134" s="239">
        <v>136828.46333333335</v>
      </c>
      <c r="CW134" s="239">
        <v>30786.40425</v>
      </c>
      <c r="CX134" s="239">
        <v>3420.7115833333332</v>
      </c>
      <c r="CY134" s="239">
        <v>142563</v>
      </c>
      <c r="CZ134" s="239">
        <v>32077</v>
      </c>
      <c r="DA134" s="239">
        <v>3564</v>
      </c>
      <c r="DB134" s="239">
        <v>-5735</v>
      </c>
      <c r="DC134" s="239">
        <v>-1291</v>
      </c>
      <c r="DD134" s="239">
        <v>-143</v>
      </c>
      <c r="DE134" s="214">
        <v>0.5</v>
      </c>
      <c r="DF134" s="214">
        <v>0.4</v>
      </c>
      <c r="DG134" s="214">
        <v>0.09</v>
      </c>
      <c r="DH134" s="214">
        <v>0.01</v>
      </c>
      <c r="DI134" s="214" t="s">
        <v>1294</v>
      </c>
    </row>
    <row r="135" spans="2:113" s="214" customFormat="1" x14ac:dyDescent="0.2">
      <c r="B135" s="610" t="s">
        <v>353</v>
      </c>
      <c r="C135" s="610" t="s">
        <v>352</v>
      </c>
      <c r="D135" s="239">
        <v>-71683</v>
      </c>
      <c r="E135" s="239">
        <v>0</v>
      </c>
      <c r="F135" s="239">
        <v>-71683</v>
      </c>
      <c r="G135" s="239">
        <v>0</v>
      </c>
      <c r="H135" s="239">
        <v>0</v>
      </c>
      <c r="I135" s="239">
        <v>0</v>
      </c>
      <c r="J135" s="239">
        <v>-71683</v>
      </c>
      <c r="K135" s="239">
        <v>0</v>
      </c>
      <c r="L135" s="239">
        <v>-71683</v>
      </c>
      <c r="M135" s="239">
        <v>585792</v>
      </c>
      <c r="N135" s="239">
        <v>585792</v>
      </c>
      <c r="O135" s="239">
        <v>0</v>
      </c>
      <c r="P135" s="239">
        <v>0</v>
      </c>
      <c r="Q135" s="239">
        <v>0</v>
      </c>
      <c r="R135" s="239">
        <v>0</v>
      </c>
      <c r="S135" s="239">
        <v>0</v>
      </c>
      <c r="T135" s="239">
        <v>0</v>
      </c>
      <c r="U135" s="239">
        <v>0</v>
      </c>
      <c r="V135" s="239">
        <v>0</v>
      </c>
      <c r="W135" s="239">
        <v>0</v>
      </c>
      <c r="X135" s="239">
        <v>0</v>
      </c>
      <c r="Y135" s="239">
        <v>0</v>
      </c>
      <c r="Z135" s="239">
        <v>0</v>
      </c>
      <c r="AA135" s="239">
        <v>0</v>
      </c>
      <c r="AB135" s="239">
        <v>0</v>
      </c>
      <c r="AC135" s="239">
        <v>0</v>
      </c>
      <c r="AD135" s="239">
        <v>0</v>
      </c>
      <c r="AE135" s="239">
        <v>0</v>
      </c>
      <c r="AF135" s="239">
        <v>0</v>
      </c>
      <c r="AG135" s="239">
        <v>0</v>
      </c>
      <c r="AH135" s="239">
        <v>0</v>
      </c>
      <c r="AI135" s="239">
        <v>0</v>
      </c>
      <c r="AJ135" s="239">
        <v>0</v>
      </c>
      <c r="AK135" s="239">
        <v>508610.625</v>
      </c>
      <c r="AL135" s="239">
        <v>339073.75</v>
      </c>
      <c r="AM135" s="239">
        <v>0</v>
      </c>
      <c r="AN135" s="239">
        <v>476591</v>
      </c>
      <c r="AO135" s="239">
        <v>317728</v>
      </c>
      <c r="AP135" s="239">
        <v>0</v>
      </c>
      <c r="AQ135" s="239">
        <v>32020</v>
      </c>
      <c r="AR135" s="239">
        <v>21346</v>
      </c>
      <c r="AS135" s="239">
        <v>0</v>
      </c>
      <c r="AT135" s="239">
        <v>0</v>
      </c>
      <c r="AU135" s="239">
        <v>0</v>
      </c>
      <c r="AV135" s="239">
        <v>0</v>
      </c>
      <c r="AW135" s="239">
        <v>0</v>
      </c>
      <c r="AX135" s="239">
        <v>0</v>
      </c>
      <c r="AY135" s="239">
        <v>0</v>
      </c>
      <c r="AZ135" s="239">
        <v>0</v>
      </c>
      <c r="BA135" s="239">
        <v>0</v>
      </c>
      <c r="BB135" s="239">
        <v>0</v>
      </c>
      <c r="BC135" s="239">
        <v>0</v>
      </c>
      <c r="BD135" s="239">
        <v>0</v>
      </c>
      <c r="BE135" s="239">
        <v>0</v>
      </c>
      <c r="BF135" s="239">
        <v>0</v>
      </c>
      <c r="BG135" s="239">
        <v>0</v>
      </c>
      <c r="BH135" s="239">
        <v>0</v>
      </c>
      <c r="BI135" s="239">
        <v>0</v>
      </c>
      <c r="BJ135" s="239">
        <v>0</v>
      </c>
      <c r="BK135" s="239">
        <v>0</v>
      </c>
      <c r="BL135" s="239">
        <v>0</v>
      </c>
      <c r="BM135" s="239">
        <v>0</v>
      </c>
      <c r="BN135" s="239">
        <v>0</v>
      </c>
      <c r="BO135" s="239">
        <v>30437</v>
      </c>
      <c r="BP135" s="239">
        <v>20292</v>
      </c>
      <c r="BQ135" s="239">
        <v>0</v>
      </c>
      <c r="BR135" s="239">
        <v>-30437</v>
      </c>
      <c r="BS135" s="239">
        <v>-20292</v>
      </c>
      <c r="BT135" s="239">
        <v>0</v>
      </c>
      <c r="BU135" s="239">
        <v>432263.02624999994</v>
      </c>
      <c r="BV135" s="239">
        <v>288175.35083333333</v>
      </c>
      <c r="BW135" s="239">
        <v>0</v>
      </c>
      <c r="BX135" s="239">
        <v>365250</v>
      </c>
      <c r="BY135" s="239">
        <v>243500</v>
      </c>
      <c r="BZ135" s="239">
        <v>0</v>
      </c>
      <c r="CA135" s="239">
        <v>67013</v>
      </c>
      <c r="CB135" s="239">
        <v>44675</v>
      </c>
      <c r="CC135" s="239">
        <v>0</v>
      </c>
      <c r="CD135" s="239">
        <v>0</v>
      </c>
      <c r="CE135" s="239">
        <v>0</v>
      </c>
      <c r="CF135" s="239">
        <v>0</v>
      </c>
      <c r="CG135" s="239">
        <v>0</v>
      </c>
      <c r="CH135" s="239">
        <v>0</v>
      </c>
      <c r="CI135" s="239">
        <v>0</v>
      </c>
      <c r="CJ135" s="239">
        <v>0</v>
      </c>
      <c r="CK135" s="239">
        <v>0</v>
      </c>
      <c r="CL135" s="239">
        <v>0</v>
      </c>
      <c r="CM135" s="239">
        <v>0</v>
      </c>
      <c r="CN135" s="239">
        <v>0</v>
      </c>
      <c r="CO135" s="239">
        <v>0</v>
      </c>
      <c r="CP135" s="239">
        <v>0</v>
      </c>
      <c r="CQ135" s="239">
        <v>0</v>
      </c>
      <c r="CR135" s="239">
        <v>0</v>
      </c>
      <c r="CS135" s="239">
        <v>0</v>
      </c>
      <c r="CT135" s="239">
        <v>0</v>
      </c>
      <c r="CU135" s="239">
        <v>0</v>
      </c>
      <c r="CV135" s="239">
        <v>1621753.1837499999</v>
      </c>
      <c r="CW135" s="239">
        <v>1081168.7891666668</v>
      </c>
      <c r="CX135" s="239">
        <v>0</v>
      </c>
      <c r="CY135" s="239">
        <v>1626506</v>
      </c>
      <c r="CZ135" s="239">
        <v>1084338</v>
      </c>
      <c r="DA135" s="239">
        <v>0</v>
      </c>
      <c r="DB135" s="239">
        <v>-4753</v>
      </c>
      <c r="DC135" s="239">
        <v>-3169</v>
      </c>
      <c r="DD135" s="239">
        <v>0</v>
      </c>
      <c r="DE135" s="214">
        <v>0.5</v>
      </c>
      <c r="DF135" s="214">
        <v>0.3</v>
      </c>
      <c r="DG135" s="214">
        <v>0.2</v>
      </c>
      <c r="DH135" s="214">
        <v>0</v>
      </c>
      <c r="DI135" s="214" t="s">
        <v>1295</v>
      </c>
    </row>
    <row r="136" spans="2:113" s="214" customFormat="1" x14ac:dyDescent="0.2">
      <c r="B136" s="610" t="s">
        <v>355</v>
      </c>
      <c r="C136" s="610" t="s">
        <v>354</v>
      </c>
      <c r="D136" s="239">
        <v>-5338</v>
      </c>
      <c r="E136" s="239">
        <v>0</v>
      </c>
      <c r="F136" s="239">
        <v>-5338</v>
      </c>
      <c r="G136" s="239">
        <v>0</v>
      </c>
      <c r="H136" s="239">
        <v>0</v>
      </c>
      <c r="I136" s="239">
        <v>0</v>
      </c>
      <c r="J136" s="239">
        <v>-5338</v>
      </c>
      <c r="K136" s="239">
        <v>0</v>
      </c>
      <c r="L136" s="239">
        <v>-5338</v>
      </c>
      <c r="M136" s="239">
        <v>123813</v>
      </c>
      <c r="N136" s="239">
        <v>123813</v>
      </c>
      <c r="O136" s="239">
        <v>0</v>
      </c>
      <c r="P136" s="239">
        <v>96936</v>
      </c>
      <c r="Q136" s="239">
        <v>60950</v>
      </c>
      <c r="R136" s="239">
        <v>35986</v>
      </c>
      <c r="S136" s="239">
        <v>26694</v>
      </c>
      <c r="T136" s="239">
        <v>0</v>
      </c>
      <c r="U136" s="239">
        <v>0</v>
      </c>
      <c r="V136" s="239">
        <v>0</v>
      </c>
      <c r="W136" s="239">
        <v>26694</v>
      </c>
      <c r="X136" s="239">
        <v>0</v>
      </c>
      <c r="Y136" s="239">
        <v>74881.322916666672</v>
      </c>
      <c r="Z136" s="239">
        <v>74881.322916666672</v>
      </c>
      <c r="AA136" s="239">
        <v>0</v>
      </c>
      <c r="AB136" s="239">
        <v>0</v>
      </c>
      <c r="AC136" s="239">
        <v>0</v>
      </c>
      <c r="AD136" s="239">
        <v>0</v>
      </c>
      <c r="AE136" s="239">
        <v>0</v>
      </c>
      <c r="AF136" s="239">
        <v>0</v>
      </c>
      <c r="AG136" s="239">
        <v>74881</v>
      </c>
      <c r="AH136" s="239">
        <v>74881</v>
      </c>
      <c r="AI136" s="239">
        <v>0</v>
      </c>
      <c r="AJ136" s="239">
        <v>0</v>
      </c>
      <c r="AK136" s="239">
        <v>515293.48249999998</v>
      </c>
      <c r="AL136" s="239">
        <v>115941.03356249999</v>
      </c>
      <c r="AM136" s="239">
        <v>12882.337062499999</v>
      </c>
      <c r="AN136" s="239">
        <v>458992</v>
      </c>
      <c r="AO136" s="239">
        <v>103274</v>
      </c>
      <c r="AP136" s="239">
        <v>11474</v>
      </c>
      <c r="AQ136" s="239">
        <v>56301</v>
      </c>
      <c r="AR136" s="239">
        <v>12667</v>
      </c>
      <c r="AS136" s="239">
        <v>1408</v>
      </c>
      <c r="AT136" s="239">
        <v>4142.7466666666669</v>
      </c>
      <c r="AU136" s="239">
        <v>932.11800000000005</v>
      </c>
      <c r="AV136" s="239">
        <v>103.56866666666667</v>
      </c>
      <c r="AW136" s="239">
        <v>582</v>
      </c>
      <c r="AX136" s="239">
        <v>132</v>
      </c>
      <c r="AY136" s="239">
        <v>14</v>
      </c>
      <c r="AZ136" s="239">
        <v>3561</v>
      </c>
      <c r="BA136" s="239">
        <v>800</v>
      </c>
      <c r="BB136" s="239">
        <v>90</v>
      </c>
      <c r="BC136" s="239">
        <v>3952.8166666666675</v>
      </c>
      <c r="BD136" s="239">
        <v>889.38374999999996</v>
      </c>
      <c r="BE136" s="239">
        <v>98.820416666666674</v>
      </c>
      <c r="BF136" s="239">
        <v>3951</v>
      </c>
      <c r="BG136" s="239">
        <v>890</v>
      </c>
      <c r="BH136" s="239">
        <v>98</v>
      </c>
      <c r="BI136" s="239">
        <v>2</v>
      </c>
      <c r="BJ136" s="239">
        <v>-1</v>
      </c>
      <c r="BK136" s="239">
        <v>1</v>
      </c>
      <c r="BL136" s="239">
        <v>1915.5333333333333</v>
      </c>
      <c r="BM136" s="239">
        <v>430.99499999999995</v>
      </c>
      <c r="BN136" s="239">
        <v>47.888333333333328</v>
      </c>
      <c r="BO136" s="239">
        <v>0</v>
      </c>
      <c r="BP136" s="239">
        <v>0</v>
      </c>
      <c r="BQ136" s="239">
        <v>0</v>
      </c>
      <c r="BR136" s="239">
        <v>1916</v>
      </c>
      <c r="BS136" s="239">
        <v>431</v>
      </c>
      <c r="BT136" s="239">
        <v>48</v>
      </c>
      <c r="BU136" s="239">
        <v>151292.63750000001</v>
      </c>
      <c r="BV136" s="239">
        <v>34040.8434375</v>
      </c>
      <c r="BW136" s="239">
        <v>3782.3159375000005</v>
      </c>
      <c r="BX136" s="239">
        <v>129185</v>
      </c>
      <c r="BY136" s="239">
        <v>29066</v>
      </c>
      <c r="BZ136" s="239">
        <v>3230</v>
      </c>
      <c r="CA136" s="239">
        <v>22108</v>
      </c>
      <c r="CB136" s="239">
        <v>4975</v>
      </c>
      <c r="CC136" s="239">
        <v>552</v>
      </c>
      <c r="CD136" s="239">
        <v>0</v>
      </c>
      <c r="CE136" s="239">
        <v>0</v>
      </c>
      <c r="CF136" s="239">
        <v>0</v>
      </c>
      <c r="CG136" s="239">
        <v>0</v>
      </c>
      <c r="CH136" s="239">
        <v>0</v>
      </c>
      <c r="CI136" s="239">
        <v>0</v>
      </c>
      <c r="CJ136" s="239">
        <v>0</v>
      </c>
      <c r="CK136" s="239">
        <v>0</v>
      </c>
      <c r="CL136" s="239">
        <v>0</v>
      </c>
      <c r="CM136" s="239">
        <v>1342.0908333333334</v>
      </c>
      <c r="CN136" s="239">
        <v>301.9704375</v>
      </c>
      <c r="CO136" s="239">
        <v>33.552270833333331</v>
      </c>
      <c r="CP136" s="239">
        <v>0</v>
      </c>
      <c r="CQ136" s="239">
        <v>0</v>
      </c>
      <c r="CR136" s="239">
        <v>0</v>
      </c>
      <c r="CS136" s="239">
        <v>1342</v>
      </c>
      <c r="CT136" s="239">
        <v>302</v>
      </c>
      <c r="CU136" s="239">
        <v>34</v>
      </c>
      <c r="CV136" s="239">
        <v>174599.9616666667</v>
      </c>
      <c r="CW136" s="239">
        <v>38879.330437500001</v>
      </c>
      <c r="CX136" s="239">
        <v>4319.9256041666677</v>
      </c>
      <c r="CY136" s="239">
        <v>169837</v>
      </c>
      <c r="CZ136" s="239">
        <v>38013</v>
      </c>
      <c r="DA136" s="239">
        <v>4224</v>
      </c>
      <c r="DB136" s="239">
        <v>4763</v>
      </c>
      <c r="DC136" s="239">
        <v>866</v>
      </c>
      <c r="DD136" s="239">
        <v>96</v>
      </c>
      <c r="DE136" s="214">
        <v>0.5</v>
      </c>
      <c r="DF136" s="214">
        <v>0.4</v>
      </c>
      <c r="DG136" s="214">
        <v>0.09</v>
      </c>
      <c r="DH136" s="214">
        <v>0.01</v>
      </c>
      <c r="DI136" s="214" t="s">
        <v>1294</v>
      </c>
    </row>
    <row r="137" spans="2:113" s="214" customFormat="1" x14ac:dyDescent="0.2">
      <c r="B137" s="610" t="s">
        <v>357</v>
      </c>
      <c r="C137" s="610" t="s">
        <v>356</v>
      </c>
      <c r="D137" s="239">
        <v>340165</v>
      </c>
      <c r="E137" s="239">
        <v>0</v>
      </c>
      <c r="F137" s="239">
        <v>340165</v>
      </c>
      <c r="G137" s="239">
        <v>0</v>
      </c>
      <c r="H137" s="239">
        <v>0</v>
      </c>
      <c r="I137" s="239">
        <v>0</v>
      </c>
      <c r="J137" s="239">
        <v>340165</v>
      </c>
      <c r="K137" s="239">
        <v>0</v>
      </c>
      <c r="L137" s="239">
        <v>340165</v>
      </c>
      <c r="M137" s="239">
        <v>176540</v>
      </c>
      <c r="N137" s="239">
        <v>176540</v>
      </c>
      <c r="O137" s="239">
        <v>0</v>
      </c>
      <c r="P137" s="239">
        <v>0</v>
      </c>
      <c r="Q137" s="239">
        <v>0</v>
      </c>
      <c r="R137" s="239">
        <v>0</v>
      </c>
      <c r="S137" s="239">
        <v>0</v>
      </c>
      <c r="T137" s="239">
        <v>0</v>
      </c>
      <c r="U137" s="239">
        <v>0</v>
      </c>
      <c r="V137" s="239">
        <v>0</v>
      </c>
      <c r="W137" s="239">
        <v>0</v>
      </c>
      <c r="X137" s="239">
        <v>0</v>
      </c>
      <c r="Y137" s="239">
        <v>0</v>
      </c>
      <c r="Z137" s="239">
        <v>0</v>
      </c>
      <c r="AA137" s="239">
        <v>0</v>
      </c>
      <c r="AB137" s="239">
        <v>0</v>
      </c>
      <c r="AC137" s="239">
        <v>0</v>
      </c>
      <c r="AD137" s="239">
        <v>0</v>
      </c>
      <c r="AE137" s="239">
        <v>0</v>
      </c>
      <c r="AF137" s="239">
        <v>0</v>
      </c>
      <c r="AG137" s="239">
        <v>0</v>
      </c>
      <c r="AH137" s="239">
        <v>0</v>
      </c>
      <c r="AI137" s="239">
        <v>0</v>
      </c>
      <c r="AJ137" s="239">
        <v>0</v>
      </c>
      <c r="AK137" s="239">
        <v>623940.34166666667</v>
      </c>
      <c r="AL137" s="239">
        <v>155985.08541666667</v>
      </c>
      <c r="AM137" s="239">
        <v>0</v>
      </c>
      <c r="AN137" s="239">
        <v>530391</v>
      </c>
      <c r="AO137" s="239">
        <v>132598</v>
      </c>
      <c r="AP137" s="239">
        <v>0</v>
      </c>
      <c r="AQ137" s="239">
        <v>93549</v>
      </c>
      <c r="AR137" s="239">
        <v>23387</v>
      </c>
      <c r="AS137" s="239">
        <v>0</v>
      </c>
      <c r="AT137" s="239">
        <v>1105.8958333333335</v>
      </c>
      <c r="AU137" s="239">
        <v>276.47395833333337</v>
      </c>
      <c r="AV137" s="239">
        <v>0</v>
      </c>
      <c r="AW137" s="239">
        <v>0</v>
      </c>
      <c r="AX137" s="239">
        <v>0</v>
      </c>
      <c r="AY137" s="239">
        <v>0</v>
      </c>
      <c r="AZ137" s="239">
        <v>1106</v>
      </c>
      <c r="BA137" s="239">
        <v>276</v>
      </c>
      <c r="BB137" s="239">
        <v>0</v>
      </c>
      <c r="BC137" s="239">
        <v>11922.165833333334</v>
      </c>
      <c r="BD137" s="239">
        <v>2980.5414583333336</v>
      </c>
      <c r="BE137" s="239">
        <v>0</v>
      </c>
      <c r="BF137" s="239">
        <v>0</v>
      </c>
      <c r="BG137" s="239">
        <v>0</v>
      </c>
      <c r="BH137" s="239">
        <v>0</v>
      </c>
      <c r="BI137" s="239">
        <v>11922</v>
      </c>
      <c r="BJ137" s="239">
        <v>2981</v>
      </c>
      <c r="BK137" s="239">
        <v>0</v>
      </c>
      <c r="BL137" s="239">
        <v>-167.20333333333335</v>
      </c>
      <c r="BM137" s="239">
        <v>-41.800833333333337</v>
      </c>
      <c r="BN137" s="239">
        <v>0</v>
      </c>
      <c r="BO137" s="239">
        <v>172</v>
      </c>
      <c r="BP137" s="239">
        <v>44</v>
      </c>
      <c r="BQ137" s="239">
        <v>0</v>
      </c>
      <c r="BR137" s="239">
        <v>-339</v>
      </c>
      <c r="BS137" s="239">
        <v>-86</v>
      </c>
      <c r="BT137" s="239">
        <v>0</v>
      </c>
      <c r="BU137" s="239">
        <v>297097.19083333336</v>
      </c>
      <c r="BV137" s="239">
        <v>74274.297708333339</v>
      </c>
      <c r="BW137" s="239">
        <v>0</v>
      </c>
      <c r="BX137" s="239">
        <v>294070</v>
      </c>
      <c r="BY137" s="239">
        <v>73518</v>
      </c>
      <c r="BZ137" s="239">
        <v>0</v>
      </c>
      <c r="CA137" s="239">
        <v>3027</v>
      </c>
      <c r="CB137" s="239">
        <v>756</v>
      </c>
      <c r="CC137" s="239">
        <v>0</v>
      </c>
      <c r="CD137" s="239">
        <v>-142.85333333333332</v>
      </c>
      <c r="CE137" s="239">
        <v>-35.713333333333331</v>
      </c>
      <c r="CF137" s="239">
        <v>0</v>
      </c>
      <c r="CG137" s="239">
        <v>0</v>
      </c>
      <c r="CH137" s="239">
        <v>0</v>
      </c>
      <c r="CI137" s="239">
        <v>0</v>
      </c>
      <c r="CJ137" s="239">
        <v>-143</v>
      </c>
      <c r="CK137" s="239">
        <v>-36</v>
      </c>
      <c r="CL137" s="239">
        <v>0</v>
      </c>
      <c r="CM137" s="239">
        <v>1081.1400000000001</v>
      </c>
      <c r="CN137" s="239">
        <v>270.28500000000003</v>
      </c>
      <c r="CO137" s="239">
        <v>0</v>
      </c>
      <c r="CP137" s="239">
        <v>0</v>
      </c>
      <c r="CQ137" s="239">
        <v>0</v>
      </c>
      <c r="CR137" s="239">
        <v>0</v>
      </c>
      <c r="CS137" s="239">
        <v>1081</v>
      </c>
      <c r="CT137" s="239">
        <v>270</v>
      </c>
      <c r="CU137" s="239">
        <v>0</v>
      </c>
      <c r="CV137" s="239">
        <v>232236.92916666667</v>
      </c>
      <c r="CW137" s="239">
        <v>58059.232291666667</v>
      </c>
      <c r="CX137" s="239">
        <v>0</v>
      </c>
      <c r="CY137" s="239">
        <v>232109</v>
      </c>
      <c r="CZ137" s="239">
        <v>58027</v>
      </c>
      <c r="DA137" s="239">
        <v>0</v>
      </c>
      <c r="DB137" s="239">
        <v>128</v>
      </c>
      <c r="DC137" s="239">
        <v>32</v>
      </c>
      <c r="DD137" s="239">
        <v>0</v>
      </c>
      <c r="DE137" s="214">
        <v>0.5</v>
      </c>
      <c r="DF137" s="214">
        <v>0.4</v>
      </c>
      <c r="DG137" s="214">
        <v>0.1</v>
      </c>
      <c r="DH137" s="214">
        <v>0</v>
      </c>
      <c r="DI137" s="214" t="s">
        <v>1294</v>
      </c>
    </row>
    <row r="138" spans="2:113" s="214" customFormat="1" x14ac:dyDescent="0.2">
      <c r="B138" s="610" t="s">
        <v>359</v>
      </c>
      <c r="C138" s="610" t="s">
        <v>358</v>
      </c>
      <c r="D138" s="239">
        <v>-1138436</v>
      </c>
      <c r="E138" s="239">
        <v>0</v>
      </c>
      <c r="F138" s="239">
        <v>-1138436</v>
      </c>
      <c r="G138" s="239">
        <v>0</v>
      </c>
      <c r="H138" s="239">
        <v>0</v>
      </c>
      <c r="I138" s="239">
        <v>0</v>
      </c>
      <c r="J138" s="239">
        <v>-1138436</v>
      </c>
      <c r="K138" s="239">
        <v>0</v>
      </c>
      <c r="L138" s="239">
        <v>-1138436</v>
      </c>
      <c r="M138" s="239">
        <v>402034</v>
      </c>
      <c r="N138" s="239">
        <v>402034</v>
      </c>
      <c r="O138" s="239">
        <v>0</v>
      </c>
      <c r="P138" s="239">
        <v>0</v>
      </c>
      <c r="Q138" s="239">
        <v>0</v>
      </c>
      <c r="R138" s="239">
        <v>0</v>
      </c>
      <c r="S138" s="239">
        <v>0</v>
      </c>
      <c r="T138" s="239">
        <v>0</v>
      </c>
      <c r="U138" s="239">
        <v>0</v>
      </c>
      <c r="V138" s="239">
        <v>0</v>
      </c>
      <c r="W138" s="239">
        <v>0</v>
      </c>
      <c r="X138" s="239">
        <v>0</v>
      </c>
      <c r="Y138" s="239">
        <v>0</v>
      </c>
      <c r="Z138" s="239">
        <v>0</v>
      </c>
      <c r="AA138" s="239">
        <v>0</v>
      </c>
      <c r="AB138" s="239">
        <v>0</v>
      </c>
      <c r="AC138" s="239">
        <v>0</v>
      </c>
      <c r="AD138" s="239">
        <v>0</v>
      </c>
      <c r="AE138" s="239">
        <v>0</v>
      </c>
      <c r="AF138" s="239">
        <v>0</v>
      </c>
      <c r="AG138" s="239">
        <v>0</v>
      </c>
      <c r="AH138" s="239">
        <v>0</v>
      </c>
      <c r="AI138" s="239">
        <v>0</v>
      </c>
      <c r="AJ138" s="239">
        <v>0</v>
      </c>
      <c r="AK138" s="239">
        <v>448535.9790625</v>
      </c>
      <c r="AL138" s="239">
        <v>299023.98604166665</v>
      </c>
      <c r="AM138" s="239">
        <v>0</v>
      </c>
      <c r="AN138" s="239">
        <v>413956</v>
      </c>
      <c r="AO138" s="239">
        <v>275970</v>
      </c>
      <c r="AP138" s="239">
        <v>0</v>
      </c>
      <c r="AQ138" s="239">
        <v>34580</v>
      </c>
      <c r="AR138" s="239">
        <v>23054</v>
      </c>
      <c r="AS138" s="239">
        <v>0</v>
      </c>
      <c r="AT138" s="239">
        <v>0</v>
      </c>
      <c r="AU138" s="239">
        <v>0</v>
      </c>
      <c r="AV138" s="239">
        <v>0</v>
      </c>
      <c r="AW138" s="239">
        <v>0</v>
      </c>
      <c r="AX138" s="239">
        <v>0</v>
      </c>
      <c r="AY138" s="239">
        <v>0</v>
      </c>
      <c r="AZ138" s="239">
        <v>0</v>
      </c>
      <c r="BA138" s="239">
        <v>0</v>
      </c>
      <c r="BB138" s="239">
        <v>0</v>
      </c>
      <c r="BC138" s="239">
        <v>2814.8599999999997</v>
      </c>
      <c r="BD138" s="239">
        <v>1876.5733333333337</v>
      </c>
      <c r="BE138" s="239">
        <v>0</v>
      </c>
      <c r="BF138" s="239">
        <v>96449</v>
      </c>
      <c r="BG138" s="239">
        <v>64300</v>
      </c>
      <c r="BH138" s="239">
        <v>0</v>
      </c>
      <c r="BI138" s="239">
        <v>-93634</v>
      </c>
      <c r="BJ138" s="239">
        <v>-62423</v>
      </c>
      <c r="BK138" s="239">
        <v>0</v>
      </c>
      <c r="BL138" s="239">
        <v>10148.775625</v>
      </c>
      <c r="BM138" s="239">
        <v>6765.8504166666662</v>
      </c>
      <c r="BN138" s="239">
        <v>0</v>
      </c>
      <c r="BO138" s="239">
        <v>1535</v>
      </c>
      <c r="BP138" s="239">
        <v>1022</v>
      </c>
      <c r="BQ138" s="239">
        <v>0</v>
      </c>
      <c r="BR138" s="239">
        <v>8614</v>
      </c>
      <c r="BS138" s="239">
        <v>5744</v>
      </c>
      <c r="BT138" s="239">
        <v>0</v>
      </c>
      <c r="BU138" s="239">
        <v>408066.43125000002</v>
      </c>
      <c r="BV138" s="239">
        <v>272044.28750000003</v>
      </c>
      <c r="BW138" s="239">
        <v>0</v>
      </c>
      <c r="BX138" s="239">
        <v>178010</v>
      </c>
      <c r="BY138" s="239">
        <v>118674</v>
      </c>
      <c r="BZ138" s="239">
        <v>0</v>
      </c>
      <c r="CA138" s="239">
        <v>230056</v>
      </c>
      <c r="CB138" s="239">
        <v>153370</v>
      </c>
      <c r="CC138" s="239">
        <v>0</v>
      </c>
      <c r="CD138" s="239">
        <v>0</v>
      </c>
      <c r="CE138" s="239">
        <v>0</v>
      </c>
      <c r="CF138" s="239">
        <v>0</v>
      </c>
      <c r="CG138" s="239">
        <v>0</v>
      </c>
      <c r="CH138" s="239">
        <v>0</v>
      </c>
      <c r="CI138" s="239">
        <v>0</v>
      </c>
      <c r="CJ138" s="239">
        <v>0</v>
      </c>
      <c r="CK138" s="239">
        <v>0</v>
      </c>
      <c r="CL138" s="239">
        <v>0</v>
      </c>
      <c r="CM138" s="239">
        <v>821.8125</v>
      </c>
      <c r="CN138" s="239">
        <v>547.875</v>
      </c>
      <c r="CO138" s="239">
        <v>0</v>
      </c>
      <c r="CP138" s="239">
        <v>0</v>
      </c>
      <c r="CQ138" s="239">
        <v>0</v>
      </c>
      <c r="CR138" s="239">
        <v>0</v>
      </c>
      <c r="CS138" s="239">
        <v>822</v>
      </c>
      <c r="CT138" s="239">
        <v>548</v>
      </c>
      <c r="CU138" s="239">
        <v>0</v>
      </c>
      <c r="CV138" s="239">
        <v>682970.60124999995</v>
      </c>
      <c r="CW138" s="239">
        <v>455313.73416666675</v>
      </c>
      <c r="CX138" s="239">
        <v>0</v>
      </c>
      <c r="CY138" s="239">
        <v>683036</v>
      </c>
      <c r="CZ138" s="239">
        <v>455357</v>
      </c>
      <c r="DA138" s="239">
        <v>0</v>
      </c>
      <c r="DB138" s="239">
        <v>-65</v>
      </c>
      <c r="DC138" s="239">
        <v>-43</v>
      </c>
      <c r="DD138" s="239">
        <v>0</v>
      </c>
      <c r="DE138" s="214">
        <v>0.5</v>
      </c>
      <c r="DF138" s="214">
        <v>0.3</v>
      </c>
      <c r="DG138" s="214">
        <v>0.2</v>
      </c>
      <c r="DH138" s="214">
        <v>0</v>
      </c>
      <c r="DI138" s="214" t="s">
        <v>1295</v>
      </c>
    </row>
    <row r="139" spans="2:113" s="214" customFormat="1" x14ac:dyDescent="0.2">
      <c r="B139" s="610" t="s">
        <v>361</v>
      </c>
      <c r="C139" s="610" t="s">
        <v>360</v>
      </c>
      <c r="D139" s="239">
        <v>-305022</v>
      </c>
      <c r="E139" s="239">
        <v>0</v>
      </c>
      <c r="F139" s="239">
        <v>-305022</v>
      </c>
      <c r="G139" s="239">
        <v>0</v>
      </c>
      <c r="H139" s="239">
        <v>0</v>
      </c>
      <c r="I139" s="239">
        <v>0</v>
      </c>
      <c r="J139" s="239">
        <v>-305022</v>
      </c>
      <c r="K139" s="239">
        <v>0</v>
      </c>
      <c r="L139" s="239">
        <v>-305022</v>
      </c>
      <c r="M139" s="239">
        <v>221544</v>
      </c>
      <c r="N139" s="239">
        <v>221544</v>
      </c>
      <c r="O139" s="239">
        <v>0</v>
      </c>
      <c r="P139" s="239">
        <v>0</v>
      </c>
      <c r="Q139" s="239">
        <v>0</v>
      </c>
      <c r="R139" s="239">
        <v>0</v>
      </c>
      <c r="S139" s="239">
        <v>828801</v>
      </c>
      <c r="T139" s="239">
        <v>0</v>
      </c>
      <c r="U139" s="239">
        <v>407937</v>
      </c>
      <c r="V139" s="239">
        <v>0</v>
      </c>
      <c r="W139" s="239">
        <v>420864</v>
      </c>
      <c r="X139" s="239">
        <v>0</v>
      </c>
      <c r="Y139" s="239">
        <v>271451.77083333337</v>
      </c>
      <c r="Z139" s="239">
        <v>271451.77083333337</v>
      </c>
      <c r="AA139" s="239">
        <v>0</v>
      </c>
      <c r="AB139" s="239">
        <v>0</v>
      </c>
      <c r="AC139" s="239">
        <v>203397</v>
      </c>
      <c r="AD139" s="239">
        <v>203397</v>
      </c>
      <c r="AE139" s="239">
        <v>0</v>
      </c>
      <c r="AF139" s="239">
        <v>0</v>
      </c>
      <c r="AG139" s="239">
        <v>68055</v>
      </c>
      <c r="AH139" s="239">
        <v>68055</v>
      </c>
      <c r="AI139" s="239">
        <v>0</v>
      </c>
      <c r="AJ139" s="239">
        <v>0</v>
      </c>
      <c r="AK139" s="239">
        <v>641531.49187499995</v>
      </c>
      <c r="AL139" s="239">
        <v>144326.4373125</v>
      </c>
      <c r="AM139" s="239">
        <v>16036.270812499999</v>
      </c>
      <c r="AN139" s="239">
        <v>604733</v>
      </c>
      <c r="AO139" s="239">
        <v>136064</v>
      </c>
      <c r="AP139" s="239">
        <v>15118</v>
      </c>
      <c r="AQ139" s="239">
        <v>36798</v>
      </c>
      <c r="AR139" s="239">
        <v>8262</v>
      </c>
      <c r="AS139" s="239">
        <v>918</v>
      </c>
      <c r="AT139" s="239">
        <v>8510.7308333333331</v>
      </c>
      <c r="AU139" s="239">
        <v>1914.9144374999998</v>
      </c>
      <c r="AV139" s="239">
        <v>212.76827083333333</v>
      </c>
      <c r="AW139" s="239">
        <v>4057</v>
      </c>
      <c r="AX139" s="239">
        <v>914</v>
      </c>
      <c r="AY139" s="239">
        <v>102</v>
      </c>
      <c r="AZ139" s="239">
        <v>4454</v>
      </c>
      <c r="BA139" s="239">
        <v>1001</v>
      </c>
      <c r="BB139" s="239">
        <v>111</v>
      </c>
      <c r="BC139" s="239">
        <v>0</v>
      </c>
      <c r="BD139" s="239">
        <v>0</v>
      </c>
      <c r="BE139" s="239">
        <v>0</v>
      </c>
      <c r="BF139" s="239">
        <v>4057</v>
      </c>
      <c r="BG139" s="239">
        <v>914</v>
      </c>
      <c r="BH139" s="239">
        <v>102</v>
      </c>
      <c r="BI139" s="239">
        <v>-4057</v>
      </c>
      <c r="BJ139" s="239">
        <v>-914</v>
      </c>
      <c r="BK139" s="239">
        <v>-102</v>
      </c>
      <c r="BL139" s="239">
        <v>4039.2591666666667</v>
      </c>
      <c r="BM139" s="239">
        <v>908.83331250000003</v>
      </c>
      <c r="BN139" s="239">
        <v>100.98147916666667</v>
      </c>
      <c r="BO139" s="239">
        <v>6087</v>
      </c>
      <c r="BP139" s="239">
        <v>1370</v>
      </c>
      <c r="BQ139" s="239">
        <v>152</v>
      </c>
      <c r="BR139" s="239">
        <v>-2048</v>
      </c>
      <c r="BS139" s="239">
        <v>-461</v>
      </c>
      <c r="BT139" s="239">
        <v>-51</v>
      </c>
      <c r="BU139" s="239">
        <v>350060.47000000003</v>
      </c>
      <c r="BV139" s="239">
        <v>78763.605749999988</v>
      </c>
      <c r="BW139" s="239">
        <v>8751.5117500000015</v>
      </c>
      <c r="BX139" s="239">
        <v>304375</v>
      </c>
      <c r="BY139" s="239">
        <v>68484</v>
      </c>
      <c r="BZ139" s="239">
        <v>7610</v>
      </c>
      <c r="CA139" s="239">
        <v>45685</v>
      </c>
      <c r="CB139" s="239">
        <v>10280</v>
      </c>
      <c r="CC139" s="239">
        <v>1142</v>
      </c>
      <c r="CD139" s="239">
        <v>0</v>
      </c>
      <c r="CE139" s="239">
        <v>0</v>
      </c>
      <c r="CF139" s="239">
        <v>0</v>
      </c>
      <c r="CG139" s="239">
        <v>0</v>
      </c>
      <c r="CH139" s="239">
        <v>0</v>
      </c>
      <c r="CI139" s="239">
        <v>0</v>
      </c>
      <c r="CJ139" s="239">
        <v>0</v>
      </c>
      <c r="CK139" s="239">
        <v>0</v>
      </c>
      <c r="CL139" s="239">
        <v>0</v>
      </c>
      <c r="CM139" s="239">
        <v>0</v>
      </c>
      <c r="CN139" s="239">
        <v>0</v>
      </c>
      <c r="CO139" s="239">
        <v>0</v>
      </c>
      <c r="CP139" s="239">
        <v>0</v>
      </c>
      <c r="CQ139" s="239">
        <v>0</v>
      </c>
      <c r="CR139" s="239">
        <v>0</v>
      </c>
      <c r="CS139" s="239">
        <v>0</v>
      </c>
      <c r="CT139" s="239">
        <v>0</v>
      </c>
      <c r="CU139" s="239">
        <v>0</v>
      </c>
      <c r="CV139" s="239">
        <v>352776.41291666671</v>
      </c>
      <c r="CW139" s="239">
        <v>76655.189624999985</v>
      </c>
      <c r="CX139" s="239">
        <v>8517.2432916666676</v>
      </c>
      <c r="CY139" s="239">
        <v>354285</v>
      </c>
      <c r="CZ139" s="239">
        <v>77708</v>
      </c>
      <c r="DA139" s="239">
        <v>8634</v>
      </c>
      <c r="DB139" s="239">
        <v>-1509</v>
      </c>
      <c r="DC139" s="239">
        <v>-1053</v>
      </c>
      <c r="DD139" s="239">
        <v>-117</v>
      </c>
      <c r="DE139" s="214">
        <v>0.5</v>
      </c>
      <c r="DF139" s="214">
        <v>0.4</v>
      </c>
      <c r="DG139" s="214">
        <v>0.09</v>
      </c>
      <c r="DH139" s="214">
        <v>0.01</v>
      </c>
      <c r="DI139" s="214" t="s">
        <v>1294</v>
      </c>
    </row>
    <row r="140" spans="2:113" s="214" customFormat="1" x14ac:dyDescent="0.2">
      <c r="B140" s="610" t="s">
        <v>363</v>
      </c>
      <c r="C140" s="610" t="s">
        <v>362</v>
      </c>
      <c r="D140" s="239">
        <v>-258257</v>
      </c>
      <c r="E140" s="239">
        <v>0</v>
      </c>
      <c r="F140" s="239">
        <v>-258257</v>
      </c>
      <c r="G140" s="239">
        <v>0</v>
      </c>
      <c r="H140" s="239">
        <v>0</v>
      </c>
      <c r="I140" s="239">
        <v>0</v>
      </c>
      <c r="J140" s="239">
        <v>-258257</v>
      </c>
      <c r="K140" s="239">
        <v>0</v>
      </c>
      <c r="L140" s="239">
        <v>-258257</v>
      </c>
      <c r="M140" s="239">
        <v>130946</v>
      </c>
      <c r="N140" s="239">
        <v>130946</v>
      </c>
      <c r="O140" s="239">
        <v>0</v>
      </c>
      <c r="P140" s="239">
        <v>0</v>
      </c>
      <c r="Q140" s="239">
        <v>0</v>
      </c>
      <c r="R140" s="239">
        <v>0</v>
      </c>
      <c r="S140" s="239">
        <v>0</v>
      </c>
      <c r="T140" s="239">
        <v>0</v>
      </c>
      <c r="U140" s="239">
        <v>0</v>
      </c>
      <c r="V140" s="239">
        <v>0</v>
      </c>
      <c r="W140" s="239">
        <v>0</v>
      </c>
      <c r="X140" s="239">
        <v>0</v>
      </c>
      <c r="Y140" s="239">
        <v>0</v>
      </c>
      <c r="Z140" s="239">
        <v>0</v>
      </c>
      <c r="AA140" s="239">
        <v>0</v>
      </c>
      <c r="AB140" s="239">
        <v>0</v>
      </c>
      <c r="AC140" s="239">
        <v>0</v>
      </c>
      <c r="AD140" s="239">
        <v>0</v>
      </c>
      <c r="AE140" s="239">
        <v>0</v>
      </c>
      <c r="AF140" s="239">
        <v>0</v>
      </c>
      <c r="AG140" s="239">
        <v>0</v>
      </c>
      <c r="AH140" s="239">
        <v>0</v>
      </c>
      <c r="AI140" s="239">
        <v>0</v>
      </c>
      <c r="AJ140" s="239">
        <v>0</v>
      </c>
      <c r="AK140" s="239">
        <v>518132.08375000005</v>
      </c>
      <c r="AL140" s="239">
        <v>116579.71884375</v>
      </c>
      <c r="AM140" s="239">
        <v>12953.30209375</v>
      </c>
      <c r="AN140" s="239">
        <v>483849</v>
      </c>
      <c r="AO140" s="239">
        <v>108866</v>
      </c>
      <c r="AP140" s="239">
        <v>12096</v>
      </c>
      <c r="AQ140" s="239">
        <v>34283</v>
      </c>
      <c r="AR140" s="239">
        <v>7714</v>
      </c>
      <c r="AS140" s="239">
        <v>857</v>
      </c>
      <c r="AT140" s="239">
        <v>0</v>
      </c>
      <c r="AU140" s="239">
        <v>0</v>
      </c>
      <c r="AV140" s="239">
        <v>0</v>
      </c>
      <c r="AW140" s="239">
        <v>0</v>
      </c>
      <c r="AX140" s="239">
        <v>0</v>
      </c>
      <c r="AY140" s="239">
        <v>0</v>
      </c>
      <c r="AZ140" s="239">
        <v>0</v>
      </c>
      <c r="BA140" s="239">
        <v>0</v>
      </c>
      <c r="BB140" s="239">
        <v>0</v>
      </c>
      <c r="BC140" s="239">
        <v>1194.7733333333335</v>
      </c>
      <c r="BD140" s="239">
        <v>268.82400000000001</v>
      </c>
      <c r="BE140" s="239">
        <v>29.869333333333337</v>
      </c>
      <c r="BF140" s="239">
        <v>0</v>
      </c>
      <c r="BG140" s="239">
        <v>0</v>
      </c>
      <c r="BH140" s="239">
        <v>0</v>
      </c>
      <c r="BI140" s="239">
        <v>1195</v>
      </c>
      <c r="BJ140" s="239">
        <v>269</v>
      </c>
      <c r="BK140" s="239">
        <v>30</v>
      </c>
      <c r="BL140" s="239">
        <v>18369.234166666669</v>
      </c>
      <c r="BM140" s="239">
        <v>4133.0776875000001</v>
      </c>
      <c r="BN140" s="239">
        <v>459.23085416666669</v>
      </c>
      <c r="BO140" s="239">
        <v>1845</v>
      </c>
      <c r="BP140" s="239">
        <v>416</v>
      </c>
      <c r="BQ140" s="239">
        <v>46</v>
      </c>
      <c r="BR140" s="239">
        <v>16524</v>
      </c>
      <c r="BS140" s="239">
        <v>3717</v>
      </c>
      <c r="BT140" s="239">
        <v>413</v>
      </c>
      <c r="BU140" s="239">
        <v>168247.13666666669</v>
      </c>
      <c r="BV140" s="239">
        <v>37855.605749999995</v>
      </c>
      <c r="BW140" s="239">
        <v>4206.1784166666666</v>
      </c>
      <c r="BX140" s="239">
        <v>189608</v>
      </c>
      <c r="BY140" s="239">
        <v>42662</v>
      </c>
      <c r="BZ140" s="239">
        <v>4740</v>
      </c>
      <c r="CA140" s="239">
        <v>-21361</v>
      </c>
      <c r="CB140" s="239">
        <v>-4806</v>
      </c>
      <c r="CC140" s="239">
        <v>-534</v>
      </c>
      <c r="CD140" s="239">
        <v>0</v>
      </c>
      <c r="CE140" s="239">
        <v>0</v>
      </c>
      <c r="CF140" s="239">
        <v>0</v>
      </c>
      <c r="CG140" s="239">
        <v>0</v>
      </c>
      <c r="CH140" s="239">
        <v>0</v>
      </c>
      <c r="CI140" s="239">
        <v>0</v>
      </c>
      <c r="CJ140" s="239">
        <v>0</v>
      </c>
      <c r="CK140" s="239">
        <v>0</v>
      </c>
      <c r="CL140" s="239">
        <v>0</v>
      </c>
      <c r="CM140" s="239">
        <v>10323.182500000001</v>
      </c>
      <c r="CN140" s="239">
        <v>2322.7160624999997</v>
      </c>
      <c r="CO140" s="239">
        <v>258.07956250000001</v>
      </c>
      <c r="CP140" s="239">
        <v>0</v>
      </c>
      <c r="CQ140" s="239">
        <v>0</v>
      </c>
      <c r="CR140" s="239">
        <v>0</v>
      </c>
      <c r="CS140" s="239">
        <v>10323</v>
      </c>
      <c r="CT140" s="239">
        <v>2323</v>
      </c>
      <c r="CU140" s="239">
        <v>258</v>
      </c>
      <c r="CV140" s="239">
        <v>112618.43250000002</v>
      </c>
      <c r="CW140" s="239">
        <v>25339.147312500001</v>
      </c>
      <c r="CX140" s="239">
        <v>2815.4608125000004</v>
      </c>
      <c r="CY140" s="239">
        <v>115154</v>
      </c>
      <c r="CZ140" s="239">
        <v>25910</v>
      </c>
      <c r="DA140" s="239">
        <v>2879</v>
      </c>
      <c r="DB140" s="239">
        <v>-2536</v>
      </c>
      <c r="DC140" s="239">
        <v>-571</v>
      </c>
      <c r="DD140" s="239">
        <v>-64</v>
      </c>
      <c r="DE140" s="214">
        <v>0.5</v>
      </c>
      <c r="DF140" s="214">
        <v>0.4</v>
      </c>
      <c r="DG140" s="214">
        <v>0.09</v>
      </c>
      <c r="DH140" s="214">
        <v>0.01</v>
      </c>
      <c r="DI140" s="214" t="s">
        <v>1294</v>
      </c>
    </row>
    <row r="141" spans="2:113" s="214" customFormat="1" x14ac:dyDescent="0.2">
      <c r="B141" s="610" t="s">
        <v>365</v>
      </c>
      <c r="C141" s="610" t="s">
        <v>364</v>
      </c>
      <c r="D141" s="239">
        <v>-54920</v>
      </c>
      <c r="E141" s="239">
        <v>0</v>
      </c>
      <c r="F141" s="239">
        <v>-54920</v>
      </c>
      <c r="G141" s="239">
        <v>0</v>
      </c>
      <c r="H141" s="239">
        <v>0</v>
      </c>
      <c r="I141" s="239">
        <v>0</v>
      </c>
      <c r="J141" s="239">
        <v>-54920</v>
      </c>
      <c r="K141" s="239">
        <v>0</v>
      </c>
      <c r="L141" s="239">
        <v>-54920</v>
      </c>
      <c r="M141" s="239">
        <v>194575</v>
      </c>
      <c r="N141" s="239">
        <v>194575</v>
      </c>
      <c r="O141" s="239">
        <v>0</v>
      </c>
      <c r="P141" s="239">
        <v>0</v>
      </c>
      <c r="Q141" s="239">
        <v>0</v>
      </c>
      <c r="R141" s="239">
        <v>0</v>
      </c>
      <c r="S141" s="239">
        <v>0</v>
      </c>
      <c r="T141" s="239">
        <v>0</v>
      </c>
      <c r="U141" s="239">
        <v>0</v>
      </c>
      <c r="V141" s="239">
        <v>0</v>
      </c>
      <c r="W141" s="239">
        <v>0</v>
      </c>
      <c r="X141" s="239">
        <v>0</v>
      </c>
      <c r="Y141" s="239">
        <v>0</v>
      </c>
      <c r="Z141" s="239">
        <v>0</v>
      </c>
      <c r="AA141" s="239">
        <v>0</v>
      </c>
      <c r="AB141" s="239">
        <v>0</v>
      </c>
      <c r="AC141" s="239">
        <v>0</v>
      </c>
      <c r="AD141" s="239">
        <v>0</v>
      </c>
      <c r="AE141" s="239">
        <v>0</v>
      </c>
      <c r="AF141" s="239">
        <v>0</v>
      </c>
      <c r="AG141" s="239">
        <v>0</v>
      </c>
      <c r="AH141" s="239">
        <v>0</v>
      </c>
      <c r="AI141" s="239">
        <v>0</v>
      </c>
      <c r="AJ141" s="239">
        <v>0</v>
      </c>
      <c r="AK141" s="239">
        <v>512815.05833333335</v>
      </c>
      <c r="AL141" s="239">
        <v>128203.76458333334</v>
      </c>
      <c r="AM141" s="239">
        <v>0</v>
      </c>
      <c r="AN141" s="239">
        <v>467665</v>
      </c>
      <c r="AO141" s="239">
        <v>116916</v>
      </c>
      <c r="AP141" s="239">
        <v>0</v>
      </c>
      <c r="AQ141" s="239">
        <v>45150</v>
      </c>
      <c r="AR141" s="239">
        <v>11288</v>
      </c>
      <c r="AS141" s="239">
        <v>0</v>
      </c>
      <c r="AT141" s="239">
        <v>4219.8550000000005</v>
      </c>
      <c r="AU141" s="239">
        <v>1054.9637500000001</v>
      </c>
      <c r="AV141" s="239">
        <v>0</v>
      </c>
      <c r="AW141" s="239">
        <v>727</v>
      </c>
      <c r="AX141" s="239">
        <v>182</v>
      </c>
      <c r="AY141" s="239">
        <v>0</v>
      </c>
      <c r="AZ141" s="239">
        <v>3493</v>
      </c>
      <c r="BA141" s="239">
        <v>873</v>
      </c>
      <c r="BB141" s="239">
        <v>0</v>
      </c>
      <c r="BC141" s="239">
        <v>0</v>
      </c>
      <c r="BD141" s="239">
        <v>0</v>
      </c>
      <c r="BE141" s="239">
        <v>0</v>
      </c>
      <c r="BF141" s="239">
        <v>0</v>
      </c>
      <c r="BG141" s="239">
        <v>0</v>
      </c>
      <c r="BH141" s="239">
        <v>0</v>
      </c>
      <c r="BI141" s="239">
        <v>0</v>
      </c>
      <c r="BJ141" s="239">
        <v>0</v>
      </c>
      <c r="BK141" s="239">
        <v>0</v>
      </c>
      <c r="BL141" s="239">
        <v>34808.325000000004</v>
      </c>
      <c r="BM141" s="239">
        <v>8702.0812500000011</v>
      </c>
      <c r="BN141" s="239">
        <v>0</v>
      </c>
      <c r="BO141" s="239">
        <v>1411</v>
      </c>
      <c r="BP141" s="239">
        <v>354</v>
      </c>
      <c r="BQ141" s="239">
        <v>0</v>
      </c>
      <c r="BR141" s="239">
        <v>33397</v>
      </c>
      <c r="BS141" s="239">
        <v>8348</v>
      </c>
      <c r="BT141" s="239">
        <v>0</v>
      </c>
      <c r="BU141" s="239">
        <v>332594.62083333341</v>
      </c>
      <c r="BV141" s="239">
        <v>83148.655208333352</v>
      </c>
      <c r="BW141" s="239">
        <v>0</v>
      </c>
      <c r="BX141" s="239">
        <v>214578</v>
      </c>
      <c r="BY141" s="239">
        <v>53644</v>
      </c>
      <c r="BZ141" s="239">
        <v>0</v>
      </c>
      <c r="CA141" s="239">
        <v>118017</v>
      </c>
      <c r="CB141" s="239">
        <v>29505</v>
      </c>
      <c r="CC141" s="239">
        <v>0</v>
      </c>
      <c r="CD141" s="239">
        <v>0</v>
      </c>
      <c r="CE141" s="239">
        <v>0</v>
      </c>
      <c r="CF141" s="239">
        <v>0</v>
      </c>
      <c r="CG141" s="239">
        <v>0</v>
      </c>
      <c r="CH141" s="239">
        <v>0</v>
      </c>
      <c r="CI141" s="239">
        <v>0</v>
      </c>
      <c r="CJ141" s="239">
        <v>0</v>
      </c>
      <c r="CK141" s="239">
        <v>0</v>
      </c>
      <c r="CL141" s="239">
        <v>0</v>
      </c>
      <c r="CM141" s="239">
        <v>7386.9783333333344</v>
      </c>
      <c r="CN141" s="239">
        <v>1846.7445833333336</v>
      </c>
      <c r="CO141" s="239">
        <v>0</v>
      </c>
      <c r="CP141" s="239">
        <v>0</v>
      </c>
      <c r="CQ141" s="239">
        <v>0</v>
      </c>
      <c r="CR141" s="239">
        <v>0</v>
      </c>
      <c r="CS141" s="239">
        <v>7387</v>
      </c>
      <c r="CT141" s="239">
        <v>1847</v>
      </c>
      <c r="CU141" s="239">
        <v>0</v>
      </c>
      <c r="CV141" s="239">
        <v>318283.57750000001</v>
      </c>
      <c r="CW141" s="239">
        <v>79570.894375000003</v>
      </c>
      <c r="CX141" s="239">
        <v>0</v>
      </c>
      <c r="CY141" s="239">
        <v>335267</v>
      </c>
      <c r="CZ141" s="239">
        <v>83817</v>
      </c>
      <c r="DA141" s="239">
        <v>0</v>
      </c>
      <c r="DB141" s="239">
        <v>-16983</v>
      </c>
      <c r="DC141" s="239">
        <v>-4246</v>
      </c>
      <c r="DD141" s="239">
        <v>0</v>
      </c>
      <c r="DE141" s="214">
        <v>0.5</v>
      </c>
      <c r="DF141" s="214">
        <v>0.4</v>
      </c>
      <c r="DG141" s="214">
        <v>0.1</v>
      </c>
      <c r="DH141" s="214">
        <v>0</v>
      </c>
      <c r="DI141" s="214" t="s">
        <v>1294</v>
      </c>
    </row>
    <row r="142" spans="2:113" s="214" customFormat="1" x14ac:dyDescent="0.2">
      <c r="B142" s="610" t="s">
        <v>367</v>
      </c>
      <c r="C142" s="610" t="s">
        <v>366</v>
      </c>
      <c r="D142" s="239">
        <v>30574</v>
      </c>
      <c r="E142" s="239">
        <v>0</v>
      </c>
      <c r="F142" s="239">
        <v>30574</v>
      </c>
      <c r="G142" s="239">
        <v>0</v>
      </c>
      <c r="H142" s="239">
        <v>0</v>
      </c>
      <c r="I142" s="239">
        <v>0</v>
      </c>
      <c r="J142" s="239">
        <v>30574</v>
      </c>
      <c r="K142" s="239">
        <v>0</v>
      </c>
      <c r="L142" s="239">
        <v>30574</v>
      </c>
      <c r="M142" s="239">
        <v>253629</v>
      </c>
      <c r="N142" s="239">
        <v>253629</v>
      </c>
      <c r="O142" s="239">
        <v>0</v>
      </c>
      <c r="P142" s="239">
        <v>0</v>
      </c>
      <c r="Q142" s="239">
        <v>0</v>
      </c>
      <c r="R142" s="239">
        <v>0</v>
      </c>
      <c r="S142" s="239">
        <v>227569</v>
      </c>
      <c r="T142" s="239">
        <v>0</v>
      </c>
      <c r="U142" s="239">
        <v>77475</v>
      </c>
      <c r="V142" s="239">
        <v>0</v>
      </c>
      <c r="W142" s="239">
        <v>150094</v>
      </c>
      <c r="X142" s="239">
        <v>0</v>
      </c>
      <c r="Y142" s="239">
        <v>0</v>
      </c>
      <c r="Z142" s="239">
        <v>0</v>
      </c>
      <c r="AA142" s="239">
        <v>0</v>
      </c>
      <c r="AB142" s="239">
        <v>0</v>
      </c>
      <c r="AC142" s="239">
        <v>0</v>
      </c>
      <c r="AD142" s="239">
        <v>0</v>
      </c>
      <c r="AE142" s="239">
        <v>0</v>
      </c>
      <c r="AF142" s="239">
        <v>0</v>
      </c>
      <c r="AG142" s="239">
        <v>0</v>
      </c>
      <c r="AH142" s="239">
        <v>0</v>
      </c>
      <c r="AI142" s="239">
        <v>0</v>
      </c>
      <c r="AJ142" s="239">
        <v>0</v>
      </c>
      <c r="AK142" s="239">
        <v>1327186.096875</v>
      </c>
      <c r="AL142" s="239">
        <v>0</v>
      </c>
      <c r="AM142" s="239">
        <v>0</v>
      </c>
      <c r="AN142" s="239">
        <v>1192574</v>
      </c>
      <c r="AO142" s="239">
        <v>0</v>
      </c>
      <c r="AP142" s="239">
        <v>0</v>
      </c>
      <c r="AQ142" s="239">
        <v>134612</v>
      </c>
      <c r="AR142" s="239">
        <v>0</v>
      </c>
      <c r="AS142" s="239">
        <v>0</v>
      </c>
      <c r="AT142" s="239">
        <v>13234.225</v>
      </c>
      <c r="AU142" s="239">
        <v>0</v>
      </c>
      <c r="AV142" s="239">
        <v>0</v>
      </c>
      <c r="AW142" s="239">
        <v>5580</v>
      </c>
      <c r="AX142" s="239">
        <v>0</v>
      </c>
      <c r="AY142" s="239">
        <v>0</v>
      </c>
      <c r="AZ142" s="239">
        <v>7654</v>
      </c>
      <c r="BA142" s="239">
        <v>0</v>
      </c>
      <c r="BB142" s="239">
        <v>0</v>
      </c>
      <c r="BC142" s="239">
        <v>2118.9572916666666</v>
      </c>
      <c r="BD142" s="239">
        <v>0</v>
      </c>
      <c r="BE142" s="239">
        <v>0</v>
      </c>
      <c r="BF142" s="239">
        <v>6818</v>
      </c>
      <c r="BG142" s="239">
        <v>0</v>
      </c>
      <c r="BH142" s="239">
        <v>0</v>
      </c>
      <c r="BI142" s="239">
        <v>-4699</v>
      </c>
      <c r="BJ142" s="239">
        <v>0</v>
      </c>
      <c r="BK142" s="239">
        <v>0</v>
      </c>
      <c r="BL142" s="239">
        <v>8356.1083333333336</v>
      </c>
      <c r="BM142" s="239">
        <v>0</v>
      </c>
      <c r="BN142" s="239">
        <v>0</v>
      </c>
      <c r="BO142" s="239">
        <v>5073</v>
      </c>
      <c r="BP142" s="239">
        <v>0</v>
      </c>
      <c r="BQ142" s="239">
        <v>0</v>
      </c>
      <c r="BR142" s="239">
        <v>3283</v>
      </c>
      <c r="BS142" s="239">
        <v>0</v>
      </c>
      <c r="BT142" s="239">
        <v>0</v>
      </c>
      <c r="BU142" s="239">
        <v>430230.00416666665</v>
      </c>
      <c r="BV142" s="239">
        <v>0</v>
      </c>
      <c r="BW142" s="239">
        <v>0</v>
      </c>
      <c r="BX142" s="239">
        <v>481916</v>
      </c>
      <c r="BY142" s="239">
        <v>0</v>
      </c>
      <c r="BZ142" s="239">
        <v>0</v>
      </c>
      <c r="CA142" s="239">
        <v>-51686</v>
      </c>
      <c r="CB142" s="239">
        <v>0</v>
      </c>
      <c r="CC142" s="239">
        <v>0</v>
      </c>
      <c r="CD142" s="239">
        <v>0</v>
      </c>
      <c r="CE142" s="239">
        <v>0</v>
      </c>
      <c r="CF142" s="239">
        <v>0</v>
      </c>
      <c r="CG142" s="239">
        <v>0</v>
      </c>
      <c r="CH142" s="239">
        <v>0</v>
      </c>
      <c r="CI142" s="239">
        <v>0</v>
      </c>
      <c r="CJ142" s="239">
        <v>0</v>
      </c>
      <c r="CK142" s="239">
        <v>0</v>
      </c>
      <c r="CL142" s="239">
        <v>0</v>
      </c>
      <c r="CM142" s="239">
        <v>5223.5822916666666</v>
      </c>
      <c r="CN142" s="239">
        <v>0</v>
      </c>
      <c r="CO142" s="239">
        <v>0</v>
      </c>
      <c r="CP142" s="239">
        <v>0</v>
      </c>
      <c r="CQ142" s="239">
        <v>0</v>
      </c>
      <c r="CR142" s="239">
        <v>0</v>
      </c>
      <c r="CS142" s="239">
        <v>5224</v>
      </c>
      <c r="CT142" s="239">
        <v>0</v>
      </c>
      <c r="CU142" s="239">
        <v>0</v>
      </c>
      <c r="CV142" s="239">
        <v>227523.89479166668</v>
      </c>
      <c r="CW142" s="239">
        <v>0</v>
      </c>
      <c r="CX142" s="239">
        <v>0</v>
      </c>
      <c r="CY142" s="239">
        <v>250060</v>
      </c>
      <c r="CZ142" s="239">
        <v>0</v>
      </c>
      <c r="DA142" s="239">
        <v>0</v>
      </c>
      <c r="DB142" s="239">
        <v>-22536</v>
      </c>
      <c r="DC142" s="239">
        <v>0</v>
      </c>
      <c r="DD142" s="239">
        <v>0</v>
      </c>
      <c r="DE142" s="214">
        <v>0.5</v>
      </c>
      <c r="DF142" s="214">
        <v>0.5</v>
      </c>
      <c r="DG142" s="214">
        <v>0</v>
      </c>
      <c r="DH142" s="214">
        <v>0</v>
      </c>
      <c r="DI142" s="214" t="s">
        <v>748</v>
      </c>
    </row>
    <row r="143" spans="2:113" s="214" customFormat="1" x14ac:dyDescent="0.2">
      <c r="B143" s="610" t="s">
        <v>369</v>
      </c>
      <c r="C143" s="610" t="s">
        <v>368</v>
      </c>
      <c r="D143" s="239">
        <v>2081</v>
      </c>
      <c r="E143" s="239">
        <v>0</v>
      </c>
      <c r="F143" s="239">
        <v>2081</v>
      </c>
      <c r="G143" s="239">
        <v>0</v>
      </c>
      <c r="H143" s="239">
        <v>0</v>
      </c>
      <c r="I143" s="239">
        <v>0</v>
      </c>
      <c r="J143" s="239">
        <v>2081</v>
      </c>
      <c r="K143" s="239">
        <v>0</v>
      </c>
      <c r="L143" s="239">
        <v>2081</v>
      </c>
      <c r="M143" s="239">
        <v>24751</v>
      </c>
      <c r="N143" s="239">
        <v>24751</v>
      </c>
      <c r="O143" s="239">
        <v>0</v>
      </c>
      <c r="P143" s="239">
        <v>0</v>
      </c>
      <c r="Q143" s="239">
        <v>0</v>
      </c>
      <c r="R143" s="239">
        <v>0</v>
      </c>
      <c r="S143" s="239">
        <v>0</v>
      </c>
      <c r="T143" s="239">
        <v>0</v>
      </c>
      <c r="U143" s="239">
        <v>0</v>
      </c>
      <c r="V143" s="239">
        <v>0</v>
      </c>
      <c r="W143" s="239">
        <v>0</v>
      </c>
      <c r="X143" s="239">
        <v>0</v>
      </c>
      <c r="Y143" s="239">
        <v>0</v>
      </c>
      <c r="Z143" s="239">
        <v>0</v>
      </c>
      <c r="AA143" s="239">
        <v>0</v>
      </c>
      <c r="AB143" s="239">
        <v>0</v>
      </c>
      <c r="AC143" s="239">
        <v>0</v>
      </c>
      <c r="AD143" s="239">
        <v>0</v>
      </c>
      <c r="AE143" s="239">
        <v>0</v>
      </c>
      <c r="AF143" s="239">
        <v>0</v>
      </c>
      <c r="AG143" s="239">
        <v>0</v>
      </c>
      <c r="AH143" s="239">
        <v>0</v>
      </c>
      <c r="AI143" s="239">
        <v>0</v>
      </c>
      <c r="AJ143" s="239">
        <v>0</v>
      </c>
      <c r="AK143" s="239">
        <v>88446.048437500009</v>
      </c>
      <c r="AL143" s="239">
        <v>0</v>
      </c>
      <c r="AM143" s="239">
        <v>0</v>
      </c>
      <c r="AN143" s="239">
        <v>83138</v>
      </c>
      <c r="AO143" s="239">
        <v>0</v>
      </c>
      <c r="AP143" s="239">
        <v>0</v>
      </c>
      <c r="AQ143" s="239">
        <v>5308</v>
      </c>
      <c r="AR143" s="239">
        <v>0</v>
      </c>
      <c r="AS143" s="239">
        <v>0</v>
      </c>
      <c r="AT143" s="239">
        <v>0</v>
      </c>
      <c r="AU143" s="239">
        <v>0</v>
      </c>
      <c r="AV143" s="239">
        <v>0</v>
      </c>
      <c r="AW143" s="239">
        <v>0</v>
      </c>
      <c r="AX143" s="239">
        <v>0</v>
      </c>
      <c r="AY143" s="239">
        <v>0</v>
      </c>
      <c r="AZ143" s="239">
        <v>0</v>
      </c>
      <c r="BA143" s="239">
        <v>0</v>
      </c>
      <c r="BB143" s="239">
        <v>0</v>
      </c>
      <c r="BC143" s="239">
        <v>0</v>
      </c>
      <c r="BD143" s="239">
        <v>0</v>
      </c>
      <c r="BE143" s="239">
        <v>0</v>
      </c>
      <c r="BF143" s="239">
        <v>0</v>
      </c>
      <c r="BG143" s="239">
        <v>0</v>
      </c>
      <c r="BH143" s="239">
        <v>0</v>
      </c>
      <c r="BI143" s="239">
        <v>0</v>
      </c>
      <c r="BJ143" s="239">
        <v>0</v>
      </c>
      <c r="BK143" s="239">
        <v>0</v>
      </c>
      <c r="BL143" s="239">
        <v>0</v>
      </c>
      <c r="BM143" s="239">
        <v>0</v>
      </c>
      <c r="BN143" s="239">
        <v>0</v>
      </c>
      <c r="BO143" s="239">
        <v>0</v>
      </c>
      <c r="BP143" s="239">
        <v>0</v>
      </c>
      <c r="BQ143" s="239">
        <v>0</v>
      </c>
      <c r="BR143" s="239">
        <v>0</v>
      </c>
      <c r="BS143" s="239">
        <v>0</v>
      </c>
      <c r="BT143" s="239">
        <v>0</v>
      </c>
      <c r="BU143" s="239">
        <v>33650.685416666667</v>
      </c>
      <c r="BV143" s="239">
        <v>0</v>
      </c>
      <c r="BW143" s="239">
        <v>0</v>
      </c>
      <c r="BX143" s="239">
        <v>27901</v>
      </c>
      <c r="BY143" s="239">
        <v>0</v>
      </c>
      <c r="BZ143" s="239">
        <v>0</v>
      </c>
      <c r="CA143" s="239">
        <v>5750</v>
      </c>
      <c r="CB143" s="239">
        <v>0</v>
      </c>
      <c r="CC143" s="239">
        <v>0</v>
      </c>
      <c r="CD143" s="239">
        <v>0</v>
      </c>
      <c r="CE143" s="239">
        <v>0</v>
      </c>
      <c r="CF143" s="239">
        <v>0</v>
      </c>
      <c r="CG143" s="239">
        <v>0</v>
      </c>
      <c r="CH143" s="239">
        <v>0</v>
      </c>
      <c r="CI143" s="239">
        <v>0</v>
      </c>
      <c r="CJ143" s="239">
        <v>0</v>
      </c>
      <c r="CK143" s="239">
        <v>0</v>
      </c>
      <c r="CL143" s="239">
        <v>0</v>
      </c>
      <c r="CM143" s="239">
        <v>0</v>
      </c>
      <c r="CN143" s="239">
        <v>0</v>
      </c>
      <c r="CO143" s="239">
        <v>0</v>
      </c>
      <c r="CP143" s="239">
        <v>0</v>
      </c>
      <c r="CQ143" s="239">
        <v>0</v>
      </c>
      <c r="CR143" s="239">
        <v>0</v>
      </c>
      <c r="CS143" s="239">
        <v>0</v>
      </c>
      <c r="CT143" s="239">
        <v>0</v>
      </c>
      <c r="CU143" s="239">
        <v>0</v>
      </c>
      <c r="CV143" s="239">
        <v>10737.146875</v>
      </c>
      <c r="CW143" s="239">
        <v>0</v>
      </c>
      <c r="CX143" s="239">
        <v>0</v>
      </c>
      <c r="CY143" s="239">
        <v>11629</v>
      </c>
      <c r="CZ143" s="239">
        <v>0</v>
      </c>
      <c r="DA143" s="239">
        <v>0</v>
      </c>
      <c r="DB143" s="239">
        <v>-892</v>
      </c>
      <c r="DC143" s="239">
        <v>0</v>
      </c>
      <c r="DD143" s="239">
        <v>0</v>
      </c>
      <c r="DE143" s="214">
        <v>0.5</v>
      </c>
      <c r="DF143" s="214">
        <v>0.5</v>
      </c>
      <c r="DG143" s="214">
        <v>0</v>
      </c>
      <c r="DH143" s="214">
        <v>0</v>
      </c>
      <c r="DI143" s="214" t="s">
        <v>748</v>
      </c>
    </row>
    <row r="144" spans="2:113" s="214" customFormat="1" x14ac:dyDescent="0.2">
      <c r="B144" s="610" t="s">
        <v>371</v>
      </c>
      <c r="C144" s="610" t="s">
        <v>370</v>
      </c>
      <c r="D144" s="239">
        <v>-555239</v>
      </c>
      <c r="E144" s="239">
        <v>0</v>
      </c>
      <c r="F144" s="239">
        <v>-555239</v>
      </c>
      <c r="G144" s="239">
        <v>0</v>
      </c>
      <c r="H144" s="239">
        <v>0</v>
      </c>
      <c r="I144" s="239">
        <v>0</v>
      </c>
      <c r="J144" s="239">
        <v>-555239</v>
      </c>
      <c r="K144" s="239">
        <v>0</v>
      </c>
      <c r="L144" s="239">
        <v>-555239</v>
      </c>
      <c r="M144" s="239">
        <v>645239</v>
      </c>
      <c r="N144" s="239">
        <v>645239</v>
      </c>
      <c r="O144" s="239">
        <v>0</v>
      </c>
      <c r="P144" s="239">
        <v>0</v>
      </c>
      <c r="Q144" s="239">
        <v>0</v>
      </c>
      <c r="R144" s="239">
        <v>0</v>
      </c>
      <c r="S144" s="239">
        <v>60240</v>
      </c>
      <c r="T144" s="239">
        <v>0</v>
      </c>
      <c r="U144" s="239">
        <v>60240</v>
      </c>
      <c r="V144" s="239">
        <v>0</v>
      </c>
      <c r="W144" s="239">
        <v>0</v>
      </c>
      <c r="X144" s="239">
        <v>0</v>
      </c>
      <c r="Y144" s="239">
        <v>0</v>
      </c>
      <c r="Z144" s="239">
        <v>0</v>
      </c>
      <c r="AA144" s="239">
        <v>0</v>
      </c>
      <c r="AB144" s="239">
        <v>0</v>
      </c>
      <c r="AC144" s="239">
        <v>0</v>
      </c>
      <c r="AD144" s="239">
        <v>0</v>
      </c>
      <c r="AE144" s="239">
        <v>0</v>
      </c>
      <c r="AF144" s="239">
        <v>0</v>
      </c>
      <c r="AG144" s="239">
        <v>0</v>
      </c>
      <c r="AH144" s="239">
        <v>0</v>
      </c>
      <c r="AI144" s="239">
        <v>0</v>
      </c>
      <c r="AJ144" s="239">
        <v>0</v>
      </c>
      <c r="AK144" s="239">
        <v>524978.69499999995</v>
      </c>
      <c r="AL144" s="239">
        <v>349985.79666666669</v>
      </c>
      <c r="AM144" s="239">
        <v>0</v>
      </c>
      <c r="AN144" s="239">
        <v>520004</v>
      </c>
      <c r="AO144" s="239">
        <v>346668</v>
      </c>
      <c r="AP144" s="239">
        <v>0</v>
      </c>
      <c r="AQ144" s="239">
        <v>4975</v>
      </c>
      <c r="AR144" s="239">
        <v>3318</v>
      </c>
      <c r="AS144" s="239">
        <v>0</v>
      </c>
      <c r="AT144" s="239">
        <v>0</v>
      </c>
      <c r="AU144" s="239">
        <v>0</v>
      </c>
      <c r="AV144" s="239">
        <v>0</v>
      </c>
      <c r="AW144" s="239">
        <v>0</v>
      </c>
      <c r="AX144" s="239">
        <v>0</v>
      </c>
      <c r="AY144" s="239">
        <v>0</v>
      </c>
      <c r="AZ144" s="239">
        <v>0</v>
      </c>
      <c r="BA144" s="239">
        <v>0</v>
      </c>
      <c r="BB144" s="239">
        <v>0</v>
      </c>
      <c r="BC144" s="239">
        <v>68726.048750000002</v>
      </c>
      <c r="BD144" s="239">
        <v>45817.365833333337</v>
      </c>
      <c r="BE144" s="239">
        <v>0</v>
      </c>
      <c r="BF144" s="239">
        <v>56940</v>
      </c>
      <c r="BG144" s="239">
        <v>37960</v>
      </c>
      <c r="BH144" s="239">
        <v>0</v>
      </c>
      <c r="BI144" s="239">
        <v>11786</v>
      </c>
      <c r="BJ144" s="239">
        <v>7857</v>
      </c>
      <c r="BK144" s="239">
        <v>0</v>
      </c>
      <c r="BL144" s="239">
        <v>14273.97</v>
      </c>
      <c r="BM144" s="239">
        <v>9515.9800000000014</v>
      </c>
      <c r="BN144" s="239">
        <v>0</v>
      </c>
      <c r="BO144" s="239">
        <v>0</v>
      </c>
      <c r="BP144" s="239">
        <v>0</v>
      </c>
      <c r="BQ144" s="239">
        <v>0</v>
      </c>
      <c r="BR144" s="239">
        <v>14274</v>
      </c>
      <c r="BS144" s="239">
        <v>9516</v>
      </c>
      <c r="BT144" s="239">
        <v>0</v>
      </c>
      <c r="BU144" s="239">
        <v>769932.69437500008</v>
      </c>
      <c r="BV144" s="239">
        <v>513288.4629166667</v>
      </c>
      <c r="BW144" s="239">
        <v>0</v>
      </c>
      <c r="BX144" s="239">
        <v>667414</v>
      </c>
      <c r="BY144" s="239">
        <v>444944</v>
      </c>
      <c r="BZ144" s="239">
        <v>0</v>
      </c>
      <c r="CA144" s="239">
        <v>102519</v>
      </c>
      <c r="CB144" s="239">
        <v>68344</v>
      </c>
      <c r="CC144" s="239">
        <v>0</v>
      </c>
      <c r="CD144" s="239">
        <v>0</v>
      </c>
      <c r="CE144" s="239">
        <v>0</v>
      </c>
      <c r="CF144" s="239">
        <v>0</v>
      </c>
      <c r="CG144" s="239">
        <v>0</v>
      </c>
      <c r="CH144" s="239">
        <v>0</v>
      </c>
      <c r="CI144" s="239">
        <v>0</v>
      </c>
      <c r="CJ144" s="239">
        <v>0</v>
      </c>
      <c r="CK144" s="239">
        <v>0</v>
      </c>
      <c r="CL144" s="239">
        <v>0</v>
      </c>
      <c r="CM144" s="239">
        <v>0</v>
      </c>
      <c r="CN144" s="239">
        <v>0</v>
      </c>
      <c r="CO144" s="239">
        <v>0</v>
      </c>
      <c r="CP144" s="239">
        <v>0</v>
      </c>
      <c r="CQ144" s="239">
        <v>0</v>
      </c>
      <c r="CR144" s="239">
        <v>0</v>
      </c>
      <c r="CS144" s="239">
        <v>0</v>
      </c>
      <c r="CT144" s="239">
        <v>0</v>
      </c>
      <c r="CU144" s="239">
        <v>0</v>
      </c>
      <c r="CV144" s="239">
        <v>828495.02749999997</v>
      </c>
      <c r="CW144" s="239">
        <v>551744.35166666668</v>
      </c>
      <c r="CX144" s="239">
        <v>0</v>
      </c>
      <c r="CY144" s="239">
        <v>836333</v>
      </c>
      <c r="CZ144" s="239">
        <v>556970</v>
      </c>
      <c r="DA144" s="239">
        <v>0</v>
      </c>
      <c r="DB144" s="239">
        <v>-7838</v>
      </c>
      <c r="DC144" s="239">
        <v>-5226</v>
      </c>
      <c r="DD144" s="239">
        <v>0</v>
      </c>
      <c r="DE144" s="214">
        <v>0.5</v>
      </c>
      <c r="DF144" s="214">
        <v>0.3</v>
      </c>
      <c r="DG144" s="214">
        <v>0.2</v>
      </c>
      <c r="DH144" s="214">
        <v>0</v>
      </c>
      <c r="DI144" s="214" t="s">
        <v>1297</v>
      </c>
    </row>
    <row r="145" spans="2:113" s="214" customFormat="1" x14ac:dyDescent="0.2">
      <c r="B145" s="610" t="s">
        <v>373</v>
      </c>
      <c r="C145" s="610" t="s">
        <v>372</v>
      </c>
      <c r="D145" s="239">
        <v>-2487138</v>
      </c>
      <c r="E145" s="239">
        <v>0</v>
      </c>
      <c r="F145" s="239">
        <v>-2487138</v>
      </c>
      <c r="G145" s="239">
        <v>0</v>
      </c>
      <c r="H145" s="239">
        <v>0</v>
      </c>
      <c r="I145" s="239">
        <v>0</v>
      </c>
      <c r="J145" s="239">
        <v>-2487138</v>
      </c>
      <c r="K145" s="239">
        <v>0</v>
      </c>
      <c r="L145" s="239">
        <v>-2487138</v>
      </c>
      <c r="M145" s="239">
        <v>609336</v>
      </c>
      <c r="N145" s="239">
        <v>609336</v>
      </c>
      <c r="O145" s="239">
        <v>0</v>
      </c>
      <c r="P145" s="239">
        <v>0</v>
      </c>
      <c r="Q145" s="239">
        <v>0</v>
      </c>
      <c r="R145" s="239">
        <v>0</v>
      </c>
      <c r="S145" s="239">
        <v>0</v>
      </c>
      <c r="T145" s="239">
        <v>0</v>
      </c>
      <c r="U145" s="239">
        <v>0</v>
      </c>
      <c r="V145" s="239">
        <v>0</v>
      </c>
      <c r="W145" s="239">
        <v>0</v>
      </c>
      <c r="X145" s="239">
        <v>0</v>
      </c>
      <c r="Y145" s="239">
        <v>0</v>
      </c>
      <c r="Z145" s="239">
        <v>0</v>
      </c>
      <c r="AA145" s="239">
        <v>0</v>
      </c>
      <c r="AB145" s="239">
        <v>0</v>
      </c>
      <c r="AC145" s="239">
        <v>0</v>
      </c>
      <c r="AD145" s="239">
        <v>0</v>
      </c>
      <c r="AE145" s="239">
        <v>0</v>
      </c>
      <c r="AF145" s="239">
        <v>0</v>
      </c>
      <c r="AG145" s="239">
        <v>0</v>
      </c>
      <c r="AH145" s="239">
        <v>0</v>
      </c>
      <c r="AI145" s="239">
        <v>0</v>
      </c>
      <c r="AJ145" s="239">
        <v>0</v>
      </c>
      <c r="AK145" s="239">
        <v>280642.88125000003</v>
      </c>
      <c r="AL145" s="239">
        <v>187095.25416666668</v>
      </c>
      <c r="AM145" s="239">
        <v>0</v>
      </c>
      <c r="AN145" s="239">
        <v>245920</v>
      </c>
      <c r="AO145" s="239">
        <v>163948</v>
      </c>
      <c r="AP145" s="239">
        <v>0</v>
      </c>
      <c r="AQ145" s="239">
        <v>34723</v>
      </c>
      <c r="AR145" s="239">
        <v>23147</v>
      </c>
      <c r="AS145" s="239">
        <v>0</v>
      </c>
      <c r="AT145" s="239">
        <v>467.52</v>
      </c>
      <c r="AU145" s="239">
        <v>311.68000000000006</v>
      </c>
      <c r="AV145" s="239">
        <v>0</v>
      </c>
      <c r="AW145" s="239">
        <v>0</v>
      </c>
      <c r="AX145" s="239">
        <v>0</v>
      </c>
      <c r="AY145" s="239">
        <v>0</v>
      </c>
      <c r="AZ145" s="239">
        <v>468</v>
      </c>
      <c r="BA145" s="239">
        <v>312</v>
      </c>
      <c r="BB145" s="239">
        <v>0</v>
      </c>
      <c r="BC145" s="239">
        <v>0</v>
      </c>
      <c r="BD145" s="239">
        <v>0</v>
      </c>
      <c r="BE145" s="239">
        <v>0</v>
      </c>
      <c r="BF145" s="239">
        <v>0</v>
      </c>
      <c r="BG145" s="239">
        <v>0</v>
      </c>
      <c r="BH145" s="239">
        <v>0</v>
      </c>
      <c r="BI145" s="239">
        <v>0</v>
      </c>
      <c r="BJ145" s="239">
        <v>0</v>
      </c>
      <c r="BK145" s="239">
        <v>0</v>
      </c>
      <c r="BL145" s="239">
        <v>35626.485000000001</v>
      </c>
      <c r="BM145" s="239">
        <v>23750.99</v>
      </c>
      <c r="BN145" s="239">
        <v>0</v>
      </c>
      <c r="BO145" s="239">
        <v>15219</v>
      </c>
      <c r="BP145" s="239">
        <v>10146</v>
      </c>
      <c r="BQ145" s="239">
        <v>0</v>
      </c>
      <c r="BR145" s="239">
        <v>20407</v>
      </c>
      <c r="BS145" s="239">
        <v>13605</v>
      </c>
      <c r="BT145" s="239">
        <v>0</v>
      </c>
      <c r="BU145" s="239">
        <v>626876.14</v>
      </c>
      <c r="BV145" s="239">
        <v>417917.4266666667</v>
      </c>
      <c r="BW145" s="239">
        <v>0</v>
      </c>
      <c r="BX145" s="239">
        <v>487001</v>
      </c>
      <c r="BY145" s="239">
        <v>324666</v>
      </c>
      <c r="BZ145" s="239">
        <v>0</v>
      </c>
      <c r="CA145" s="239">
        <v>139875</v>
      </c>
      <c r="CB145" s="239">
        <v>93251</v>
      </c>
      <c r="CC145" s="239">
        <v>0</v>
      </c>
      <c r="CD145" s="239">
        <v>0</v>
      </c>
      <c r="CE145" s="239">
        <v>0</v>
      </c>
      <c r="CF145" s="239">
        <v>0</v>
      </c>
      <c r="CG145" s="239">
        <v>0</v>
      </c>
      <c r="CH145" s="239">
        <v>0</v>
      </c>
      <c r="CI145" s="239">
        <v>0</v>
      </c>
      <c r="CJ145" s="239">
        <v>0</v>
      </c>
      <c r="CK145" s="239">
        <v>0</v>
      </c>
      <c r="CL145" s="239">
        <v>0</v>
      </c>
      <c r="CM145" s="239">
        <v>9704.0837499999998</v>
      </c>
      <c r="CN145" s="239">
        <v>6469.3891666666677</v>
      </c>
      <c r="CO145" s="239">
        <v>0</v>
      </c>
      <c r="CP145" s="239">
        <v>0</v>
      </c>
      <c r="CQ145" s="239">
        <v>0</v>
      </c>
      <c r="CR145" s="239">
        <v>0</v>
      </c>
      <c r="CS145" s="239">
        <v>9704</v>
      </c>
      <c r="CT145" s="239">
        <v>6469</v>
      </c>
      <c r="CU145" s="239">
        <v>0</v>
      </c>
      <c r="CV145" s="239">
        <v>1172658.0293750002</v>
      </c>
      <c r="CW145" s="239">
        <v>781772.0195833334</v>
      </c>
      <c r="CX145" s="239">
        <v>0</v>
      </c>
      <c r="CY145" s="239">
        <v>1204935</v>
      </c>
      <c r="CZ145" s="239">
        <v>803290</v>
      </c>
      <c r="DA145" s="239">
        <v>0</v>
      </c>
      <c r="DB145" s="239">
        <v>-32277</v>
      </c>
      <c r="DC145" s="239">
        <v>-21518</v>
      </c>
      <c r="DD145" s="239">
        <v>0</v>
      </c>
      <c r="DE145" s="214">
        <v>0.5</v>
      </c>
      <c r="DF145" s="214">
        <v>0.3</v>
      </c>
      <c r="DG145" s="214">
        <v>0.2</v>
      </c>
      <c r="DH145" s="214">
        <v>0</v>
      </c>
      <c r="DI145" s="214" t="s">
        <v>1297</v>
      </c>
    </row>
    <row r="146" spans="2:113" s="214" customFormat="1" x14ac:dyDescent="0.2">
      <c r="B146" s="610" t="s">
        <v>375</v>
      </c>
      <c r="C146" s="610" t="s">
        <v>374</v>
      </c>
      <c r="D146" s="239">
        <v>-98905</v>
      </c>
      <c r="E146" s="239">
        <v>0</v>
      </c>
      <c r="F146" s="239">
        <v>-98905</v>
      </c>
      <c r="G146" s="239">
        <v>0</v>
      </c>
      <c r="H146" s="239">
        <v>0</v>
      </c>
      <c r="I146" s="239">
        <v>0</v>
      </c>
      <c r="J146" s="239">
        <v>-98905</v>
      </c>
      <c r="K146" s="239">
        <v>0</v>
      </c>
      <c r="L146" s="239">
        <v>-98905</v>
      </c>
      <c r="M146" s="239">
        <v>112730</v>
      </c>
      <c r="N146" s="239">
        <v>112730</v>
      </c>
      <c r="O146" s="239">
        <v>0</v>
      </c>
      <c r="P146" s="239">
        <v>0</v>
      </c>
      <c r="Q146" s="239">
        <v>0</v>
      </c>
      <c r="R146" s="239">
        <v>0</v>
      </c>
      <c r="S146" s="239">
        <v>230981</v>
      </c>
      <c r="T146" s="239">
        <v>0</v>
      </c>
      <c r="U146" s="239">
        <v>76638</v>
      </c>
      <c r="V146" s="239">
        <v>0</v>
      </c>
      <c r="W146" s="239">
        <v>154343</v>
      </c>
      <c r="X146" s="239">
        <v>0</v>
      </c>
      <c r="Y146" s="239">
        <v>0</v>
      </c>
      <c r="Z146" s="239">
        <v>0</v>
      </c>
      <c r="AA146" s="239">
        <v>0</v>
      </c>
      <c r="AB146" s="239">
        <v>0</v>
      </c>
      <c r="AC146" s="239">
        <v>0</v>
      </c>
      <c r="AD146" s="239">
        <v>0</v>
      </c>
      <c r="AE146" s="239">
        <v>0</v>
      </c>
      <c r="AF146" s="239">
        <v>0</v>
      </c>
      <c r="AG146" s="239">
        <v>0</v>
      </c>
      <c r="AH146" s="239">
        <v>0</v>
      </c>
      <c r="AI146" s="239">
        <v>0</v>
      </c>
      <c r="AJ146" s="239">
        <v>0</v>
      </c>
      <c r="AK146" s="239">
        <v>344039.52666666673</v>
      </c>
      <c r="AL146" s="239">
        <v>86009.881666666683</v>
      </c>
      <c r="AM146" s="239">
        <v>0</v>
      </c>
      <c r="AN146" s="239">
        <v>346695</v>
      </c>
      <c r="AO146" s="239">
        <v>86674</v>
      </c>
      <c r="AP146" s="239">
        <v>0</v>
      </c>
      <c r="AQ146" s="239">
        <v>-2655</v>
      </c>
      <c r="AR146" s="239">
        <v>-664</v>
      </c>
      <c r="AS146" s="239">
        <v>0</v>
      </c>
      <c r="AT146" s="239">
        <v>4654.5025000000005</v>
      </c>
      <c r="AU146" s="239">
        <v>1163.6256250000001</v>
      </c>
      <c r="AV146" s="239">
        <v>0</v>
      </c>
      <c r="AW146" s="239">
        <v>7003</v>
      </c>
      <c r="AX146" s="239">
        <v>1752</v>
      </c>
      <c r="AY146" s="239">
        <v>0</v>
      </c>
      <c r="AZ146" s="239">
        <v>-2348</v>
      </c>
      <c r="BA146" s="239">
        <v>-588</v>
      </c>
      <c r="BB146" s="239">
        <v>0</v>
      </c>
      <c r="BC146" s="239">
        <v>0</v>
      </c>
      <c r="BD146" s="239">
        <v>0</v>
      </c>
      <c r="BE146" s="239">
        <v>0</v>
      </c>
      <c r="BF146" s="239">
        <v>1014</v>
      </c>
      <c r="BG146" s="239">
        <v>254</v>
      </c>
      <c r="BH146" s="239">
        <v>0</v>
      </c>
      <c r="BI146" s="239">
        <v>-1014</v>
      </c>
      <c r="BJ146" s="239">
        <v>-254</v>
      </c>
      <c r="BK146" s="239">
        <v>0</v>
      </c>
      <c r="BL146" s="239">
        <v>4332.270833333333</v>
      </c>
      <c r="BM146" s="239">
        <v>1083.0677083333333</v>
      </c>
      <c r="BN146" s="239">
        <v>0</v>
      </c>
      <c r="BO146" s="239">
        <v>2028</v>
      </c>
      <c r="BP146" s="239">
        <v>508</v>
      </c>
      <c r="BQ146" s="239">
        <v>0</v>
      </c>
      <c r="BR146" s="239">
        <v>2304</v>
      </c>
      <c r="BS146" s="239">
        <v>575</v>
      </c>
      <c r="BT146" s="239">
        <v>0</v>
      </c>
      <c r="BU146" s="239">
        <v>161548.45166666666</v>
      </c>
      <c r="BV146" s="239">
        <v>40387.112916666665</v>
      </c>
      <c r="BW146" s="239">
        <v>0</v>
      </c>
      <c r="BX146" s="239">
        <v>162333</v>
      </c>
      <c r="BY146" s="239">
        <v>40584</v>
      </c>
      <c r="BZ146" s="239">
        <v>0</v>
      </c>
      <c r="CA146" s="239">
        <v>-785</v>
      </c>
      <c r="CB146" s="239">
        <v>-197</v>
      </c>
      <c r="CC146" s="239">
        <v>0</v>
      </c>
      <c r="CD146" s="239">
        <v>0</v>
      </c>
      <c r="CE146" s="239">
        <v>0</v>
      </c>
      <c r="CF146" s="239">
        <v>0</v>
      </c>
      <c r="CG146" s="239">
        <v>0</v>
      </c>
      <c r="CH146" s="239">
        <v>0</v>
      </c>
      <c r="CI146" s="239">
        <v>0</v>
      </c>
      <c r="CJ146" s="239">
        <v>0</v>
      </c>
      <c r="CK146" s="239">
        <v>0</v>
      </c>
      <c r="CL146" s="239">
        <v>0</v>
      </c>
      <c r="CM146" s="239">
        <v>0</v>
      </c>
      <c r="CN146" s="239">
        <v>0</v>
      </c>
      <c r="CO146" s="239">
        <v>0</v>
      </c>
      <c r="CP146" s="239">
        <v>0</v>
      </c>
      <c r="CQ146" s="239">
        <v>0</v>
      </c>
      <c r="CR146" s="239">
        <v>0</v>
      </c>
      <c r="CS146" s="239">
        <v>0</v>
      </c>
      <c r="CT146" s="239">
        <v>0</v>
      </c>
      <c r="CU146" s="239">
        <v>0</v>
      </c>
      <c r="CV146" s="239">
        <v>180298.74041666667</v>
      </c>
      <c r="CW146" s="239">
        <v>44232.566875000004</v>
      </c>
      <c r="CX146" s="239">
        <v>0</v>
      </c>
      <c r="CY146" s="239">
        <v>184898</v>
      </c>
      <c r="CZ146" s="239">
        <v>45945</v>
      </c>
      <c r="DA146" s="239">
        <v>0</v>
      </c>
      <c r="DB146" s="239">
        <v>-4599</v>
      </c>
      <c r="DC146" s="239">
        <v>-1712</v>
      </c>
      <c r="DD146" s="239">
        <v>0</v>
      </c>
      <c r="DE146" s="214">
        <v>0.5</v>
      </c>
      <c r="DF146" s="214">
        <v>0.4</v>
      </c>
      <c r="DG146" s="214">
        <v>0.1</v>
      </c>
      <c r="DH146" s="214">
        <v>0</v>
      </c>
      <c r="DI146" s="214" t="s">
        <v>1294</v>
      </c>
    </row>
    <row r="147" spans="2:113" s="214" customFormat="1" x14ac:dyDescent="0.2">
      <c r="B147" s="610" t="s">
        <v>377</v>
      </c>
      <c r="C147" s="610" t="s">
        <v>376</v>
      </c>
      <c r="D147" s="239">
        <v>13883</v>
      </c>
      <c r="E147" s="239">
        <v>0</v>
      </c>
      <c r="F147" s="239">
        <v>13883</v>
      </c>
      <c r="G147" s="239">
        <v>0</v>
      </c>
      <c r="H147" s="239">
        <v>0</v>
      </c>
      <c r="I147" s="239">
        <v>0</v>
      </c>
      <c r="J147" s="239">
        <v>13883</v>
      </c>
      <c r="K147" s="239">
        <v>0</v>
      </c>
      <c r="L147" s="239">
        <v>13883</v>
      </c>
      <c r="M147" s="239">
        <v>220417</v>
      </c>
      <c r="N147" s="239">
        <v>220417</v>
      </c>
      <c r="O147" s="239">
        <v>0</v>
      </c>
      <c r="P147" s="239">
        <v>0</v>
      </c>
      <c r="Q147" s="239">
        <v>0</v>
      </c>
      <c r="R147" s="239">
        <v>0</v>
      </c>
      <c r="S147" s="239">
        <v>750275</v>
      </c>
      <c r="T147" s="239">
        <v>0</v>
      </c>
      <c r="U147" s="239">
        <v>551462</v>
      </c>
      <c r="V147" s="239">
        <v>0</v>
      </c>
      <c r="W147" s="239">
        <v>198813</v>
      </c>
      <c r="X147" s="239">
        <v>0</v>
      </c>
      <c r="Y147" s="239">
        <v>0</v>
      </c>
      <c r="Z147" s="239">
        <v>0</v>
      </c>
      <c r="AA147" s="239">
        <v>0</v>
      </c>
      <c r="AB147" s="239">
        <v>0</v>
      </c>
      <c r="AC147" s="239">
        <v>0</v>
      </c>
      <c r="AD147" s="239">
        <v>0</v>
      </c>
      <c r="AE147" s="239">
        <v>0</v>
      </c>
      <c r="AF147" s="239">
        <v>0</v>
      </c>
      <c r="AG147" s="239">
        <v>0</v>
      </c>
      <c r="AH147" s="239">
        <v>0</v>
      </c>
      <c r="AI147" s="239">
        <v>0</v>
      </c>
      <c r="AJ147" s="239">
        <v>0</v>
      </c>
      <c r="AK147" s="239">
        <v>737397.54333333333</v>
      </c>
      <c r="AL147" s="239">
        <v>184349.38583333333</v>
      </c>
      <c r="AM147" s="239">
        <v>0</v>
      </c>
      <c r="AN147" s="239">
        <v>565935</v>
      </c>
      <c r="AO147" s="239">
        <v>141484</v>
      </c>
      <c r="AP147" s="239">
        <v>0</v>
      </c>
      <c r="AQ147" s="239">
        <v>171463</v>
      </c>
      <c r="AR147" s="239">
        <v>42865</v>
      </c>
      <c r="AS147" s="239">
        <v>0</v>
      </c>
      <c r="AT147" s="239">
        <v>9172.6450000000004</v>
      </c>
      <c r="AU147" s="239">
        <v>2293.1612500000001</v>
      </c>
      <c r="AV147" s="239">
        <v>0</v>
      </c>
      <c r="AW147" s="239">
        <v>453</v>
      </c>
      <c r="AX147" s="239">
        <v>114</v>
      </c>
      <c r="AY147" s="239">
        <v>0</v>
      </c>
      <c r="AZ147" s="239">
        <v>8720</v>
      </c>
      <c r="BA147" s="239">
        <v>2179</v>
      </c>
      <c r="BB147" s="239">
        <v>0</v>
      </c>
      <c r="BC147" s="239">
        <v>750.38583333333338</v>
      </c>
      <c r="BD147" s="239">
        <v>187.59645833333335</v>
      </c>
      <c r="BE147" s="239">
        <v>0</v>
      </c>
      <c r="BF147" s="239">
        <v>4501</v>
      </c>
      <c r="BG147" s="239">
        <v>1126</v>
      </c>
      <c r="BH147" s="239">
        <v>0</v>
      </c>
      <c r="BI147" s="239">
        <v>-3751</v>
      </c>
      <c r="BJ147" s="239">
        <v>-938</v>
      </c>
      <c r="BK147" s="239">
        <v>0</v>
      </c>
      <c r="BL147" s="239">
        <v>3667.5158333333334</v>
      </c>
      <c r="BM147" s="239">
        <v>916.87895833333334</v>
      </c>
      <c r="BN147" s="239">
        <v>0</v>
      </c>
      <c r="BO147" s="239">
        <v>2265</v>
      </c>
      <c r="BP147" s="239">
        <v>566</v>
      </c>
      <c r="BQ147" s="239">
        <v>0</v>
      </c>
      <c r="BR147" s="239">
        <v>1403</v>
      </c>
      <c r="BS147" s="239">
        <v>351</v>
      </c>
      <c r="BT147" s="239">
        <v>0</v>
      </c>
      <c r="BU147" s="239">
        <v>299640.95416666666</v>
      </c>
      <c r="BV147" s="239">
        <v>74910.238541666666</v>
      </c>
      <c r="BW147" s="239">
        <v>0</v>
      </c>
      <c r="BX147" s="239">
        <v>190123</v>
      </c>
      <c r="BY147" s="239">
        <v>47532</v>
      </c>
      <c r="BZ147" s="239">
        <v>0</v>
      </c>
      <c r="CA147" s="239">
        <v>109518</v>
      </c>
      <c r="CB147" s="239">
        <v>27378</v>
      </c>
      <c r="CC147" s="239">
        <v>0</v>
      </c>
      <c r="CD147" s="239">
        <v>0</v>
      </c>
      <c r="CE147" s="239">
        <v>0</v>
      </c>
      <c r="CF147" s="239">
        <v>0</v>
      </c>
      <c r="CG147" s="239">
        <v>0</v>
      </c>
      <c r="CH147" s="239">
        <v>0</v>
      </c>
      <c r="CI147" s="239">
        <v>0</v>
      </c>
      <c r="CJ147" s="239">
        <v>0</v>
      </c>
      <c r="CK147" s="239">
        <v>0</v>
      </c>
      <c r="CL147" s="239">
        <v>0</v>
      </c>
      <c r="CM147" s="239">
        <v>17462.196666666667</v>
      </c>
      <c r="CN147" s="239">
        <v>4365.5491666666667</v>
      </c>
      <c r="CO147" s="239">
        <v>0</v>
      </c>
      <c r="CP147" s="239">
        <v>0</v>
      </c>
      <c r="CQ147" s="239">
        <v>0</v>
      </c>
      <c r="CR147" s="239">
        <v>0</v>
      </c>
      <c r="CS147" s="239">
        <v>17462</v>
      </c>
      <c r="CT147" s="239">
        <v>4366</v>
      </c>
      <c r="CU147" s="239">
        <v>0</v>
      </c>
      <c r="CV147" s="239">
        <v>281499.23958333331</v>
      </c>
      <c r="CW147" s="239">
        <v>67639.432291666672</v>
      </c>
      <c r="CX147" s="239">
        <v>0</v>
      </c>
      <c r="CY147" s="239">
        <v>256891</v>
      </c>
      <c r="CZ147" s="239">
        <v>62212</v>
      </c>
      <c r="DA147" s="239">
        <v>0</v>
      </c>
      <c r="DB147" s="239">
        <v>24608</v>
      </c>
      <c r="DC147" s="239">
        <v>5427</v>
      </c>
      <c r="DD147" s="239">
        <v>0</v>
      </c>
      <c r="DE147" s="214">
        <v>0.5</v>
      </c>
      <c r="DF147" s="214">
        <v>0.4</v>
      </c>
      <c r="DG147" s="214">
        <v>0.1</v>
      </c>
      <c r="DH147" s="214">
        <v>0</v>
      </c>
      <c r="DI147" s="214" t="s">
        <v>1294</v>
      </c>
    </row>
    <row r="148" spans="2:113" s="214" customFormat="1" x14ac:dyDescent="0.2">
      <c r="B148" s="610" t="s">
        <v>379</v>
      </c>
      <c r="C148" s="610" t="s">
        <v>378</v>
      </c>
      <c r="D148" s="239">
        <v>545550</v>
      </c>
      <c r="E148" s="239">
        <v>0</v>
      </c>
      <c r="F148" s="239">
        <v>545550</v>
      </c>
      <c r="G148" s="239">
        <v>0</v>
      </c>
      <c r="H148" s="239">
        <v>0</v>
      </c>
      <c r="I148" s="239">
        <v>0</v>
      </c>
      <c r="J148" s="239">
        <v>545550</v>
      </c>
      <c r="K148" s="239">
        <v>0</v>
      </c>
      <c r="L148" s="239">
        <v>545550</v>
      </c>
      <c r="M148" s="239">
        <v>371140</v>
      </c>
      <c r="N148" s="239">
        <v>371140</v>
      </c>
      <c r="O148" s="239">
        <v>0</v>
      </c>
      <c r="P148" s="239">
        <v>12615</v>
      </c>
      <c r="Q148" s="239">
        <v>0</v>
      </c>
      <c r="R148" s="239">
        <v>12615</v>
      </c>
      <c r="S148" s="239">
        <v>0</v>
      </c>
      <c r="T148" s="239">
        <v>0</v>
      </c>
      <c r="U148" s="239">
        <v>0</v>
      </c>
      <c r="V148" s="239">
        <v>0</v>
      </c>
      <c r="W148" s="239">
        <v>0</v>
      </c>
      <c r="X148" s="239">
        <v>0</v>
      </c>
      <c r="Y148" s="239">
        <v>0</v>
      </c>
      <c r="Z148" s="239">
        <v>0</v>
      </c>
      <c r="AA148" s="239">
        <v>0</v>
      </c>
      <c r="AB148" s="239">
        <v>0</v>
      </c>
      <c r="AC148" s="239">
        <v>0</v>
      </c>
      <c r="AD148" s="239">
        <v>0</v>
      </c>
      <c r="AE148" s="239">
        <v>0</v>
      </c>
      <c r="AF148" s="239">
        <v>0</v>
      </c>
      <c r="AG148" s="239">
        <v>0</v>
      </c>
      <c r="AH148" s="239">
        <v>0</v>
      </c>
      <c r="AI148" s="239">
        <v>0</v>
      </c>
      <c r="AJ148" s="239">
        <v>0</v>
      </c>
      <c r="AK148" s="239">
        <v>1495094.7533229166</v>
      </c>
      <c r="AL148" s="239">
        <v>0</v>
      </c>
      <c r="AM148" s="239">
        <v>30512.137822916666</v>
      </c>
      <c r="AN148" s="239">
        <v>1391511</v>
      </c>
      <c r="AO148" s="239">
        <v>0</v>
      </c>
      <c r="AP148" s="239">
        <v>28398</v>
      </c>
      <c r="AQ148" s="239">
        <v>103584</v>
      </c>
      <c r="AR148" s="239">
        <v>0</v>
      </c>
      <c r="AS148" s="239">
        <v>2114</v>
      </c>
      <c r="AT148" s="239">
        <v>305.24754166666668</v>
      </c>
      <c r="AU148" s="239">
        <v>0</v>
      </c>
      <c r="AV148" s="239">
        <v>6.229541666666667</v>
      </c>
      <c r="AW148" s="239">
        <v>995</v>
      </c>
      <c r="AX148" s="239">
        <v>0</v>
      </c>
      <c r="AY148" s="239">
        <v>20</v>
      </c>
      <c r="AZ148" s="239">
        <v>-690</v>
      </c>
      <c r="BA148" s="239">
        <v>0</v>
      </c>
      <c r="BB148" s="239">
        <v>-14</v>
      </c>
      <c r="BC148" s="239">
        <v>0</v>
      </c>
      <c r="BD148" s="239">
        <v>0</v>
      </c>
      <c r="BE148" s="239">
        <v>0</v>
      </c>
      <c r="BF148" s="239">
        <v>59657</v>
      </c>
      <c r="BG148" s="239">
        <v>0</v>
      </c>
      <c r="BH148" s="239">
        <v>1218</v>
      </c>
      <c r="BI148" s="239">
        <v>-59657</v>
      </c>
      <c r="BJ148" s="239">
        <v>0</v>
      </c>
      <c r="BK148" s="239">
        <v>-1218</v>
      </c>
      <c r="BL148" s="239">
        <v>30748.966937499998</v>
      </c>
      <c r="BM148" s="239">
        <v>0</v>
      </c>
      <c r="BN148" s="239">
        <v>627.52993749999996</v>
      </c>
      <c r="BO148" s="239">
        <v>74572</v>
      </c>
      <c r="BP148" s="239">
        <v>0</v>
      </c>
      <c r="BQ148" s="239">
        <v>1522</v>
      </c>
      <c r="BR148" s="239">
        <v>-43823</v>
      </c>
      <c r="BS148" s="239">
        <v>0</v>
      </c>
      <c r="BT148" s="239">
        <v>-894</v>
      </c>
      <c r="BU148" s="239">
        <v>784267.93506249995</v>
      </c>
      <c r="BV148" s="239">
        <v>0</v>
      </c>
      <c r="BW148" s="239">
        <v>16005.468062500002</v>
      </c>
      <c r="BX148" s="239">
        <v>775547</v>
      </c>
      <c r="BY148" s="239">
        <v>0</v>
      </c>
      <c r="BZ148" s="239">
        <v>15828</v>
      </c>
      <c r="CA148" s="239">
        <v>8721</v>
      </c>
      <c r="CB148" s="239">
        <v>0</v>
      </c>
      <c r="CC148" s="239">
        <v>177</v>
      </c>
      <c r="CD148" s="239">
        <v>47228.854166666672</v>
      </c>
      <c r="CE148" s="239">
        <v>0</v>
      </c>
      <c r="CF148" s="239">
        <v>963.85416666666674</v>
      </c>
      <c r="CG148" s="239">
        <v>0</v>
      </c>
      <c r="CH148" s="239">
        <v>0</v>
      </c>
      <c r="CI148" s="239">
        <v>0</v>
      </c>
      <c r="CJ148" s="239">
        <v>47229</v>
      </c>
      <c r="CK148" s="239">
        <v>0</v>
      </c>
      <c r="CL148" s="239">
        <v>964</v>
      </c>
      <c r="CM148" s="239">
        <v>9188.7464375</v>
      </c>
      <c r="CN148" s="239">
        <v>0</v>
      </c>
      <c r="CO148" s="239">
        <v>187.52543750000001</v>
      </c>
      <c r="CP148" s="239">
        <v>0</v>
      </c>
      <c r="CQ148" s="239">
        <v>0</v>
      </c>
      <c r="CR148" s="239">
        <v>0</v>
      </c>
      <c r="CS148" s="239">
        <v>9189</v>
      </c>
      <c r="CT148" s="239">
        <v>0</v>
      </c>
      <c r="CU148" s="239">
        <v>188</v>
      </c>
      <c r="CV148" s="239">
        <v>641008.61781249999</v>
      </c>
      <c r="CW148" s="239">
        <v>0</v>
      </c>
      <c r="CX148" s="239">
        <v>13078.054062500001</v>
      </c>
      <c r="CY148" s="239">
        <v>651144</v>
      </c>
      <c r="CZ148" s="239">
        <v>0</v>
      </c>
      <c r="DA148" s="239">
        <v>13289</v>
      </c>
      <c r="DB148" s="239">
        <v>-10135</v>
      </c>
      <c r="DC148" s="239">
        <v>0</v>
      </c>
      <c r="DD148" s="239">
        <v>-211</v>
      </c>
      <c r="DE148" s="214">
        <v>0.5</v>
      </c>
      <c r="DF148" s="214">
        <v>0.49</v>
      </c>
      <c r="DG148" s="214">
        <v>0</v>
      </c>
      <c r="DH148" s="214">
        <v>0.01</v>
      </c>
      <c r="DI148" s="214" t="s">
        <v>748</v>
      </c>
    </row>
    <row r="149" spans="2:113" s="214" customFormat="1" x14ac:dyDescent="0.2">
      <c r="B149" s="610" t="s">
        <v>381</v>
      </c>
      <c r="C149" s="610" t="s">
        <v>380</v>
      </c>
      <c r="D149" s="239">
        <v>-218602</v>
      </c>
      <c r="E149" s="239">
        <v>0</v>
      </c>
      <c r="F149" s="239">
        <v>-218602</v>
      </c>
      <c r="G149" s="239">
        <v>0</v>
      </c>
      <c r="H149" s="239">
        <v>0</v>
      </c>
      <c r="I149" s="239">
        <v>0</v>
      </c>
      <c r="J149" s="239">
        <v>-218602</v>
      </c>
      <c r="K149" s="239">
        <v>0</v>
      </c>
      <c r="L149" s="239">
        <v>-218602</v>
      </c>
      <c r="M149" s="239">
        <v>254033</v>
      </c>
      <c r="N149" s="239">
        <v>254033</v>
      </c>
      <c r="O149" s="239">
        <v>0</v>
      </c>
      <c r="P149" s="239">
        <v>0</v>
      </c>
      <c r="Q149" s="239">
        <v>0</v>
      </c>
      <c r="R149" s="239">
        <v>0</v>
      </c>
      <c r="S149" s="239">
        <v>0</v>
      </c>
      <c r="T149" s="239">
        <v>0</v>
      </c>
      <c r="U149" s="239">
        <v>0</v>
      </c>
      <c r="V149" s="239">
        <v>0</v>
      </c>
      <c r="W149" s="239">
        <v>0</v>
      </c>
      <c r="X149" s="239">
        <v>0</v>
      </c>
      <c r="Y149" s="239">
        <v>0</v>
      </c>
      <c r="Z149" s="239">
        <v>0</v>
      </c>
      <c r="AA149" s="239">
        <v>0</v>
      </c>
      <c r="AB149" s="239">
        <v>0</v>
      </c>
      <c r="AC149" s="239">
        <v>0</v>
      </c>
      <c r="AD149" s="239">
        <v>0</v>
      </c>
      <c r="AE149" s="239">
        <v>0</v>
      </c>
      <c r="AF149" s="239">
        <v>0</v>
      </c>
      <c r="AG149" s="239">
        <v>0</v>
      </c>
      <c r="AH149" s="239">
        <v>0</v>
      </c>
      <c r="AI149" s="239">
        <v>0</v>
      </c>
      <c r="AJ149" s="239">
        <v>0</v>
      </c>
      <c r="AK149" s="239">
        <v>375891.10218749999</v>
      </c>
      <c r="AL149" s="239">
        <v>250594.06812500002</v>
      </c>
      <c r="AM149" s="239">
        <v>0</v>
      </c>
      <c r="AN149" s="239">
        <v>352818</v>
      </c>
      <c r="AO149" s="239">
        <v>235212</v>
      </c>
      <c r="AP149" s="239">
        <v>0</v>
      </c>
      <c r="AQ149" s="239">
        <v>23073</v>
      </c>
      <c r="AR149" s="239">
        <v>15382</v>
      </c>
      <c r="AS149" s="239">
        <v>0</v>
      </c>
      <c r="AT149" s="239">
        <v>2406.9974999999999</v>
      </c>
      <c r="AU149" s="239">
        <v>1604.665</v>
      </c>
      <c r="AV149" s="239">
        <v>0</v>
      </c>
      <c r="AW149" s="239">
        <v>15219</v>
      </c>
      <c r="AX149" s="239">
        <v>10146</v>
      </c>
      <c r="AY149" s="239">
        <v>0</v>
      </c>
      <c r="AZ149" s="239">
        <v>-12812</v>
      </c>
      <c r="BA149" s="239">
        <v>-8541</v>
      </c>
      <c r="BB149" s="239">
        <v>0</v>
      </c>
      <c r="BC149" s="239">
        <v>0</v>
      </c>
      <c r="BD149" s="239">
        <v>0</v>
      </c>
      <c r="BE149" s="239">
        <v>0</v>
      </c>
      <c r="BF149" s="239">
        <v>30437</v>
      </c>
      <c r="BG149" s="239">
        <v>20292</v>
      </c>
      <c r="BH149" s="239">
        <v>0</v>
      </c>
      <c r="BI149" s="239">
        <v>-30437</v>
      </c>
      <c r="BJ149" s="239">
        <v>-20292</v>
      </c>
      <c r="BK149" s="239">
        <v>0</v>
      </c>
      <c r="BL149" s="239">
        <v>0</v>
      </c>
      <c r="BM149" s="239">
        <v>0</v>
      </c>
      <c r="BN149" s="239">
        <v>0</v>
      </c>
      <c r="BO149" s="239">
        <v>97399</v>
      </c>
      <c r="BP149" s="239">
        <v>64934</v>
      </c>
      <c r="BQ149" s="239">
        <v>0</v>
      </c>
      <c r="BR149" s="239">
        <v>-97399</v>
      </c>
      <c r="BS149" s="239">
        <v>-64934</v>
      </c>
      <c r="BT149" s="239">
        <v>0</v>
      </c>
      <c r="BU149" s="239">
        <v>327882.49</v>
      </c>
      <c r="BV149" s="239">
        <v>218588.32666666669</v>
      </c>
      <c r="BW149" s="239">
        <v>0</v>
      </c>
      <c r="BX149" s="239">
        <v>304902</v>
      </c>
      <c r="BY149" s="239">
        <v>203268</v>
      </c>
      <c r="BZ149" s="239">
        <v>0</v>
      </c>
      <c r="CA149" s="239">
        <v>22980</v>
      </c>
      <c r="CB149" s="239">
        <v>15320</v>
      </c>
      <c r="CC149" s="239">
        <v>0</v>
      </c>
      <c r="CD149" s="239">
        <v>-8820.1787499999991</v>
      </c>
      <c r="CE149" s="239">
        <v>-5880.1191666666673</v>
      </c>
      <c r="CF149" s="239">
        <v>0</v>
      </c>
      <c r="CG149" s="239">
        <v>0</v>
      </c>
      <c r="CH149" s="239">
        <v>0</v>
      </c>
      <c r="CI149" s="239">
        <v>0</v>
      </c>
      <c r="CJ149" s="239">
        <v>-8820</v>
      </c>
      <c r="CK149" s="239">
        <v>-5880</v>
      </c>
      <c r="CL149" s="239">
        <v>0</v>
      </c>
      <c r="CM149" s="239">
        <v>0</v>
      </c>
      <c r="CN149" s="239">
        <v>0</v>
      </c>
      <c r="CO149" s="239">
        <v>0</v>
      </c>
      <c r="CP149" s="239">
        <v>0</v>
      </c>
      <c r="CQ149" s="239">
        <v>0</v>
      </c>
      <c r="CR149" s="239">
        <v>0</v>
      </c>
      <c r="CS149" s="239">
        <v>0</v>
      </c>
      <c r="CT149" s="239">
        <v>0</v>
      </c>
      <c r="CU149" s="239">
        <v>0</v>
      </c>
      <c r="CV149" s="239">
        <v>335014.38250000001</v>
      </c>
      <c r="CW149" s="239">
        <v>223342.92166666669</v>
      </c>
      <c r="CX149" s="239">
        <v>0</v>
      </c>
      <c r="CY149" s="239">
        <v>356683</v>
      </c>
      <c r="CZ149" s="239">
        <v>237788</v>
      </c>
      <c r="DA149" s="239">
        <v>0</v>
      </c>
      <c r="DB149" s="239">
        <v>-21669</v>
      </c>
      <c r="DC149" s="239">
        <v>-14445</v>
      </c>
      <c r="DD149" s="239">
        <v>0</v>
      </c>
      <c r="DE149" s="214">
        <v>0.5</v>
      </c>
      <c r="DF149" s="214">
        <v>0.3</v>
      </c>
      <c r="DG149" s="214">
        <v>0.2</v>
      </c>
      <c r="DH149" s="214">
        <v>0</v>
      </c>
      <c r="DI149" s="214" t="s">
        <v>1295</v>
      </c>
    </row>
    <row r="150" spans="2:113" s="214" customFormat="1" x14ac:dyDescent="0.2">
      <c r="B150" s="610" t="s">
        <v>383</v>
      </c>
      <c r="C150" s="610" t="s">
        <v>382</v>
      </c>
      <c r="D150" s="239">
        <v>-209212</v>
      </c>
      <c r="E150" s="239">
        <v>0</v>
      </c>
      <c r="F150" s="239">
        <v>-209212</v>
      </c>
      <c r="G150" s="239">
        <v>0</v>
      </c>
      <c r="H150" s="239">
        <v>0</v>
      </c>
      <c r="I150" s="239">
        <v>0</v>
      </c>
      <c r="J150" s="239">
        <v>-209212</v>
      </c>
      <c r="K150" s="239">
        <v>0</v>
      </c>
      <c r="L150" s="239">
        <v>-209212</v>
      </c>
      <c r="M150" s="239">
        <v>610587</v>
      </c>
      <c r="N150" s="239">
        <v>610587</v>
      </c>
      <c r="O150" s="239">
        <v>0</v>
      </c>
      <c r="P150" s="239">
        <v>0</v>
      </c>
      <c r="Q150" s="239">
        <v>0</v>
      </c>
      <c r="R150" s="239">
        <v>0</v>
      </c>
      <c r="S150" s="239">
        <v>0</v>
      </c>
      <c r="T150" s="239">
        <v>0</v>
      </c>
      <c r="U150" s="239">
        <v>0</v>
      </c>
      <c r="V150" s="239">
        <v>0</v>
      </c>
      <c r="W150" s="239">
        <v>0</v>
      </c>
      <c r="X150" s="239">
        <v>0</v>
      </c>
      <c r="Y150" s="239">
        <v>0</v>
      </c>
      <c r="Z150" s="239">
        <v>0</v>
      </c>
      <c r="AA150" s="239">
        <v>0</v>
      </c>
      <c r="AB150" s="239">
        <v>0</v>
      </c>
      <c r="AC150" s="239">
        <v>0</v>
      </c>
      <c r="AD150" s="239">
        <v>0</v>
      </c>
      <c r="AE150" s="239">
        <v>0</v>
      </c>
      <c r="AF150" s="239">
        <v>0</v>
      </c>
      <c r="AG150" s="239">
        <v>0</v>
      </c>
      <c r="AH150" s="239">
        <v>0</v>
      </c>
      <c r="AI150" s="239">
        <v>0</v>
      </c>
      <c r="AJ150" s="239">
        <v>0</v>
      </c>
      <c r="AK150" s="239">
        <v>3177948.3135312498</v>
      </c>
      <c r="AL150" s="239">
        <v>0</v>
      </c>
      <c r="AM150" s="239">
        <v>64856.088031250001</v>
      </c>
      <c r="AN150" s="239">
        <v>3021689</v>
      </c>
      <c r="AO150" s="239">
        <v>0</v>
      </c>
      <c r="AP150" s="239">
        <v>61668</v>
      </c>
      <c r="AQ150" s="239">
        <v>156259</v>
      </c>
      <c r="AR150" s="239">
        <v>0</v>
      </c>
      <c r="AS150" s="239">
        <v>3188</v>
      </c>
      <c r="AT150" s="239">
        <v>29990.322395833333</v>
      </c>
      <c r="AU150" s="239">
        <v>0</v>
      </c>
      <c r="AV150" s="239">
        <v>612.04739583333333</v>
      </c>
      <c r="AW150" s="239">
        <v>9221</v>
      </c>
      <c r="AX150" s="239">
        <v>0</v>
      </c>
      <c r="AY150" s="239">
        <v>188</v>
      </c>
      <c r="AZ150" s="239">
        <v>20769</v>
      </c>
      <c r="BA150" s="239">
        <v>0</v>
      </c>
      <c r="BB150" s="239">
        <v>424</v>
      </c>
      <c r="BC150" s="239">
        <v>0</v>
      </c>
      <c r="BD150" s="239">
        <v>0</v>
      </c>
      <c r="BE150" s="239">
        <v>0</v>
      </c>
      <c r="BF150" s="239">
        <v>0</v>
      </c>
      <c r="BG150" s="239">
        <v>0</v>
      </c>
      <c r="BH150" s="239">
        <v>0</v>
      </c>
      <c r="BI150" s="239">
        <v>0</v>
      </c>
      <c r="BJ150" s="239">
        <v>0</v>
      </c>
      <c r="BK150" s="239">
        <v>0</v>
      </c>
      <c r="BL150" s="239">
        <v>73141.586437499995</v>
      </c>
      <c r="BM150" s="239">
        <v>0</v>
      </c>
      <c r="BN150" s="239">
        <v>1492.6854375</v>
      </c>
      <c r="BO150" s="239">
        <v>12751</v>
      </c>
      <c r="BP150" s="239">
        <v>0</v>
      </c>
      <c r="BQ150" s="239">
        <v>260</v>
      </c>
      <c r="BR150" s="239">
        <v>60391</v>
      </c>
      <c r="BS150" s="239">
        <v>0</v>
      </c>
      <c r="BT150" s="239">
        <v>1233</v>
      </c>
      <c r="BU150" s="239">
        <v>1122737.7441874999</v>
      </c>
      <c r="BV150" s="239">
        <v>0</v>
      </c>
      <c r="BW150" s="239">
        <v>22913.015187499997</v>
      </c>
      <c r="BX150" s="239">
        <v>720048</v>
      </c>
      <c r="BY150" s="239">
        <v>0</v>
      </c>
      <c r="BZ150" s="239">
        <v>14694</v>
      </c>
      <c r="CA150" s="239">
        <v>402690</v>
      </c>
      <c r="CB150" s="239">
        <v>0</v>
      </c>
      <c r="CC150" s="239">
        <v>8219</v>
      </c>
      <c r="CD150" s="239">
        <v>52584.606229166668</v>
      </c>
      <c r="CE150" s="239">
        <v>0</v>
      </c>
      <c r="CF150" s="239">
        <v>1073.1552291666667</v>
      </c>
      <c r="CG150" s="239">
        <v>43610</v>
      </c>
      <c r="CH150" s="239">
        <v>0</v>
      </c>
      <c r="CI150" s="239">
        <v>0</v>
      </c>
      <c r="CJ150" s="239">
        <v>8975</v>
      </c>
      <c r="CK150" s="239">
        <v>0</v>
      </c>
      <c r="CL150" s="239">
        <v>1073</v>
      </c>
      <c r="CM150" s="239">
        <v>5152.4194166666666</v>
      </c>
      <c r="CN150" s="239">
        <v>0</v>
      </c>
      <c r="CO150" s="239">
        <v>105.15141666666666</v>
      </c>
      <c r="CP150" s="239">
        <v>0</v>
      </c>
      <c r="CQ150" s="239">
        <v>0</v>
      </c>
      <c r="CR150" s="239">
        <v>0</v>
      </c>
      <c r="CS150" s="239">
        <v>5152</v>
      </c>
      <c r="CT150" s="239">
        <v>0</v>
      </c>
      <c r="CU150" s="239">
        <v>105</v>
      </c>
      <c r="CV150" s="239">
        <v>708998.75739583338</v>
      </c>
      <c r="CW150" s="239">
        <v>0</v>
      </c>
      <c r="CX150" s="239">
        <v>14469.362395833334</v>
      </c>
      <c r="CY150" s="239">
        <v>750207</v>
      </c>
      <c r="CZ150" s="239">
        <v>0</v>
      </c>
      <c r="DA150" s="239">
        <v>15310</v>
      </c>
      <c r="DB150" s="239">
        <v>-41208</v>
      </c>
      <c r="DC150" s="239">
        <v>0</v>
      </c>
      <c r="DD150" s="239">
        <v>-841</v>
      </c>
      <c r="DE150" s="214">
        <v>0.5</v>
      </c>
      <c r="DF150" s="214">
        <v>0.49</v>
      </c>
      <c r="DG150" s="214">
        <v>0</v>
      </c>
      <c r="DH150" s="214">
        <v>0.01</v>
      </c>
      <c r="DI150" s="214" t="s">
        <v>1296</v>
      </c>
    </row>
    <row r="151" spans="2:113" s="214" customFormat="1" x14ac:dyDescent="0.2">
      <c r="B151" s="610" t="s">
        <v>385</v>
      </c>
      <c r="C151" s="610" t="s">
        <v>384</v>
      </c>
      <c r="D151" s="239">
        <v>91107</v>
      </c>
      <c r="E151" s="239">
        <v>0</v>
      </c>
      <c r="F151" s="239">
        <v>91107</v>
      </c>
      <c r="G151" s="239">
        <v>0</v>
      </c>
      <c r="H151" s="239">
        <v>0</v>
      </c>
      <c r="I151" s="239">
        <v>0</v>
      </c>
      <c r="J151" s="239">
        <v>91107</v>
      </c>
      <c r="K151" s="239">
        <v>0</v>
      </c>
      <c r="L151" s="239">
        <v>91107</v>
      </c>
      <c r="M151" s="239">
        <v>141291</v>
      </c>
      <c r="N151" s="239">
        <v>141291</v>
      </c>
      <c r="O151" s="239">
        <v>0</v>
      </c>
      <c r="P151" s="239">
        <v>0</v>
      </c>
      <c r="Q151" s="239">
        <v>0</v>
      </c>
      <c r="R151" s="239">
        <v>0</v>
      </c>
      <c r="S151" s="239">
        <v>0</v>
      </c>
      <c r="T151" s="239">
        <v>0</v>
      </c>
      <c r="U151" s="239">
        <v>0</v>
      </c>
      <c r="V151" s="239">
        <v>0</v>
      </c>
      <c r="W151" s="239">
        <v>0</v>
      </c>
      <c r="X151" s="239">
        <v>0</v>
      </c>
      <c r="Y151" s="239">
        <v>0</v>
      </c>
      <c r="Z151" s="239">
        <v>0</v>
      </c>
      <c r="AA151" s="239">
        <v>0</v>
      </c>
      <c r="AB151" s="239">
        <v>0</v>
      </c>
      <c r="AC151" s="239">
        <v>0</v>
      </c>
      <c r="AD151" s="239">
        <v>0</v>
      </c>
      <c r="AE151" s="239">
        <v>0</v>
      </c>
      <c r="AF151" s="239">
        <v>0</v>
      </c>
      <c r="AG151" s="239">
        <v>0</v>
      </c>
      <c r="AH151" s="239">
        <v>0</v>
      </c>
      <c r="AI151" s="239">
        <v>0</v>
      </c>
      <c r="AJ151" s="239">
        <v>0</v>
      </c>
      <c r="AK151" s="239">
        <v>497385.70619791665</v>
      </c>
      <c r="AL151" s="239">
        <v>0</v>
      </c>
      <c r="AM151" s="239">
        <v>10150.728697916667</v>
      </c>
      <c r="AN151" s="239">
        <v>444085</v>
      </c>
      <c r="AO151" s="239">
        <v>0</v>
      </c>
      <c r="AP151" s="239">
        <v>9062</v>
      </c>
      <c r="AQ151" s="239">
        <v>53301</v>
      </c>
      <c r="AR151" s="239">
        <v>0</v>
      </c>
      <c r="AS151" s="239">
        <v>1089</v>
      </c>
      <c r="AT151" s="239">
        <v>3475.0493749999996</v>
      </c>
      <c r="AU151" s="239">
        <v>0</v>
      </c>
      <c r="AV151" s="239">
        <v>70.919375000000002</v>
      </c>
      <c r="AW151" s="239">
        <v>1968</v>
      </c>
      <c r="AX151" s="239">
        <v>0</v>
      </c>
      <c r="AY151" s="239">
        <v>40</v>
      </c>
      <c r="AZ151" s="239">
        <v>1507</v>
      </c>
      <c r="BA151" s="239">
        <v>0</v>
      </c>
      <c r="BB151" s="239">
        <v>31</v>
      </c>
      <c r="BC151" s="239">
        <v>6027.893229166667</v>
      </c>
      <c r="BD151" s="239">
        <v>0</v>
      </c>
      <c r="BE151" s="239">
        <v>123.01822916666669</v>
      </c>
      <c r="BF151" s="239">
        <v>31956</v>
      </c>
      <c r="BG151" s="239">
        <v>0</v>
      </c>
      <c r="BH151" s="239">
        <v>652</v>
      </c>
      <c r="BI151" s="239">
        <v>-25928</v>
      </c>
      <c r="BJ151" s="239">
        <v>0</v>
      </c>
      <c r="BK151" s="239">
        <v>-529</v>
      </c>
      <c r="BL151" s="239">
        <v>26702.199854166665</v>
      </c>
      <c r="BM151" s="239">
        <v>0</v>
      </c>
      <c r="BN151" s="239">
        <v>544.94285416666662</v>
      </c>
      <c r="BO151" s="239">
        <v>11699</v>
      </c>
      <c r="BP151" s="239">
        <v>0</v>
      </c>
      <c r="BQ151" s="239">
        <v>238</v>
      </c>
      <c r="BR151" s="239">
        <v>15003</v>
      </c>
      <c r="BS151" s="239">
        <v>0</v>
      </c>
      <c r="BT151" s="239">
        <v>307</v>
      </c>
      <c r="BU151" s="239">
        <v>218533.87397916667</v>
      </c>
      <c r="BV151" s="239">
        <v>0</v>
      </c>
      <c r="BW151" s="239">
        <v>4459.8749791666669</v>
      </c>
      <c r="BX151" s="239">
        <v>201976</v>
      </c>
      <c r="BY151" s="239">
        <v>0</v>
      </c>
      <c r="BZ151" s="239">
        <v>4122</v>
      </c>
      <c r="CA151" s="239">
        <v>16558</v>
      </c>
      <c r="CB151" s="239">
        <v>0</v>
      </c>
      <c r="CC151" s="239">
        <v>338</v>
      </c>
      <c r="CD151" s="239">
        <v>0</v>
      </c>
      <c r="CE151" s="239">
        <v>0</v>
      </c>
      <c r="CF151" s="239">
        <v>0</v>
      </c>
      <c r="CG151" s="239">
        <v>0</v>
      </c>
      <c r="CH151" s="239">
        <v>0</v>
      </c>
      <c r="CI151" s="239">
        <v>0</v>
      </c>
      <c r="CJ151" s="239">
        <v>0</v>
      </c>
      <c r="CK151" s="239">
        <v>0</v>
      </c>
      <c r="CL151" s="239">
        <v>0</v>
      </c>
      <c r="CM151" s="239">
        <v>727.32435416666658</v>
      </c>
      <c r="CN151" s="239">
        <v>0</v>
      </c>
      <c r="CO151" s="239">
        <v>14.843354166666666</v>
      </c>
      <c r="CP151" s="239">
        <v>0</v>
      </c>
      <c r="CQ151" s="239">
        <v>0</v>
      </c>
      <c r="CR151" s="239">
        <v>0</v>
      </c>
      <c r="CS151" s="239">
        <v>727</v>
      </c>
      <c r="CT151" s="239">
        <v>0</v>
      </c>
      <c r="CU151" s="239">
        <v>15</v>
      </c>
      <c r="CV151" s="239">
        <v>307033.41302083334</v>
      </c>
      <c r="CW151" s="239">
        <v>0</v>
      </c>
      <c r="CX151" s="239">
        <v>6265.9880208333334</v>
      </c>
      <c r="CY151" s="239">
        <v>292900</v>
      </c>
      <c r="CZ151" s="239">
        <v>0</v>
      </c>
      <c r="DA151" s="239">
        <v>5978</v>
      </c>
      <c r="DB151" s="239">
        <v>14133</v>
      </c>
      <c r="DC151" s="239">
        <v>0</v>
      </c>
      <c r="DD151" s="239">
        <v>288</v>
      </c>
      <c r="DE151" s="214">
        <v>0.5</v>
      </c>
      <c r="DF151" s="214">
        <v>0.49</v>
      </c>
      <c r="DG151" s="214">
        <v>0</v>
      </c>
      <c r="DH151" s="214">
        <v>0.01</v>
      </c>
      <c r="DI151" s="214" t="s">
        <v>1296</v>
      </c>
    </row>
    <row r="152" spans="2:113" s="214" customFormat="1" x14ac:dyDescent="0.2">
      <c r="B152" s="610" t="s">
        <v>387</v>
      </c>
      <c r="C152" s="610" t="s">
        <v>386</v>
      </c>
      <c r="D152" s="239">
        <v>1092249</v>
      </c>
      <c r="E152" s="239">
        <v>0</v>
      </c>
      <c r="F152" s="239">
        <v>1092249</v>
      </c>
      <c r="G152" s="239">
        <v>0</v>
      </c>
      <c r="H152" s="239">
        <v>0</v>
      </c>
      <c r="I152" s="239">
        <v>0</v>
      </c>
      <c r="J152" s="239">
        <v>1092249</v>
      </c>
      <c r="K152" s="239">
        <v>0</v>
      </c>
      <c r="L152" s="239">
        <v>1092249</v>
      </c>
      <c r="M152" s="239">
        <v>480869</v>
      </c>
      <c r="N152" s="239">
        <v>480869</v>
      </c>
      <c r="O152" s="239">
        <v>0</v>
      </c>
      <c r="P152" s="239">
        <v>0</v>
      </c>
      <c r="Q152" s="239">
        <v>0</v>
      </c>
      <c r="R152" s="239">
        <v>0</v>
      </c>
      <c r="S152" s="239">
        <v>0</v>
      </c>
      <c r="T152" s="239">
        <v>0</v>
      </c>
      <c r="U152" s="239">
        <v>0</v>
      </c>
      <c r="V152" s="239">
        <v>0</v>
      </c>
      <c r="W152" s="239">
        <v>0</v>
      </c>
      <c r="X152" s="239">
        <v>0</v>
      </c>
      <c r="Y152" s="239">
        <v>0</v>
      </c>
      <c r="Z152" s="239">
        <v>0</v>
      </c>
      <c r="AA152" s="239">
        <v>0</v>
      </c>
      <c r="AB152" s="239">
        <v>0</v>
      </c>
      <c r="AC152" s="239">
        <v>0</v>
      </c>
      <c r="AD152" s="239">
        <v>0</v>
      </c>
      <c r="AE152" s="239">
        <v>0</v>
      </c>
      <c r="AF152" s="239">
        <v>0</v>
      </c>
      <c r="AG152" s="239">
        <v>0</v>
      </c>
      <c r="AH152" s="239">
        <v>0</v>
      </c>
      <c r="AI152" s="239">
        <v>0</v>
      </c>
      <c r="AJ152" s="239">
        <v>0</v>
      </c>
      <c r="AK152" s="239">
        <v>901456.78437499993</v>
      </c>
      <c r="AL152" s="239">
        <v>600971.18958333333</v>
      </c>
      <c r="AM152" s="239">
        <v>0</v>
      </c>
      <c r="AN152" s="239">
        <v>848573</v>
      </c>
      <c r="AO152" s="239">
        <v>565714</v>
      </c>
      <c r="AP152" s="239">
        <v>0</v>
      </c>
      <c r="AQ152" s="239">
        <v>52884</v>
      </c>
      <c r="AR152" s="239">
        <v>35257</v>
      </c>
      <c r="AS152" s="239">
        <v>0</v>
      </c>
      <c r="AT152" s="239">
        <v>0</v>
      </c>
      <c r="AU152" s="239">
        <v>0</v>
      </c>
      <c r="AV152" s="239">
        <v>0</v>
      </c>
      <c r="AW152" s="239">
        <v>0</v>
      </c>
      <c r="AX152" s="239">
        <v>0</v>
      </c>
      <c r="AY152" s="239">
        <v>0</v>
      </c>
      <c r="AZ152" s="239">
        <v>0</v>
      </c>
      <c r="BA152" s="239">
        <v>0</v>
      </c>
      <c r="BB152" s="239">
        <v>0</v>
      </c>
      <c r="BC152" s="239">
        <v>6002.8837500000009</v>
      </c>
      <c r="BD152" s="239">
        <v>4001.9225000000006</v>
      </c>
      <c r="BE152" s="239">
        <v>0</v>
      </c>
      <c r="BF152" s="239">
        <v>21307</v>
      </c>
      <c r="BG152" s="239">
        <v>14206</v>
      </c>
      <c r="BH152" s="239">
        <v>0</v>
      </c>
      <c r="BI152" s="239">
        <v>-15304</v>
      </c>
      <c r="BJ152" s="239">
        <v>-10204</v>
      </c>
      <c r="BK152" s="239">
        <v>0</v>
      </c>
      <c r="BL152" s="239">
        <v>2910.7381249999999</v>
      </c>
      <c r="BM152" s="239">
        <v>1940.4920833333335</v>
      </c>
      <c r="BN152" s="239">
        <v>0</v>
      </c>
      <c r="BO152" s="239">
        <v>1553</v>
      </c>
      <c r="BP152" s="239">
        <v>1034</v>
      </c>
      <c r="BQ152" s="239">
        <v>0</v>
      </c>
      <c r="BR152" s="239">
        <v>1358</v>
      </c>
      <c r="BS152" s="239">
        <v>906</v>
      </c>
      <c r="BT152" s="239">
        <v>0</v>
      </c>
      <c r="BU152" s="239">
        <v>573199.30437499995</v>
      </c>
      <c r="BV152" s="239">
        <v>382132.86958333338</v>
      </c>
      <c r="BW152" s="239">
        <v>0</v>
      </c>
      <c r="BX152" s="239">
        <v>1004437</v>
      </c>
      <c r="BY152" s="239">
        <v>669626</v>
      </c>
      <c r="BZ152" s="239">
        <v>0</v>
      </c>
      <c r="CA152" s="239">
        <v>-431238</v>
      </c>
      <c r="CB152" s="239">
        <v>-287493</v>
      </c>
      <c r="CC152" s="239">
        <v>0</v>
      </c>
      <c r="CD152" s="239">
        <v>0</v>
      </c>
      <c r="CE152" s="239">
        <v>0</v>
      </c>
      <c r="CF152" s="239">
        <v>0</v>
      </c>
      <c r="CG152" s="239">
        <v>0</v>
      </c>
      <c r="CH152" s="239">
        <v>0</v>
      </c>
      <c r="CI152" s="239">
        <v>0</v>
      </c>
      <c r="CJ152" s="239">
        <v>0</v>
      </c>
      <c r="CK152" s="239">
        <v>0</v>
      </c>
      <c r="CL152" s="239">
        <v>0</v>
      </c>
      <c r="CM152" s="239">
        <v>13320.363125</v>
      </c>
      <c r="CN152" s="239">
        <v>8880.2420833333344</v>
      </c>
      <c r="CO152" s="239">
        <v>0</v>
      </c>
      <c r="CP152" s="239">
        <v>0</v>
      </c>
      <c r="CQ152" s="239">
        <v>0</v>
      </c>
      <c r="CR152" s="239">
        <v>0</v>
      </c>
      <c r="CS152" s="239">
        <v>13320</v>
      </c>
      <c r="CT152" s="239">
        <v>8880</v>
      </c>
      <c r="CU152" s="239">
        <v>0</v>
      </c>
      <c r="CV152" s="239">
        <v>536180.46124999993</v>
      </c>
      <c r="CW152" s="239">
        <v>357453.64083333331</v>
      </c>
      <c r="CX152" s="239">
        <v>0</v>
      </c>
      <c r="CY152" s="239">
        <v>532447</v>
      </c>
      <c r="CZ152" s="239">
        <v>354965</v>
      </c>
      <c r="DA152" s="239">
        <v>0</v>
      </c>
      <c r="DB152" s="239">
        <v>3733</v>
      </c>
      <c r="DC152" s="239">
        <v>2489</v>
      </c>
      <c r="DD152" s="239">
        <v>0</v>
      </c>
      <c r="DE152" s="214">
        <v>0.5</v>
      </c>
      <c r="DF152" s="214">
        <v>0.3</v>
      </c>
      <c r="DG152" s="214">
        <v>0.2</v>
      </c>
      <c r="DH152" s="214">
        <v>0</v>
      </c>
      <c r="DI152" s="214" t="s">
        <v>1297</v>
      </c>
    </row>
    <row r="153" spans="2:113" s="214" customFormat="1" x14ac:dyDescent="0.2">
      <c r="B153" s="610" t="s">
        <v>389</v>
      </c>
      <c r="C153" s="610" t="s">
        <v>388</v>
      </c>
      <c r="D153" s="239">
        <v>-23311235</v>
      </c>
      <c r="E153" s="239">
        <v>0</v>
      </c>
      <c r="F153" s="239">
        <v>-23311235</v>
      </c>
      <c r="G153" s="239">
        <v>0</v>
      </c>
      <c r="H153" s="239">
        <v>0</v>
      </c>
      <c r="I153" s="239">
        <v>0</v>
      </c>
      <c r="J153" s="239">
        <v>-23311235</v>
      </c>
      <c r="K153" s="239">
        <v>0</v>
      </c>
      <c r="L153" s="239">
        <v>-23311235</v>
      </c>
      <c r="M153" s="239">
        <v>227185</v>
      </c>
      <c r="N153" s="239">
        <v>227185</v>
      </c>
      <c r="O153" s="239">
        <v>0</v>
      </c>
      <c r="P153" s="239">
        <v>0</v>
      </c>
      <c r="Q153" s="239">
        <v>0</v>
      </c>
      <c r="R153" s="239">
        <v>0</v>
      </c>
      <c r="S153" s="239">
        <v>917731</v>
      </c>
      <c r="T153" s="239">
        <v>0</v>
      </c>
      <c r="U153" s="239">
        <v>0</v>
      </c>
      <c r="V153" s="239">
        <v>0</v>
      </c>
      <c r="W153" s="239">
        <v>917731</v>
      </c>
      <c r="X153" s="239">
        <v>0</v>
      </c>
      <c r="Y153" s="239">
        <v>0</v>
      </c>
      <c r="Z153" s="239">
        <v>0</v>
      </c>
      <c r="AA153" s="239">
        <v>0</v>
      </c>
      <c r="AB153" s="239">
        <v>0</v>
      </c>
      <c r="AC153" s="239">
        <v>0</v>
      </c>
      <c r="AD153" s="239">
        <v>0</v>
      </c>
      <c r="AE153" s="239">
        <v>0</v>
      </c>
      <c r="AF153" s="239">
        <v>0</v>
      </c>
      <c r="AG153" s="239">
        <v>0</v>
      </c>
      <c r="AH153" s="239">
        <v>0</v>
      </c>
      <c r="AI153" s="239">
        <v>0</v>
      </c>
      <c r="AJ153" s="239">
        <v>0</v>
      </c>
      <c r="AK153" s="239">
        <v>693010.33416666673</v>
      </c>
      <c r="AL153" s="239">
        <v>155927.32518750001</v>
      </c>
      <c r="AM153" s="239">
        <v>17325.258354166668</v>
      </c>
      <c r="AN153" s="239">
        <v>674161</v>
      </c>
      <c r="AO153" s="239">
        <v>151686</v>
      </c>
      <c r="AP153" s="239">
        <v>16854</v>
      </c>
      <c r="AQ153" s="239">
        <v>18849</v>
      </c>
      <c r="AR153" s="239">
        <v>4241</v>
      </c>
      <c r="AS153" s="239">
        <v>471</v>
      </c>
      <c r="AT153" s="239">
        <v>8529.3991666666661</v>
      </c>
      <c r="AU153" s="239">
        <v>1919.1148124999997</v>
      </c>
      <c r="AV153" s="239">
        <v>213.23497916666665</v>
      </c>
      <c r="AW153" s="239">
        <v>4226</v>
      </c>
      <c r="AX153" s="239">
        <v>952</v>
      </c>
      <c r="AY153" s="239">
        <v>106</v>
      </c>
      <c r="AZ153" s="239">
        <v>4303</v>
      </c>
      <c r="BA153" s="239">
        <v>967</v>
      </c>
      <c r="BB153" s="239">
        <v>107</v>
      </c>
      <c r="BC153" s="239">
        <v>2175.6724999999997</v>
      </c>
      <c r="BD153" s="239">
        <v>489.5263124999999</v>
      </c>
      <c r="BE153" s="239">
        <v>54.3918125</v>
      </c>
      <c r="BF153" s="239">
        <v>6120</v>
      </c>
      <c r="BG153" s="239">
        <v>1378</v>
      </c>
      <c r="BH153" s="239">
        <v>154</v>
      </c>
      <c r="BI153" s="239">
        <v>-3944</v>
      </c>
      <c r="BJ153" s="239">
        <v>-888</v>
      </c>
      <c r="BK153" s="239">
        <v>-100</v>
      </c>
      <c r="BL153" s="239">
        <v>18326.215833333335</v>
      </c>
      <c r="BM153" s="239">
        <v>4123.3985624999996</v>
      </c>
      <c r="BN153" s="239">
        <v>458.15539583333339</v>
      </c>
      <c r="BO153" s="239">
        <v>12714</v>
      </c>
      <c r="BP153" s="239">
        <v>2860</v>
      </c>
      <c r="BQ153" s="239">
        <v>318</v>
      </c>
      <c r="BR153" s="239">
        <v>5612</v>
      </c>
      <c r="BS153" s="239">
        <v>1263</v>
      </c>
      <c r="BT153" s="239">
        <v>140</v>
      </c>
      <c r="BU153" s="239">
        <v>358490.84583333333</v>
      </c>
      <c r="BV153" s="239">
        <v>80660.440312499995</v>
      </c>
      <c r="BW153" s="239">
        <v>8962.2711458333342</v>
      </c>
      <c r="BX153" s="239">
        <v>360366</v>
      </c>
      <c r="BY153" s="239">
        <v>81082</v>
      </c>
      <c r="BZ153" s="239">
        <v>9010</v>
      </c>
      <c r="CA153" s="239">
        <v>-1875</v>
      </c>
      <c r="CB153" s="239">
        <v>-422</v>
      </c>
      <c r="CC153" s="239">
        <v>-48</v>
      </c>
      <c r="CD153" s="239">
        <v>148821.92416666666</v>
      </c>
      <c r="CE153" s="239">
        <v>33484.932937500002</v>
      </c>
      <c r="CF153" s="239">
        <v>3720.5481041666667</v>
      </c>
      <c r="CG153" s="239">
        <v>384657</v>
      </c>
      <c r="CH153" s="239">
        <v>0</v>
      </c>
      <c r="CI153" s="239">
        <v>0</v>
      </c>
      <c r="CJ153" s="239">
        <v>-235835</v>
      </c>
      <c r="CK153" s="239">
        <v>33485</v>
      </c>
      <c r="CL153" s="239">
        <v>3721</v>
      </c>
      <c r="CM153" s="239">
        <v>10659.212500000001</v>
      </c>
      <c r="CN153" s="239">
        <v>2398.3228125000001</v>
      </c>
      <c r="CO153" s="239">
        <v>266.48031250000003</v>
      </c>
      <c r="CP153" s="239">
        <v>0</v>
      </c>
      <c r="CQ153" s="239">
        <v>0</v>
      </c>
      <c r="CR153" s="239">
        <v>0</v>
      </c>
      <c r="CS153" s="239">
        <v>10659</v>
      </c>
      <c r="CT153" s="239">
        <v>2398</v>
      </c>
      <c r="CU153" s="239">
        <v>266</v>
      </c>
      <c r="CV153" s="239">
        <v>211653.23958333334</v>
      </c>
      <c r="CW153" s="239">
        <v>44610.674062500002</v>
      </c>
      <c r="CX153" s="239">
        <v>4956.7415625000003</v>
      </c>
      <c r="CY153" s="239">
        <v>356998</v>
      </c>
      <c r="CZ153" s="239">
        <v>80325</v>
      </c>
      <c r="DA153" s="239">
        <v>8925</v>
      </c>
      <c r="DB153" s="239">
        <v>-145345</v>
      </c>
      <c r="DC153" s="239">
        <v>-35714</v>
      </c>
      <c r="DD153" s="239">
        <v>-3968</v>
      </c>
      <c r="DE153" s="214">
        <v>0.5</v>
      </c>
      <c r="DF153" s="214">
        <v>0.4</v>
      </c>
      <c r="DG153" s="214">
        <v>0.09</v>
      </c>
      <c r="DH153" s="214">
        <v>0.01</v>
      </c>
      <c r="DI153" s="214" t="s">
        <v>1294</v>
      </c>
    </row>
    <row r="154" spans="2:113" s="214" customFormat="1" x14ac:dyDescent="0.2">
      <c r="B154" s="610" t="s">
        <v>391</v>
      </c>
      <c r="C154" s="610" t="s">
        <v>390</v>
      </c>
      <c r="D154" s="239">
        <v>-4889809</v>
      </c>
      <c r="E154" s="239">
        <v>0</v>
      </c>
      <c r="F154" s="239">
        <v>-4889809</v>
      </c>
      <c r="G154" s="239">
        <v>0</v>
      </c>
      <c r="H154" s="239">
        <v>0</v>
      </c>
      <c r="I154" s="239">
        <v>0</v>
      </c>
      <c r="J154" s="239">
        <v>-4889809</v>
      </c>
      <c r="K154" s="239">
        <v>0</v>
      </c>
      <c r="L154" s="239">
        <v>-4889809</v>
      </c>
      <c r="M154" s="239">
        <v>1242261</v>
      </c>
      <c r="N154" s="239">
        <v>1242261</v>
      </c>
      <c r="O154" s="239">
        <v>0</v>
      </c>
      <c r="P154" s="239">
        <v>0</v>
      </c>
      <c r="Q154" s="239">
        <v>0</v>
      </c>
      <c r="R154" s="239">
        <v>0</v>
      </c>
      <c r="S154" s="239">
        <v>53464</v>
      </c>
      <c r="T154" s="239">
        <v>0</v>
      </c>
      <c r="U154" s="239">
        <v>0</v>
      </c>
      <c r="V154" s="239">
        <v>0</v>
      </c>
      <c r="W154" s="239">
        <v>53464</v>
      </c>
      <c r="X154" s="239">
        <v>0</v>
      </c>
      <c r="Y154" s="239">
        <v>260921.41041666668</v>
      </c>
      <c r="Z154" s="239">
        <v>260921.41041666668</v>
      </c>
      <c r="AA154" s="239">
        <v>0</v>
      </c>
      <c r="AB154" s="239">
        <v>0</v>
      </c>
      <c r="AC154" s="239">
        <v>210000</v>
      </c>
      <c r="AD154" s="239">
        <v>210000</v>
      </c>
      <c r="AE154" s="239">
        <v>0</v>
      </c>
      <c r="AF154" s="239">
        <v>0</v>
      </c>
      <c r="AG154" s="239">
        <v>50921</v>
      </c>
      <c r="AH154" s="239">
        <v>50921</v>
      </c>
      <c r="AI154" s="239">
        <v>0</v>
      </c>
      <c r="AJ154" s="239">
        <v>0</v>
      </c>
      <c r="AK154" s="239">
        <v>4238444.1451041671</v>
      </c>
      <c r="AL154" s="239">
        <v>0</v>
      </c>
      <c r="AM154" s="239">
        <v>86498.86010416667</v>
      </c>
      <c r="AN154" s="239">
        <v>4096481</v>
      </c>
      <c r="AO154" s="239">
        <v>0</v>
      </c>
      <c r="AP154" s="239">
        <v>83602</v>
      </c>
      <c r="AQ154" s="239">
        <v>141963</v>
      </c>
      <c r="AR154" s="239">
        <v>0</v>
      </c>
      <c r="AS154" s="239">
        <v>2897</v>
      </c>
      <c r="AT154" s="239">
        <v>3970.7037708333332</v>
      </c>
      <c r="AU154" s="239">
        <v>0</v>
      </c>
      <c r="AV154" s="239">
        <v>81.03477083333334</v>
      </c>
      <c r="AW154" s="239">
        <v>9944</v>
      </c>
      <c r="AX154" s="239">
        <v>0</v>
      </c>
      <c r="AY154" s="239">
        <v>202</v>
      </c>
      <c r="AZ154" s="239">
        <v>-5973</v>
      </c>
      <c r="BA154" s="239">
        <v>0</v>
      </c>
      <c r="BB154" s="239">
        <v>-121</v>
      </c>
      <c r="BC154" s="239">
        <v>23896.805916666668</v>
      </c>
      <c r="BD154" s="239">
        <v>0</v>
      </c>
      <c r="BE154" s="239">
        <v>487.6899166666667</v>
      </c>
      <c r="BF154" s="239">
        <v>24857</v>
      </c>
      <c r="BG154" s="239">
        <v>0</v>
      </c>
      <c r="BH154" s="239">
        <v>508</v>
      </c>
      <c r="BI154" s="239">
        <v>-960</v>
      </c>
      <c r="BJ154" s="239">
        <v>0</v>
      </c>
      <c r="BK154" s="239">
        <v>-20</v>
      </c>
      <c r="BL154" s="239">
        <v>138027.07202083332</v>
      </c>
      <c r="BM154" s="239">
        <v>0</v>
      </c>
      <c r="BN154" s="239">
        <v>2816.879020833333</v>
      </c>
      <c r="BO154" s="239">
        <v>24857</v>
      </c>
      <c r="BP154" s="239">
        <v>0</v>
      </c>
      <c r="BQ154" s="239">
        <v>508</v>
      </c>
      <c r="BR154" s="239">
        <v>113170</v>
      </c>
      <c r="BS154" s="239">
        <v>0</v>
      </c>
      <c r="BT154" s="239">
        <v>2309</v>
      </c>
      <c r="BU154" s="239">
        <v>2213478.6853958336</v>
      </c>
      <c r="BV154" s="239">
        <v>0</v>
      </c>
      <c r="BW154" s="239">
        <v>45173.034395833332</v>
      </c>
      <c r="BX154" s="239">
        <v>2286872</v>
      </c>
      <c r="BY154" s="239">
        <v>0</v>
      </c>
      <c r="BZ154" s="239">
        <v>46670</v>
      </c>
      <c r="CA154" s="239">
        <v>-73393</v>
      </c>
      <c r="CB154" s="239">
        <v>0</v>
      </c>
      <c r="CC154" s="239">
        <v>-1497</v>
      </c>
      <c r="CD154" s="239">
        <v>474970.6434375</v>
      </c>
      <c r="CE154" s="239">
        <v>0</v>
      </c>
      <c r="CF154" s="239">
        <v>9693.278437500001</v>
      </c>
      <c r="CG154" s="239">
        <v>586864</v>
      </c>
      <c r="CH154" s="239">
        <v>0</v>
      </c>
      <c r="CI154" s="239">
        <v>0</v>
      </c>
      <c r="CJ154" s="239">
        <v>-111893</v>
      </c>
      <c r="CK154" s="239">
        <v>0</v>
      </c>
      <c r="CL154" s="239">
        <v>9693</v>
      </c>
      <c r="CM154" s="239">
        <v>35713.962374999996</v>
      </c>
      <c r="CN154" s="239">
        <v>0</v>
      </c>
      <c r="CO154" s="239">
        <v>728.85637499999996</v>
      </c>
      <c r="CP154" s="239">
        <v>0</v>
      </c>
      <c r="CQ154" s="239">
        <v>0</v>
      </c>
      <c r="CR154" s="239">
        <v>0</v>
      </c>
      <c r="CS154" s="239">
        <v>35714</v>
      </c>
      <c r="CT154" s="239">
        <v>0</v>
      </c>
      <c r="CU154" s="239">
        <v>729</v>
      </c>
      <c r="CV154" s="239">
        <v>2529976.1762916665</v>
      </c>
      <c r="CW154" s="239">
        <v>0</v>
      </c>
      <c r="CX154" s="239">
        <v>51616.254958333331</v>
      </c>
      <c r="CY154" s="239">
        <v>2727901</v>
      </c>
      <c r="CZ154" s="239">
        <v>0</v>
      </c>
      <c r="DA154" s="239">
        <v>55609</v>
      </c>
      <c r="DB154" s="239">
        <v>-197925</v>
      </c>
      <c r="DC154" s="239">
        <v>0</v>
      </c>
      <c r="DD154" s="239">
        <v>-3993</v>
      </c>
      <c r="DE154" s="214">
        <v>0.5</v>
      </c>
      <c r="DF154" s="214">
        <v>0.49</v>
      </c>
      <c r="DG154" s="214">
        <v>0</v>
      </c>
      <c r="DH154" s="214">
        <v>0.01</v>
      </c>
      <c r="DI154" s="214" t="s">
        <v>1296</v>
      </c>
    </row>
    <row r="155" spans="2:113" s="214" customFormat="1" x14ac:dyDescent="0.2">
      <c r="B155" s="610" t="s">
        <v>393</v>
      </c>
      <c r="C155" s="610" t="s">
        <v>392</v>
      </c>
      <c r="D155" s="239">
        <v>-653119</v>
      </c>
      <c r="E155" s="239">
        <v>0</v>
      </c>
      <c r="F155" s="239">
        <v>-653119</v>
      </c>
      <c r="G155" s="239">
        <v>0</v>
      </c>
      <c r="H155" s="239">
        <v>0</v>
      </c>
      <c r="I155" s="239">
        <v>0</v>
      </c>
      <c r="J155" s="239">
        <v>-653119</v>
      </c>
      <c r="K155" s="239">
        <v>0</v>
      </c>
      <c r="L155" s="239">
        <v>-653119</v>
      </c>
      <c r="M155" s="239">
        <v>492367</v>
      </c>
      <c r="N155" s="239">
        <v>492367</v>
      </c>
      <c r="O155" s="239">
        <v>0</v>
      </c>
      <c r="P155" s="239">
        <v>0</v>
      </c>
      <c r="Q155" s="239">
        <v>0</v>
      </c>
      <c r="R155" s="239">
        <v>0</v>
      </c>
      <c r="S155" s="239">
        <v>0</v>
      </c>
      <c r="T155" s="239">
        <v>0</v>
      </c>
      <c r="U155" s="239">
        <v>0</v>
      </c>
      <c r="V155" s="239">
        <v>0</v>
      </c>
      <c r="W155" s="239">
        <v>0</v>
      </c>
      <c r="X155" s="239">
        <v>0</v>
      </c>
      <c r="Y155" s="239">
        <v>0</v>
      </c>
      <c r="Z155" s="239">
        <v>0</v>
      </c>
      <c r="AA155" s="239">
        <v>0</v>
      </c>
      <c r="AB155" s="239">
        <v>0</v>
      </c>
      <c r="AC155" s="239">
        <v>0</v>
      </c>
      <c r="AD155" s="239">
        <v>0</v>
      </c>
      <c r="AE155" s="239">
        <v>0</v>
      </c>
      <c r="AF155" s="239">
        <v>0</v>
      </c>
      <c r="AG155" s="239">
        <v>0</v>
      </c>
      <c r="AH155" s="239">
        <v>0</v>
      </c>
      <c r="AI155" s="239">
        <v>0</v>
      </c>
      <c r="AJ155" s="239">
        <v>0</v>
      </c>
      <c r="AK155" s="239">
        <v>2197084.0586770833</v>
      </c>
      <c r="AL155" s="239">
        <v>0</v>
      </c>
      <c r="AM155" s="239">
        <v>44838.450177083338</v>
      </c>
      <c r="AN155" s="239">
        <v>2093443</v>
      </c>
      <c r="AO155" s="239">
        <v>0</v>
      </c>
      <c r="AP155" s="239">
        <v>42724</v>
      </c>
      <c r="AQ155" s="239">
        <v>103641</v>
      </c>
      <c r="AR155" s="239">
        <v>0</v>
      </c>
      <c r="AS155" s="239">
        <v>2114</v>
      </c>
      <c r="AT155" s="239">
        <v>31170.546604166666</v>
      </c>
      <c r="AU155" s="239">
        <v>0</v>
      </c>
      <c r="AV155" s="239">
        <v>636.13360416666671</v>
      </c>
      <c r="AW155" s="239">
        <v>15902</v>
      </c>
      <c r="AX155" s="239">
        <v>0</v>
      </c>
      <c r="AY155" s="239">
        <v>324</v>
      </c>
      <c r="AZ155" s="239">
        <v>15269</v>
      </c>
      <c r="BA155" s="239">
        <v>0</v>
      </c>
      <c r="BB155" s="239">
        <v>312</v>
      </c>
      <c r="BC155" s="239">
        <v>1287.6077083333332</v>
      </c>
      <c r="BD155" s="239">
        <v>0</v>
      </c>
      <c r="BE155" s="239">
        <v>26.277708333333337</v>
      </c>
      <c r="BF155" s="239">
        <v>40613</v>
      </c>
      <c r="BG155" s="239">
        <v>0</v>
      </c>
      <c r="BH155" s="239">
        <v>828</v>
      </c>
      <c r="BI155" s="239">
        <v>-39325</v>
      </c>
      <c r="BJ155" s="239">
        <v>0</v>
      </c>
      <c r="BK155" s="239">
        <v>-802</v>
      </c>
      <c r="BL155" s="239">
        <v>59885.689937499999</v>
      </c>
      <c r="BM155" s="239">
        <v>0</v>
      </c>
      <c r="BN155" s="239">
        <v>1222.1569375000001</v>
      </c>
      <c r="BO155" s="239">
        <v>64207</v>
      </c>
      <c r="BP155" s="239">
        <v>0</v>
      </c>
      <c r="BQ155" s="239">
        <v>1310</v>
      </c>
      <c r="BR155" s="239">
        <v>-4321</v>
      </c>
      <c r="BS155" s="239">
        <v>0</v>
      </c>
      <c r="BT155" s="239">
        <v>-88</v>
      </c>
      <c r="BU155" s="239">
        <v>953318.39852083323</v>
      </c>
      <c r="BV155" s="239">
        <v>0</v>
      </c>
      <c r="BW155" s="239">
        <v>19455.477520833334</v>
      </c>
      <c r="BX155" s="239">
        <v>947823</v>
      </c>
      <c r="BY155" s="239">
        <v>0</v>
      </c>
      <c r="BZ155" s="239">
        <v>19344</v>
      </c>
      <c r="CA155" s="239">
        <v>5495</v>
      </c>
      <c r="CB155" s="239">
        <v>0</v>
      </c>
      <c r="CC155" s="239">
        <v>111</v>
      </c>
      <c r="CD155" s="239">
        <v>0</v>
      </c>
      <c r="CE155" s="239">
        <v>0</v>
      </c>
      <c r="CF155" s="239">
        <v>0</v>
      </c>
      <c r="CG155" s="239">
        <v>0</v>
      </c>
      <c r="CH155" s="239">
        <v>0</v>
      </c>
      <c r="CI155" s="239">
        <v>0</v>
      </c>
      <c r="CJ155" s="239">
        <v>0</v>
      </c>
      <c r="CK155" s="239">
        <v>0</v>
      </c>
      <c r="CL155" s="239">
        <v>0</v>
      </c>
      <c r="CM155" s="239">
        <v>489.68864583333334</v>
      </c>
      <c r="CN155" s="239">
        <v>0</v>
      </c>
      <c r="CO155" s="239">
        <v>9.9936458333333338</v>
      </c>
      <c r="CP155" s="239">
        <v>0</v>
      </c>
      <c r="CQ155" s="239">
        <v>0</v>
      </c>
      <c r="CR155" s="239">
        <v>0</v>
      </c>
      <c r="CS155" s="239">
        <v>490</v>
      </c>
      <c r="CT155" s="239">
        <v>0</v>
      </c>
      <c r="CU155" s="239">
        <v>10</v>
      </c>
      <c r="CV155" s="239">
        <v>722920.28418750002</v>
      </c>
      <c r="CW155" s="239">
        <v>0</v>
      </c>
      <c r="CX155" s="239">
        <v>14753.4751875</v>
      </c>
      <c r="CY155" s="239">
        <v>736317</v>
      </c>
      <c r="CZ155" s="239">
        <v>0</v>
      </c>
      <c r="DA155" s="239">
        <v>15027</v>
      </c>
      <c r="DB155" s="239">
        <v>-13397</v>
      </c>
      <c r="DC155" s="239">
        <v>0</v>
      </c>
      <c r="DD155" s="239">
        <v>-274</v>
      </c>
      <c r="DE155" s="214">
        <v>0.5</v>
      </c>
      <c r="DF155" s="214">
        <v>0.49</v>
      </c>
      <c r="DG155" s="214">
        <v>0</v>
      </c>
      <c r="DH155" s="214">
        <v>0.01</v>
      </c>
      <c r="DI155" s="214" t="s">
        <v>748</v>
      </c>
    </row>
    <row r="156" spans="2:113" s="214" customFormat="1" x14ac:dyDescent="0.2">
      <c r="B156" s="610" t="s">
        <v>395</v>
      </c>
      <c r="C156" s="610" t="s">
        <v>394</v>
      </c>
      <c r="D156" s="239">
        <v>-183974</v>
      </c>
      <c r="E156" s="239">
        <v>0</v>
      </c>
      <c r="F156" s="239">
        <v>-183974</v>
      </c>
      <c r="G156" s="239">
        <v>0</v>
      </c>
      <c r="H156" s="239">
        <v>0</v>
      </c>
      <c r="I156" s="239">
        <v>0</v>
      </c>
      <c r="J156" s="239">
        <v>-183974</v>
      </c>
      <c r="K156" s="239">
        <v>0</v>
      </c>
      <c r="L156" s="239">
        <v>-183974</v>
      </c>
      <c r="M156" s="239">
        <v>130673</v>
      </c>
      <c r="N156" s="239">
        <v>130673</v>
      </c>
      <c r="O156" s="239">
        <v>0</v>
      </c>
      <c r="P156" s="239">
        <v>0</v>
      </c>
      <c r="Q156" s="239">
        <v>0</v>
      </c>
      <c r="R156" s="239">
        <v>0</v>
      </c>
      <c r="S156" s="239">
        <v>0</v>
      </c>
      <c r="T156" s="239">
        <v>0</v>
      </c>
      <c r="U156" s="239">
        <v>0</v>
      </c>
      <c r="V156" s="239">
        <v>0</v>
      </c>
      <c r="W156" s="239">
        <v>0</v>
      </c>
      <c r="X156" s="239">
        <v>0</v>
      </c>
      <c r="Y156" s="239">
        <v>0</v>
      </c>
      <c r="Z156" s="239">
        <v>0</v>
      </c>
      <c r="AA156" s="239">
        <v>0</v>
      </c>
      <c r="AB156" s="239">
        <v>0</v>
      </c>
      <c r="AC156" s="239">
        <v>0</v>
      </c>
      <c r="AD156" s="239">
        <v>0</v>
      </c>
      <c r="AE156" s="239">
        <v>0</v>
      </c>
      <c r="AF156" s="239">
        <v>0</v>
      </c>
      <c r="AG156" s="239">
        <v>0</v>
      </c>
      <c r="AH156" s="239">
        <v>0</v>
      </c>
      <c r="AI156" s="239">
        <v>0</v>
      </c>
      <c r="AJ156" s="239">
        <v>0</v>
      </c>
      <c r="AK156" s="239">
        <v>515204.60500000004</v>
      </c>
      <c r="AL156" s="239">
        <v>115921.036125</v>
      </c>
      <c r="AM156" s="239">
        <v>12880.115125</v>
      </c>
      <c r="AN156" s="239">
        <v>480235</v>
      </c>
      <c r="AO156" s="239">
        <v>108052</v>
      </c>
      <c r="AP156" s="239">
        <v>12006</v>
      </c>
      <c r="AQ156" s="239">
        <v>34970</v>
      </c>
      <c r="AR156" s="239">
        <v>7869</v>
      </c>
      <c r="AS156" s="239">
        <v>874</v>
      </c>
      <c r="AT156" s="239">
        <v>0</v>
      </c>
      <c r="AU156" s="239">
        <v>0</v>
      </c>
      <c r="AV156" s="239">
        <v>0</v>
      </c>
      <c r="AW156" s="239">
        <v>0</v>
      </c>
      <c r="AX156" s="239">
        <v>0</v>
      </c>
      <c r="AY156" s="239">
        <v>0</v>
      </c>
      <c r="AZ156" s="239">
        <v>0</v>
      </c>
      <c r="BA156" s="239">
        <v>0</v>
      </c>
      <c r="BB156" s="239">
        <v>0</v>
      </c>
      <c r="BC156" s="239">
        <v>0</v>
      </c>
      <c r="BD156" s="239">
        <v>0</v>
      </c>
      <c r="BE156" s="239">
        <v>0</v>
      </c>
      <c r="BF156" s="239">
        <v>0</v>
      </c>
      <c r="BG156" s="239">
        <v>0</v>
      </c>
      <c r="BH156" s="239">
        <v>0</v>
      </c>
      <c r="BI156" s="239">
        <v>0</v>
      </c>
      <c r="BJ156" s="239">
        <v>0</v>
      </c>
      <c r="BK156" s="239">
        <v>0</v>
      </c>
      <c r="BL156" s="239">
        <v>1073.835</v>
      </c>
      <c r="BM156" s="239">
        <v>241.612875</v>
      </c>
      <c r="BN156" s="239">
        <v>26.845875000000003</v>
      </c>
      <c r="BO156" s="239">
        <v>0</v>
      </c>
      <c r="BP156" s="239">
        <v>0</v>
      </c>
      <c r="BQ156" s="239">
        <v>0</v>
      </c>
      <c r="BR156" s="239">
        <v>1074</v>
      </c>
      <c r="BS156" s="239">
        <v>242</v>
      </c>
      <c r="BT156" s="239">
        <v>27</v>
      </c>
      <c r="BU156" s="239">
        <v>281735.58749999997</v>
      </c>
      <c r="BV156" s="239">
        <v>63390.507187499992</v>
      </c>
      <c r="BW156" s="239">
        <v>7043.3896875</v>
      </c>
      <c r="BX156" s="239">
        <v>285871</v>
      </c>
      <c r="BY156" s="239">
        <v>64320</v>
      </c>
      <c r="BZ156" s="239">
        <v>7146</v>
      </c>
      <c r="CA156" s="239">
        <v>-4135</v>
      </c>
      <c r="CB156" s="239">
        <v>-929</v>
      </c>
      <c r="CC156" s="239">
        <v>-103</v>
      </c>
      <c r="CD156" s="239">
        <v>0</v>
      </c>
      <c r="CE156" s="239">
        <v>0</v>
      </c>
      <c r="CF156" s="239">
        <v>0</v>
      </c>
      <c r="CG156" s="239">
        <v>0</v>
      </c>
      <c r="CH156" s="239">
        <v>0</v>
      </c>
      <c r="CI156" s="239">
        <v>0</v>
      </c>
      <c r="CJ156" s="239">
        <v>0</v>
      </c>
      <c r="CK156" s="239">
        <v>0</v>
      </c>
      <c r="CL156" s="239">
        <v>0</v>
      </c>
      <c r="CM156" s="239">
        <v>6472.6358333333337</v>
      </c>
      <c r="CN156" s="239">
        <v>1456.3430624999999</v>
      </c>
      <c r="CO156" s="239">
        <v>161.81589583333331</v>
      </c>
      <c r="CP156" s="239">
        <v>0</v>
      </c>
      <c r="CQ156" s="239">
        <v>0</v>
      </c>
      <c r="CR156" s="239">
        <v>0</v>
      </c>
      <c r="CS156" s="239">
        <v>6473</v>
      </c>
      <c r="CT156" s="239">
        <v>1456</v>
      </c>
      <c r="CU156" s="239">
        <v>162</v>
      </c>
      <c r="CV156" s="239">
        <v>138075.035</v>
      </c>
      <c r="CW156" s="239">
        <v>31066.882875000003</v>
      </c>
      <c r="CX156" s="239">
        <v>3451.8758749999997</v>
      </c>
      <c r="CY156" s="239">
        <v>146219</v>
      </c>
      <c r="CZ156" s="239">
        <v>32899</v>
      </c>
      <c r="DA156" s="239">
        <v>3655</v>
      </c>
      <c r="DB156" s="239">
        <v>-8144</v>
      </c>
      <c r="DC156" s="239">
        <v>-1832</v>
      </c>
      <c r="DD156" s="239">
        <v>-203</v>
      </c>
      <c r="DE156" s="214">
        <v>0.5</v>
      </c>
      <c r="DF156" s="214">
        <v>0.4</v>
      </c>
      <c r="DG156" s="214">
        <v>0.09</v>
      </c>
      <c r="DH156" s="214">
        <v>0.01</v>
      </c>
      <c r="DI156" s="214" t="s">
        <v>1294</v>
      </c>
    </row>
    <row r="157" spans="2:113" s="214" customFormat="1" x14ac:dyDescent="0.2">
      <c r="B157" s="610" t="s">
        <v>397</v>
      </c>
      <c r="C157" s="610" t="s">
        <v>396</v>
      </c>
      <c r="D157" s="239">
        <v>301791</v>
      </c>
      <c r="E157" s="239">
        <v>0</v>
      </c>
      <c r="F157" s="239">
        <v>301791</v>
      </c>
      <c r="G157" s="239">
        <v>0</v>
      </c>
      <c r="H157" s="239">
        <v>0</v>
      </c>
      <c r="I157" s="239">
        <v>0</v>
      </c>
      <c r="J157" s="239">
        <v>301791</v>
      </c>
      <c r="K157" s="239">
        <v>0</v>
      </c>
      <c r="L157" s="239">
        <v>301791</v>
      </c>
      <c r="M157" s="239">
        <v>306899</v>
      </c>
      <c r="N157" s="239">
        <v>310399</v>
      </c>
      <c r="O157" s="239">
        <v>-3500</v>
      </c>
      <c r="P157" s="239">
        <v>0</v>
      </c>
      <c r="Q157" s="239">
        <v>0</v>
      </c>
      <c r="R157" s="239">
        <v>0</v>
      </c>
      <c r="S157" s="239">
        <v>0</v>
      </c>
      <c r="T157" s="239">
        <v>0</v>
      </c>
      <c r="U157" s="239">
        <v>0</v>
      </c>
      <c r="V157" s="239">
        <v>0</v>
      </c>
      <c r="W157" s="239">
        <v>0</v>
      </c>
      <c r="X157" s="239">
        <v>0</v>
      </c>
      <c r="Y157" s="239">
        <v>0</v>
      </c>
      <c r="Z157" s="239">
        <v>0</v>
      </c>
      <c r="AA157" s="239">
        <v>0</v>
      </c>
      <c r="AB157" s="239">
        <v>0</v>
      </c>
      <c r="AC157" s="239">
        <v>0</v>
      </c>
      <c r="AD157" s="239">
        <v>0</v>
      </c>
      <c r="AE157" s="239">
        <v>0</v>
      </c>
      <c r="AF157" s="239">
        <v>0</v>
      </c>
      <c r="AG157" s="239">
        <v>0</v>
      </c>
      <c r="AH157" s="239">
        <v>0</v>
      </c>
      <c r="AI157" s="239">
        <v>0</v>
      </c>
      <c r="AJ157" s="239">
        <v>0</v>
      </c>
      <c r="AK157" s="239">
        <v>754735.70718749997</v>
      </c>
      <c r="AL157" s="239">
        <v>503157.13812500006</v>
      </c>
      <c r="AM157" s="239">
        <v>0</v>
      </c>
      <c r="AN157" s="239">
        <v>728640</v>
      </c>
      <c r="AO157" s="239">
        <v>485760</v>
      </c>
      <c r="AP157" s="239">
        <v>0</v>
      </c>
      <c r="AQ157" s="239">
        <v>26096</v>
      </c>
      <c r="AR157" s="239">
        <v>17397</v>
      </c>
      <c r="AS157" s="239">
        <v>0</v>
      </c>
      <c r="AT157" s="239">
        <v>0</v>
      </c>
      <c r="AU157" s="239">
        <v>0</v>
      </c>
      <c r="AV157" s="239">
        <v>0</v>
      </c>
      <c r="AW157" s="239">
        <v>0</v>
      </c>
      <c r="AX157" s="239">
        <v>0</v>
      </c>
      <c r="AY157" s="239">
        <v>0</v>
      </c>
      <c r="AZ157" s="239">
        <v>0</v>
      </c>
      <c r="BA157" s="239">
        <v>0</v>
      </c>
      <c r="BB157" s="239">
        <v>0</v>
      </c>
      <c r="BC157" s="239">
        <v>3527.0974999999999</v>
      </c>
      <c r="BD157" s="239">
        <v>2351.3983333333335</v>
      </c>
      <c r="BE157" s="239">
        <v>0</v>
      </c>
      <c r="BF157" s="239">
        <v>0</v>
      </c>
      <c r="BG157" s="239">
        <v>0</v>
      </c>
      <c r="BH157" s="239">
        <v>0</v>
      </c>
      <c r="BI157" s="239">
        <v>3527</v>
      </c>
      <c r="BJ157" s="239">
        <v>2351</v>
      </c>
      <c r="BK157" s="239">
        <v>0</v>
      </c>
      <c r="BL157" s="239">
        <v>8945.5812499999993</v>
      </c>
      <c r="BM157" s="239">
        <v>5963.7208333333338</v>
      </c>
      <c r="BN157" s="239">
        <v>0</v>
      </c>
      <c r="BO157" s="239">
        <v>3602</v>
      </c>
      <c r="BP157" s="239">
        <v>2400</v>
      </c>
      <c r="BQ157" s="239">
        <v>0</v>
      </c>
      <c r="BR157" s="239">
        <v>5344</v>
      </c>
      <c r="BS157" s="239">
        <v>3564</v>
      </c>
      <c r="BT157" s="239">
        <v>0</v>
      </c>
      <c r="BU157" s="239">
        <v>435755.12062500004</v>
      </c>
      <c r="BV157" s="239">
        <v>290503.41375000001</v>
      </c>
      <c r="BW157" s="239">
        <v>0</v>
      </c>
      <c r="BX157" s="239">
        <v>324194</v>
      </c>
      <c r="BY157" s="239">
        <v>216130</v>
      </c>
      <c r="BZ157" s="239">
        <v>0</v>
      </c>
      <c r="CA157" s="239">
        <v>111561</v>
      </c>
      <c r="CB157" s="239">
        <v>74373</v>
      </c>
      <c r="CC157" s="239">
        <v>0</v>
      </c>
      <c r="CD157" s="239">
        <v>0</v>
      </c>
      <c r="CE157" s="239">
        <v>0</v>
      </c>
      <c r="CF157" s="239">
        <v>0</v>
      </c>
      <c r="CG157" s="239">
        <v>0</v>
      </c>
      <c r="CH157" s="239">
        <v>0</v>
      </c>
      <c r="CI157" s="239">
        <v>0</v>
      </c>
      <c r="CJ157" s="239">
        <v>0</v>
      </c>
      <c r="CK157" s="239">
        <v>0</v>
      </c>
      <c r="CL157" s="239">
        <v>0</v>
      </c>
      <c r="CM157" s="239">
        <v>82.181249999999991</v>
      </c>
      <c r="CN157" s="239">
        <v>54.787500000000001</v>
      </c>
      <c r="CO157" s="239">
        <v>0</v>
      </c>
      <c r="CP157" s="239">
        <v>0</v>
      </c>
      <c r="CQ157" s="239">
        <v>0</v>
      </c>
      <c r="CR157" s="239">
        <v>0</v>
      </c>
      <c r="CS157" s="239">
        <v>82</v>
      </c>
      <c r="CT157" s="239">
        <v>55</v>
      </c>
      <c r="CU157" s="239">
        <v>0</v>
      </c>
      <c r="CV157" s="239">
        <v>224234.95499999999</v>
      </c>
      <c r="CW157" s="239">
        <v>149489.97000000003</v>
      </c>
      <c r="CX157" s="239">
        <v>0</v>
      </c>
      <c r="CY157" s="239">
        <v>232894</v>
      </c>
      <c r="CZ157" s="239">
        <v>155263</v>
      </c>
      <c r="DA157" s="239">
        <v>0</v>
      </c>
      <c r="DB157" s="239">
        <v>-8659</v>
      </c>
      <c r="DC157" s="239">
        <v>-5773</v>
      </c>
      <c r="DD157" s="239">
        <v>0</v>
      </c>
      <c r="DE157" s="214">
        <v>0.5</v>
      </c>
      <c r="DF157" s="214">
        <v>0.3</v>
      </c>
      <c r="DG157" s="214">
        <v>0.2</v>
      </c>
      <c r="DH157" s="214">
        <v>0</v>
      </c>
      <c r="DI157" s="214" t="s">
        <v>1297</v>
      </c>
    </row>
    <row r="158" spans="2:113" s="214" customFormat="1" x14ac:dyDescent="0.2">
      <c r="B158" s="610" t="s">
        <v>399</v>
      </c>
      <c r="C158" s="610" t="s">
        <v>398</v>
      </c>
      <c r="D158" s="239">
        <v>-232162</v>
      </c>
      <c r="E158" s="239">
        <v>0</v>
      </c>
      <c r="F158" s="239">
        <v>-232162</v>
      </c>
      <c r="G158" s="239">
        <v>0</v>
      </c>
      <c r="H158" s="239">
        <v>0</v>
      </c>
      <c r="I158" s="239">
        <v>0</v>
      </c>
      <c r="J158" s="239">
        <v>-232162</v>
      </c>
      <c r="K158" s="239">
        <v>0</v>
      </c>
      <c r="L158" s="239">
        <v>-232162</v>
      </c>
      <c r="M158" s="239">
        <v>124275</v>
      </c>
      <c r="N158" s="239">
        <v>124275</v>
      </c>
      <c r="O158" s="239">
        <v>0</v>
      </c>
      <c r="P158" s="239">
        <v>0</v>
      </c>
      <c r="Q158" s="239">
        <v>0</v>
      </c>
      <c r="R158" s="239">
        <v>0</v>
      </c>
      <c r="S158" s="239">
        <v>0</v>
      </c>
      <c r="T158" s="239">
        <v>0</v>
      </c>
      <c r="U158" s="239">
        <v>0</v>
      </c>
      <c r="V158" s="239">
        <v>0</v>
      </c>
      <c r="W158" s="239">
        <v>0</v>
      </c>
      <c r="X158" s="239">
        <v>0</v>
      </c>
      <c r="Y158" s="239">
        <v>0</v>
      </c>
      <c r="Z158" s="239">
        <v>0</v>
      </c>
      <c r="AA158" s="239">
        <v>0</v>
      </c>
      <c r="AB158" s="239">
        <v>0</v>
      </c>
      <c r="AC158" s="239">
        <v>0</v>
      </c>
      <c r="AD158" s="239">
        <v>0</v>
      </c>
      <c r="AE158" s="239">
        <v>0</v>
      </c>
      <c r="AF158" s="239">
        <v>0</v>
      </c>
      <c r="AG158" s="239">
        <v>0</v>
      </c>
      <c r="AH158" s="239">
        <v>0</v>
      </c>
      <c r="AI158" s="239">
        <v>0</v>
      </c>
      <c r="AJ158" s="239">
        <v>0</v>
      </c>
      <c r="AK158" s="239">
        <v>396943.35125000001</v>
      </c>
      <c r="AL158" s="239">
        <v>89312.254031249991</v>
      </c>
      <c r="AM158" s="239">
        <v>9923.5837812499994</v>
      </c>
      <c r="AN158" s="239">
        <v>368275</v>
      </c>
      <c r="AO158" s="239">
        <v>82862</v>
      </c>
      <c r="AP158" s="239">
        <v>9206</v>
      </c>
      <c r="AQ158" s="239">
        <v>28668</v>
      </c>
      <c r="AR158" s="239">
        <v>6450</v>
      </c>
      <c r="AS158" s="239">
        <v>718</v>
      </c>
      <c r="AT158" s="239">
        <v>-35236.073333333334</v>
      </c>
      <c r="AU158" s="239">
        <v>-7928.1164999999992</v>
      </c>
      <c r="AV158" s="239">
        <v>-880.90183333333334</v>
      </c>
      <c r="AW158" s="239">
        <v>0</v>
      </c>
      <c r="AX158" s="239">
        <v>0</v>
      </c>
      <c r="AY158" s="239">
        <v>0</v>
      </c>
      <c r="AZ158" s="239">
        <v>-35236</v>
      </c>
      <c r="BA158" s="239">
        <v>-7928</v>
      </c>
      <c r="BB158" s="239">
        <v>-881</v>
      </c>
      <c r="BC158" s="239">
        <v>0</v>
      </c>
      <c r="BD158" s="239">
        <v>0</v>
      </c>
      <c r="BE158" s="239">
        <v>0</v>
      </c>
      <c r="BF158" s="239">
        <v>0</v>
      </c>
      <c r="BG158" s="239">
        <v>0</v>
      </c>
      <c r="BH158" s="239">
        <v>0</v>
      </c>
      <c r="BI158" s="239">
        <v>0</v>
      </c>
      <c r="BJ158" s="239">
        <v>0</v>
      </c>
      <c r="BK158" s="239">
        <v>0</v>
      </c>
      <c r="BL158" s="239">
        <v>2226.4016666666666</v>
      </c>
      <c r="BM158" s="239">
        <v>500.94037499999996</v>
      </c>
      <c r="BN158" s="239">
        <v>55.660041666666665</v>
      </c>
      <c r="BO158" s="239">
        <v>3246</v>
      </c>
      <c r="BP158" s="239">
        <v>730</v>
      </c>
      <c r="BQ158" s="239">
        <v>82</v>
      </c>
      <c r="BR158" s="239">
        <v>-1020</v>
      </c>
      <c r="BS158" s="239">
        <v>-229</v>
      </c>
      <c r="BT158" s="239">
        <v>-26</v>
      </c>
      <c r="BU158" s="239">
        <v>244073.03666666665</v>
      </c>
      <c r="BV158" s="239">
        <v>54916.433249999995</v>
      </c>
      <c r="BW158" s="239">
        <v>6101.8259166666676</v>
      </c>
      <c r="BX158" s="239">
        <v>247153</v>
      </c>
      <c r="BY158" s="239">
        <v>55610</v>
      </c>
      <c r="BZ158" s="239">
        <v>6178</v>
      </c>
      <c r="CA158" s="239">
        <v>-3080</v>
      </c>
      <c r="CB158" s="239">
        <v>-694</v>
      </c>
      <c r="CC158" s="239">
        <v>-76</v>
      </c>
      <c r="CD158" s="239">
        <v>0</v>
      </c>
      <c r="CE158" s="239">
        <v>0</v>
      </c>
      <c r="CF158" s="239">
        <v>0</v>
      </c>
      <c r="CG158" s="239">
        <v>0</v>
      </c>
      <c r="CH158" s="239">
        <v>0</v>
      </c>
      <c r="CI158" s="239">
        <v>0</v>
      </c>
      <c r="CJ158" s="239">
        <v>0</v>
      </c>
      <c r="CK158" s="239">
        <v>0</v>
      </c>
      <c r="CL158" s="239">
        <v>0</v>
      </c>
      <c r="CM158" s="239">
        <v>9123.9449999999997</v>
      </c>
      <c r="CN158" s="239">
        <v>2052.8876249999998</v>
      </c>
      <c r="CO158" s="239">
        <v>228.098625</v>
      </c>
      <c r="CP158" s="239">
        <v>0</v>
      </c>
      <c r="CQ158" s="239">
        <v>0</v>
      </c>
      <c r="CR158" s="239">
        <v>0</v>
      </c>
      <c r="CS158" s="239">
        <v>9124</v>
      </c>
      <c r="CT158" s="239">
        <v>2053</v>
      </c>
      <c r="CU158" s="239">
        <v>228</v>
      </c>
      <c r="CV158" s="239">
        <v>198721.88</v>
      </c>
      <c r="CW158" s="239">
        <v>44712.422999999995</v>
      </c>
      <c r="CX158" s="239">
        <v>4968.0470000000005</v>
      </c>
      <c r="CY158" s="239">
        <v>189918</v>
      </c>
      <c r="CZ158" s="239">
        <v>42732</v>
      </c>
      <c r="DA158" s="239">
        <v>4748</v>
      </c>
      <c r="DB158" s="239">
        <v>8804</v>
      </c>
      <c r="DC158" s="239">
        <v>1980</v>
      </c>
      <c r="DD158" s="239">
        <v>220</v>
      </c>
      <c r="DE158" s="214">
        <v>0.5</v>
      </c>
      <c r="DF158" s="214">
        <v>0.4</v>
      </c>
      <c r="DG158" s="214">
        <v>0.09</v>
      </c>
      <c r="DH158" s="214">
        <v>0.01</v>
      </c>
      <c r="DI158" s="214" t="s">
        <v>1294</v>
      </c>
    </row>
    <row r="159" spans="2:113" s="214" customFormat="1" x14ac:dyDescent="0.2">
      <c r="B159" s="610" t="s">
        <v>401</v>
      </c>
      <c r="C159" s="610" t="s">
        <v>400</v>
      </c>
      <c r="D159" s="239">
        <v>6901</v>
      </c>
      <c r="E159" s="239">
        <v>0</v>
      </c>
      <c r="F159" s="239">
        <v>6901</v>
      </c>
      <c r="G159" s="239">
        <v>0</v>
      </c>
      <c r="H159" s="239">
        <v>0</v>
      </c>
      <c r="I159" s="239">
        <v>0</v>
      </c>
      <c r="J159" s="239">
        <v>6901</v>
      </c>
      <c r="K159" s="239">
        <v>0</v>
      </c>
      <c r="L159" s="239">
        <v>6901</v>
      </c>
      <c r="M159" s="239">
        <v>148989</v>
      </c>
      <c r="N159" s="239">
        <v>148989</v>
      </c>
      <c r="O159" s="239">
        <v>0</v>
      </c>
      <c r="P159" s="239">
        <v>0</v>
      </c>
      <c r="Q159" s="239">
        <v>0</v>
      </c>
      <c r="R159" s="239">
        <v>0</v>
      </c>
      <c r="S159" s="239">
        <v>0</v>
      </c>
      <c r="T159" s="239">
        <v>0</v>
      </c>
      <c r="U159" s="239">
        <v>0</v>
      </c>
      <c r="V159" s="239">
        <v>0</v>
      </c>
      <c r="W159" s="239">
        <v>0</v>
      </c>
      <c r="X159" s="239">
        <v>0</v>
      </c>
      <c r="Y159" s="239">
        <v>0</v>
      </c>
      <c r="Z159" s="239">
        <v>0</v>
      </c>
      <c r="AA159" s="239">
        <v>0</v>
      </c>
      <c r="AB159" s="239">
        <v>0</v>
      </c>
      <c r="AC159" s="239">
        <v>0</v>
      </c>
      <c r="AD159" s="239">
        <v>0</v>
      </c>
      <c r="AE159" s="239">
        <v>0</v>
      </c>
      <c r="AF159" s="239">
        <v>0</v>
      </c>
      <c r="AG159" s="239">
        <v>0</v>
      </c>
      <c r="AH159" s="239">
        <v>0</v>
      </c>
      <c r="AI159" s="239">
        <v>0</v>
      </c>
      <c r="AJ159" s="239">
        <v>0</v>
      </c>
      <c r="AK159" s="239">
        <v>390926.26333333337</v>
      </c>
      <c r="AL159" s="239">
        <v>97731.565833333341</v>
      </c>
      <c r="AM159" s="239">
        <v>0</v>
      </c>
      <c r="AN159" s="239">
        <v>373750</v>
      </c>
      <c r="AO159" s="239">
        <v>93438</v>
      </c>
      <c r="AP159" s="239">
        <v>0</v>
      </c>
      <c r="AQ159" s="239">
        <v>17176</v>
      </c>
      <c r="AR159" s="239">
        <v>4294</v>
      </c>
      <c r="AS159" s="239">
        <v>0</v>
      </c>
      <c r="AT159" s="239">
        <v>2496.6866666666665</v>
      </c>
      <c r="AU159" s="239">
        <v>624.17166666666662</v>
      </c>
      <c r="AV159" s="239">
        <v>0</v>
      </c>
      <c r="AW159" s="239">
        <v>2028</v>
      </c>
      <c r="AX159" s="239">
        <v>508</v>
      </c>
      <c r="AY159" s="239">
        <v>0</v>
      </c>
      <c r="AZ159" s="239">
        <v>469</v>
      </c>
      <c r="BA159" s="239">
        <v>116</v>
      </c>
      <c r="BB159" s="239">
        <v>0</v>
      </c>
      <c r="BC159" s="239">
        <v>59588.914166666676</v>
      </c>
      <c r="BD159" s="239">
        <v>14897.228541666669</v>
      </c>
      <c r="BE159" s="239">
        <v>0</v>
      </c>
      <c r="BF159" s="239">
        <v>13460</v>
      </c>
      <c r="BG159" s="239">
        <v>3366</v>
      </c>
      <c r="BH159" s="239">
        <v>0</v>
      </c>
      <c r="BI159" s="239">
        <v>46129</v>
      </c>
      <c r="BJ159" s="239">
        <v>11531</v>
      </c>
      <c r="BK159" s="239">
        <v>0</v>
      </c>
      <c r="BL159" s="239">
        <v>66310.325833333336</v>
      </c>
      <c r="BM159" s="239">
        <v>16577.581458333334</v>
      </c>
      <c r="BN159" s="239">
        <v>0</v>
      </c>
      <c r="BO159" s="239">
        <v>108406</v>
      </c>
      <c r="BP159" s="239">
        <v>27102</v>
      </c>
      <c r="BQ159" s="239">
        <v>0</v>
      </c>
      <c r="BR159" s="239">
        <v>-42096</v>
      </c>
      <c r="BS159" s="239">
        <v>-10524</v>
      </c>
      <c r="BT159" s="239">
        <v>0</v>
      </c>
      <c r="BU159" s="239">
        <v>258477.27916666667</v>
      </c>
      <c r="BV159" s="239">
        <v>64619.319791666669</v>
      </c>
      <c r="BW159" s="239">
        <v>0</v>
      </c>
      <c r="BX159" s="239">
        <v>243918</v>
      </c>
      <c r="BY159" s="239">
        <v>60980</v>
      </c>
      <c r="BZ159" s="239">
        <v>0</v>
      </c>
      <c r="CA159" s="239">
        <v>14559</v>
      </c>
      <c r="CB159" s="239">
        <v>3639</v>
      </c>
      <c r="CC159" s="239">
        <v>0</v>
      </c>
      <c r="CD159" s="239">
        <v>0</v>
      </c>
      <c r="CE159" s="239">
        <v>0</v>
      </c>
      <c r="CF159" s="239">
        <v>0</v>
      </c>
      <c r="CG159" s="239">
        <v>0</v>
      </c>
      <c r="CH159" s="239">
        <v>0</v>
      </c>
      <c r="CI159" s="239">
        <v>0</v>
      </c>
      <c r="CJ159" s="239">
        <v>0</v>
      </c>
      <c r="CK159" s="239">
        <v>0</v>
      </c>
      <c r="CL159" s="239">
        <v>0</v>
      </c>
      <c r="CM159" s="239">
        <v>0</v>
      </c>
      <c r="CN159" s="239">
        <v>0</v>
      </c>
      <c r="CO159" s="239">
        <v>0</v>
      </c>
      <c r="CP159" s="239">
        <v>0</v>
      </c>
      <c r="CQ159" s="239">
        <v>0</v>
      </c>
      <c r="CR159" s="239">
        <v>0</v>
      </c>
      <c r="CS159" s="239">
        <v>0</v>
      </c>
      <c r="CT159" s="239">
        <v>0</v>
      </c>
      <c r="CU159" s="239">
        <v>0</v>
      </c>
      <c r="CV159" s="239">
        <v>228004.45500000002</v>
      </c>
      <c r="CW159" s="239">
        <v>57001.113750000004</v>
      </c>
      <c r="CX159" s="239">
        <v>0</v>
      </c>
      <c r="CY159" s="239">
        <v>246941</v>
      </c>
      <c r="CZ159" s="239">
        <v>61735</v>
      </c>
      <c r="DA159" s="239">
        <v>0</v>
      </c>
      <c r="DB159" s="239">
        <v>-18937</v>
      </c>
      <c r="DC159" s="239">
        <v>-4734</v>
      </c>
      <c r="DD159" s="239">
        <v>0</v>
      </c>
      <c r="DE159" s="214">
        <v>0.5</v>
      </c>
      <c r="DF159" s="214">
        <v>0.4</v>
      </c>
      <c r="DG159" s="214">
        <v>0.1</v>
      </c>
      <c r="DH159" s="214">
        <v>0</v>
      </c>
      <c r="DI159" s="214" t="s">
        <v>1294</v>
      </c>
    </row>
    <row r="160" spans="2:113" s="214" customFormat="1" x14ac:dyDescent="0.2">
      <c r="B160" s="610" t="s">
        <v>403</v>
      </c>
      <c r="C160" s="610" t="s">
        <v>402</v>
      </c>
      <c r="D160" s="239">
        <v>-1164932</v>
      </c>
      <c r="E160" s="239">
        <v>-144976</v>
      </c>
      <c r="F160" s="239">
        <v>-1309908</v>
      </c>
      <c r="G160" s="239">
        <v>0</v>
      </c>
      <c r="H160" s="239">
        <v>0</v>
      </c>
      <c r="I160" s="239">
        <v>0</v>
      </c>
      <c r="J160" s="239">
        <v>-1164932</v>
      </c>
      <c r="K160" s="239">
        <v>-144976</v>
      </c>
      <c r="L160" s="239">
        <v>-1309908</v>
      </c>
      <c r="M160" s="239">
        <v>778592</v>
      </c>
      <c r="N160" s="239">
        <v>778592</v>
      </c>
      <c r="O160" s="239">
        <v>0</v>
      </c>
      <c r="P160" s="239">
        <v>0</v>
      </c>
      <c r="Q160" s="239">
        <v>0</v>
      </c>
      <c r="R160" s="239">
        <v>0</v>
      </c>
      <c r="S160" s="239">
        <v>0</v>
      </c>
      <c r="T160" s="239">
        <v>0</v>
      </c>
      <c r="U160" s="239">
        <v>0</v>
      </c>
      <c r="V160" s="239">
        <v>0</v>
      </c>
      <c r="W160" s="239">
        <v>0</v>
      </c>
      <c r="X160" s="239">
        <v>0</v>
      </c>
      <c r="Y160" s="239">
        <v>253655.97916666669</v>
      </c>
      <c r="Z160" s="239">
        <v>253655.97916666669</v>
      </c>
      <c r="AA160" s="239">
        <v>0</v>
      </c>
      <c r="AB160" s="239">
        <v>0</v>
      </c>
      <c r="AC160" s="239">
        <v>332714</v>
      </c>
      <c r="AD160" s="239">
        <v>332714</v>
      </c>
      <c r="AE160" s="239">
        <v>0</v>
      </c>
      <c r="AF160" s="239">
        <v>0</v>
      </c>
      <c r="AG160" s="239">
        <v>-79058</v>
      </c>
      <c r="AH160" s="239">
        <v>-79058</v>
      </c>
      <c r="AI160" s="239">
        <v>0</v>
      </c>
      <c r="AJ160" s="239">
        <v>0</v>
      </c>
      <c r="AK160" s="239">
        <v>2630502.1119583333</v>
      </c>
      <c r="AL160" s="239">
        <v>0</v>
      </c>
      <c r="AM160" s="239">
        <v>47381.528666666665</v>
      </c>
      <c r="AN160" s="239">
        <v>1913845</v>
      </c>
      <c r="AO160" s="239">
        <v>0</v>
      </c>
      <c r="AP160" s="239">
        <v>39058</v>
      </c>
      <c r="AQ160" s="239">
        <v>716657</v>
      </c>
      <c r="AR160" s="239">
        <v>0</v>
      </c>
      <c r="AS160" s="239">
        <v>8324</v>
      </c>
      <c r="AT160" s="239">
        <v>24783.460437499998</v>
      </c>
      <c r="AU160" s="239">
        <v>0</v>
      </c>
      <c r="AV160" s="239">
        <v>400.01977083333333</v>
      </c>
      <c r="AW160" s="239">
        <v>118382</v>
      </c>
      <c r="AX160" s="239">
        <v>0</v>
      </c>
      <c r="AY160" s="239">
        <v>2416</v>
      </c>
      <c r="AZ160" s="239">
        <v>-93599</v>
      </c>
      <c r="BA160" s="239">
        <v>0</v>
      </c>
      <c r="BB160" s="239">
        <v>-2016</v>
      </c>
      <c r="BC160" s="239">
        <v>11025.203145833333</v>
      </c>
      <c r="BD160" s="239">
        <v>0</v>
      </c>
      <c r="BE160" s="239">
        <v>225.00414583333335</v>
      </c>
      <c r="BF160" s="239">
        <v>25846</v>
      </c>
      <c r="BG160" s="239">
        <v>0</v>
      </c>
      <c r="BH160" s="239">
        <v>528</v>
      </c>
      <c r="BI160" s="239">
        <v>-14821</v>
      </c>
      <c r="BJ160" s="239">
        <v>0</v>
      </c>
      <c r="BK160" s="239">
        <v>-303</v>
      </c>
      <c r="BL160" s="239">
        <v>60529.980791666661</v>
      </c>
      <c r="BM160" s="239">
        <v>0</v>
      </c>
      <c r="BN160" s="239">
        <v>1164.8025416666665</v>
      </c>
      <c r="BO160" s="239">
        <v>29696</v>
      </c>
      <c r="BP160" s="239">
        <v>0</v>
      </c>
      <c r="BQ160" s="239">
        <v>606</v>
      </c>
      <c r="BR160" s="239">
        <v>30834</v>
      </c>
      <c r="BS160" s="239">
        <v>0</v>
      </c>
      <c r="BT160" s="239">
        <v>559</v>
      </c>
      <c r="BU160" s="239">
        <v>1518046.7741666664</v>
      </c>
      <c r="BV160" s="239">
        <v>0</v>
      </c>
      <c r="BW160" s="239">
        <v>26442.27375</v>
      </c>
      <c r="BX160" s="239">
        <v>1364666</v>
      </c>
      <c r="BY160" s="239">
        <v>0</v>
      </c>
      <c r="BZ160" s="239">
        <v>27850</v>
      </c>
      <c r="CA160" s="239">
        <v>153381</v>
      </c>
      <c r="CB160" s="239">
        <v>0</v>
      </c>
      <c r="CC160" s="239">
        <v>-1408</v>
      </c>
      <c r="CD160" s="239">
        <v>0</v>
      </c>
      <c r="CE160" s="239">
        <v>0</v>
      </c>
      <c r="CF160" s="239">
        <v>0</v>
      </c>
      <c r="CG160" s="239">
        <v>0</v>
      </c>
      <c r="CH160" s="239">
        <v>0</v>
      </c>
      <c r="CI160" s="239">
        <v>0</v>
      </c>
      <c r="CJ160" s="239">
        <v>0</v>
      </c>
      <c r="CK160" s="239">
        <v>0</v>
      </c>
      <c r="CL160" s="239">
        <v>0</v>
      </c>
      <c r="CM160" s="239">
        <v>37079.77416666667</v>
      </c>
      <c r="CN160" s="239">
        <v>0</v>
      </c>
      <c r="CO160" s="239">
        <v>518.65499999999997</v>
      </c>
      <c r="CP160" s="239">
        <v>0</v>
      </c>
      <c r="CQ160" s="239">
        <v>0</v>
      </c>
      <c r="CR160" s="239">
        <v>0</v>
      </c>
      <c r="CS160" s="239">
        <v>37080</v>
      </c>
      <c r="CT160" s="239">
        <v>0</v>
      </c>
      <c r="CU160" s="239">
        <v>519</v>
      </c>
      <c r="CV160" s="239">
        <v>1261873.4973541668</v>
      </c>
      <c r="CW160" s="239">
        <v>0</v>
      </c>
      <c r="CX160" s="239">
        <v>25752.520354166671</v>
      </c>
      <c r="CY160" s="239">
        <v>1362876</v>
      </c>
      <c r="CZ160" s="239">
        <v>0</v>
      </c>
      <c r="DA160" s="239">
        <v>27715</v>
      </c>
      <c r="DB160" s="239">
        <v>-101003</v>
      </c>
      <c r="DC160" s="239">
        <v>0</v>
      </c>
      <c r="DD160" s="239">
        <v>-1962</v>
      </c>
      <c r="DE160" s="214">
        <v>0.5</v>
      </c>
      <c r="DF160" s="214">
        <v>0.49</v>
      </c>
      <c r="DG160" s="214">
        <v>0</v>
      </c>
      <c r="DH160" s="214">
        <v>0.01</v>
      </c>
      <c r="DI160" s="214" t="s">
        <v>1296</v>
      </c>
    </row>
    <row r="161" spans="1:113" s="214" customFormat="1" x14ac:dyDescent="0.2">
      <c r="B161" s="610" t="s">
        <v>405</v>
      </c>
      <c r="C161" s="610" t="s">
        <v>404</v>
      </c>
      <c r="D161" s="239">
        <v>-7034</v>
      </c>
      <c r="E161" s="239">
        <v>0</v>
      </c>
      <c r="F161" s="239">
        <v>-7034</v>
      </c>
      <c r="G161" s="239">
        <v>0</v>
      </c>
      <c r="H161" s="239">
        <v>0</v>
      </c>
      <c r="I161" s="239">
        <v>0</v>
      </c>
      <c r="J161" s="239">
        <v>-7034</v>
      </c>
      <c r="K161" s="239">
        <v>0</v>
      </c>
      <c r="L161" s="239">
        <v>-7034</v>
      </c>
      <c r="M161" s="239">
        <v>259664</v>
      </c>
      <c r="N161" s="239">
        <v>259664</v>
      </c>
      <c r="O161" s="239">
        <v>0</v>
      </c>
      <c r="P161" s="239">
        <v>0</v>
      </c>
      <c r="Q161" s="239">
        <v>0</v>
      </c>
      <c r="R161" s="239">
        <v>0</v>
      </c>
      <c r="S161" s="239">
        <v>0</v>
      </c>
      <c r="T161" s="239">
        <v>0</v>
      </c>
      <c r="U161" s="239">
        <v>0</v>
      </c>
      <c r="V161" s="239">
        <v>0</v>
      </c>
      <c r="W161" s="239">
        <v>0</v>
      </c>
      <c r="X161" s="239">
        <v>0</v>
      </c>
      <c r="Y161" s="239">
        <v>0</v>
      </c>
      <c r="Z161" s="239">
        <v>0</v>
      </c>
      <c r="AA161" s="239">
        <v>0</v>
      </c>
      <c r="AB161" s="239">
        <v>0</v>
      </c>
      <c r="AC161" s="239">
        <v>0</v>
      </c>
      <c r="AD161" s="239">
        <v>0</v>
      </c>
      <c r="AE161" s="239">
        <v>0</v>
      </c>
      <c r="AF161" s="239">
        <v>0</v>
      </c>
      <c r="AG161" s="239">
        <v>0</v>
      </c>
      <c r="AH161" s="239">
        <v>0</v>
      </c>
      <c r="AI161" s="239">
        <v>0</v>
      </c>
      <c r="AJ161" s="239">
        <v>0</v>
      </c>
      <c r="AK161" s="239">
        <v>733839.69888541661</v>
      </c>
      <c r="AL161" s="239">
        <v>0</v>
      </c>
      <c r="AM161" s="239">
        <v>14976.320385416668</v>
      </c>
      <c r="AN161" s="239">
        <v>586120</v>
      </c>
      <c r="AO161" s="239">
        <v>0</v>
      </c>
      <c r="AP161" s="239">
        <v>11962</v>
      </c>
      <c r="AQ161" s="239">
        <v>147720</v>
      </c>
      <c r="AR161" s="239">
        <v>0</v>
      </c>
      <c r="AS161" s="239">
        <v>3014</v>
      </c>
      <c r="AT161" s="239">
        <v>1586.3923541666666</v>
      </c>
      <c r="AU161" s="239">
        <v>0</v>
      </c>
      <c r="AV161" s="239">
        <v>32.375354166666668</v>
      </c>
      <c r="AW161" s="239">
        <v>798596</v>
      </c>
      <c r="AX161" s="239">
        <v>0</v>
      </c>
      <c r="AY161" s="239">
        <v>16298</v>
      </c>
      <c r="AZ161" s="239">
        <v>-797010</v>
      </c>
      <c r="BA161" s="239">
        <v>0</v>
      </c>
      <c r="BB161" s="239">
        <v>-16266</v>
      </c>
      <c r="BC161" s="239">
        <v>847.63364583333328</v>
      </c>
      <c r="BD161" s="239">
        <v>0</v>
      </c>
      <c r="BE161" s="239">
        <v>17.298645833333332</v>
      </c>
      <c r="BF161" s="239">
        <v>74918</v>
      </c>
      <c r="BG161" s="239">
        <v>0</v>
      </c>
      <c r="BH161" s="239">
        <v>1528</v>
      </c>
      <c r="BI161" s="239">
        <v>-74070</v>
      </c>
      <c r="BJ161" s="239">
        <v>0</v>
      </c>
      <c r="BK161" s="239">
        <v>-1511</v>
      </c>
      <c r="BL161" s="239">
        <v>5663.982479166667</v>
      </c>
      <c r="BM161" s="239">
        <v>0</v>
      </c>
      <c r="BN161" s="239">
        <v>115.59147916666667</v>
      </c>
      <c r="BO161" s="239">
        <v>1525</v>
      </c>
      <c r="BP161" s="239">
        <v>0</v>
      </c>
      <c r="BQ161" s="239">
        <v>32</v>
      </c>
      <c r="BR161" s="239">
        <v>4139</v>
      </c>
      <c r="BS161" s="239">
        <v>0</v>
      </c>
      <c r="BT161" s="239">
        <v>84</v>
      </c>
      <c r="BU161" s="239">
        <v>576887.03070833336</v>
      </c>
      <c r="BV161" s="239">
        <v>0</v>
      </c>
      <c r="BW161" s="239">
        <v>11773.204708333335</v>
      </c>
      <c r="BX161" s="239">
        <v>706595</v>
      </c>
      <c r="BY161" s="239">
        <v>0</v>
      </c>
      <c r="BZ161" s="239">
        <v>14420</v>
      </c>
      <c r="CA161" s="239">
        <v>-129708</v>
      </c>
      <c r="CB161" s="239">
        <v>0</v>
      </c>
      <c r="CC161" s="239">
        <v>-2647</v>
      </c>
      <c r="CD161" s="239">
        <v>0</v>
      </c>
      <c r="CE161" s="239">
        <v>0</v>
      </c>
      <c r="CF161" s="239">
        <v>0</v>
      </c>
      <c r="CG161" s="239">
        <v>0</v>
      </c>
      <c r="CH161" s="239">
        <v>0</v>
      </c>
      <c r="CI161" s="239">
        <v>0</v>
      </c>
      <c r="CJ161" s="239">
        <v>0</v>
      </c>
      <c r="CK161" s="239">
        <v>0</v>
      </c>
      <c r="CL161" s="239">
        <v>0</v>
      </c>
      <c r="CM161" s="239">
        <v>4852.1433333333334</v>
      </c>
      <c r="CN161" s="239">
        <v>0</v>
      </c>
      <c r="CO161" s="239">
        <v>99.023333333333341</v>
      </c>
      <c r="CP161" s="239">
        <v>0</v>
      </c>
      <c r="CQ161" s="239">
        <v>0</v>
      </c>
      <c r="CR161" s="239">
        <v>0</v>
      </c>
      <c r="CS161" s="239">
        <v>4852</v>
      </c>
      <c r="CT161" s="239">
        <v>0</v>
      </c>
      <c r="CU161" s="239">
        <v>99</v>
      </c>
      <c r="CV161" s="239">
        <v>421828.22427083337</v>
      </c>
      <c r="CW161" s="239">
        <v>0</v>
      </c>
      <c r="CX161" s="239">
        <v>8608.7392708333336</v>
      </c>
      <c r="CY161" s="239">
        <v>474441</v>
      </c>
      <c r="CZ161" s="239">
        <v>0</v>
      </c>
      <c r="DA161" s="239">
        <v>9682</v>
      </c>
      <c r="DB161" s="239">
        <v>-52613</v>
      </c>
      <c r="DC161" s="239">
        <v>0</v>
      </c>
      <c r="DD161" s="239">
        <v>-1073</v>
      </c>
      <c r="DE161" s="214">
        <v>0.5</v>
      </c>
      <c r="DF161" s="214">
        <v>0.49</v>
      </c>
      <c r="DG161" s="214">
        <v>0</v>
      </c>
      <c r="DH161" s="214">
        <v>0.01</v>
      </c>
      <c r="DI161" s="214" t="s">
        <v>748</v>
      </c>
    </row>
    <row r="162" spans="1:113" s="214" customFormat="1" x14ac:dyDescent="0.2">
      <c r="B162" s="610" t="s">
        <v>407</v>
      </c>
      <c r="C162" s="610" t="s">
        <v>406</v>
      </c>
      <c r="D162" s="239">
        <v>-26216</v>
      </c>
      <c r="E162" s="239">
        <v>0</v>
      </c>
      <c r="F162" s="239">
        <v>-26216</v>
      </c>
      <c r="G162" s="239">
        <v>0</v>
      </c>
      <c r="H162" s="239">
        <v>0</v>
      </c>
      <c r="I162" s="239">
        <v>0</v>
      </c>
      <c r="J162" s="239">
        <v>-26216</v>
      </c>
      <c r="K162" s="239">
        <v>0</v>
      </c>
      <c r="L162" s="239">
        <v>-26216</v>
      </c>
      <c r="M162" s="239">
        <v>206271</v>
      </c>
      <c r="N162" s="239">
        <v>206271</v>
      </c>
      <c r="O162" s="239">
        <v>0</v>
      </c>
      <c r="P162" s="239">
        <v>0</v>
      </c>
      <c r="Q162" s="239">
        <v>0</v>
      </c>
      <c r="R162" s="239">
        <v>0</v>
      </c>
      <c r="S162" s="239">
        <v>0</v>
      </c>
      <c r="T162" s="239">
        <v>0</v>
      </c>
      <c r="U162" s="239">
        <v>0</v>
      </c>
      <c r="V162" s="239">
        <v>0</v>
      </c>
      <c r="W162" s="239">
        <v>0</v>
      </c>
      <c r="X162" s="239">
        <v>0</v>
      </c>
      <c r="Y162" s="239">
        <v>0</v>
      </c>
      <c r="Z162" s="239">
        <v>0</v>
      </c>
      <c r="AA162" s="239">
        <v>0</v>
      </c>
      <c r="AB162" s="239">
        <v>0</v>
      </c>
      <c r="AC162" s="239">
        <v>0</v>
      </c>
      <c r="AD162" s="239">
        <v>0</v>
      </c>
      <c r="AE162" s="239">
        <v>0</v>
      </c>
      <c r="AF162" s="239">
        <v>0</v>
      </c>
      <c r="AG162" s="239">
        <v>0</v>
      </c>
      <c r="AH162" s="239">
        <v>0</v>
      </c>
      <c r="AI162" s="239">
        <v>0</v>
      </c>
      <c r="AJ162" s="239">
        <v>0</v>
      </c>
      <c r="AK162" s="239">
        <v>543354.21958333335</v>
      </c>
      <c r="AL162" s="239">
        <v>122254.69940625</v>
      </c>
      <c r="AM162" s="239">
        <v>13583.855489583335</v>
      </c>
      <c r="AN162" s="239">
        <v>489058</v>
      </c>
      <c r="AO162" s="239">
        <v>110038</v>
      </c>
      <c r="AP162" s="239">
        <v>12226</v>
      </c>
      <c r="AQ162" s="239">
        <v>54296</v>
      </c>
      <c r="AR162" s="239">
        <v>12217</v>
      </c>
      <c r="AS162" s="239">
        <v>1358</v>
      </c>
      <c r="AT162" s="239">
        <v>1583.5616666666667</v>
      </c>
      <c r="AU162" s="239">
        <v>356.30137500000001</v>
      </c>
      <c r="AV162" s="239">
        <v>39.589041666666667</v>
      </c>
      <c r="AW162" s="239">
        <v>0</v>
      </c>
      <c r="AX162" s="239">
        <v>0</v>
      </c>
      <c r="AY162" s="239">
        <v>0</v>
      </c>
      <c r="AZ162" s="239">
        <v>1584</v>
      </c>
      <c r="BA162" s="239">
        <v>356</v>
      </c>
      <c r="BB162" s="239">
        <v>40</v>
      </c>
      <c r="BC162" s="239">
        <v>0</v>
      </c>
      <c r="BD162" s="239">
        <v>0</v>
      </c>
      <c r="BE162" s="239">
        <v>0</v>
      </c>
      <c r="BF162" s="239">
        <v>0</v>
      </c>
      <c r="BG162" s="239">
        <v>0</v>
      </c>
      <c r="BH162" s="239">
        <v>0</v>
      </c>
      <c r="BI162" s="239">
        <v>0</v>
      </c>
      <c r="BJ162" s="239">
        <v>0</v>
      </c>
      <c r="BK162" s="239">
        <v>0</v>
      </c>
      <c r="BL162" s="239">
        <v>49096.499166666668</v>
      </c>
      <c r="BM162" s="239">
        <v>11046.712312499998</v>
      </c>
      <c r="BN162" s="239">
        <v>1227.4124791666666</v>
      </c>
      <c r="BO162" s="239">
        <v>6026</v>
      </c>
      <c r="BP162" s="239">
        <v>1356</v>
      </c>
      <c r="BQ162" s="239">
        <v>150</v>
      </c>
      <c r="BR162" s="239">
        <v>43070</v>
      </c>
      <c r="BS162" s="239">
        <v>9691</v>
      </c>
      <c r="BT162" s="239">
        <v>1077</v>
      </c>
      <c r="BU162" s="239">
        <v>354919.10666666669</v>
      </c>
      <c r="BV162" s="239">
        <v>79856.798999999999</v>
      </c>
      <c r="BW162" s="239">
        <v>8872.9776666666676</v>
      </c>
      <c r="BX162" s="239">
        <v>365296</v>
      </c>
      <c r="BY162" s="239">
        <v>82192</v>
      </c>
      <c r="BZ162" s="239">
        <v>9132</v>
      </c>
      <c r="CA162" s="239">
        <v>-10377</v>
      </c>
      <c r="CB162" s="239">
        <v>-2335</v>
      </c>
      <c r="CC162" s="239">
        <v>-259</v>
      </c>
      <c r="CD162" s="239">
        <v>0</v>
      </c>
      <c r="CE162" s="239">
        <v>0</v>
      </c>
      <c r="CF162" s="239">
        <v>0</v>
      </c>
      <c r="CG162" s="239">
        <v>0</v>
      </c>
      <c r="CH162" s="239">
        <v>0</v>
      </c>
      <c r="CI162" s="239">
        <v>0</v>
      </c>
      <c r="CJ162" s="239">
        <v>0</v>
      </c>
      <c r="CK162" s="239">
        <v>0</v>
      </c>
      <c r="CL162" s="239">
        <v>0</v>
      </c>
      <c r="CM162" s="239">
        <v>4820.0824999999995</v>
      </c>
      <c r="CN162" s="239">
        <v>1084.5185624999999</v>
      </c>
      <c r="CO162" s="239">
        <v>120.50206249999999</v>
      </c>
      <c r="CP162" s="239">
        <v>0</v>
      </c>
      <c r="CQ162" s="239">
        <v>0</v>
      </c>
      <c r="CR162" s="239">
        <v>0</v>
      </c>
      <c r="CS162" s="239">
        <v>4820</v>
      </c>
      <c r="CT162" s="239">
        <v>1085</v>
      </c>
      <c r="CU162" s="239">
        <v>121</v>
      </c>
      <c r="CV162" s="239">
        <v>319276.71999999997</v>
      </c>
      <c r="CW162" s="239">
        <v>71837.262000000002</v>
      </c>
      <c r="CX162" s="239">
        <v>7981.9180000000006</v>
      </c>
      <c r="CY162" s="239">
        <v>341396</v>
      </c>
      <c r="CZ162" s="239">
        <v>76814</v>
      </c>
      <c r="DA162" s="239">
        <v>8535</v>
      </c>
      <c r="DB162" s="239">
        <v>-22119</v>
      </c>
      <c r="DC162" s="239">
        <v>-4977</v>
      </c>
      <c r="DD162" s="239">
        <v>-553</v>
      </c>
      <c r="DE162" s="214">
        <v>0.5</v>
      </c>
      <c r="DF162" s="214">
        <v>0.4</v>
      </c>
      <c r="DG162" s="214">
        <v>0.09</v>
      </c>
      <c r="DH162" s="214">
        <v>0.01</v>
      </c>
      <c r="DI162" s="214" t="s">
        <v>1294</v>
      </c>
    </row>
    <row r="163" spans="1:113" s="214" customFormat="1" x14ac:dyDescent="0.2">
      <c r="A163" s="215" t="s">
        <v>1321</v>
      </c>
      <c r="B163" s="610" t="s">
        <v>409</v>
      </c>
      <c r="C163" s="610" t="s">
        <v>408</v>
      </c>
      <c r="D163" s="239">
        <v>-53436</v>
      </c>
      <c r="E163" s="239">
        <v>0</v>
      </c>
      <c r="F163" s="239">
        <v>-53436</v>
      </c>
      <c r="G163" s="239">
        <v>0</v>
      </c>
      <c r="H163" s="239">
        <v>0</v>
      </c>
      <c r="I163" s="239">
        <v>0</v>
      </c>
      <c r="J163" s="239">
        <v>-53436</v>
      </c>
      <c r="K163" s="239">
        <v>0</v>
      </c>
      <c r="L163" s="239">
        <v>-53436</v>
      </c>
      <c r="M163" s="239">
        <v>93051</v>
      </c>
      <c r="N163" s="239">
        <v>93051</v>
      </c>
      <c r="O163" s="239">
        <v>0</v>
      </c>
      <c r="P163" s="239">
        <v>0</v>
      </c>
      <c r="Q163" s="239">
        <v>0</v>
      </c>
      <c r="R163" s="239">
        <v>0</v>
      </c>
      <c r="S163" s="239">
        <v>486386</v>
      </c>
      <c r="T163" s="239">
        <v>0</v>
      </c>
      <c r="U163" s="239">
        <v>480675</v>
      </c>
      <c r="V163" s="239">
        <v>0</v>
      </c>
      <c r="W163" s="239">
        <v>5711</v>
      </c>
      <c r="X163" s="239">
        <v>0</v>
      </c>
      <c r="Y163" s="239">
        <v>0</v>
      </c>
      <c r="Z163" s="239">
        <v>0</v>
      </c>
      <c r="AA163" s="239">
        <v>0</v>
      </c>
      <c r="AB163" s="239">
        <v>0</v>
      </c>
      <c r="AC163" s="239">
        <v>0</v>
      </c>
      <c r="AD163" s="239">
        <v>0</v>
      </c>
      <c r="AE163" s="239">
        <v>0</v>
      </c>
      <c r="AF163" s="239">
        <v>0</v>
      </c>
      <c r="AG163" s="239">
        <v>0</v>
      </c>
      <c r="AH163" s="239">
        <v>0</v>
      </c>
      <c r="AI163" s="239">
        <v>0</v>
      </c>
      <c r="AJ163" s="239">
        <v>0</v>
      </c>
      <c r="AK163" s="239">
        <v>389802.51083333336</v>
      </c>
      <c r="AL163" s="239">
        <v>87705.564937500007</v>
      </c>
      <c r="AM163" s="239">
        <v>9745.0627708333341</v>
      </c>
      <c r="AN163" s="239">
        <v>370373</v>
      </c>
      <c r="AO163" s="239">
        <v>83334</v>
      </c>
      <c r="AP163" s="239">
        <v>9260</v>
      </c>
      <c r="AQ163" s="239">
        <v>19430</v>
      </c>
      <c r="AR163" s="239">
        <v>4372</v>
      </c>
      <c r="AS163" s="239">
        <v>485</v>
      </c>
      <c r="AT163" s="239">
        <v>394.47</v>
      </c>
      <c r="AU163" s="239">
        <v>88.755749999999992</v>
      </c>
      <c r="AV163" s="239">
        <v>9.8617499999999989</v>
      </c>
      <c r="AW163" s="239">
        <v>788</v>
      </c>
      <c r="AX163" s="239">
        <v>178</v>
      </c>
      <c r="AY163" s="239">
        <v>20</v>
      </c>
      <c r="AZ163" s="239">
        <v>-394</v>
      </c>
      <c r="BA163" s="239">
        <v>-89</v>
      </c>
      <c r="BB163" s="239">
        <v>-10</v>
      </c>
      <c r="BC163" s="239">
        <v>0</v>
      </c>
      <c r="BD163" s="239">
        <v>0</v>
      </c>
      <c r="BE163" s="239">
        <v>0</v>
      </c>
      <c r="BF163" s="239">
        <v>0</v>
      </c>
      <c r="BG163" s="239">
        <v>0</v>
      </c>
      <c r="BH163" s="239">
        <v>0</v>
      </c>
      <c r="BI163" s="239">
        <v>0</v>
      </c>
      <c r="BJ163" s="239">
        <v>0</v>
      </c>
      <c r="BK163" s="239">
        <v>0</v>
      </c>
      <c r="BL163" s="239">
        <v>0</v>
      </c>
      <c r="BM163" s="239">
        <v>0</v>
      </c>
      <c r="BN163" s="239">
        <v>0</v>
      </c>
      <c r="BO163" s="239">
        <v>2637</v>
      </c>
      <c r="BP163" s="239">
        <v>594</v>
      </c>
      <c r="BQ163" s="239">
        <v>66</v>
      </c>
      <c r="BR163" s="239">
        <v>-2637</v>
      </c>
      <c r="BS163" s="239">
        <v>-594</v>
      </c>
      <c r="BT163" s="239">
        <v>-66</v>
      </c>
      <c r="BU163" s="239">
        <v>101128.79666666668</v>
      </c>
      <c r="BV163" s="239">
        <v>22753.97925</v>
      </c>
      <c r="BW163" s="239">
        <v>2528.2199166666664</v>
      </c>
      <c r="BX163" s="239">
        <v>82105</v>
      </c>
      <c r="BY163" s="239">
        <v>18474</v>
      </c>
      <c r="BZ163" s="239">
        <v>2052</v>
      </c>
      <c r="CA163" s="239">
        <v>19024</v>
      </c>
      <c r="CB163" s="239">
        <v>4280</v>
      </c>
      <c r="CC163" s="239">
        <v>476</v>
      </c>
      <c r="CD163" s="239">
        <v>0</v>
      </c>
      <c r="CE163" s="239">
        <v>0</v>
      </c>
      <c r="CF163" s="239">
        <v>0</v>
      </c>
      <c r="CG163" s="239">
        <v>0</v>
      </c>
      <c r="CH163" s="239">
        <v>0</v>
      </c>
      <c r="CI163" s="239">
        <v>0</v>
      </c>
      <c r="CJ163" s="239">
        <v>0</v>
      </c>
      <c r="CK163" s="239">
        <v>0</v>
      </c>
      <c r="CL163" s="239">
        <v>0</v>
      </c>
      <c r="CM163" s="239">
        <v>3977.9783333333335</v>
      </c>
      <c r="CN163" s="239">
        <v>895.04512499999998</v>
      </c>
      <c r="CO163" s="239">
        <v>99.44945833333334</v>
      </c>
      <c r="CP163" s="239">
        <v>0</v>
      </c>
      <c r="CQ163" s="239">
        <v>0</v>
      </c>
      <c r="CR163" s="239">
        <v>0</v>
      </c>
      <c r="CS163" s="239">
        <v>3978</v>
      </c>
      <c r="CT163" s="239">
        <v>895</v>
      </c>
      <c r="CU163" s="239">
        <v>99</v>
      </c>
      <c r="CV163" s="239">
        <v>84429.205000000002</v>
      </c>
      <c r="CW163" s="239">
        <v>17400.617062499998</v>
      </c>
      <c r="CX163" s="239">
        <v>1933.4018958333334</v>
      </c>
      <c r="CY163" s="239">
        <v>84534</v>
      </c>
      <c r="CZ163" s="239">
        <v>17443</v>
      </c>
      <c r="DA163" s="239">
        <v>1938</v>
      </c>
      <c r="DB163" s="239">
        <v>-105</v>
      </c>
      <c r="DC163" s="239">
        <v>-42</v>
      </c>
      <c r="DD163" s="239">
        <v>-5</v>
      </c>
      <c r="DE163" s="214">
        <v>0.5</v>
      </c>
      <c r="DF163" s="214">
        <v>0.4</v>
      </c>
      <c r="DG163" s="214">
        <v>0.09</v>
      </c>
      <c r="DH163" s="214">
        <v>0.01</v>
      </c>
      <c r="DI163" s="214" t="s">
        <v>1294</v>
      </c>
    </row>
    <row r="164" spans="1:113" s="214" customFormat="1" x14ac:dyDescent="0.2">
      <c r="B164" s="610" t="s">
        <v>411</v>
      </c>
      <c r="C164" s="610" t="s">
        <v>410</v>
      </c>
      <c r="D164" s="239">
        <v>142313</v>
      </c>
      <c r="E164" s="239">
        <v>0</v>
      </c>
      <c r="F164" s="239">
        <v>142313</v>
      </c>
      <c r="G164" s="239">
        <v>0</v>
      </c>
      <c r="H164" s="239">
        <v>0</v>
      </c>
      <c r="I164" s="239">
        <v>0</v>
      </c>
      <c r="J164" s="239">
        <v>142313</v>
      </c>
      <c r="K164" s="239">
        <v>0</v>
      </c>
      <c r="L164" s="239">
        <v>142313</v>
      </c>
      <c r="M164" s="239">
        <v>107713</v>
      </c>
      <c r="N164" s="239">
        <v>107713</v>
      </c>
      <c r="O164" s="239">
        <v>0</v>
      </c>
      <c r="P164" s="239">
        <v>0</v>
      </c>
      <c r="Q164" s="239">
        <v>0</v>
      </c>
      <c r="R164" s="239">
        <v>0</v>
      </c>
      <c r="S164" s="239">
        <v>0</v>
      </c>
      <c r="T164" s="239">
        <v>0</v>
      </c>
      <c r="U164" s="239">
        <v>0</v>
      </c>
      <c r="V164" s="239">
        <v>0</v>
      </c>
      <c r="W164" s="239">
        <v>0</v>
      </c>
      <c r="X164" s="239">
        <v>0</v>
      </c>
      <c r="Y164" s="239">
        <v>0</v>
      </c>
      <c r="Z164" s="239">
        <v>0</v>
      </c>
      <c r="AA164" s="239">
        <v>0</v>
      </c>
      <c r="AB164" s="239">
        <v>0</v>
      </c>
      <c r="AC164" s="239">
        <v>0</v>
      </c>
      <c r="AD164" s="239">
        <v>0</v>
      </c>
      <c r="AE164" s="239">
        <v>0</v>
      </c>
      <c r="AF164" s="239">
        <v>0</v>
      </c>
      <c r="AG164" s="239">
        <v>0</v>
      </c>
      <c r="AH164" s="239">
        <v>0</v>
      </c>
      <c r="AI164" s="239">
        <v>0</v>
      </c>
      <c r="AJ164" s="239">
        <v>0</v>
      </c>
      <c r="AK164" s="239">
        <v>442463.24125000002</v>
      </c>
      <c r="AL164" s="239">
        <v>99554.229281250009</v>
      </c>
      <c r="AM164" s="239">
        <v>11061.58103125</v>
      </c>
      <c r="AN164" s="239">
        <v>421783</v>
      </c>
      <c r="AO164" s="239">
        <v>94900</v>
      </c>
      <c r="AP164" s="239">
        <v>10544</v>
      </c>
      <c r="AQ164" s="239">
        <v>20680</v>
      </c>
      <c r="AR164" s="239">
        <v>4654</v>
      </c>
      <c r="AS164" s="239">
        <v>518</v>
      </c>
      <c r="AT164" s="239">
        <v>3034.8216666666667</v>
      </c>
      <c r="AU164" s="239">
        <v>682.83487500000001</v>
      </c>
      <c r="AV164" s="239">
        <v>75.870541666666668</v>
      </c>
      <c r="AW164" s="239">
        <v>0</v>
      </c>
      <c r="AX164" s="239">
        <v>0</v>
      </c>
      <c r="AY164" s="239">
        <v>0</v>
      </c>
      <c r="AZ164" s="239">
        <v>3035</v>
      </c>
      <c r="BA164" s="239">
        <v>683</v>
      </c>
      <c r="BB164" s="239">
        <v>76</v>
      </c>
      <c r="BC164" s="239">
        <v>0</v>
      </c>
      <c r="BD164" s="239">
        <v>0</v>
      </c>
      <c r="BE164" s="239">
        <v>0</v>
      </c>
      <c r="BF164" s="239">
        <v>0</v>
      </c>
      <c r="BG164" s="239">
        <v>0</v>
      </c>
      <c r="BH164" s="239">
        <v>0</v>
      </c>
      <c r="BI164" s="239">
        <v>0</v>
      </c>
      <c r="BJ164" s="239">
        <v>0</v>
      </c>
      <c r="BK164" s="239">
        <v>0</v>
      </c>
      <c r="BL164" s="239">
        <v>1842.0774999999999</v>
      </c>
      <c r="BM164" s="239">
        <v>414.46743749999996</v>
      </c>
      <c r="BN164" s="239">
        <v>46.051937499999994</v>
      </c>
      <c r="BO164" s="239">
        <v>0</v>
      </c>
      <c r="BP164" s="239">
        <v>0</v>
      </c>
      <c r="BQ164" s="239">
        <v>0</v>
      </c>
      <c r="BR164" s="239">
        <v>1842</v>
      </c>
      <c r="BS164" s="239">
        <v>414</v>
      </c>
      <c r="BT164" s="239">
        <v>46</v>
      </c>
      <c r="BU164" s="239">
        <v>194993.1766666667</v>
      </c>
      <c r="BV164" s="239">
        <v>43873.464749999992</v>
      </c>
      <c r="BW164" s="239">
        <v>4874.8294166666665</v>
      </c>
      <c r="BX164" s="239">
        <v>178411</v>
      </c>
      <c r="BY164" s="239">
        <v>40142</v>
      </c>
      <c r="BZ164" s="239">
        <v>4460</v>
      </c>
      <c r="CA164" s="239">
        <v>16582</v>
      </c>
      <c r="CB164" s="239">
        <v>3731</v>
      </c>
      <c r="CC164" s="239">
        <v>415</v>
      </c>
      <c r="CD164" s="239">
        <v>0</v>
      </c>
      <c r="CE164" s="239">
        <v>0</v>
      </c>
      <c r="CF164" s="239">
        <v>0</v>
      </c>
      <c r="CG164" s="239">
        <v>0</v>
      </c>
      <c r="CH164" s="239">
        <v>0</v>
      </c>
      <c r="CI164" s="239">
        <v>0</v>
      </c>
      <c r="CJ164" s="239">
        <v>0</v>
      </c>
      <c r="CK164" s="239">
        <v>0</v>
      </c>
      <c r="CL164" s="239">
        <v>0</v>
      </c>
      <c r="CM164" s="239">
        <v>2271.855</v>
      </c>
      <c r="CN164" s="239">
        <v>511.16737499999999</v>
      </c>
      <c r="CO164" s="239">
        <v>56.796374999999998</v>
      </c>
      <c r="CP164" s="239">
        <v>0</v>
      </c>
      <c r="CQ164" s="239">
        <v>0</v>
      </c>
      <c r="CR164" s="239">
        <v>0</v>
      </c>
      <c r="CS164" s="239">
        <v>2272</v>
      </c>
      <c r="CT164" s="239">
        <v>511</v>
      </c>
      <c r="CU164" s="239">
        <v>57</v>
      </c>
      <c r="CV164" s="239">
        <v>82414.400833333333</v>
      </c>
      <c r="CW164" s="239">
        <v>18543.2401875</v>
      </c>
      <c r="CX164" s="239">
        <v>2060.3600208333332</v>
      </c>
      <c r="CY164" s="239">
        <v>87917</v>
      </c>
      <c r="CZ164" s="239">
        <v>19781</v>
      </c>
      <c r="DA164" s="239">
        <v>2198</v>
      </c>
      <c r="DB164" s="239">
        <v>-5503</v>
      </c>
      <c r="DC164" s="239">
        <v>-1238</v>
      </c>
      <c r="DD164" s="239">
        <v>-138</v>
      </c>
      <c r="DE164" s="214">
        <v>0.5</v>
      </c>
      <c r="DF164" s="214">
        <v>0.4</v>
      </c>
      <c r="DG164" s="214">
        <v>0.09</v>
      </c>
      <c r="DH164" s="214">
        <v>0.01</v>
      </c>
      <c r="DI164" s="214" t="s">
        <v>1294</v>
      </c>
    </row>
    <row r="165" spans="1:113" s="214" customFormat="1" x14ac:dyDescent="0.2">
      <c r="B165" s="610" t="s">
        <v>413</v>
      </c>
      <c r="C165" s="610" t="s">
        <v>412</v>
      </c>
      <c r="D165" s="239">
        <v>-3732501</v>
      </c>
      <c r="E165" s="239">
        <v>-2142</v>
      </c>
      <c r="F165" s="239">
        <v>-3734643</v>
      </c>
      <c r="G165" s="239">
        <v>0</v>
      </c>
      <c r="H165" s="239">
        <v>0</v>
      </c>
      <c r="I165" s="239">
        <v>0</v>
      </c>
      <c r="J165" s="239">
        <v>-3732501</v>
      </c>
      <c r="K165" s="239">
        <v>-2142</v>
      </c>
      <c r="L165" s="239">
        <v>-3734643</v>
      </c>
      <c r="M165" s="239">
        <v>1120777</v>
      </c>
      <c r="N165" s="239">
        <v>1120777</v>
      </c>
      <c r="O165" s="239">
        <v>0</v>
      </c>
      <c r="P165" s="239">
        <v>0</v>
      </c>
      <c r="Q165" s="239">
        <v>0</v>
      </c>
      <c r="R165" s="239">
        <v>0</v>
      </c>
      <c r="S165" s="239">
        <v>0</v>
      </c>
      <c r="T165" s="239">
        <v>0</v>
      </c>
      <c r="U165" s="239">
        <v>0</v>
      </c>
      <c r="V165" s="239">
        <v>0</v>
      </c>
      <c r="W165" s="239">
        <v>0</v>
      </c>
      <c r="X165" s="239">
        <v>0</v>
      </c>
      <c r="Y165" s="239">
        <v>893894.58750000002</v>
      </c>
      <c r="Z165" s="239">
        <v>893894.58750000002</v>
      </c>
      <c r="AA165" s="239">
        <v>0</v>
      </c>
      <c r="AB165" s="239">
        <v>0</v>
      </c>
      <c r="AC165" s="239">
        <v>0</v>
      </c>
      <c r="AD165" s="239">
        <v>0</v>
      </c>
      <c r="AE165" s="239">
        <v>0</v>
      </c>
      <c r="AF165" s="239">
        <v>0</v>
      </c>
      <c r="AG165" s="239">
        <v>893895</v>
      </c>
      <c r="AH165" s="239">
        <v>893895</v>
      </c>
      <c r="AI165" s="239">
        <v>0</v>
      </c>
      <c r="AJ165" s="239">
        <v>0</v>
      </c>
      <c r="AK165" s="239">
        <v>2780488.4581979164</v>
      </c>
      <c r="AL165" s="239">
        <v>0</v>
      </c>
      <c r="AM165" s="239">
        <v>56158.450656250003</v>
      </c>
      <c r="AN165" s="239">
        <v>2528596</v>
      </c>
      <c r="AO165" s="239">
        <v>0</v>
      </c>
      <c r="AP165" s="239">
        <v>51604</v>
      </c>
      <c r="AQ165" s="239">
        <v>251892</v>
      </c>
      <c r="AR165" s="239">
        <v>0</v>
      </c>
      <c r="AS165" s="239">
        <v>4554</v>
      </c>
      <c r="AT165" s="239">
        <v>0</v>
      </c>
      <c r="AU165" s="239">
        <v>0</v>
      </c>
      <c r="AV165" s="239">
        <v>0</v>
      </c>
      <c r="AW165" s="239">
        <v>0</v>
      </c>
      <c r="AX165" s="239">
        <v>0</v>
      </c>
      <c r="AY165" s="239">
        <v>0</v>
      </c>
      <c r="AZ165" s="239">
        <v>0</v>
      </c>
      <c r="BA165" s="239">
        <v>0</v>
      </c>
      <c r="BB165" s="239">
        <v>0</v>
      </c>
      <c r="BC165" s="239">
        <v>13947.426354166668</v>
      </c>
      <c r="BD165" s="239">
        <v>0</v>
      </c>
      <c r="BE165" s="239">
        <v>284.6413541666667</v>
      </c>
      <c r="BF165" s="239">
        <v>0</v>
      </c>
      <c r="BG165" s="239">
        <v>0</v>
      </c>
      <c r="BH165" s="239">
        <v>0</v>
      </c>
      <c r="BI165" s="239">
        <v>13947</v>
      </c>
      <c r="BJ165" s="239">
        <v>0</v>
      </c>
      <c r="BK165" s="239">
        <v>285</v>
      </c>
      <c r="BL165" s="239">
        <v>169300.03066666666</v>
      </c>
      <c r="BM165" s="239">
        <v>0</v>
      </c>
      <c r="BN165" s="239">
        <v>3455.1026666666667</v>
      </c>
      <c r="BO165" s="239">
        <v>29635</v>
      </c>
      <c r="BP165" s="239">
        <v>0</v>
      </c>
      <c r="BQ165" s="239">
        <v>604</v>
      </c>
      <c r="BR165" s="239">
        <v>139665</v>
      </c>
      <c r="BS165" s="239">
        <v>0</v>
      </c>
      <c r="BT165" s="239">
        <v>2851</v>
      </c>
      <c r="BU165" s="239">
        <v>1351674.5063333334</v>
      </c>
      <c r="BV165" s="239">
        <v>0</v>
      </c>
      <c r="BW165" s="239">
        <v>27554.135333333335</v>
      </c>
      <c r="BX165" s="239">
        <v>780644</v>
      </c>
      <c r="BY165" s="239">
        <v>0</v>
      </c>
      <c r="BZ165" s="239">
        <v>15932</v>
      </c>
      <c r="CA165" s="239">
        <v>571031</v>
      </c>
      <c r="CB165" s="239">
        <v>0</v>
      </c>
      <c r="CC165" s="239">
        <v>11622</v>
      </c>
      <c r="CD165" s="239">
        <v>5801.6918749999995</v>
      </c>
      <c r="CE165" s="239">
        <v>0</v>
      </c>
      <c r="CF165" s="239">
        <v>118.401875</v>
      </c>
      <c r="CG165" s="239">
        <v>43610</v>
      </c>
      <c r="CH165" s="239">
        <v>0</v>
      </c>
      <c r="CI165" s="239">
        <v>0</v>
      </c>
      <c r="CJ165" s="239">
        <v>-37808</v>
      </c>
      <c r="CK165" s="239">
        <v>0</v>
      </c>
      <c r="CL165" s="239">
        <v>118</v>
      </c>
      <c r="CM165" s="239">
        <v>27169.019791666666</v>
      </c>
      <c r="CN165" s="239">
        <v>0</v>
      </c>
      <c r="CO165" s="239">
        <v>554.46979166666665</v>
      </c>
      <c r="CP165" s="239">
        <v>0</v>
      </c>
      <c r="CQ165" s="239">
        <v>0</v>
      </c>
      <c r="CR165" s="239">
        <v>0</v>
      </c>
      <c r="CS165" s="239">
        <v>27169</v>
      </c>
      <c r="CT165" s="239">
        <v>0</v>
      </c>
      <c r="CU165" s="239">
        <v>554</v>
      </c>
      <c r="CV165" s="239">
        <v>2492689.2093541669</v>
      </c>
      <c r="CW165" s="239">
        <v>0</v>
      </c>
      <c r="CX165" s="239">
        <v>50871.208354166673</v>
      </c>
      <c r="CY165" s="239">
        <v>2279664</v>
      </c>
      <c r="CZ165" s="239">
        <v>0</v>
      </c>
      <c r="DA165" s="239">
        <v>46524</v>
      </c>
      <c r="DB165" s="239">
        <v>213025</v>
      </c>
      <c r="DC165" s="239">
        <v>0</v>
      </c>
      <c r="DD165" s="239">
        <v>4347</v>
      </c>
      <c r="DE165" s="214">
        <v>0.5</v>
      </c>
      <c r="DF165" s="214">
        <v>0.49</v>
      </c>
      <c r="DG165" s="214">
        <v>0</v>
      </c>
      <c r="DH165" s="214">
        <v>0.01</v>
      </c>
      <c r="DI165" s="214" t="s">
        <v>1296</v>
      </c>
    </row>
    <row r="166" spans="1:113" s="214" customFormat="1" x14ac:dyDescent="0.2">
      <c r="B166" s="610" t="s">
        <v>415</v>
      </c>
      <c r="C166" s="610" t="s">
        <v>414</v>
      </c>
      <c r="D166" s="239">
        <v>7072</v>
      </c>
      <c r="E166" s="239">
        <v>0</v>
      </c>
      <c r="F166" s="239">
        <v>7072</v>
      </c>
      <c r="G166" s="239">
        <v>0</v>
      </c>
      <c r="H166" s="239">
        <v>0</v>
      </c>
      <c r="I166" s="239">
        <v>0</v>
      </c>
      <c r="J166" s="239">
        <v>7072</v>
      </c>
      <c r="K166" s="239">
        <v>0</v>
      </c>
      <c r="L166" s="239">
        <v>7072</v>
      </c>
      <c r="M166" s="239">
        <v>128720</v>
      </c>
      <c r="N166" s="239">
        <v>128720</v>
      </c>
      <c r="O166" s="239">
        <v>0</v>
      </c>
      <c r="P166" s="239">
        <v>0</v>
      </c>
      <c r="Q166" s="239">
        <v>0</v>
      </c>
      <c r="R166" s="239">
        <v>0</v>
      </c>
      <c r="S166" s="239">
        <v>0</v>
      </c>
      <c r="T166" s="239">
        <v>0</v>
      </c>
      <c r="U166" s="239">
        <v>0</v>
      </c>
      <c r="V166" s="239">
        <v>0</v>
      </c>
      <c r="W166" s="239">
        <v>0</v>
      </c>
      <c r="X166" s="239">
        <v>0</v>
      </c>
      <c r="Y166" s="239">
        <v>0</v>
      </c>
      <c r="Z166" s="239">
        <v>0</v>
      </c>
      <c r="AA166" s="239">
        <v>0</v>
      </c>
      <c r="AB166" s="239">
        <v>0</v>
      </c>
      <c r="AC166" s="239">
        <v>0</v>
      </c>
      <c r="AD166" s="239">
        <v>0</v>
      </c>
      <c r="AE166" s="239">
        <v>0</v>
      </c>
      <c r="AF166" s="239">
        <v>0</v>
      </c>
      <c r="AG166" s="239">
        <v>0</v>
      </c>
      <c r="AH166" s="239">
        <v>0</v>
      </c>
      <c r="AI166" s="239">
        <v>0</v>
      </c>
      <c r="AJ166" s="239">
        <v>0</v>
      </c>
      <c r="AK166" s="239">
        <v>399064.03333333333</v>
      </c>
      <c r="AL166" s="239">
        <v>89789.407500000001</v>
      </c>
      <c r="AM166" s="239">
        <v>9976.6008333333339</v>
      </c>
      <c r="AN166" s="239">
        <v>358767</v>
      </c>
      <c r="AO166" s="239">
        <v>80722</v>
      </c>
      <c r="AP166" s="239">
        <v>8970</v>
      </c>
      <c r="AQ166" s="239">
        <v>40297</v>
      </c>
      <c r="AR166" s="239">
        <v>9067</v>
      </c>
      <c r="AS166" s="239">
        <v>1007</v>
      </c>
      <c r="AT166" s="239">
        <v>2678.9058333333337</v>
      </c>
      <c r="AU166" s="239">
        <v>602.75381249999998</v>
      </c>
      <c r="AV166" s="239">
        <v>66.972645833333331</v>
      </c>
      <c r="AW166" s="239">
        <v>0</v>
      </c>
      <c r="AX166" s="239">
        <v>0</v>
      </c>
      <c r="AY166" s="239">
        <v>0</v>
      </c>
      <c r="AZ166" s="239">
        <v>2679</v>
      </c>
      <c r="BA166" s="239">
        <v>603</v>
      </c>
      <c r="BB166" s="239">
        <v>67</v>
      </c>
      <c r="BC166" s="239">
        <v>1476.0158333333336</v>
      </c>
      <c r="BD166" s="239">
        <v>332.10356249999995</v>
      </c>
      <c r="BE166" s="239">
        <v>36.900395833333334</v>
      </c>
      <c r="BF166" s="239">
        <v>8354</v>
      </c>
      <c r="BG166" s="239">
        <v>1880</v>
      </c>
      <c r="BH166" s="239">
        <v>208</v>
      </c>
      <c r="BI166" s="239">
        <v>-6878</v>
      </c>
      <c r="BJ166" s="239">
        <v>-1548</v>
      </c>
      <c r="BK166" s="239">
        <v>-171</v>
      </c>
      <c r="BL166" s="239">
        <v>3904.9283333333337</v>
      </c>
      <c r="BM166" s="239">
        <v>878.60887500000001</v>
      </c>
      <c r="BN166" s="239">
        <v>97.623208333333338</v>
      </c>
      <c r="BO166" s="239">
        <v>0</v>
      </c>
      <c r="BP166" s="239">
        <v>0</v>
      </c>
      <c r="BQ166" s="239">
        <v>0</v>
      </c>
      <c r="BR166" s="239">
        <v>3905</v>
      </c>
      <c r="BS166" s="239">
        <v>879</v>
      </c>
      <c r="BT166" s="239">
        <v>98</v>
      </c>
      <c r="BU166" s="239">
        <v>149415.2525</v>
      </c>
      <c r="BV166" s="239">
        <v>33618.431812499999</v>
      </c>
      <c r="BW166" s="239">
        <v>3735.3813125000001</v>
      </c>
      <c r="BX166" s="239">
        <v>124934</v>
      </c>
      <c r="BY166" s="239">
        <v>28110</v>
      </c>
      <c r="BZ166" s="239">
        <v>3124</v>
      </c>
      <c r="CA166" s="239">
        <v>24481</v>
      </c>
      <c r="CB166" s="239">
        <v>5508</v>
      </c>
      <c r="CC166" s="239">
        <v>611</v>
      </c>
      <c r="CD166" s="239">
        <v>0</v>
      </c>
      <c r="CE166" s="239">
        <v>0</v>
      </c>
      <c r="CF166" s="239">
        <v>0</v>
      </c>
      <c r="CG166" s="239">
        <v>0</v>
      </c>
      <c r="CH166" s="239">
        <v>0</v>
      </c>
      <c r="CI166" s="239">
        <v>0</v>
      </c>
      <c r="CJ166" s="239">
        <v>0</v>
      </c>
      <c r="CK166" s="239">
        <v>0</v>
      </c>
      <c r="CL166" s="239">
        <v>0</v>
      </c>
      <c r="CM166" s="239">
        <v>0</v>
      </c>
      <c r="CN166" s="239">
        <v>0</v>
      </c>
      <c r="CO166" s="239">
        <v>0</v>
      </c>
      <c r="CP166" s="239">
        <v>0</v>
      </c>
      <c r="CQ166" s="239">
        <v>0</v>
      </c>
      <c r="CR166" s="239">
        <v>0</v>
      </c>
      <c r="CS166" s="239">
        <v>0</v>
      </c>
      <c r="CT166" s="239">
        <v>0</v>
      </c>
      <c r="CU166" s="239">
        <v>0</v>
      </c>
      <c r="CV166" s="239">
        <v>152529.14250000002</v>
      </c>
      <c r="CW166" s="239">
        <v>34319.057062500004</v>
      </c>
      <c r="CX166" s="239">
        <v>3813.2285625</v>
      </c>
      <c r="CY166" s="239">
        <v>168968</v>
      </c>
      <c r="CZ166" s="239">
        <v>38018</v>
      </c>
      <c r="DA166" s="239">
        <v>4224</v>
      </c>
      <c r="DB166" s="239">
        <v>-16439</v>
      </c>
      <c r="DC166" s="239">
        <v>-3699</v>
      </c>
      <c r="DD166" s="239">
        <v>-411</v>
      </c>
      <c r="DE166" s="214">
        <v>0.5</v>
      </c>
      <c r="DF166" s="214">
        <v>0.4</v>
      </c>
      <c r="DG166" s="214">
        <v>0.09</v>
      </c>
      <c r="DH166" s="214">
        <v>0.01</v>
      </c>
      <c r="DI166" s="214" t="s">
        <v>1294</v>
      </c>
    </row>
    <row r="167" spans="1:113" s="214" customFormat="1" x14ac:dyDescent="0.2">
      <c r="B167" s="610" t="s">
        <v>417</v>
      </c>
      <c r="C167" s="610" t="s">
        <v>416</v>
      </c>
      <c r="D167" s="239">
        <v>-35309</v>
      </c>
      <c r="E167" s="239">
        <v>0</v>
      </c>
      <c r="F167" s="239">
        <v>-35309</v>
      </c>
      <c r="G167" s="239">
        <v>0</v>
      </c>
      <c r="H167" s="239">
        <v>0</v>
      </c>
      <c r="I167" s="239">
        <v>0</v>
      </c>
      <c r="J167" s="239">
        <v>-35309</v>
      </c>
      <c r="K167" s="239">
        <v>0</v>
      </c>
      <c r="L167" s="239">
        <v>-35309</v>
      </c>
      <c r="M167" s="239">
        <v>283782</v>
      </c>
      <c r="N167" s="239">
        <v>283782</v>
      </c>
      <c r="O167" s="239">
        <v>0</v>
      </c>
      <c r="P167" s="239">
        <v>0</v>
      </c>
      <c r="Q167" s="239">
        <v>0</v>
      </c>
      <c r="R167" s="239">
        <v>0</v>
      </c>
      <c r="S167" s="239">
        <v>0</v>
      </c>
      <c r="T167" s="239">
        <v>0</v>
      </c>
      <c r="U167" s="239">
        <v>0</v>
      </c>
      <c r="V167" s="239">
        <v>0</v>
      </c>
      <c r="W167" s="239">
        <v>0</v>
      </c>
      <c r="X167" s="239">
        <v>0</v>
      </c>
      <c r="Y167" s="239">
        <v>0</v>
      </c>
      <c r="Z167" s="239">
        <v>0</v>
      </c>
      <c r="AA167" s="239">
        <v>0</v>
      </c>
      <c r="AB167" s="239">
        <v>0</v>
      </c>
      <c r="AC167" s="239">
        <v>0</v>
      </c>
      <c r="AD167" s="239">
        <v>0</v>
      </c>
      <c r="AE167" s="239">
        <v>0</v>
      </c>
      <c r="AF167" s="239">
        <v>0</v>
      </c>
      <c r="AG167" s="239">
        <v>0</v>
      </c>
      <c r="AH167" s="239">
        <v>0</v>
      </c>
      <c r="AI167" s="239">
        <v>0</v>
      </c>
      <c r="AJ167" s="239">
        <v>0</v>
      </c>
      <c r="AK167" s="239">
        <v>1127202.8594895832</v>
      </c>
      <c r="AL167" s="239">
        <v>0</v>
      </c>
      <c r="AM167" s="239">
        <v>23004.139989583335</v>
      </c>
      <c r="AN167" s="239">
        <v>984193</v>
      </c>
      <c r="AO167" s="239">
        <v>0</v>
      </c>
      <c r="AP167" s="239">
        <v>20086</v>
      </c>
      <c r="AQ167" s="239">
        <v>143010</v>
      </c>
      <c r="AR167" s="239">
        <v>0</v>
      </c>
      <c r="AS167" s="239">
        <v>2918</v>
      </c>
      <c r="AT167" s="239">
        <v>5326.917604166666</v>
      </c>
      <c r="AU167" s="239">
        <v>0</v>
      </c>
      <c r="AV167" s="239">
        <v>108.71260416666667</v>
      </c>
      <c r="AW167" s="239">
        <v>0</v>
      </c>
      <c r="AX167" s="239">
        <v>0</v>
      </c>
      <c r="AY167" s="239">
        <v>0</v>
      </c>
      <c r="AZ167" s="239">
        <v>5327</v>
      </c>
      <c r="BA167" s="239">
        <v>0</v>
      </c>
      <c r="BB167" s="239">
        <v>109</v>
      </c>
      <c r="BC167" s="239">
        <v>91694.074645833316</v>
      </c>
      <c r="BD167" s="239">
        <v>0</v>
      </c>
      <c r="BE167" s="239">
        <v>1871.3076458333333</v>
      </c>
      <c r="BF167" s="239">
        <v>0</v>
      </c>
      <c r="BG167" s="239">
        <v>0</v>
      </c>
      <c r="BH167" s="239">
        <v>0</v>
      </c>
      <c r="BI167" s="239">
        <v>91694</v>
      </c>
      <c r="BJ167" s="239">
        <v>0</v>
      </c>
      <c r="BK167" s="239">
        <v>1871</v>
      </c>
      <c r="BL167" s="239">
        <v>22942.285916666668</v>
      </c>
      <c r="BM167" s="239">
        <v>0</v>
      </c>
      <c r="BN167" s="239">
        <v>468.20991666666669</v>
      </c>
      <c r="BO167" s="239">
        <v>4166</v>
      </c>
      <c r="BP167" s="239">
        <v>0</v>
      </c>
      <c r="BQ167" s="239">
        <v>86</v>
      </c>
      <c r="BR167" s="239">
        <v>18776</v>
      </c>
      <c r="BS167" s="239">
        <v>0</v>
      </c>
      <c r="BT167" s="239">
        <v>382</v>
      </c>
      <c r="BU167" s="239">
        <v>494499.52606249996</v>
      </c>
      <c r="BV167" s="239">
        <v>0</v>
      </c>
      <c r="BW167" s="239">
        <v>10091.8270625</v>
      </c>
      <c r="BX167" s="239">
        <v>372644</v>
      </c>
      <c r="BY167" s="239">
        <v>0</v>
      </c>
      <c r="BZ167" s="239">
        <v>7604</v>
      </c>
      <c r="CA167" s="239">
        <v>121856</v>
      </c>
      <c r="CB167" s="239">
        <v>0</v>
      </c>
      <c r="CC167" s="239">
        <v>2488</v>
      </c>
      <c r="CD167" s="239">
        <v>0</v>
      </c>
      <c r="CE167" s="239">
        <v>0</v>
      </c>
      <c r="CF167" s="239">
        <v>0</v>
      </c>
      <c r="CG167" s="239">
        <v>0</v>
      </c>
      <c r="CH167" s="239">
        <v>0</v>
      </c>
      <c r="CI167" s="239">
        <v>0</v>
      </c>
      <c r="CJ167" s="239">
        <v>0</v>
      </c>
      <c r="CK167" s="239">
        <v>0</v>
      </c>
      <c r="CL167" s="239">
        <v>0</v>
      </c>
      <c r="CM167" s="239">
        <v>0</v>
      </c>
      <c r="CN167" s="239">
        <v>0</v>
      </c>
      <c r="CO167" s="239">
        <v>0</v>
      </c>
      <c r="CP167" s="239">
        <v>0</v>
      </c>
      <c r="CQ167" s="239">
        <v>0</v>
      </c>
      <c r="CR167" s="239">
        <v>0</v>
      </c>
      <c r="CS167" s="239">
        <v>0</v>
      </c>
      <c r="CT167" s="239">
        <v>0</v>
      </c>
      <c r="CU167" s="239">
        <v>0</v>
      </c>
      <c r="CV167" s="239">
        <v>651430.48774999997</v>
      </c>
      <c r="CW167" s="239">
        <v>0</v>
      </c>
      <c r="CX167" s="239">
        <v>13294.499749999999</v>
      </c>
      <c r="CY167" s="239">
        <v>650839</v>
      </c>
      <c r="CZ167" s="239">
        <v>0</v>
      </c>
      <c r="DA167" s="239">
        <v>13282</v>
      </c>
      <c r="DB167" s="239">
        <v>591</v>
      </c>
      <c r="DC167" s="239">
        <v>0</v>
      </c>
      <c r="DD167" s="239">
        <v>12</v>
      </c>
      <c r="DE167" s="214">
        <v>0.5</v>
      </c>
      <c r="DF167" s="214">
        <v>0.49</v>
      </c>
      <c r="DG167" s="214">
        <v>0</v>
      </c>
      <c r="DH167" s="214">
        <v>0.01</v>
      </c>
      <c r="DI167" s="214" t="s">
        <v>748</v>
      </c>
    </row>
    <row r="168" spans="1:113" s="214" customFormat="1" x14ac:dyDescent="0.2">
      <c r="B168" s="610" t="s">
        <v>419</v>
      </c>
      <c r="C168" s="610" t="s">
        <v>418</v>
      </c>
      <c r="D168" s="239">
        <v>-18896</v>
      </c>
      <c r="E168" s="239">
        <v>0</v>
      </c>
      <c r="F168" s="239">
        <v>-18896</v>
      </c>
      <c r="G168" s="239">
        <v>0</v>
      </c>
      <c r="H168" s="239">
        <v>0</v>
      </c>
      <c r="I168" s="239">
        <v>0</v>
      </c>
      <c r="J168" s="239">
        <v>-18896</v>
      </c>
      <c r="K168" s="239">
        <v>0</v>
      </c>
      <c r="L168" s="239">
        <v>-18896</v>
      </c>
      <c r="M168" s="239">
        <v>62568</v>
      </c>
      <c r="N168" s="239">
        <v>62568</v>
      </c>
      <c r="O168" s="239">
        <v>0</v>
      </c>
      <c r="P168" s="239">
        <v>0</v>
      </c>
      <c r="Q168" s="239">
        <v>0</v>
      </c>
      <c r="R168" s="239">
        <v>0</v>
      </c>
      <c r="S168" s="239">
        <v>81750</v>
      </c>
      <c r="T168" s="239">
        <v>0</v>
      </c>
      <c r="U168" s="239">
        <v>0</v>
      </c>
      <c r="V168" s="239">
        <v>0</v>
      </c>
      <c r="W168" s="239">
        <v>81750</v>
      </c>
      <c r="X168" s="239">
        <v>0</v>
      </c>
      <c r="Y168" s="239">
        <v>0</v>
      </c>
      <c r="Z168" s="239">
        <v>0</v>
      </c>
      <c r="AA168" s="239">
        <v>0</v>
      </c>
      <c r="AB168" s="239">
        <v>0</v>
      </c>
      <c r="AC168" s="239">
        <v>0</v>
      </c>
      <c r="AD168" s="239">
        <v>0</v>
      </c>
      <c r="AE168" s="239">
        <v>0</v>
      </c>
      <c r="AF168" s="239">
        <v>0</v>
      </c>
      <c r="AG168" s="239">
        <v>0</v>
      </c>
      <c r="AH168" s="239">
        <v>0</v>
      </c>
      <c r="AI168" s="239">
        <v>0</v>
      </c>
      <c r="AJ168" s="239">
        <v>0</v>
      </c>
      <c r="AK168" s="239">
        <v>242007.75083333332</v>
      </c>
      <c r="AL168" s="239">
        <v>54451.743937499996</v>
      </c>
      <c r="AM168" s="239">
        <v>6050.1937708333335</v>
      </c>
      <c r="AN168" s="239">
        <v>252511</v>
      </c>
      <c r="AO168" s="239">
        <v>56814</v>
      </c>
      <c r="AP168" s="239">
        <v>6312</v>
      </c>
      <c r="AQ168" s="239">
        <v>-10503</v>
      </c>
      <c r="AR168" s="239">
        <v>-2362</v>
      </c>
      <c r="AS168" s="239">
        <v>-262</v>
      </c>
      <c r="AT168" s="239">
        <v>786.09916666666675</v>
      </c>
      <c r="AU168" s="239">
        <v>176.87231249999999</v>
      </c>
      <c r="AV168" s="239">
        <v>19.652479166666666</v>
      </c>
      <c r="AW168" s="239">
        <v>0</v>
      </c>
      <c r="AX168" s="239">
        <v>0</v>
      </c>
      <c r="AY168" s="239">
        <v>0</v>
      </c>
      <c r="AZ168" s="239">
        <v>786</v>
      </c>
      <c r="BA168" s="239">
        <v>177</v>
      </c>
      <c r="BB168" s="239">
        <v>20</v>
      </c>
      <c r="BC168" s="239">
        <v>0</v>
      </c>
      <c r="BD168" s="239">
        <v>0</v>
      </c>
      <c r="BE168" s="239">
        <v>0</v>
      </c>
      <c r="BF168" s="239">
        <v>0</v>
      </c>
      <c r="BG168" s="239">
        <v>0</v>
      </c>
      <c r="BH168" s="239">
        <v>0</v>
      </c>
      <c r="BI168" s="239">
        <v>0</v>
      </c>
      <c r="BJ168" s="239">
        <v>0</v>
      </c>
      <c r="BK168" s="239">
        <v>0</v>
      </c>
      <c r="BL168" s="239">
        <v>2652.5266666666666</v>
      </c>
      <c r="BM168" s="239">
        <v>596.81849999999997</v>
      </c>
      <c r="BN168" s="239">
        <v>66.313166666666675</v>
      </c>
      <c r="BO168" s="239">
        <v>0</v>
      </c>
      <c r="BP168" s="239">
        <v>0</v>
      </c>
      <c r="BQ168" s="239">
        <v>0</v>
      </c>
      <c r="BR168" s="239">
        <v>2653</v>
      </c>
      <c r="BS168" s="239">
        <v>597</v>
      </c>
      <c r="BT168" s="239">
        <v>66</v>
      </c>
      <c r="BU168" s="239">
        <v>125373.68583333332</v>
      </c>
      <c r="BV168" s="239">
        <v>28209.079312499998</v>
      </c>
      <c r="BW168" s="239">
        <v>3134.3421458333332</v>
      </c>
      <c r="BX168" s="239">
        <v>142040</v>
      </c>
      <c r="BY168" s="239">
        <v>31960</v>
      </c>
      <c r="BZ168" s="239">
        <v>3552</v>
      </c>
      <c r="CA168" s="239">
        <v>-16666</v>
      </c>
      <c r="CB168" s="239">
        <v>-3751</v>
      </c>
      <c r="CC168" s="239">
        <v>-418</v>
      </c>
      <c r="CD168" s="239">
        <v>0</v>
      </c>
      <c r="CE168" s="239">
        <v>0</v>
      </c>
      <c r="CF168" s="239">
        <v>0</v>
      </c>
      <c r="CG168" s="239">
        <v>0</v>
      </c>
      <c r="CH168" s="239">
        <v>0</v>
      </c>
      <c r="CI168" s="239">
        <v>0</v>
      </c>
      <c r="CJ168" s="239">
        <v>0</v>
      </c>
      <c r="CK168" s="239">
        <v>0</v>
      </c>
      <c r="CL168" s="239">
        <v>0</v>
      </c>
      <c r="CM168" s="239">
        <v>5260.0058333333336</v>
      </c>
      <c r="CN168" s="239">
        <v>1183.5013125</v>
      </c>
      <c r="CO168" s="239">
        <v>131.50014583333333</v>
      </c>
      <c r="CP168" s="239">
        <v>0</v>
      </c>
      <c r="CQ168" s="239">
        <v>0</v>
      </c>
      <c r="CR168" s="239">
        <v>0</v>
      </c>
      <c r="CS168" s="239">
        <v>5260</v>
      </c>
      <c r="CT168" s="239">
        <v>1184</v>
      </c>
      <c r="CU168" s="239">
        <v>132</v>
      </c>
      <c r="CV168" s="239">
        <v>77304.21066666668</v>
      </c>
      <c r="CW168" s="239">
        <v>17125.205212500001</v>
      </c>
      <c r="CX168" s="239">
        <v>1902.8005791666667</v>
      </c>
      <c r="CY168" s="239">
        <v>76892</v>
      </c>
      <c r="CZ168" s="239">
        <v>17301</v>
      </c>
      <c r="DA168" s="239">
        <v>1922</v>
      </c>
      <c r="DB168" s="239">
        <v>412</v>
      </c>
      <c r="DC168" s="239">
        <v>-176</v>
      </c>
      <c r="DD168" s="239">
        <v>-19</v>
      </c>
      <c r="DE168" s="214">
        <v>0.5</v>
      </c>
      <c r="DF168" s="214">
        <v>0.4</v>
      </c>
      <c r="DG168" s="214">
        <v>0.09</v>
      </c>
      <c r="DH168" s="214">
        <v>0.01</v>
      </c>
      <c r="DI168" s="214" t="s">
        <v>1294</v>
      </c>
    </row>
    <row r="169" spans="1:113" s="214" customFormat="1" x14ac:dyDescent="0.2">
      <c r="B169" s="610" t="s">
        <v>421</v>
      </c>
      <c r="C169" s="610" t="s">
        <v>420</v>
      </c>
      <c r="D169" s="239">
        <v>472429</v>
      </c>
      <c r="E169" s="239">
        <v>0</v>
      </c>
      <c r="F169" s="239">
        <v>472429</v>
      </c>
      <c r="G169" s="239">
        <v>0</v>
      </c>
      <c r="H169" s="239">
        <v>0</v>
      </c>
      <c r="I169" s="239">
        <v>0</v>
      </c>
      <c r="J169" s="239">
        <v>472429</v>
      </c>
      <c r="K169" s="239">
        <v>0</v>
      </c>
      <c r="L169" s="239">
        <v>472429</v>
      </c>
      <c r="M169" s="239">
        <v>164661</v>
      </c>
      <c r="N169" s="239">
        <v>164661</v>
      </c>
      <c r="O169" s="239">
        <v>0</v>
      </c>
      <c r="P169" s="239">
        <v>0</v>
      </c>
      <c r="Q169" s="239">
        <v>0</v>
      </c>
      <c r="R169" s="239">
        <v>0</v>
      </c>
      <c r="S169" s="239">
        <v>220938</v>
      </c>
      <c r="T169" s="239">
        <v>0</v>
      </c>
      <c r="U169" s="239">
        <v>0</v>
      </c>
      <c r="V169" s="239">
        <v>0</v>
      </c>
      <c r="W169" s="239">
        <v>220938</v>
      </c>
      <c r="X169" s="239">
        <v>0</v>
      </c>
      <c r="Y169" s="239">
        <v>0</v>
      </c>
      <c r="Z169" s="239">
        <v>0</v>
      </c>
      <c r="AA169" s="239">
        <v>0</v>
      </c>
      <c r="AB169" s="239">
        <v>0</v>
      </c>
      <c r="AC169" s="239">
        <v>0</v>
      </c>
      <c r="AD169" s="239">
        <v>0</v>
      </c>
      <c r="AE169" s="239">
        <v>0</v>
      </c>
      <c r="AF169" s="239">
        <v>0</v>
      </c>
      <c r="AG169" s="239">
        <v>0</v>
      </c>
      <c r="AH169" s="239">
        <v>0</v>
      </c>
      <c r="AI169" s="239">
        <v>0</v>
      </c>
      <c r="AJ169" s="239">
        <v>0</v>
      </c>
      <c r="AK169" s="239">
        <v>658174.61541666661</v>
      </c>
      <c r="AL169" s="239">
        <v>148089.28846874999</v>
      </c>
      <c r="AM169" s="239">
        <v>16454.365385416666</v>
      </c>
      <c r="AN169" s="239">
        <v>623415</v>
      </c>
      <c r="AO169" s="239">
        <v>140268</v>
      </c>
      <c r="AP169" s="239">
        <v>15586</v>
      </c>
      <c r="AQ169" s="239">
        <v>34760</v>
      </c>
      <c r="AR169" s="239">
        <v>7821</v>
      </c>
      <c r="AS169" s="239">
        <v>868</v>
      </c>
      <c r="AT169" s="239">
        <v>0</v>
      </c>
      <c r="AU169" s="239">
        <v>0</v>
      </c>
      <c r="AV169" s="239">
        <v>0</v>
      </c>
      <c r="AW169" s="239">
        <v>1153</v>
      </c>
      <c r="AX169" s="239">
        <v>260</v>
      </c>
      <c r="AY169" s="239">
        <v>28</v>
      </c>
      <c r="AZ169" s="239">
        <v>-1153</v>
      </c>
      <c r="BA169" s="239">
        <v>-260</v>
      </c>
      <c r="BB169" s="239">
        <v>-28</v>
      </c>
      <c r="BC169" s="239">
        <v>2693.11</v>
      </c>
      <c r="BD169" s="239">
        <v>605.94974999999999</v>
      </c>
      <c r="BE169" s="239">
        <v>67.327750000000009</v>
      </c>
      <c r="BF169" s="239">
        <v>689</v>
      </c>
      <c r="BG169" s="239">
        <v>156</v>
      </c>
      <c r="BH169" s="239">
        <v>18</v>
      </c>
      <c r="BI169" s="239">
        <v>2004</v>
      </c>
      <c r="BJ169" s="239">
        <v>450</v>
      </c>
      <c r="BK169" s="239">
        <v>49</v>
      </c>
      <c r="BL169" s="239">
        <v>582.37083333333328</v>
      </c>
      <c r="BM169" s="239">
        <v>131.03343749999999</v>
      </c>
      <c r="BN169" s="239">
        <v>14.559270833333333</v>
      </c>
      <c r="BO169" s="239">
        <v>0</v>
      </c>
      <c r="BP169" s="239">
        <v>0</v>
      </c>
      <c r="BQ169" s="239">
        <v>0</v>
      </c>
      <c r="BR169" s="239">
        <v>582</v>
      </c>
      <c r="BS169" s="239">
        <v>131</v>
      </c>
      <c r="BT169" s="239">
        <v>15</v>
      </c>
      <c r="BU169" s="239">
        <v>302499.64416666667</v>
      </c>
      <c r="BV169" s="239">
        <v>68062.419937500003</v>
      </c>
      <c r="BW169" s="239">
        <v>7562.4911041666664</v>
      </c>
      <c r="BX169" s="239">
        <v>264839</v>
      </c>
      <c r="BY169" s="239">
        <v>59588</v>
      </c>
      <c r="BZ169" s="239">
        <v>6620</v>
      </c>
      <c r="CA169" s="239">
        <v>37661</v>
      </c>
      <c r="CB169" s="239">
        <v>8474</v>
      </c>
      <c r="CC169" s="239">
        <v>942</v>
      </c>
      <c r="CD169" s="239">
        <v>0</v>
      </c>
      <c r="CE169" s="239">
        <v>0</v>
      </c>
      <c r="CF169" s="239">
        <v>0</v>
      </c>
      <c r="CG169" s="239">
        <v>0</v>
      </c>
      <c r="CH169" s="239">
        <v>0</v>
      </c>
      <c r="CI169" s="239">
        <v>0</v>
      </c>
      <c r="CJ169" s="239">
        <v>0</v>
      </c>
      <c r="CK169" s="239">
        <v>0</v>
      </c>
      <c r="CL169" s="239">
        <v>0</v>
      </c>
      <c r="CM169" s="239">
        <v>4560.3491666666669</v>
      </c>
      <c r="CN169" s="239">
        <v>1026.0785625000001</v>
      </c>
      <c r="CO169" s="239">
        <v>114.00872916666667</v>
      </c>
      <c r="CP169" s="239">
        <v>0</v>
      </c>
      <c r="CQ169" s="239">
        <v>0</v>
      </c>
      <c r="CR169" s="239">
        <v>0</v>
      </c>
      <c r="CS169" s="239">
        <v>4560</v>
      </c>
      <c r="CT169" s="239">
        <v>1026</v>
      </c>
      <c r="CU169" s="239">
        <v>114</v>
      </c>
      <c r="CV169" s="239">
        <v>190750.88083333333</v>
      </c>
      <c r="CW169" s="239">
        <v>42193.995375000006</v>
      </c>
      <c r="CX169" s="239">
        <v>4688.2217083333335</v>
      </c>
      <c r="CY169" s="239">
        <v>190737</v>
      </c>
      <c r="CZ169" s="239">
        <v>42916</v>
      </c>
      <c r="DA169" s="239">
        <v>4768</v>
      </c>
      <c r="DB169" s="239">
        <v>14</v>
      </c>
      <c r="DC169" s="239">
        <v>-722</v>
      </c>
      <c r="DD169" s="239">
        <v>-80</v>
      </c>
      <c r="DE169" s="214">
        <v>0.5</v>
      </c>
      <c r="DF169" s="214">
        <v>0.4</v>
      </c>
      <c r="DG169" s="214">
        <v>0.09</v>
      </c>
      <c r="DH169" s="214">
        <v>0.01</v>
      </c>
      <c r="DI169" s="214" t="s">
        <v>1294</v>
      </c>
    </row>
    <row r="170" spans="1:113" s="214" customFormat="1" x14ac:dyDescent="0.2">
      <c r="B170" s="610" t="s">
        <v>423</v>
      </c>
      <c r="C170" s="610" t="s">
        <v>422</v>
      </c>
      <c r="D170" s="239">
        <v>163630</v>
      </c>
      <c r="E170" s="239">
        <v>0</v>
      </c>
      <c r="F170" s="239">
        <v>163630</v>
      </c>
      <c r="G170" s="239">
        <v>0</v>
      </c>
      <c r="H170" s="239">
        <v>0</v>
      </c>
      <c r="I170" s="239">
        <v>0</v>
      </c>
      <c r="J170" s="239">
        <v>163630</v>
      </c>
      <c r="K170" s="239">
        <v>0</v>
      </c>
      <c r="L170" s="239">
        <v>163630</v>
      </c>
      <c r="M170" s="239">
        <v>277151</v>
      </c>
      <c r="N170" s="239">
        <v>315055</v>
      </c>
      <c r="O170" s="239">
        <v>-37904</v>
      </c>
      <c r="P170" s="239">
        <v>0</v>
      </c>
      <c r="Q170" s="239">
        <v>0</v>
      </c>
      <c r="R170" s="239">
        <v>0</v>
      </c>
      <c r="S170" s="239">
        <v>0</v>
      </c>
      <c r="T170" s="239">
        <v>0</v>
      </c>
      <c r="U170" s="239">
        <v>0</v>
      </c>
      <c r="V170" s="239">
        <v>0</v>
      </c>
      <c r="W170" s="239">
        <v>0</v>
      </c>
      <c r="X170" s="239">
        <v>0</v>
      </c>
      <c r="Y170" s="239">
        <v>0</v>
      </c>
      <c r="Z170" s="239">
        <v>0</v>
      </c>
      <c r="AA170" s="239">
        <v>0</v>
      </c>
      <c r="AB170" s="239">
        <v>0</v>
      </c>
      <c r="AC170" s="239">
        <v>0</v>
      </c>
      <c r="AD170" s="239">
        <v>0</v>
      </c>
      <c r="AE170" s="239">
        <v>0</v>
      </c>
      <c r="AF170" s="239">
        <v>0</v>
      </c>
      <c r="AG170" s="239">
        <v>0</v>
      </c>
      <c r="AH170" s="239">
        <v>0</v>
      </c>
      <c r="AI170" s="239">
        <v>0</v>
      </c>
      <c r="AJ170" s="239">
        <v>0</v>
      </c>
      <c r="AK170" s="239">
        <v>429808.05620624998</v>
      </c>
      <c r="AL170" s="239">
        <v>286538.70413749997</v>
      </c>
      <c r="AM170" s="239">
        <v>0</v>
      </c>
      <c r="AN170" s="239">
        <v>422850</v>
      </c>
      <c r="AO170" s="239">
        <v>281900</v>
      </c>
      <c r="AP170" s="239">
        <v>0</v>
      </c>
      <c r="AQ170" s="239">
        <v>6958</v>
      </c>
      <c r="AR170" s="239">
        <v>4639</v>
      </c>
      <c r="AS170" s="239">
        <v>0</v>
      </c>
      <c r="AT170" s="239">
        <v>0</v>
      </c>
      <c r="AU170" s="239">
        <v>0</v>
      </c>
      <c r="AV170" s="239">
        <v>0</v>
      </c>
      <c r="AW170" s="239">
        <v>17259</v>
      </c>
      <c r="AX170" s="239">
        <v>11506</v>
      </c>
      <c r="AY170" s="239">
        <v>0</v>
      </c>
      <c r="AZ170" s="239">
        <v>-17259</v>
      </c>
      <c r="BA170" s="239">
        <v>-11506</v>
      </c>
      <c r="BB170" s="239">
        <v>0</v>
      </c>
      <c r="BC170" s="239">
        <v>0</v>
      </c>
      <c r="BD170" s="239">
        <v>0</v>
      </c>
      <c r="BE170" s="239">
        <v>0</v>
      </c>
      <c r="BF170" s="239">
        <v>0</v>
      </c>
      <c r="BG170" s="239">
        <v>0</v>
      </c>
      <c r="BH170" s="239">
        <v>0</v>
      </c>
      <c r="BI170" s="239">
        <v>0</v>
      </c>
      <c r="BJ170" s="239">
        <v>0</v>
      </c>
      <c r="BK170" s="239">
        <v>0</v>
      </c>
      <c r="BL170" s="239">
        <v>20156.90869375</v>
      </c>
      <c r="BM170" s="239">
        <v>13437.939129166669</v>
      </c>
      <c r="BN170" s="239">
        <v>0</v>
      </c>
      <c r="BO170" s="239">
        <v>1913</v>
      </c>
      <c r="BP170" s="239">
        <v>1276</v>
      </c>
      <c r="BQ170" s="239">
        <v>0</v>
      </c>
      <c r="BR170" s="239">
        <v>18244</v>
      </c>
      <c r="BS170" s="239">
        <v>12162</v>
      </c>
      <c r="BT170" s="239">
        <v>0</v>
      </c>
      <c r="BU170" s="239">
        <v>336340.57511874998</v>
      </c>
      <c r="BV170" s="239">
        <v>224227.05007916666</v>
      </c>
      <c r="BW170" s="239">
        <v>0</v>
      </c>
      <c r="BX170" s="239">
        <v>319715</v>
      </c>
      <c r="BY170" s="239">
        <v>213142</v>
      </c>
      <c r="BZ170" s="239">
        <v>0</v>
      </c>
      <c r="CA170" s="239">
        <v>16626</v>
      </c>
      <c r="CB170" s="239">
        <v>11085</v>
      </c>
      <c r="CC170" s="239">
        <v>0</v>
      </c>
      <c r="CD170" s="239">
        <v>0</v>
      </c>
      <c r="CE170" s="239">
        <v>0</v>
      </c>
      <c r="CF170" s="239">
        <v>0</v>
      </c>
      <c r="CG170" s="239">
        <v>0</v>
      </c>
      <c r="CH170" s="239">
        <v>0</v>
      </c>
      <c r="CI170" s="239">
        <v>0</v>
      </c>
      <c r="CJ170" s="239">
        <v>0</v>
      </c>
      <c r="CK170" s="239">
        <v>0</v>
      </c>
      <c r="CL170" s="239">
        <v>0</v>
      </c>
      <c r="CM170" s="239">
        <v>4000.5589</v>
      </c>
      <c r="CN170" s="239">
        <v>2667.0392666666667</v>
      </c>
      <c r="CO170" s="239">
        <v>0</v>
      </c>
      <c r="CP170" s="239">
        <v>0</v>
      </c>
      <c r="CQ170" s="239">
        <v>0</v>
      </c>
      <c r="CR170" s="239">
        <v>0</v>
      </c>
      <c r="CS170" s="239">
        <v>4001</v>
      </c>
      <c r="CT170" s="239">
        <v>2667</v>
      </c>
      <c r="CU170" s="239">
        <v>0</v>
      </c>
      <c r="CV170" s="239">
        <v>373699.09499999997</v>
      </c>
      <c r="CW170" s="239">
        <v>249132.72999999998</v>
      </c>
      <c r="CX170" s="239">
        <v>0</v>
      </c>
      <c r="CY170" s="239">
        <v>372309</v>
      </c>
      <c r="CZ170" s="239">
        <v>248206</v>
      </c>
      <c r="DA170" s="239">
        <v>0</v>
      </c>
      <c r="DB170" s="239">
        <v>1390</v>
      </c>
      <c r="DC170" s="239">
        <v>927</v>
      </c>
      <c r="DD170" s="239">
        <v>0</v>
      </c>
      <c r="DE170" s="214">
        <v>0.5</v>
      </c>
      <c r="DF170" s="214">
        <v>0.3</v>
      </c>
      <c r="DG170" s="214">
        <v>0.2</v>
      </c>
      <c r="DH170" s="214">
        <v>0</v>
      </c>
      <c r="DI170" s="214" t="s">
        <v>1295</v>
      </c>
    </row>
    <row r="171" spans="1:113" s="214" customFormat="1" x14ac:dyDescent="0.2">
      <c r="B171" s="610" t="s">
        <v>425</v>
      </c>
      <c r="C171" s="610" t="s">
        <v>424</v>
      </c>
      <c r="D171" s="239">
        <v>119777</v>
      </c>
      <c r="E171" s="239">
        <v>0</v>
      </c>
      <c r="F171" s="239">
        <v>119777</v>
      </c>
      <c r="G171" s="239">
        <v>0</v>
      </c>
      <c r="H171" s="239">
        <v>0</v>
      </c>
      <c r="I171" s="239">
        <v>0</v>
      </c>
      <c r="J171" s="239">
        <v>119777</v>
      </c>
      <c r="K171" s="239">
        <v>0</v>
      </c>
      <c r="L171" s="239">
        <v>119777</v>
      </c>
      <c r="M171" s="239">
        <v>107596</v>
      </c>
      <c r="N171" s="239">
        <v>107596</v>
      </c>
      <c r="O171" s="239">
        <v>0</v>
      </c>
      <c r="P171" s="239">
        <v>0</v>
      </c>
      <c r="Q171" s="239">
        <v>0</v>
      </c>
      <c r="R171" s="239">
        <v>0</v>
      </c>
      <c r="S171" s="239">
        <v>91604</v>
      </c>
      <c r="T171" s="239">
        <v>0</v>
      </c>
      <c r="U171" s="239">
        <v>61625</v>
      </c>
      <c r="V171" s="239">
        <v>0</v>
      </c>
      <c r="W171" s="239">
        <v>29979</v>
      </c>
      <c r="X171" s="239">
        <v>0</v>
      </c>
      <c r="Y171" s="239">
        <v>0</v>
      </c>
      <c r="Z171" s="239">
        <v>0</v>
      </c>
      <c r="AA171" s="239">
        <v>0</v>
      </c>
      <c r="AB171" s="239">
        <v>0</v>
      </c>
      <c r="AC171" s="239">
        <v>0</v>
      </c>
      <c r="AD171" s="239">
        <v>0</v>
      </c>
      <c r="AE171" s="239">
        <v>0</v>
      </c>
      <c r="AF171" s="239">
        <v>0</v>
      </c>
      <c r="AG171" s="239">
        <v>0</v>
      </c>
      <c r="AH171" s="239">
        <v>0</v>
      </c>
      <c r="AI171" s="239">
        <v>0</v>
      </c>
      <c r="AJ171" s="239">
        <v>0</v>
      </c>
      <c r="AK171" s="239">
        <v>435363.39</v>
      </c>
      <c r="AL171" s="239">
        <v>97956.762749999994</v>
      </c>
      <c r="AM171" s="239">
        <v>10884.08475</v>
      </c>
      <c r="AN171" s="239">
        <v>436636</v>
      </c>
      <c r="AO171" s="239">
        <v>98242</v>
      </c>
      <c r="AP171" s="239">
        <v>10916</v>
      </c>
      <c r="AQ171" s="239">
        <v>-1273</v>
      </c>
      <c r="AR171" s="239">
        <v>-285</v>
      </c>
      <c r="AS171" s="239">
        <v>-32</v>
      </c>
      <c r="AT171" s="239">
        <v>4834.692500000001</v>
      </c>
      <c r="AU171" s="239">
        <v>1087.8058125</v>
      </c>
      <c r="AV171" s="239">
        <v>120.86731250000001</v>
      </c>
      <c r="AW171" s="239">
        <v>1623</v>
      </c>
      <c r="AX171" s="239">
        <v>366</v>
      </c>
      <c r="AY171" s="239">
        <v>40</v>
      </c>
      <c r="AZ171" s="239">
        <v>3212</v>
      </c>
      <c r="BA171" s="239">
        <v>722</v>
      </c>
      <c r="BB171" s="239">
        <v>81</v>
      </c>
      <c r="BC171" s="239">
        <v>10802.471666666666</v>
      </c>
      <c r="BD171" s="239">
        <v>2430.5561249999996</v>
      </c>
      <c r="BE171" s="239">
        <v>270.06179166666669</v>
      </c>
      <c r="BF171" s="239">
        <v>8982</v>
      </c>
      <c r="BG171" s="239">
        <v>2020</v>
      </c>
      <c r="BH171" s="239">
        <v>224</v>
      </c>
      <c r="BI171" s="239">
        <v>1820</v>
      </c>
      <c r="BJ171" s="239">
        <v>411</v>
      </c>
      <c r="BK171" s="239">
        <v>46</v>
      </c>
      <c r="BL171" s="239">
        <v>3855.416666666667</v>
      </c>
      <c r="BM171" s="239">
        <v>867.46874999999989</v>
      </c>
      <c r="BN171" s="239">
        <v>96.385416666666671</v>
      </c>
      <c r="BO171" s="239">
        <v>3235</v>
      </c>
      <c r="BP171" s="239">
        <v>728</v>
      </c>
      <c r="BQ171" s="239">
        <v>80</v>
      </c>
      <c r="BR171" s="239">
        <v>620</v>
      </c>
      <c r="BS171" s="239">
        <v>139</v>
      </c>
      <c r="BT171" s="239">
        <v>16</v>
      </c>
      <c r="BU171" s="239">
        <v>144042.42499999999</v>
      </c>
      <c r="BV171" s="239">
        <v>32409.545624999999</v>
      </c>
      <c r="BW171" s="239">
        <v>3601.0606250000001</v>
      </c>
      <c r="BX171" s="239">
        <v>109409</v>
      </c>
      <c r="BY171" s="239">
        <v>24616</v>
      </c>
      <c r="BZ171" s="239">
        <v>2736</v>
      </c>
      <c r="CA171" s="239">
        <v>34633</v>
      </c>
      <c r="CB171" s="239">
        <v>7794</v>
      </c>
      <c r="CC171" s="239">
        <v>865</v>
      </c>
      <c r="CD171" s="239">
        <v>0</v>
      </c>
      <c r="CE171" s="239">
        <v>0</v>
      </c>
      <c r="CF171" s="239">
        <v>0</v>
      </c>
      <c r="CG171" s="239">
        <v>0</v>
      </c>
      <c r="CH171" s="239">
        <v>0</v>
      </c>
      <c r="CI171" s="239">
        <v>0</v>
      </c>
      <c r="CJ171" s="239">
        <v>0</v>
      </c>
      <c r="CK171" s="239">
        <v>0</v>
      </c>
      <c r="CL171" s="239">
        <v>0</v>
      </c>
      <c r="CM171" s="239">
        <v>16912.2925</v>
      </c>
      <c r="CN171" s="239">
        <v>3805.2658124999998</v>
      </c>
      <c r="CO171" s="239">
        <v>422.80731249999997</v>
      </c>
      <c r="CP171" s="239">
        <v>0</v>
      </c>
      <c r="CQ171" s="239">
        <v>0</v>
      </c>
      <c r="CR171" s="239">
        <v>0</v>
      </c>
      <c r="CS171" s="239">
        <v>16912</v>
      </c>
      <c r="CT171" s="239">
        <v>3805</v>
      </c>
      <c r="CU171" s="239">
        <v>423</v>
      </c>
      <c r="CV171" s="239">
        <v>78799.991666666669</v>
      </c>
      <c r="CW171" s="239">
        <v>17429.422499999997</v>
      </c>
      <c r="CX171" s="239">
        <v>1936.6025000000002</v>
      </c>
      <c r="CY171" s="239">
        <v>87021</v>
      </c>
      <c r="CZ171" s="239">
        <v>19377</v>
      </c>
      <c r="DA171" s="239">
        <v>2153</v>
      </c>
      <c r="DB171" s="239">
        <v>-8221</v>
      </c>
      <c r="DC171" s="239">
        <v>-1948</v>
      </c>
      <c r="DD171" s="239">
        <v>-216</v>
      </c>
      <c r="DE171" s="214">
        <v>0.5</v>
      </c>
      <c r="DF171" s="214">
        <v>0.4</v>
      </c>
      <c r="DG171" s="214">
        <v>0.09</v>
      </c>
      <c r="DH171" s="214">
        <v>0.01</v>
      </c>
      <c r="DI171" s="214" t="s">
        <v>1294</v>
      </c>
    </row>
    <row r="172" spans="1:113" s="214" customFormat="1" x14ac:dyDescent="0.2">
      <c r="B172" s="610" t="s">
        <v>427</v>
      </c>
      <c r="C172" s="610" t="s">
        <v>426</v>
      </c>
      <c r="D172" s="239">
        <v>-162850</v>
      </c>
      <c r="E172" s="239">
        <v>0</v>
      </c>
      <c r="F172" s="239">
        <v>-162850</v>
      </c>
      <c r="G172" s="239">
        <v>0</v>
      </c>
      <c r="H172" s="239">
        <v>0</v>
      </c>
      <c r="I172" s="239">
        <v>0</v>
      </c>
      <c r="J172" s="239">
        <v>-162850</v>
      </c>
      <c r="K172" s="239">
        <v>0</v>
      </c>
      <c r="L172" s="239">
        <v>-162850</v>
      </c>
      <c r="M172" s="239">
        <v>128399</v>
      </c>
      <c r="N172" s="239">
        <v>128399</v>
      </c>
      <c r="O172" s="239">
        <v>0</v>
      </c>
      <c r="P172" s="239">
        <v>0</v>
      </c>
      <c r="Q172" s="239">
        <v>0</v>
      </c>
      <c r="R172" s="239">
        <v>0</v>
      </c>
      <c r="S172" s="239">
        <v>144556</v>
      </c>
      <c r="T172" s="239">
        <v>244795</v>
      </c>
      <c r="U172" s="239">
        <v>52707</v>
      </c>
      <c r="V172" s="239">
        <v>800000</v>
      </c>
      <c r="W172" s="239">
        <v>91849</v>
      </c>
      <c r="X172" s="239">
        <v>-555205</v>
      </c>
      <c r="Y172" s="239">
        <v>0</v>
      </c>
      <c r="Z172" s="239">
        <v>0</v>
      </c>
      <c r="AA172" s="239">
        <v>0</v>
      </c>
      <c r="AB172" s="239">
        <v>0</v>
      </c>
      <c r="AC172" s="239">
        <v>0</v>
      </c>
      <c r="AD172" s="239">
        <v>0</v>
      </c>
      <c r="AE172" s="239">
        <v>0</v>
      </c>
      <c r="AF172" s="239">
        <v>0</v>
      </c>
      <c r="AG172" s="239">
        <v>0</v>
      </c>
      <c r="AH172" s="239">
        <v>0</v>
      </c>
      <c r="AI172" s="239">
        <v>0</v>
      </c>
      <c r="AJ172" s="239">
        <v>0</v>
      </c>
      <c r="AK172" s="239">
        <v>436020.84000000008</v>
      </c>
      <c r="AL172" s="239">
        <v>109005.21000000002</v>
      </c>
      <c r="AM172" s="239">
        <v>0</v>
      </c>
      <c r="AN172" s="239">
        <v>406549</v>
      </c>
      <c r="AO172" s="239">
        <v>101638</v>
      </c>
      <c r="AP172" s="239">
        <v>0</v>
      </c>
      <c r="AQ172" s="239">
        <v>29472</v>
      </c>
      <c r="AR172" s="239">
        <v>7367</v>
      </c>
      <c r="AS172" s="239">
        <v>0</v>
      </c>
      <c r="AT172" s="239">
        <v>3933.336666666667</v>
      </c>
      <c r="AU172" s="239">
        <v>983.33416666666676</v>
      </c>
      <c r="AV172" s="239">
        <v>0</v>
      </c>
      <c r="AW172" s="239">
        <v>2041</v>
      </c>
      <c r="AX172" s="239">
        <v>510</v>
      </c>
      <c r="AY172" s="239">
        <v>0</v>
      </c>
      <c r="AZ172" s="239">
        <v>1892</v>
      </c>
      <c r="BA172" s="239">
        <v>473</v>
      </c>
      <c r="BB172" s="239">
        <v>0</v>
      </c>
      <c r="BC172" s="239">
        <v>4098.5108333333328</v>
      </c>
      <c r="BD172" s="239">
        <v>1024.6277083333332</v>
      </c>
      <c r="BE172" s="239">
        <v>0</v>
      </c>
      <c r="BF172" s="239">
        <v>0</v>
      </c>
      <c r="BG172" s="239">
        <v>0</v>
      </c>
      <c r="BH172" s="239">
        <v>0</v>
      </c>
      <c r="BI172" s="239">
        <v>4099</v>
      </c>
      <c r="BJ172" s="239">
        <v>1025</v>
      </c>
      <c r="BK172" s="239">
        <v>0</v>
      </c>
      <c r="BL172" s="239">
        <v>1544.1958333333334</v>
      </c>
      <c r="BM172" s="239">
        <v>386.04895833333336</v>
      </c>
      <c r="BN172" s="239">
        <v>0</v>
      </c>
      <c r="BO172" s="239">
        <v>0</v>
      </c>
      <c r="BP172" s="239">
        <v>0</v>
      </c>
      <c r="BQ172" s="239">
        <v>0</v>
      </c>
      <c r="BR172" s="239">
        <v>1544</v>
      </c>
      <c r="BS172" s="239">
        <v>386</v>
      </c>
      <c r="BT172" s="239">
        <v>0</v>
      </c>
      <c r="BU172" s="239">
        <v>122073.85500000001</v>
      </c>
      <c r="BV172" s="239">
        <v>30518.463750000003</v>
      </c>
      <c r="BW172" s="239">
        <v>0</v>
      </c>
      <c r="BX172" s="239">
        <v>87837</v>
      </c>
      <c r="BY172" s="239">
        <v>21960</v>
      </c>
      <c r="BZ172" s="239">
        <v>0</v>
      </c>
      <c r="CA172" s="239">
        <v>34237</v>
      </c>
      <c r="CB172" s="239">
        <v>8558</v>
      </c>
      <c r="CC172" s="239">
        <v>0</v>
      </c>
      <c r="CD172" s="239">
        <v>0</v>
      </c>
      <c r="CE172" s="239">
        <v>0</v>
      </c>
      <c r="CF172" s="239">
        <v>0</v>
      </c>
      <c r="CG172" s="239">
        <v>0</v>
      </c>
      <c r="CH172" s="239">
        <v>0</v>
      </c>
      <c r="CI172" s="239">
        <v>0</v>
      </c>
      <c r="CJ172" s="239">
        <v>0</v>
      </c>
      <c r="CK172" s="239">
        <v>0</v>
      </c>
      <c r="CL172" s="239">
        <v>0</v>
      </c>
      <c r="CM172" s="239">
        <v>2428.9124999999999</v>
      </c>
      <c r="CN172" s="239">
        <v>607.22812499999998</v>
      </c>
      <c r="CO172" s="239">
        <v>0</v>
      </c>
      <c r="CP172" s="239">
        <v>0</v>
      </c>
      <c r="CQ172" s="239">
        <v>0</v>
      </c>
      <c r="CR172" s="239">
        <v>0</v>
      </c>
      <c r="CS172" s="239">
        <v>2429</v>
      </c>
      <c r="CT172" s="239">
        <v>607</v>
      </c>
      <c r="CU172" s="239">
        <v>0</v>
      </c>
      <c r="CV172" s="239">
        <v>127095.36583333336</v>
      </c>
      <c r="CW172" s="239">
        <v>34816.741458333338</v>
      </c>
      <c r="CX172" s="239">
        <v>0</v>
      </c>
      <c r="CY172" s="239">
        <v>129546</v>
      </c>
      <c r="CZ172" s="239">
        <v>43861</v>
      </c>
      <c r="DA172" s="239">
        <v>0</v>
      </c>
      <c r="DB172" s="239">
        <v>-2451</v>
      </c>
      <c r="DC172" s="239">
        <v>-9044</v>
      </c>
      <c r="DD172" s="239">
        <v>0</v>
      </c>
      <c r="DE172" s="214">
        <v>0.5</v>
      </c>
      <c r="DF172" s="214">
        <v>0.4</v>
      </c>
      <c r="DG172" s="214">
        <v>0.1</v>
      </c>
      <c r="DH172" s="214">
        <v>0</v>
      </c>
      <c r="DI172" s="214" t="s">
        <v>1294</v>
      </c>
    </row>
    <row r="173" spans="1:113" s="214" customFormat="1" x14ac:dyDescent="0.2">
      <c r="B173" s="610" t="s">
        <v>429</v>
      </c>
      <c r="C173" s="610" t="s">
        <v>428</v>
      </c>
      <c r="D173" s="239">
        <v>182675</v>
      </c>
      <c r="E173" s="239">
        <v>0</v>
      </c>
      <c r="F173" s="239">
        <v>182675</v>
      </c>
      <c r="G173" s="239">
        <v>0</v>
      </c>
      <c r="H173" s="239">
        <v>0</v>
      </c>
      <c r="I173" s="239">
        <v>0</v>
      </c>
      <c r="J173" s="239">
        <v>182675</v>
      </c>
      <c r="K173" s="239">
        <v>0</v>
      </c>
      <c r="L173" s="239">
        <v>182675</v>
      </c>
      <c r="M173" s="239">
        <v>172866</v>
      </c>
      <c r="N173" s="239">
        <v>172866</v>
      </c>
      <c r="O173" s="239">
        <v>0</v>
      </c>
      <c r="P173" s="239">
        <v>0</v>
      </c>
      <c r="Q173" s="239">
        <v>0</v>
      </c>
      <c r="R173" s="239">
        <v>0</v>
      </c>
      <c r="S173" s="239">
        <v>0</v>
      </c>
      <c r="T173" s="239">
        <v>0</v>
      </c>
      <c r="U173" s="239">
        <v>0</v>
      </c>
      <c r="V173" s="239">
        <v>0</v>
      </c>
      <c r="W173" s="239">
        <v>0</v>
      </c>
      <c r="X173" s="239">
        <v>0</v>
      </c>
      <c r="Y173" s="239">
        <v>0</v>
      </c>
      <c r="Z173" s="239">
        <v>0</v>
      </c>
      <c r="AA173" s="239">
        <v>0</v>
      </c>
      <c r="AB173" s="239">
        <v>0</v>
      </c>
      <c r="AC173" s="239">
        <v>0</v>
      </c>
      <c r="AD173" s="239">
        <v>0</v>
      </c>
      <c r="AE173" s="239">
        <v>0</v>
      </c>
      <c r="AF173" s="239">
        <v>0</v>
      </c>
      <c r="AG173" s="239">
        <v>0</v>
      </c>
      <c r="AH173" s="239">
        <v>0</v>
      </c>
      <c r="AI173" s="239">
        <v>0</v>
      </c>
      <c r="AJ173" s="239">
        <v>0</v>
      </c>
      <c r="AK173" s="239">
        <v>549954.89583333337</v>
      </c>
      <c r="AL173" s="239">
        <v>137488.72395833334</v>
      </c>
      <c r="AM173" s="239">
        <v>0</v>
      </c>
      <c r="AN173" s="239">
        <v>488088</v>
      </c>
      <c r="AO173" s="239">
        <v>122022</v>
      </c>
      <c r="AP173" s="239">
        <v>0</v>
      </c>
      <c r="AQ173" s="239">
        <v>61867</v>
      </c>
      <c r="AR173" s="239">
        <v>15467</v>
      </c>
      <c r="AS173" s="239">
        <v>0</v>
      </c>
      <c r="AT173" s="239">
        <v>1101.8375000000001</v>
      </c>
      <c r="AU173" s="239">
        <v>275.45937500000002</v>
      </c>
      <c r="AV173" s="239">
        <v>0</v>
      </c>
      <c r="AW173" s="239">
        <v>0</v>
      </c>
      <c r="AX173" s="239">
        <v>0</v>
      </c>
      <c r="AY173" s="239">
        <v>0</v>
      </c>
      <c r="AZ173" s="239">
        <v>1102</v>
      </c>
      <c r="BA173" s="239">
        <v>275</v>
      </c>
      <c r="BB173" s="239">
        <v>0</v>
      </c>
      <c r="BC173" s="239">
        <v>2133.06</v>
      </c>
      <c r="BD173" s="239">
        <v>533.26499999999999</v>
      </c>
      <c r="BE173" s="239">
        <v>0</v>
      </c>
      <c r="BF173" s="239">
        <v>12782</v>
      </c>
      <c r="BG173" s="239">
        <v>3196</v>
      </c>
      <c r="BH173" s="239">
        <v>0</v>
      </c>
      <c r="BI173" s="239">
        <v>-10649</v>
      </c>
      <c r="BJ173" s="239">
        <v>-2663</v>
      </c>
      <c r="BK173" s="239">
        <v>0</v>
      </c>
      <c r="BL173" s="239">
        <v>2225.9958333333334</v>
      </c>
      <c r="BM173" s="239">
        <v>556.49895833333335</v>
      </c>
      <c r="BN173" s="239">
        <v>0</v>
      </c>
      <c r="BO173" s="239">
        <v>1117</v>
      </c>
      <c r="BP173" s="239">
        <v>280</v>
      </c>
      <c r="BQ173" s="239">
        <v>0</v>
      </c>
      <c r="BR173" s="239">
        <v>1109</v>
      </c>
      <c r="BS173" s="239">
        <v>276</v>
      </c>
      <c r="BT173" s="239">
        <v>0</v>
      </c>
      <c r="BU173" s="239">
        <v>301777.66666666669</v>
      </c>
      <c r="BV173" s="239">
        <v>75444.416666666672</v>
      </c>
      <c r="BW173" s="239">
        <v>0</v>
      </c>
      <c r="BX173" s="239">
        <v>305948</v>
      </c>
      <c r="BY173" s="239">
        <v>76488</v>
      </c>
      <c r="BZ173" s="239">
        <v>0</v>
      </c>
      <c r="CA173" s="239">
        <v>-4170</v>
      </c>
      <c r="CB173" s="239">
        <v>-1044</v>
      </c>
      <c r="CC173" s="239">
        <v>0</v>
      </c>
      <c r="CD173" s="239">
        <v>0</v>
      </c>
      <c r="CE173" s="239">
        <v>0</v>
      </c>
      <c r="CF173" s="239">
        <v>0</v>
      </c>
      <c r="CG173" s="239">
        <v>0</v>
      </c>
      <c r="CH173" s="239">
        <v>0</v>
      </c>
      <c r="CI173" s="239">
        <v>0</v>
      </c>
      <c r="CJ173" s="239">
        <v>0</v>
      </c>
      <c r="CK173" s="239">
        <v>0</v>
      </c>
      <c r="CL173" s="239">
        <v>0</v>
      </c>
      <c r="CM173" s="239">
        <v>4533.564166666667</v>
      </c>
      <c r="CN173" s="239">
        <v>1133.3910416666668</v>
      </c>
      <c r="CO173" s="239">
        <v>0</v>
      </c>
      <c r="CP173" s="239">
        <v>0</v>
      </c>
      <c r="CQ173" s="239">
        <v>0</v>
      </c>
      <c r="CR173" s="239">
        <v>0</v>
      </c>
      <c r="CS173" s="239">
        <v>4534</v>
      </c>
      <c r="CT173" s="239">
        <v>1133</v>
      </c>
      <c r="CU173" s="239">
        <v>0</v>
      </c>
      <c r="CV173" s="239">
        <v>236595.49083333334</v>
      </c>
      <c r="CW173" s="239">
        <v>59148.872708333336</v>
      </c>
      <c r="CX173" s="239">
        <v>0</v>
      </c>
      <c r="CY173" s="239">
        <v>250912</v>
      </c>
      <c r="CZ173" s="239">
        <v>62728</v>
      </c>
      <c r="DA173" s="239">
        <v>0</v>
      </c>
      <c r="DB173" s="239">
        <v>-14317</v>
      </c>
      <c r="DC173" s="239">
        <v>-3579</v>
      </c>
      <c r="DD173" s="239">
        <v>0</v>
      </c>
      <c r="DE173" s="214">
        <v>0.5</v>
      </c>
      <c r="DF173" s="214">
        <v>0.4</v>
      </c>
      <c r="DG173" s="214">
        <v>0.1</v>
      </c>
      <c r="DH173" s="214">
        <v>0</v>
      </c>
      <c r="DI173" s="214" t="s">
        <v>1294</v>
      </c>
    </row>
    <row r="174" spans="1:113" s="214" customFormat="1" x14ac:dyDescent="0.2">
      <c r="B174" s="610" t="s">
        <v>431</v>
      </c>
      <c r="C174" s="610" t="s">
        <v>430</v>
      </c>
      <c r="D174" s="239">
        <v>-104308</v>
      </c>
      <c r="E174" s="239">
        <v>0</v>
      </c>
      <c r="F174" s="239">
        <v>-104308</v>
      </c>
      <c r="G174" s="239">
        <v>0</v>
      </c>
      <c r="H174" s="239">
        <v>0</v>
      </c>
      <c r="I174" s="239">
        <v>0</v>
      </c>
      <c r="J174" s="239">
        <v>-104308</v>
      </c>
      <c r="K174" s="239">
        <v>0</v>
      </c>
      <c r="L174" s="239">
        <v>-104308</v>
      </c>
      <c r="M174" s="239">
        <v>178921</v>
      </c>
      <c r="N174" s="239">
        <v>178921</v>
      </c>
      <c r="O174" s="239">
        <v>0</v>
      </c>
      <c r="P174" s="239">
        <v>0</v>
      </c>
      <c r="Q174" s="239">
        <v>0</v>
      </c>
      <c r="R174" s="239">
        <v>0</v>
      </c>
      <c r="S174" s="239">
        <v>0</v>
      </c>
      <c r="T174" s="239">
        <v>0</v>
      </c>
      <c r="U174" s="239">
        <v>0</v>
      </c>
      <c r="V174" s="239">
        <v>0</v>
      </c>
      <c r="W174" s="239">
        <v>0</v>
      </c>
      <c r="X174" s="239">
        <v>0</v>
      </c>
      <c r="Y174" s="239">
        <v>0</v>
      </c>
      <c r="Z174" s="239">
        <v>0</v>
      </c>
      <c r="AA174" s="239">
        <v>0</v>
      </c>
      <c r="AB174" s="239">
        <v>0</v>
      </c>
      <c r="AC174" s="239">
        <v>0</v>
      </c>
      <c r="AD174" s="239">
        <v>0</v>
      </c>
      <c r="AE174" s="239">
        <v>0</v>
      </c>
      <c r="AF174" s="239">
        <v>0</v>
      </c>
      <c r="AG174" s="239">
        <v>0</v>
      </c>
      <c r="AH174" s="239">
        <v>0</v>
      </c>
      <c r="AI174" s="239">
        <v>0</v>
      </c>
      <c r="AJ174" s="239">
        <v>0</v>
      </c>
      <c r="AK174" s="239">
        <v>649784.02139583323</v>
      </c>
      <c r="AL174" s="239">
        <v>0</v>
      </c>
      <c r="AM174" s="239">
        <v>13260.898395833334</v>
      </c>
      <c r="AN174" s="239">
        <v>604805</v>
      </c>
      <c r="AO174" s="239">
        <v>0</v>
      </c>
      <c r="AP174" s="239">
        <v>12342</v>
      </c>
      <c r="AQ174" s="239">
        <v>44979</v>
      </c>
      <c r="AR174" s="239">
        <v>0</v>
      </c>
      <c r="AS174" s="239">
        <v>919</v>
      </c>
      <c r="AT174" s="239">
        <v>0</v>
      </c>
      <c r="AU174" s="239">
        <v>0</v>
      </c>
      <c r="AV174" s="239">
        <v>0</v>
      </c>
      <c r="AW174" s="239">
        <v>0</v>
      </c>
      <c r="AX174" s="239">
        <v>0</v>
      </c>
      <c r="AY174" s="239">
        <v>0</v>
      </c>
      <c r="AZ174" s="239">
        <v>0</v>
      </c>
      <c r="BA174" s="239">
        <v>0</v>
      </c>
      <c r="BB174" s="239">
        <v>0</v>
      </c>
      <c r="BC174" s="239">
        <v>0</v>
      </c>
      <c r="BD174" s="239">
        <v>0</v>
      </c>
      <c r="BE174" s="239">
        <v>0</v>
      </c>
      <c r="BF174" s="239">
        <v>0</v>
      </c>
      <c r="BG174" s="239">
        <v>0</v>
      </c>
      <c r="BH174" s="239">
        <v>0</v>
      </c>
      <c r="BI174" s="239">
        <v>0</v>
      </c>
      <c r="BJ174" s="239">
        <v>0</v>
      </c>
      <c r="BK174" s="239">
        <v>0</v>
      </c>
      <c r="BL174" s="239">
        <v>36009.267</v>
      </c>
      <c r="BM174" s="239">
        <v>0</v>
      </c>
      <c r="BN174" s="239">
        <v>734.88300000000004</v>
      </c>
      <c r="BO174" s="239">
        <v>19886</v>
      </c>
      <c r="BP174" s="239">
        <v>0</v>
      </c>
      <c r="BQ174" s="239">
        <v>406</v>
      </c>
      <c r="BR174" s="239">
        <v>16123</v>
      </c>
      <c r="BS174" s="239">
        <v>0</v>
      </c>
      <c r="BT174" s="239">
        <v>329</v>
      </c>
      <c r="BU174" s="239">
        <v>295957.37747916667</v>
      </c>
      <c r="BV174" s="239">
        <v>0</v>
      </c>
      <c r="BW174" s="239">
        <v>6039.9464791666669</v>
      </c>
      <c r="BX174" s="239">
        <v>248574</v>
      </c>
      <c r="BY174" s="239">
        <v>0</v>
      </c>
      <c r="BZ174" s="239">
        <v>5072</v>
      </c>
      <c r="CA174" s="239">
        <v>47383</v>
      </c>
      <c r="CB174" s="239">
        <v>0</v>
      </c>
      <c r="CC174" s="239">
        <v>968</v>
      </c>
      <c r="CD174" s="239">
        <v>0</v>
      </c>
      <c r="CE174" s="239">
        <v>0</v>
      </c>
      <c r="CF174" s="239">
        <v>0</v>
      </c>
      <c r="CG174" s="239">
        <v>0</v>
      </c>
      <c r="CH174" s="239">
        <v>0</v>
      </c>
      <c r="CI174" s="239">
        <v>0</v>
      </c>
      <c r="CJ174" s="239">
        <v>0</v>
      </c>
      <c r="CK174" s="239">
        <v>0</v>
      </c>
      <c r="CL174" s="239">
        <v>0</v>
      </c>
      <c r="CM174" s="239">
        <v>0</v>
      </c>
      <c r="CN174" s="239">
        <v>0</v>
      </c>
      <c r="CO174" s="239">
        <v>0</v>
      </c>
      <c r="CP174" s="239">
        <v>0</v>
      </c>
      <c r="CQ174" s="239">
        <v>0</v>
      </c>
      <c r="CR174" s="239">
        <v>0</v>
      </c>
      <c r="CS174" s="239">
        <v>0</v>
      </c>
      <c r="CT174" s="239">
        <v>0</v>
      </c>
      <c r="CU174" s="239">
        <v>0</v>
      </c>
      <c r="CV174" s="239">
        <v>295617.12249999994</v>
      </c>
      <c r="CW174" s="239">
        <v>0</v>
      </c>
      <c r="CX174" s="239">
        <v>6033.0025000000005</v>
      </c>
      <c r="CY174" s="239">
        <v>289640</v>
      </c>
      <c r="CZ174" s="239">
        <v>0</v>
      </c>
      <c r="DA174" s="239">
        <v>5911</v>
      </c>
      <c r="DB174" s="239">
        <v>5977</v>
      </c>
      <c r="DC174" s="239">
        <v>0</v>
      </c>
      <c r="DD174" s="239">
        <v>122</v>
      </c>
      <c r="DE174" s="214">
        <v>0.5</v>
      </c>
      <c r="DF174" s="214">
        <v>0.49</v>
      </c>
      <c r="DG174" s="214">
        <v>0</v>
      </c>
      <c r="DH174" s="214">
        <v>0.01</v>
      </c>
      <c r="DI174" s="214" t="s">
        <v>748</v>
      </c>
    </row>
    <row r="175" spans="1:113" s="214" customFormat="1" x14ac:dyDescent="0.2">
      <c r="B175" s="610" t="s">
        <v>433</v>
      </c>
      <c r="C175" s="610" t="s">
        <v>432</v>
      </c>
      <c r="D175" s="239">
        <v>-1507939</v>
      </c>
      <c r="E175" s="239">
        <v>0</v>
      </c>
      <c r="F175" s="239">
        <v>-1507939</v>
      </c>
      <c r="G175" s="239">
        <v>0</v>
      </c>
      <c r="H175" s="239">
        <v>0</v>
      </c>
      <c r="I175" s="239">
        <v>0</v>
      </c>
      <c r="J175" s="239">
        <v>-1507939</v>
      </c>
      <c r="K175" s="239">
        <v>0</v>
      </c>
      <c r="L175" s="239">
        <v>-1507939</v>
      </c>
      <c r="M175" s="239">
        <v>376320</v>
      </c>
      <c r="N175" s="239">
        <v>376320</v>
      </c>
      <c r="O175" s="239">
        <v>0</v>
      </c>
      <c r="P175" s="239">
        <v>0</v>
      </c>
      <c r="Q175" s="239">
        <v>0</v>
      </c>
      <c r="R175" s="239">
        <v>0</v>
      </c>
      <c r="S175" s="239">
        <v>0</v>
      </c>
      <c r="T175" s="239">
        <v>0</v>
      </c>
      <c r="U175" s="239">
        <v>0</v>
      </c>
      <c r="V175" s="239">
        <v>0</v>
      </c>
      <c r="W175" s="239">
        <v>0</v>
      </c>
      <c r="X175" s="239">
        <v>0</v>
      </c>
      <c r="Y175" s="239">
        <v>0</v>
      </c>
      <c r="Z175" s="239">
        <v>0</v>
      </c>
      <c r="AA175" s="239">
        <v>0</v>
      </c>
      <c r="AB175" s="239">
        <v>0</v>
      </c>
      <c r="AC175" s="239">
        <v>0</v>
      </c>
      <c r="AD175" s="239">
        <v>0</v>
      </c>
      <c r="AE175" s="239">
        <v>0</v>
      </c>
      <c r="AF175" s="239">
        <v>0</v>
      </c>
      <c r="AG175" s="239">
        <v>0</v>
      </c>
      <c r="AH175" s="239">
        <v>0</v>
      </c>
      <c r="AI175" s="239">
        <v>0</v>
      </c>
      <c r="AJ175" s="239">
        <v>0</v>
      </c>
      <c r="AK175" s="239">
        <v>901023.62831249996</v>
      </c>
      <c r="AL175" s="239">
        <v>0</v>
      </c>
      <c r="AM175" s="239">
        <v>18388.237312500001</v>
      </c>
      <c r="AN175" s="239">
        <v>907743</v>
      </c>
      <c r="AO175" s="239">
        <v>0</v>
      </c>
      <c r="AP175" s="239">
        <v>18526</v>
      </c>
      <c r="AQ175" s="239">
        <v>-6719</v>
      </c>
      <c r="AR175" s="239">
        <v>0</v>
      </c>
      <c r="AS175" s="239">
        <v>-138</v>
      </c>
      <c r="AT175" s="239">
        <v>9989.1512291666677</v>
      </c>
      <c r="AU175" s="239">
        <v>0</v>
      </c>
      <c r="AV175" s="239">
        <v>203.86022916666667</v>
      </c>
      <c r="AW175" s="239">
        <v>5468</v>
      </c>
      <c r="AX175" s="239">
        <v>0</v>
      </c>
      <c r="AY175" s="239">
        <v>112</v>
      </c>
      <c r="AZ175" s="239">
        <v>4521</v>
      </c>
      <c r="BA175" s="239">
        <v>0</v>
      </c>
      <c r="BB175" s="239">
        <v>92</v>
      </c>
      <c r="BC175" s="239">
        <v>0</v>
      </c>
      <c r="BD175" s="239">
        <v>0</v>
      </c>
      <c r="BE175" s="239">
        <v>0</v>
      </c>
      <c r="BF175" s="239">
        <v>9944</v>
      </c>
      <c r="BG175" s="239">
        <v>0</v>
      </c>
      <c r="BH175" s="239">
        <v>202</v>
      </c>
      <c r="BI175" s="239">
        <v>-9944</v>
      </c>
      <c r="BJ175" s="239">
        <v>0</v>
      </c>
      <c r="BK175" s="239">
        <v>-202</v>
      </c>
      <c r="BL175" s="239">
        <v>18629.545812499997</v>
      </c>
      <c r="BM175" s="239">
        <v>0</v>
      </c>
      <c r="BN175" s="239">
        <v>380.19481249999995</v>
      </c>
      <c r="BO175" s="239">
        <v>5966</v>
      </c>
      <c r="BP175" s="239">
        <v>0</v>
      </c>
      <c r="BQ175" s="239">
        <v>122</v>
      </c>
      <c r="BR175" s="239">
        <v>12664</v>
      </c>
      <c r="BS175" s="239">
        <v>0</v>
      </c>
      <c r="BT175" s="239">
        <v>258</v>
      </c>
      <c r="BU175" s="239">
        <v>530698.20562500006</v>
      </c>
      <c r="BV175" s="239">
        <v>0</v>
      </c>
      <c r="BW175" s="239">
        <v>10830.575625000001</v>
      </c>
      <c r="BX175" s="239">
        <v>543081</v>
      </c>
      <c r="BY175" s="239">
        <v>0</v>
      </c>
      <c r="BZ175" s="239">
        <v>11084</v>
      </c>
      <c r="CA175" s="239">
        <v>-12383</v>
      </c>
      <c r="CB175" s="239">
        <v>0</v>
      </c>
      <c r="CC175" s="239">
        <v>-253</v>
      </c>
      <c r="CD175" s="239">
        <v>0</v>
      </c>
      <c r="CE175" s="239">
        <v>0</v>
      </c>
      <c r="CF175" s="239">
        <v>0</v>
      </c>
      <c r="CG175" s="239">
        <v>0</v>
      </c>
      <c r="CH175" s="239">
        <v>0</v>
      </c>
      <c r="CI175" s="239">
        <v>0</v>
      </c>
      <c r="CJ175" s="239">
        <v>0</v>
      </c>
      <c r="CK175" s="239">
        <v>0</v>
      </c>
      <c r="CL175" s="239">
        <v>0</v>
      </c>
      <c r="CM175" s="239">
        <v>0</v>
      </c>
      <c r="CN175" s="239">
        <v>0</v>
      </c>
      <c r="CO175" s="239">
        <v>0</v>
      </c>
      <c r="CP175" s="239">
        <v>0</v>
      </c>
      <c r="CQ175" s="239">
        <v>0</v>
      </c>
      <c r="CR175" s="239">
        <v>0</v>
      </c>
      <c r="CS175" s="239">
        <v>0</v>
      </c>
      <c r="CT175" s="239">
        <v>0</v>
      </c>
      <c r="CU175" s="239">
        <v>0</v>
      </c>
      <c r="CV175" s="239">
        <v>1091604.7387291668</v>
      </c>
      <c r="CW175" s="239">
        <v>0</v>
      </c>
      <c r="CX175" s="239">
        <v>22277.647729166667</v>
      </c>
      <c r="CY175" s="239">
        <v>1109047</v>
      </c>
      <c r="CZ175" s="239">
        <v>0</v>
      </c>
      <c r="DA175" s="239">
        <v>22634</v>
      </c>
      <c r="DB175" s="239">
        <v>-17442</v>
      </c>
      <c r="DC175" s="239">
        <v>0</v>
      </c>
      <c r="DD175" s="239">
        <v>-356</v>
      </c>
      <c r="DE175" s="214">
        <v>0.5</v>
      </c>
      <c r="DF175" s="214">
        <v>0.49</v>
      </c>
      <c r="DG175" s="214">
        <v>0</v>
      </c>
      <c r="DH175" s="214">
        <v>0.01</v>
      </c>
      <c r="DI175" s="214" t="s">
        <v>748</v>
      </c>
    </row>
    <row r="176" spans="1:113" s="214" customFormat="1" x14ac:dyDescent="0.2">
      <c r="B176" s="610" t="s">
        <v>435</v>
      </c>
      <c r="C176" s="610" t="s">
        <v>434</v>
      </c>
      <c r="D176" s="239">
        <v>-22990</v>
      </c>
      <c r="E176" s="239">
        <v>0</v>
      </c>
      <c r="F176" s="239">
        <v>-22990</v>
      </c>
      <c r="G176" s="239">
        <v>0</v>
      </c>
      <c r="H176" s="239">
        <v>0</v>
      </c>
      <c r="I176" s="239">
        <v>0</v>
      </c>
      <c r="J176" s="239">
        <v>-22990</v>
      </c>
      <c r="K176" s="239">
        <v>0</v>
      </c>
      <c r="L176" s="239">
        <v>-22990</v>
      </c>
      <c r="M176" s="239">
        <v>151601</v>
      </c>
      <c r="N176" s="239">
        <v>151601</v>
      </c>
      <c r="O176" s="239">
        <v>0</v>
      </c>
      <c r="P176" s="239">
        <v>0</v>
      </c>
      <c r="Q176" s="239">
        <v>0</v>
      </c>
      <c r="R176" s="239">
        <v>0</v>
      </c>
      <c r="S176" s="239">
        <v>0</v>
      </c>
      <c r="T176" s="239">
        <v>0</v>
      </c>
      <c r="U176" s="239">
        <v>0</v>
      </c>
      <c r="V176" s="239">
        <v>0</v>
      </c>
      <c r="W176" s="239">
        <v>0</v>
      </c>
      <c r="X176" s="239">
        <v>0</v>
      </c>
      <c r="Y176" s="239">
        <v>0</v>
      </c>
      <c r="Z176" s="239">
        <v>0</v>
      </c>
      <c r="AA176" s="239">
        <v>0</v>
      </c>
      <c r="AB176" s="239">
        <v>0</v>
      </c>
      <c r="AC176" s="239">
        <v>0</v>
      </c>
      <c r="AD176" s="239">
        <v>0</v>
      </c>
      <c r="AE176" s="239">
        <v>0</v>
      </c>
      <c r="AF176" s="239">
        <v>0</v>
      </c>
      <c r="AG176" s="239">
        <v>0</v>
      </c>
      <c r="AH176" s="239">
        <v>0</v>
      </c>
      <c r="AI176" s="239">
        <v>0</v>
      </c>
      <c r="AJ176" s="239">
        <v>0</v>
      </c>
      <c r="AK176" s="239">
        <v>386839.92750000005</v>
      </c>
      <c r="AL176" s="239">
        <v>96709.981875000012</v>
      </c>
      <c r="AM176" s="239">
        <v>0</v>
      </c>
      <c r="AN176" s="239">
        <v>367232</v>
      </c>
      <c r="AO176" s="239">
        <v>91808</v>
      </c>
      <c r="AP176" s="239">
        <v>0</v>
      </c>
      <c r="AQ176" s="239">
        <v>19608</v>
      </c>
      <c r="AR176" s="239">
        <v>4902</v>
      </c>
      <c r="AS176" s="239">
        <v>0</v>
      </c>
      <c r="AT176" s="239">
        <v>5714.9450000000006</v>
      </c>
      <c r="AU176" s="239">
        <v>1428.7362500000002</v>
      </c>
      <c r="AV176" s="239">
        <v>0</v>
      </c>
      <c r="AW176" s="239">
        <v>1923</v>
      </c>
      <c r="AX176" s="239">
        <v>482</v>
      </c>
      <c r="AY176" s="239">
        <v>0</v>
      </c>
      <c r="AZ176" s="239">
        <v>3792</v>
      </c>
      <c r="BA176" s="239">
        <v>947</v>
      </c>
      <c r="BB176" s="239">
        <v>0</v>
      </c>
      <c r="BC176" s="239">
        <v>0</v>
      </c>
      <c r="BD176" s="239">
        <v>0</v>
      </c>
      <c r="BE176" s="239">
        <v>0</v>
      </c>
      <c r="BF176" s="239">
        <v>101459</v>
      </c>
      <c r="BG176" s="239">
        <v>25364</v>
      </c>
      <c r="BH176" s="239">
        <v>0</v>
      </c>
      <c r="BI176" s="239">
        <v>-101459</v>
      </c>
      <c r="BJ176" s="239">
        <v>-25364</v>
      </c>
      <c r="BK176" s="239">
        <v>0</v>
      </c>
      <c r="BL176" s="239">
        <v>3706.4758333333334</v>
      </c>
      <c r="BM176" s="239">
        <v>926.61895833333335</v>
      </c>
      <c r="BN176" s="239">
        <v>0</v>
      </c>
      <c r="BO176" s="239">
        <v>3484</v>
      </c>
      <c r="BP176" s="239">
        <v>872</v>
      </c>
      <c r="BQ176" s="239">
        <v>0</v>
      </c>
      <c r="BR176" s="239">
        <v>222</v>
      </c>
      <c r="BS176" s="239">
        <v>55</v>
      </c>
      <c r="BT176" s="239">
        <v>0</v>
      </c>
      <c r="BU176" s="239">
        <v>216883.82666666669</v>
      </c>
      <c r="BV176" s="239">
        <v>54220.956666666672</v>
      </c>
      <c r="BW176" s="239">
        <v>0</v>
      </c>
      <c r="BX176" s="239">
        <v>178362</v>
      </c>
      <c r="BY176" s="239">
        <v>44590</v>
      </c>
      <c r="BZ176" s="239">
        <v>0</v>
      </c>
      <c r="CA176" s="239">
        <v>38522</v>
      </c>
      <c r="CB176" s="239">
        <v>9631</v>
      </c>
      <c r="CC176" s="239">
        <v>0</v>
      </c>
      <c r="CD176" s="239">
        <v>0</v>
      </c>
      <c r="CE176" s="239">
        <v>0</v>
      </c>
      <c r="CF176" s="239">
        <v>0</v>
      </c>
      <c r="CG176" s="239">
        <v>0</v>
      </c>
      <c r="CH176" s="239">
        <v>0</v>
      </c>
      <c r="CI176" s="239">
        <v>0</v>
      </c>
      <c r="CJ176" s="239">
        <v>0</v>
      </c>
      <c r="CK176" s="239">
        <v>0</v>
      </c>
      <c r="CL176" s="239">
        <v>0</v>
      </c>
      <c r="CM176" s="239">
        <v>799.08583333333343</v>
      </c>
      <c r="CN176" s="239">
        <v>199.77145833333336</v>
      </c>
      <c r="CO176" s="239">
        <v>0</v>
      </c>
      <c r="CP176" s="239">
        <v>0</v>
      </c>
      <c r="CQ176" s="239">
        <v>0</v>
      </c>
      <c r="CR176" s="239">
        <v>0</v>
      </c>
      <c r="CS176" s="239">
        <v>799</v>
      </c>
      <c r="CT176" s="239">
        <v>200</v>
      </c>
      <c r="CU176" s="239">
        <v>0</v>
      </c>
      <c r="CV176" s="239">
        <v>237196.18416666667</v>
      </c>
      <c r="CW176" s="239">
        <v>59299.046041666668</v>
      </c>
      <c r="CX176" s="239">
        <v>0</v>
      </c>
      <c r="CY176" s="239">
        <v>220929</v>
      </c>
      <c r="CZ176" s="239">
        <v>55232</v>
      </c>
      <c r="DA176" s="239">
        <v>0</v>
      </c>
      <c r="DB176" s="239">
        <v>16267</v>
      </c>
      <c r="DC176" s="239">
        <v>4067</v>
      </c>
      <c r="DD176" s="239">
        <v>0</v>
      </c>
      <c r="DE176" s="214">
        <v>0.5</v>
      </c>
      <c r="DF176" s="214">
        <v>0.4</v>
      </c>
      <c r="DG176" s="214">
        <v>0.1</v>
      </c>
      <c r="DH176" s="214">
        <v>0</v>
      </c>
      <c r="DI176" s="214" t="s">
        <v>1294</v>
      </c>
    </row>
    <row r="177" spans="2:113" s="214" customFormat="1" x14ac:dyDescent="0.2">
      <c r="B177" s="610" t="s">
        <v>437</v>
      </c>
      <c r="C177" s="610" t="s">
        <v>436</v>
      </c>
      <c r="D177" s="239">
        <v>1613564</v>
      </c>
      <c r="E177" s="239">
        <v>0</v>
      </c>
      <c r="F177" s="239">
        <v>1613564</v>
      </c>
      <c r="G177" s="239">
        <v>0</v>
      </c>
      <c r="H177" s="239">
        <v>0</v>
      </c>
      <c r="I177" s="239">
        <v>0</v>
      </c>
      <c r="J177" s="239">
        <v>1613564</v>
      </c>
      <c r="K177" s="239">
        <v>0</v>
      </c>
      <c r="L177" s="239">
        <v>1613564</v>
      </c>
      <c r="M177" s="239">
        <v>280124</v>
      </c>
      <c r="N177" s="239">
        <v>280124</v>
      </c>
      <c r="O177" s="239">
        <v>0</v>
      </c>
      <c r="P177" s="239">
        <v>0</v>
      </c>
      <c r="Q177" s="239">
        <v>0</v>
      </c>
      <c r="R177" s="239">
        <v>0</v>
      </c>
      <c r="S177" s="239">
        <v>35213</v>
      </c>
      <c r="T177" s="239">
        <v>0</v>
      </c>
      <c r="U177" s="239">
        <v>19710</v>
      </c>
      <c r="V177" s="239">
        <v>0</v>
      </c>
      <c r="W177" s="239">
        <v>15503</v>
      </c>
      <c r="X177" s="239">
        <v>0</v>
      </c>
      <c r="Y177" s="239">
        <v>0</v>
      </c>
      <c r="Z177" s="239">
        <v>0</v>
      </c>
      <c r="AA177" s="239">
        <v>0</v>
      </c>
      <c r="AB177" s="239">
        <v>0</v>
      </c>
      <c r="AC177" s="239">
        <v>0</v>
      </c>
      <c r="AD177" s="239">
        <v>0</v>
      </c>
      <c r="AE177" s="239">
        <v>0</v>
      </c>
      <c r="AF177" s="239">
        <v>0</v>
      </c>
      <c r="AG177" s="239">
        <v>0</v>
      </c>
      <c r="AH177" s="239">
        <v>0</v>
      </c>
      <c r="AI177" s="239">
        <v>0</v>
      </c>
      <c r="AJ177" s="239">
        <v>0</v>
      </c>
      <c r="AK177" s="239">
        <v>923219.08958333335</v>
      </c>
      <c r="AL177" s="239">
        <v>207724.29515624998</v>
      </c>
      <c r="AM177" s="239">
        <v>23080.477239583332</v>
      </c>
      <c r="AN177" s="239">
        <v>860734</v>
      </c>
      <c r="AO177" s="239">
        <v>193666</v>
      </c>
      <c r="AP177" s="239">
        <v>21518</v>
      </c>
      <c r="AQ177" s="239">
        <v>62485</v>
      </c>
      <c r="AR177" s="239">
        <v>14058</v>
      </c>
      <c r="AS177" s="239">
        <v>1562</v>
      </c>
      <c r="AT177" s="239">
        <v>1518.6283333333333</v>
      </c>
      <c r="AU177" s="239">
        <v>341.69137499999999</v>
      </c>
      <c r="AV177" s="239">
        <v>37.965708333333332</v>
      </c>
      <c r="AW177" s="239">
        <v>4057</v>
      </c>
      <c r="AX177" s="239">
        <v>914</v>
      </c>
      <c r="AY177" s="239">
        <v>102</v>
      </c>
      <c r="AZ177" s="239">
        <v>-2538</v>
      </c>
      <c r="BA177" s="239">
        <v>-572</v>
      </c>
      <c r="BB177" s="239">
        <v>-64</v>
      </c>
      <c r="BC177" s="239">
        <v>1759.6933333333336</v>
      </c>
      <c r="BD177" s="239">
        <v>395.93099999999998</v>
      </c>
      <c r="BE177" s="239">
        <v>43.992333333333335</v>
      </c>
      <c r="BF177" s="239">
        <v>8118</v>
      </c>
      <c r="BG177" s="239">
        <v>1826</v>
      </c>
      <c r="BH177" s="239">
        <v>202</v>
      </c>
      <c r="BI177" s="239">
        <v>-6358</v>
      </c>
      <c r="BJ177" s="239">
        <v>-1430</v>
      </c>
      <c r="BK177" s="239">
        <v>-158</v>
      </c>
      <c r="BL177" s="239">
        <v>29373.404999999999</v>
      </c>
      <c r="BM177" s="239">
        <v>6609.0161249999992</v>
      </c>
      <c r="BN177" s="239">
        <v>734.33512499999995</v>
      </c>
      <c r="BO177" s="239">
        <v>18262</v>
      </c>
      <c r="BP177" s="239">
        <v>4110</v>
      </c>
      <c r="BQ177" s="239">
        <v>456</v>
      </c>
      <c r="BR177" s="239">
        <v>11111</v>
      </c>
      <c r="BS177" s="239">
        <v>2499</v>
      </c>
      <c r="BT177" s="239">
        <v>278</v>
      </c>
      <c r="BU177" s="239">
        <v>481899.08083333337</v>
      </c>
      <c r="BV177" s="239">
        <v>108427.29318750001</v>
      </c>
      <c r="BW177" s="239">
        <v>12047.477020833334</v>
      </c>
      <c r="BX177" s="239">
        <v>485377</v>
      </c>
      <c r="BY177" s="239">
        <v>109210</v>
      </c>
      <c r="BZ177" s="239">
        <v>12134</v>
      </c>
      <c r="CA177" s="239">
        <v>-3478</v>
      </c>
      <c r="CB177" s="239">
        <v>-783</v>
      </c>
      <c r="CC177" s="239">
        <v>-87</v>
      </c>
      <c r="CD177" s="239">
        <v>-1700.0358333333334</v>
      </c>
      <c r="CE177" s="239">
        <v>-382.50806249999999</v>
      </c>
      <c r="CF177" s="239">
        <v>-42.500895833333338</v>
      </c>
      <c r="CG177" s="239">
        <v>0</v>
      </c>
      <c r="CH177" s="239">
        <v>0</v>
      </c>
      <c r="CI177" s="239">
        <v>0</v>
      </c>
      <c r="CJ177" s="239">
        <v>-1700</v>
      </c>
      <c r="CK177" s="239">
        <v>-383</v>
      </c>
      <c r="CL177" s="239">
        <v>-43</v>
      </c>
      <c r="CM177" s="239">
        <v>5725.4966666666669</v>
      </c>
      <c r="CN177" s="239">
        <v>1288.23675</v>
      </c>
      <c r="CO177" s="239">
        <v>143.13741666666667</v>
      </c>
      <c r="CP177" s="239">
        <v>0</v>
      </c>
      <c r="CQ177" s="239">
        <v>0</v>
      </c>
      <c r="CR177" s="239">
        <v>0</v>
      </c>
      <c r="CS177" s="239">
        <v>5725</v>
      </c>
      <c r="CT177" s="239">
        <v>1288</v>
      </c>
      <c r="CU177" s="239">
        <v>143</v>
      </c>
      <c r="CV177" s="239">
        <v>367900.58375000005</v>
      </c>
      <c r="CW177" s="239">
        <v>82662.0886875</v>
      </c>
      <c r="CX177" s="239">
        <v>9184.6765208333345</v>
      </c>
      <c r="CY177" s="239">
        <v>372040</v>
      </c>
      <c r="CZ177" s="239">
        <v>83644</v>
      </c>
      <c r="DA177" s="239">
        <v>9294</v>
      </c>
      <c r="DB177" s="239">
        <v>-4139</v>
      </c>
      <c r="DC177" s="239">
        <v>-982</v>
      </c>
      <c r="DD177" s="239">
        <v>-109</v>
      </c>
      <c r="DE177" s="214">
        <v>0.5</v>
      </c>
      <c r="DF177" s="214">
        <v>0.4</v>
      </c>
      <c r="DG177" s="214">
        <v>0.09</v>
      </c>
      <c r="DH177" s="214">
        <v>0.01</v>
      </c>
      <c r="DI177" s="214" t="s">
        <v>1294</v>
      </c>
    </row>
    <row r="178" spans="2:113" s="214" customFormat="1" x14ac:dyDescent="0.2">
      <c r="B178" s="610" t="s">
        <v>439</v>
      </c>
      <c r="C178" s="610" t="s">
        <v>438</v>
      </c>
      <c r="D178" s="239">
        <v>-146734</v>
      </c>
      <c r="E178" s="239">
        <v>0</v>
      </c>
      <c r="F178" s="239">
        <v>-146734</v>
      </c>
      <c r="G178" s="239">
        <v>0</v>
      </c>
      <c r="H178" s="239">
        <v>0</v>
      </c>
      <c r="I178" s="239">
        <v>0</v>
      </c>
      <c r="J178" s="239">
        <v>-146734</v>
      </c>
      <c r="K178" s="239">
        <v>0</v>
      </c>
      <c r="L178" s="239">
        <v>-146734</v>
      </c>
      <c r="M178" s="239">
        <v>164151</v>
      </c>
      <c r="N178" s="239">
        <v>164151</v>
      </c>
      <c r="O178" s="239">
        <v>0</v>
      </c>
      <c r="P178" s="239">
        <v>0</v>
      </c>
      <c r="Q178" s="239">
        <v>0</v>
      </c>
      <c r="R178" s="239">
        <v>0</v>
      </c>
      <c r="S178" s="239">
        <v>64677</v>
      </c>
      <c r="T178" s="239">
        <v>0</v>
      </c>
      <c r="U178" s="239">
        <v>0</v>
      </c>
      <c r="V178" s="239">
        <v>0</v>
      </c>
      <c r="W178" s="239">
        <v>64677</v>
      </c>
      <c r="X178" s="239">
        <v>0</v>
      </c>
      <c r="Y178" s="239">
        <v>0</v>
      </c>
      <c r="Z178" s="239">
        <v>0</v>
      </c>
      <c r="AA178" s="239">
        <v>0</v>
      </c>
      <c r="AB178" s="239">
        <v>0</v>
      </c>
      <c r="AC178" s="239">
        <v>0</v>
      </c>
      <c r="AD178" s="239">
        <v>0</v>
      </c>
      <c r="AE178" s="239">
        <v>0</v>
      </c>
      <c r="AF178" s="239">
        <v>0</v>
      </c>
      <c r="AG178" s="239">
        <v>0</v>
      </c>
      <c r="AH178" s="239">
        <v>0</v>
      </c>
      <c r="AI178" s="239">
        <v>0</v>
      </c>
      <c r="AJ178" s="239">
        <v>0</v>
      </c>
      <c r="AK178" s="239">
        <v>556224.20916666673</v>
      </c>
      <c r="AL178" s="239">
        <v>125150.4470625</v>
      </c>
      <c r="AM178" s="239">
        <v>13905.605229166667</v>
      </c>
      <c r="AN178" s="239">
        <v>511409</v>
      </c>
      <c r="AO178" s="239">
        <v>115066</v>
      </c>
      <c r="AP178" s="239">
        <v>12786</v>
      </c>
      <c r="AQ178" s="239">
        <v>44815</v>
      </c>
      <c r="AR178" s="239">
        <v>10084</v>
      </c>
      <c r="AS178" s="239">
        <v>1120</v>
      </c>
      <c r="AT178" s="239">
        <v>0</v>
      </c>
      <c r="AU178" s="239">
        <v>0</v>
      </c>
      <c r="AV178" s="239">
        <v>0</v>
      </c>
      <c r="AW178" s="239">
        <v>0</v>
      </c>
      <c r="AX178" s="239">
        <v>0</v>
      </c>
      <c r="AY178" s="239">
        <v>0</v>
      </c>
      <c r="AZ178" s="239">
        <v>0</v>
      </c>
      <c r="BA178" s="239">
        <v>0</v>
      </c>
      <c r="BB178" s="239">
        <v>0</v>
      </c>
      <c r="BC178" s="239">
        <v>0</v>
      </c>
      <c r="BD178" s="239">
        <v>0</v>
      </c>
      <c r="BE178" s="239">
        <v>0</v>
      </c>
      <c r="BF178" s="239">
        <v>0</v>
      </c>
      <c r="BG178" s="239">
        <v>0</v>
      </c>
      <c r="BH178" s="239">
        <v>0</v>
      </c>
      <c r="BI178" s="239">
        <v>0</v>
      </c>
      <c r="BJ178" s="239">
        <v>0</v>
      </c>
      <c r="BK178" s="239">
        <v>0</v>
      </c>
      <c r="BL178" s="239">
        <v>0</v>
      </c>
      <c r="BM178" s="239">
        <v>0</v>
      </c>
      <c r="BN178" s="239">
        <v>0</v>
      </c>
      <c r="BO178" s="239">
        <v>0</v>
      </c>
      <c r="BP178" s="239">
        <v>0</v>
      </c>
      <c r="BQ178" s="239">
        <v>0</v>
      </c>
      <c r="BR178" s="239">
        <v>0</v>
      </c>
      <c r="BS178" s="239">
        <v>0</v>
      </c>
      <c r="BT178" s="239">
        <v>0</v>
      </c>
      <c r="BU178" s="239">
        <v>191188.08333333334</v>
      </c>
      <c r="BV178" s="239">
        <v>43017.318749999999</v>
      </c>
      <c r="BW178" s="239">
        <v>4779.7020833333336</v>
      </c>
      <c r="BX178" s="239">
        <v>142040</v>
      </c>
      <c r="BY178" s="239">
        <v>31960</v>
      </c>
      <c r="BZ178" s="239">
        <v>3552</v>
      </c>
      <c r="CA178" s="239">
        <v>49148</v>
      </c>
      <c r="CB178" s="239">
        <v>11057</v>
      </c>
      <c r="CC178" s="239">
        <v>1228</v>
      </c>
      <c r="CD178" s="239">
        <v>0</v>
      </c>
      <c r="CE178" s="239">
        <v>0</v>
      </c>
      <c r="CF178" s="239">
        <v>0</v>
      </c>
      <c r="CG178" s="239">
        <v>0</v>
      </c>
      <c r="CH178" s="239">
        <v>0</v>
      </c>
      <c r="CI178" s="239">
        <v>0</v>
      </c>
      <c r="CJ178" s="239">
        <v>0</v>
      </c>
      <c r="CK178" s="239">
        <v>0</v>
      </c>
      <c r="CL178" s="239">
        <v>0</v>
      </c>
      <c r="CM178" s="239">
        <v>4186.5766666666668</v>
      </c>
      <c r="CN178" s="239">
        <v>941.97975000000008</v>
      </c>
      <c r="CO178" s="239">
        <v>104.66441666666668</v>
      </c>
      <c r="CP178" s="239">
        <v>0</v>
      </c>
      <c r="CQ178" s="239">
        <v>0</v>
      </c>
      <c r="CR178" s="239">
        <v>0</v>
      </c>
      <c r="CS178" s="239">
        <v>4187</v>
      </c>
      <c r="CT178" s="239">
        <v>942</v>
      </c>
      <c r="CU178" s="239">
        <v>105</v>
      </c>
      <c r="CV178" s="239">
        <v>212439.03041666668</v>
      </c>
      <c r="CW178" s="239">
        <v>47586.560437499997</v>
      </c>
      <c r="CX178" s="239">
        <v>5287.395604166667</v>
      </c>
      <c r="CY178" s="239">
        <v>227868</v>
      </c>
      <c r="CZ178" s="239">
        <v>51270</v>
      </c>
      <c r="DA178" s="239">
        <v>5697</v>
      </c>
      <c r="DB178" s="239">
        <v>-15429</v>
      </c>
      <c r="DC178" s="239">
        <v>-3683</v>
      </c>
      <c r="DD178" s="239">
        <v>-410</v>
      </c>
      <c r="DE178" s="214">
        <v>0.5</v>
      </c>
      <c r="DF178" s="214">
        <v>0.4</v>
      </c>
      <c r="DG178" s="214">
        <v>0.09</v>
      </c>
      <c r="DH178" s="214">
        <v>0.01</v>
      </c>
      <c r="DI178" s="214" t="s">
        <v>1294</v>
      </c>
    </row>
    <row r="179" spans="2:113" s="214" customFormat="1" x14ac:dyDescent="0.2">
      <c r="B179" s="610" t="s">
        <v>441</v>
      </c>
      <c r="C179" s="610" t="s">
        <v>1144</v>
      </c>
      <c r="D179" s="239">
        <v>-1357274</v>
      </c>
      <c r="E179" s="239">
        <v>-2470</v>
      </c>
      <c r="F179" s="239">
        <v>-1359744</v>
      </c>
      <c r="G179" s="239">
        <v>0</v>
      </c>
      <c r="H179" s="239">
        <v>0</v>
      </c>
      <c r="I179" s="239">
        <v>0</v>
      </c>
      <c r="J179" s="239">
        <v>-1357274</v>
      </c>
      <c r="K179" s="239">
        <v>-2470</v>
      </c>
      <c r="L179" s="239">
        <v>-1359744</v>
      </c>
      <c r="M179" s="239">
        <v>471251</v>
      </c>
      <c r="N179" s="239">
        <v>471251</v>
      </c>
      <c r="O179" s="239">
        <v>0</v>
      </c>
      <c r="P179" s="239">
        <v>476106</v>
      </c>
      <c r="Q179" s="239">
        <v>288714</v>
      </c>
      <c r="R179" s="239">
        <v>187392</v>
      </c>
      <c r="S179" s="239">
        <v>0</v>
      </c>
      <c r="T179" s="239">
        <v>0</v>
      </c>
      <c r="U179" s="239">
        <v>0</v>
      </c>
      <c r="V179" s="239">
        <v>0</v>
      </c>
      <c r="W179" s="239">
        <v>0</v>
      </c>
      <c r="X179" s="239">
        <v>0</v>
      </c>
      <c r="Y179" s="239">
        <v>0</v>
      </c>
      <c r="Z179" s="239">
        <v>0</v>
      </c>
      <c r="AA179" s="239">
        <v>0</v>
      </c>
      <c r="AB179" s="239">
        <v>0</v>
      </c>
      <c r="AC179" s="239">
        <v>0</v>
      </c>
      <c r="AD179" s="239">
        <v>0</v>
      </c>
      <c r="AE179" s="239">
        <v>0</v>
      </c>
      <c r="AF179" s="239">
        <v>0</v>
      </c>
      <c r="AG179" s="239">
        <v>0</v>
      </c>
      <c r="AH179" s="239">
        <v>0</v>
      </c>
      <c r="AI179" s="239">
        <v>0</v>
      </c>
      <c r="AJ179" s="239">
        <v>0</v>
      </c>
      <c r="AK179" s="239">
        <v>1342741.8914583335</v>
      </c>
      <c r="AL179" s="239">
        <v>0</v>
      </c>
      <c r="AM179" s="239">
        <v>26902.996041666669</v>
      </c>
      <c r="AN179" s="239">
        <v>1238170</v>
      </c>
      <c r="AO179" s="239">
        <v>0</v>
      </c>
      <c r="AP179" s="239">
        <v>25268</v>
      </c>
      <c r="AQ179" s="239">
        <v>104572</v>
      </c>
      <c r="AR179" s="239">
        <v>0</v>
      </c>
      <c r="AS179" s="239">
        <v>1635</v>
      </c>
      <c r="AT179" s="239">
        <v>4673.6679791666666</v>
      </c>
      <c r="AU179" s="239">
        <v>0</v>
      </c>
      <c r="AV179" s="239">
        <v>95.380979166666663</v>
      </c>
      <c r="AW179" s="239">
        <v>5322</v>
      </c>
      <c r="AX179" s="239">
        <v>0</v>
      </c>
      <c r="AY179" s="239">
        <v>108</v>
      </c>
      <c r="AZ179" s="239">
        <v>-648</v>
      </c>
      <c r="BA179" s="239">
        <v>0</v>
      </c>
      <c r="BB179" s="239">
        <v>-13</v>
      </c>
      <c r="BC179" s="239">
        <v>56.674624999999999</v>
      </c>
      <c r="BD179" s="239">
        <v>0</v>
      </c>
      <c r="BE179" s="239">
        <v>1.156625</v>
      </c>
      <c r="BF179" s="239">
        <v>346289</v>
      </c>
      <c r="BG179" s="239">
        <v>0</v>
      </c>
      <c r="BH179" s="239">
        <v>7068</v>
      </c>
      <c r="BI179" s="239">
        <v>-346232</v>
      </c>
      <c r="BJ179" s="239">
        <v>0</v>
      </c>
      <c r="BK179" s="239">
        <v>-7067</v>
      </c>
      <c r="BL179" s="239">
        <v>92545.685458333333</v>
      </c>
      <c r="BM179" s="239">
        <v>0</v>
      </c>
      <c r="BN179" s="239">
        <v>1888.6874583333333</v>
      </c>
      <c r="BO179" s="239">
        <v>336167</v>
      </c>
      <c r="BP179" s="239">
        <v>0</v>
      </c>
      <c r="BQ179" s="239">
        <v>6860</v>
      </c>
      <c r="BR179" s="239">
        <v>-243621</v>
      </c>
      <c r="BS179" s="239">
        <v>0</v>
      </c>
      <c r="BT179" s="239">
        <v>-4971</v>
      </c>
      <c r="BU179" s="239">
        <v>772424.58206249995</v>
      </c>
      <c r="BV179" s="239">
        <v>0</v>
      </c>
      <c r="BW179" s="239">
        <v>15418.1460625</v>
      </c>
      <c r="BX179" s="239">
        <v>614586</v>
      </c>
      <c r="BY179" s="239">
        <v>0</v>
      </c>
      <c r="BZ179" s="239">
        <v>12542</v>
      </c>
      <c r="CA179" s="239">
        <v>157839</v>
      </c>
      <c r="CB179" s="239">
        <v>0</v>
      </c>
      <c r="CC179" s="239">
        <v>2876</v>
      </c>
      <c r="CD179" s="239">
        <v>0</v>
      </c>
      <c r="CE179" s="239">
        <v>0</v>
      </c>
      <c r="CF179" s="239">
        <v>0</v>
      </c>
      <c r="CG179" s="239">
        <v>0</v>
      </c>
      <c r="CH179" s="239">
        <v>0</v>
      </c>
      <c r="CI179" s="239">
        <v>0</v>
      </c>
      <c r="CJ179" s="239">
        <v>0</v>
      </c>
      <c r="CK179" s="239">
        <v>0</v>
      </c>
      <c r="CL179" s="239">
        <v>0</v>
      </c>
      <c r="CM179" s="239">
        <v>0</v>
      </c>
      <c r="CN179" s="239">
        <v>0</v>
      </c>
      <c r="CO179" s="239">
        <v>0</v>
      </c>
      <c r="CP179" s="239">
        <v>0</v>
      </c>
      <c r="CQ179" s="239">
        <v>0</v>
      </c>
      <c r="CR179" s="239">
        <v>0</v>
      </c>
      <c r="CS179" s="239">
        <v>0</v>
      </c>
      <c r="CT179" s="239">
        <v>0</v>
      </c>
      <c r="CU179" s="239">
        <v>0</v>
      </c>
      <c r="CV179" s="239">
        <v>994673.82408333337</v>
      </c>
      <c r="CW179" s="239">
        <v>0</v>
      </c>
      <c r="CX179" s="239">
        <v>20157.767583333331</v>
      </c>
      <c r="CY179" s="239">
        <v>1105043</v>
      </c>
      <c r="CZ179" s="239">
        <v>0</v>
      </c>
      <c r="DA179" s="239">
        <v>22466</v>
      </c>
      <c r="DB179" s="239">
        <v>-110369</v>
      </c>
      <c r="DC179" s="239">
        <v>0</v>
      </c>
      <c r="DD179" s="239">
        <v>-2308</v>
      </c>
      <c r="DE179" s="214">
        <v>0.5</v>
      </c>
      <c r="DF179" s="214">
        <v>0.49</v>
      </c>
      <c r="DG179" s="214">
        <v>0</v>
      </c>
      <c r="DH179" s="214">
        <v>0.01</v>
      </c>
      <c r="DI179" s="214" t="s">
        <v>1296</v>
      </c>
    </row>
    <row r="180" spans="2:113" s="214" customFormat="1" x14ac:dyDescent="0.2">
      <c r="B180" s="610" t="s">
        <v>443</v>
      </c>
      <c r="C180" s="610" t="s">
        <v>442</v>
      </c>
      <c r="D180" s="239">
        <v>230603</v>
      </c>
      <c r="E180" s="239">
        <v>0</v>
      </c>
      <c r="F180" s="239">
        <v>230603</v>
      </c>
      <c r="G180" s="239">
        <v>0</v>
      </c>
      <c r="H180" s="239">
        <v>0</v>
      </c>
      <c r="I180" s="239">
        <v>0</v>
      </c>
      <c r="J180" s="239">
        <v>230603</v>
      </c>
      <c r="K180" s="239">
        <v>0</v>
      </c>
      <c r="L180" s="239">
        <v>230603</v>
      </c>
      <c r="M180" s="239">
        <v>140565</v>
      </c>
      <c r="N180" s="239">
        <v>140565</v>
      </c>
      <c r="O180" s="239">
        <v>0</v>
      </c>
      <c r="P180" s="239">
        <v>0</v>
      </c>
      <c r="Q180" s="239">
        <v>0</v>
      </c>
      <c r="R180" s="239">
        <v>0</v>
      </c>
      <c r="S180" s="239">
        <v>0</v>
      </c>
      <c r="T180" s="239">
        <v>0</v>
      </c>
      <c r="U180" s="239">
        <v>0</v>
      </c>
      <c r="V180" s="239">
        <v>0</v>
      </c>
      <c r="W180" s="239">
        <v>0</v>
      </c>
      <c r="X180" s="239">
        <v>0</v>
      </c>
      <c r="Y180" s="239">
        <v>0</v>
      </c>
      <c r="Z180" s="239">
        <v>0</v>
      </c>
      <c r="AA180" s="239">
        <v>0</v>
      </c>
      <c r="AB180" s="239">
        <v>0</v>
      </c>
      <c r="AC180" s="239">
        <v>0</v>
      </c>
      <c r="AD180" s="239">
        <v>0</v>
      </c>
      <c r="AE180" s="239">
        <v>0</v>
      </c>
      <c r="AF180" s="239">
        <v>0</v>
      </c>
      <c r="AG180" s="239">
        <v>0</v>
      </c>
      <c r="AH180" s="239">
        <v>0</v>
      </c>
      <c r="AI180" s="239">
        <v>0</v>
      </c>
      <c r="AJ180" s="239">
        <v>0</v>
      </c>
      <c r="AK180" s="239">
        <v>486301.76375000004</v>
      </c>
      <c r="AL180" s="239">
        <v>109417.89684375</v>
      </c>
      <c r="AM180" s="239">
        <v>12157.544093750001</v>
      </c>
      <c r="AN180" s="239">
        <v>443695</v>
      </c>
      <c r="AO180" s="239">
        <v>99832</v>
      </c>
      <c r="AP180" s="239">
        <v>11092</v>
      </c>
      <c r="AQ180" s="239">
        <v>42607</v>
      </c>
      <c r="AR180" s="239">
        <v>9586</v>
      </c>
      <c r="AS180" s="239">
        <v>1066</v>
      </c>
      <c r="AT180" s="239">
        <v>0</v>
      </c>
      <c r="AU180" s="239">
        <v>0</v>
      </c>
      <c r="AV180" s="239">
        <v>0</v>
      </c>
      <c r="AW180" s="239">
        <v>1441</v>
      </c>
      <c r="AX180" s="239">
        <v>324</v>
      </c>
      <c r="AY180" s="239">
        <v>36</v>
      </c>
      <c r="AZ180" s="239">
        <v>-1441</v>
      </c>
      <c r="BA180" s="239">
        <v>-324</v>
      </c>
      <c r="BB180" s="239">
        <v>-36</v>
      </c>
      <c r="BC180" s="239">
        <v>0</v>
      </c>
      <c r="BD180" s="239">
        <v>0</v>
      </c>
      <c r="BE180" s="239">
        <v>0</v>
      </c>
      <c r="BF180" s="239">
        <v>0</v>
      </c>
      <c r="BG180" s="239">
        <v>0</v>
      </c>
      <c r="BH180" s="239">
        <v>0</v>
      </c>
      <c r="BI180" s="239">
        <v>0</v>
      </c>
      <c r="BJ180" s="239">
        <v>0</v>
      </c>
      <c r="BK180" s="239">
        <v>0</v>
      </c>
      <c r="BL180" s="239">
        <v>0</v>
      </c>
      <c r="BM180" s="239">
        <v>0</v>
      </c>
      <c r="BN180" s="239">
        <v>0</v>
      </c>
      <c r="BO180" s="239">
        <v>1561</v>
      </c>
      <c r="BP180" s="239">
        <v>352</v>
      </c>
      <c r="BQ180" s="239">
        <v>40</v>
      </c>
      <c r="BR180" s="239">
        <v>-1561</v>
      </c>
      <c r="BS180" s="239">
        <v>-352</v>
      </c>
      <c r="BT180" s="239">
        <v>-40</v>
      </c>
      <c r="BU180" s="239">
        <v>309683.3</v>
      </c>
      <c r="BV180" s="239">
        <v>69678.742499999993</v>
      </c>
      <c r="BW180" s="239">
        <v>7742.0824999999995</v>
      </c>
      <c r="BX180" s="239">
        <v>372861</v>
      </c>
      <c r="BY180" s="239">
        <v>83894</v>
      </c>
      <c r="BZ180" s="239">
        <v>9322</v>
      </c>
      <c r="CA180" s="239">
        <v>-63178</v>
      </c>
      <c r="CB180" s="239">
        <v>-14215</v>
      </c>
      <c r="CC180" s="239">
        <v>-1580</v>
      </c>
      <c r="CD180" s="239">
        <v>0</v>
      </c>
      <c r="CE180" s="239">
        <v>0</v>
      </c>
      <c r="CF180" s="239">
        <v>0</v>
      </c>
      <c r="CG180" s="239">
        <v>0</v>
      </c>
      <c r="CH180" s="239">
        <v>0</v>
      </c>
      <c r="CI180" s="239">
        <v>0</v>
      </c>
      <c r="CJ180" s="239">
        <v>0</v>
      </c>
      <c r="CK180" s="239">
        <v>0</v>
      </c>
      <c r="CL180" s="239">
        <v>0</v>
      </c>
      <c r="CM180" s="239">
        <v>0</v>
      </c>
      <c r="CN180" s="239">
        <v>0</v>
      </c>
      <c r="CO180" s="239">
        <v>0</v>
      </c>
      <c r="CP180" s="239">
        <v>0</v>
      </c>
      <c r="CQ180" s="239">
        <v>0</v>
      </c>
      <c r="CR180" s="239">
        <v>0</v>
      </c>
      <c r="CS180" s="239">
        <v>0</v>
      </c>
      <c r="CT180" s="239">
        <v>0</v>
      </c>
      <c r="CU180" s="239">
        <v>0</v>
      </c>
      <c r="CV180" s="239">
        <v>188135.7741666667</v>
      </c>
      <c r="CW180" s="239">
        <v>42330.549187500001</v>
      </c>
      <c r="CX180" s="239">
        <v>4703.3943541666667</v>
      </c>
      <c r="CY180" s="239">
        <v>191691</v>
      </c>
      <c r="CZ180" s="239">
        <v>43130</v>
      </c>
      <c r="DA180" s="239">
        <v>4792</v>
      </c>
      <c r="DB180" s="239">
        <v>-3555</v>
      </c>
      <c r="DC180" s="239">
        <v>-799</v>
      </c>
      <c r="DD180" s="239">
        <v>-89</v>
      </c>
      <c r="DE180" s="214">
        <v>0.5</v>
      </c>
      <c r="DF180" s="214">
        <v>0.4</v>
      </c>
      <c r="DG180" s="214">
        <v>0.09</v>
      </c>
      <c r="DH180" s="214">
        <v>0.01</v>
      </c>
      <c r="DI180" s="214" t="s">
        <v>1294</v>
      </c>
    </row>
    <row r="181" spans="2:113" s="214" customFormat="1" x14ac:dyDescent="0.2">
      <c r="B181" s="610" t="s">
        <v>445</v>
      </c>
      <c r="C181" s="610" t="s">
        <v>444</v>
      </c>
      <c r="D181" s="239">
        <v>-497634</v>
      </c>
      <c r="E181" s="239">
        <v>0</v>
      </c>
      <c r="F181" s="239">
        <v>-497634</v>
      </c>
      <c r="G181" s="239">
        <v>0</v>
      </c>
      <c r="H181" s="239">
        <v>0</v>
      </c>
      <c r="I181" s="239">
        <v>0</v>
      </c>
      <c r="J181" s="239">
        <v>-497634</v>
      </c>
      <c r="K181" s="239">
        <v>0</v>
      </c>
      <c r="L181" s="239">
        <v>-497634</v>
      </c>
      <c r="M181" s="239">
        <v>371854</v>
      </c>
      <c r="N181" s="239">
        <v>371854</v>
      </c>
      <c r="O181" s="239">
        <v>0</v>
      </c>
      <c r="P181" s="239">
        <v>203349</v>
      </c>
      <c r="Q181" s="239">
        <v>278857</v>
      </c>
      <c r="R181" s="239">
        <v>-75508</v>
      </c>
      <c r="S181" s="239">
        <v>0</v>
      </c>
      <c r="T181" s="239">
        <v>0</v>
      </c>
      <c r="U181" s="239">
        <v>0</v>
      </c>
      <c r="V181" s="239">
        <v>0</v>
      </c>
      <c r="W181" s="239">
        <v>0</v>
      </c>
      <c r="X181" s="239">
        <v>0</v>
      </c>
      <c r="Y181" s="239">
        <v>-242930.81875000001</v>
      </c>
      <c r="Z181" s="239">
        <v>-242930.81875000001</v>
      </c>
      <c r="AA181" s="239">
        <v>0</v>
      </c>
      <c r="AB181" s="239">
        <v>0</v>
      </c>
      <c r="AC181" s="239">
        <v>177210</v>
      </c>
      <c r="AD181" s="239">
        <v>177210</v>
      </c>
      <c r="AE181" s="239">
        <v>0</v>
      </c>
      <c r="AF181" s="239">
        <v>0</v>
      </c>
      <c r="AG181" s="239">
        <v>-420141</v>
      </c>
      <c r="AH181" s="239">
        <v>-420141</v>
      </c>
      <c r="AI181" s="239">
        <v>0</v>
      </c>
      <c r="AJ181" s="239">
        <v>0</v>
      </c>
      <c r="AK181" s="239">
        <v>757198.25312499993</v>
      </c>
      <c r="AL181" s="239">
        <v>504003.40208333335</v>
      </c>
      <c r="AM181" s="239">
        <v>0</v>
      </c>
      <c r="AN181" s="239">
        <v>491314</v>
      </c>
      <c r="AO181" s="239">
        <v>327542</v>
      </c>
      <c r="AP181" s="239">
        <v>0</v>
      </c>
      <c r="AQ181" s="239">
        <v>265884</v>
      </c>
      <c r="AR181" s="239">
        <v>176461</v>
      </c>
      <c r="AS181" s="239">
        <v>0</v>
      </c>
      <c r="AT181" s="239">
        <v>0</v>
      </c>
      <c r="AU181" s="239">
        <v>0</v>
      </c>
      <c r="AV181" s="239">
        <v>0</v>
      </c>
      <c r="AW181" s="239">
        <v>0</v>
      </c>
      <c r="AX181" s="239">
        <v>0</v>
      </c>
      <c r="AY181" s="239">
        <v>0</v>
      </c>
      <c r="AZ181" s="239">
        <v>0</v>
      </c>
      <c r="BA181" s="239">
        <v>0</v>
      </c>
      <c r="BB181" s="239">
        <v>0</v>
      </c>
      <c r="BC181" s="239">
        <v>0</v>
      </c>
      <c r="BD181" s="239">
        <v>0</v>
      </c>
      <c r="BE181" s="239">
        <v>0</v>
      </c>
      <c r="BF181" s="239">
        <v>0</v>
      </c>
      <c r="BG181" s="239">
        <v>0</v>
      </c>
      <c r="BH181" s="239">
        <v>0</v>
      </c>
      <c r="BI181" s="239">
        <v>0</v>
      </c>
      <c r="BJ181" s="239">
        <v>0</v>
      </c>
      <c r="BK181" s="239">
        <v>0</v>
      </c>
      <c r="BL181" s="239">
        <v>0</v>
      </c>
      <c r="BM181" s="239">
        <v>0</v>
      </c>
      <c r="BN181" s="239">
        <v>0</v>
      </c>
      <c r="BO181" s="239">
        <v>0</v>
      </c>
      <c r="BP181" s="239">
        <v>0</v>
      </c>
      <c r="BQ181" s="239">
        <v>0</v>
      </c>
      <c r="BR181" s="239">
        <v>0</v>
      </c>
      <c r="BS181" s="239">
        <v>0</v>
      </c>
      <c r="BT181" s="239">
        <v>0</v>
      </c>
      <c r="BU181" s="239">
        <v>626074.72062500007</v>
      </c>
      <c r="BV181" s="239">
        <v>417383.14708333334</v>
      </c>
      <c r="BW181" s="239">
        <v>0</v>
      </c>
      <c r="BX181" s="239">
        <v>304907</v>
      </c>
      <c r="BY181" s="239">
        <v>203270</v>
      </c>
      <c r="BZ181" s="239">
        <v>0</v>
      </c>
      <c r="CA181" s="239">
        <v>321168</v>
      </c>
      <c r="CB181" s="239">
        <v>214113</v>
      </c>
      <c r="CC181" s="239">
        <v>0</v>
      </c>
      <c r="CD181" s="239">
        <v>0</v>
      </c>
      <c r="CE181" s="239">
        <v>0</v>
      </c>
      <c r="CF181" s="239">
        <v>0</v>
      </c>
      <c r="CG181" s="239">
        <v>0</v>
      </c>
      <c r="CH181" s="239">
        <v>0</v>
      </c>
      <c r="CI181" s="239">
        <v>0</v>
      </c>
      <c r="CJ181" s="239">
        <v>0</v>
      </c>
      <c r="CK181" s="239">
        <v>0</v>
      </c>
      <c r="CL181" s="239">
        <v>0</v>
      </c>
      <c r="CM181" s="239">
        <v>36827.548750000002</v>
      </c>
      <c r="CN181" s="239">
        <v>24551.699166666669</v>
      </c>
      <c r="CO181" s="239">
        <v>0</v>
      </c>
      <c r="CP181" s="239">
        <v>0</v>
      </c>
      <c r="CQ181" s="239">
        <v>0</v>
      </c>
      <c r="CR181" s="239">
        <v>0</v>
      </c>
      <c r="CS181" s="239">
        <v>36828</v>
      </c>
      <c r="CT181" s="239">
        <v>24552</v>
      </c>
      <c r="CU181" s="239">
        <v>0</v>
      </c>
      <c r="CV181" s="239">
        <v>547114.05437499995</v>
      </c>
      <c r="CW181" s="239">
        <v>362765.6987500001</v>
      </c>
      <c r="CX181" s="239">
        <v>0</v>
      </c>
      <c r="CY181" s="239">
        <v>560051</v>
      </c>
      <c r="CZ181" s="239">
        <v>368933</v>
      </c>
      <c r="DA181" s="239">
        <v>0</v>
      </c>
      <c r="DB181" s="239">
        <v>-12937</v>
      </c>
      <c r="DC181" s="239">
        <v>-6167</v>
      </c>
      <c r="DD181" s="239">
        <v>0</v>
      </c>
      <c r="DE181" s="214">
        <v>0.5</v>
      </c>
      <c r="DF181" s="214">
        <v>0.3</v>
      </c>
      <c r="DG181" s="214">
        <v>0.2</v>
      </c>
      <c r="DH181" s="214">
        <v>0</v>
      </c>
      <c r="DI181" s="214" t="s">
        <v>1295</v>
      </c>
    </row>
    <row r="182" spans="2:113" s="214" customFormat="1" x14ac:dyDescent="0.2">
      <c r="B182" s="610" t="s">
        <v>447</v>
      </c>
      <c r="C182" s="610" t="s">
        <v>446</v>
      </c>
      <c r="D182" s="239">
        <v>609668</v>
      </c>
      <c r="E182" s="239">
        <v>0</v>
      </c>
      <c r="F182" s="239">
        <v>609668</v>
      </c>
      <c r="G182" s="239">
        <v>0</v>
      </c>
      <c r="H182" s="239">
        <v>0</v>
      </c>
      <c r="I182" s="239">
        <v>0</v>
      </c>
      <c r="J182" s="239">
        <v>609668</v>
      </c>
      <c r="K182" s="239">
        <v>0</v>
      </c>
      <c r="L182" s="239">
        <v>609668</v>
      </c>
      <c r="M182" s="239">
        <v>201252</v>
      </c>
      <c r="N182" s="239">
        <v>201252</v>
      </c>
      <c r="O182" s="239">
        <v>0</v>
      </c>
      <c r="P182" s="239">
        <v>0</v>
      </c>
      <c r="Q182" s="239">
        <v>0</v>
      </c>
      <c r="R182" s="239">
        <v>0</v>
      </c>
      <c r="S182" s="239">
        <v>195352</v>
      </c>
      <c r="T182" s="239">
        <v>0</v>
      </c>
      <c r="U182" s="239">
        <v>62000</v>
      </c>
      <c r="V182" s="239">
        <v>0</v>
      </c>
      <c r="W182" s="239">
        <v>133352</v>
      </c>
      <c r="X182" s="239">
        <v>0</v>
      </c>
      <c r="Y182" s="239">
        <v>0</v>
      </c>
      <c r="Z182" s="239">
        <v>0</v>
      </c>
      <c r="AA182" s="239">
        <v>0</v>
      </c>
      <c r="AB182" s="239">
        <v>0</v>
      </c>
      <c r="AC182" s="239">
        <v>0</v>
      </c>
      <c r="AD182" s="239">
        <v>0</v>
      </c>
      <c r="AE182" s="239">
        <v>0</v>
      </c>
      <c r="AF182" s="239">
        <v>0</v>
      </c>
      <c r="AG182" s="239">
        <v>0</v>
      </c>
      <c r="AH182" s="239">
        <v>0</v>
      </c>
      <c r="AI182" s="239">
        <v>0</v>
      </c>
      <c r="AJ182" s="239">
        <v>0</v>
      </c>
      <c r="AK182" s="239">
        <v>982968.1050000001</v>
      </c>
      <c r="AL182" s="239">
        <v>221167.82362499999</v>
      </c>
      <c r="AM182" s="239">
        <v>24574.202625000002</v>
      </c>
      <c r="AN182" s="239">
        <v>876057</v>
      </c>
      <c r="AO182" s="239">
        <v>197114</v>
      </c>
      <c r="AP182" s="239">
        <v>21902</v>
      </c>
      <c r="AQ182" s="239">
        <v>106911</v>
      </c>
      <c r="AR182" s="239">
        <v>24054</v>
      </c>
      <c r="AS182" s="239">
        <v>2672</v>
      </c>
      <c r="AT182" s="239">
        <v>9847.9516666666677</v>
      </c>
      <c r="AU182" s="239">
        <v>2215.7891249999998</v>
      </c>
      <c r="AV182" s="239">
        <v>246.19879166666666</v>
      </c>
      <c r="AW182" s="239">
        <v>1319</v>
      </c>
      <c r="AX182" s="239">
        <v>298</v>
      </c>
      <c r="AY182" s="239">
        <v>34</v>
      </c>
      <c r="AZ182" s="239">
        <v>8529</v>
      </c>
      <c r="BA182" s="239">
        <v>1918</v>
      </c>
      <c r="BB182" s="239">
        <v>212</v>
      </c>
      <c r="BC182" s="239">
        <v>0</v>
      </c>
      <c r="BD182" s="239">
        <v>0</v>
      </c>
      <c r="BE182" s="239">
        <v>0</v>
      </c>
      <c r="BF182" s="239">
        <v>0</v>
      </c>
      <c r="BG182" s="239">
        <v>0</v>
      </c>
      <c r="BH182" s="239">
        <v>0</v>
      </c>
      <c r="BI182" s="239">
        <v>0</v>
      </c>
      <c r="BJ182" s="239">
        <v>0</v>
      </c>
      <c r="BK182" s="239">
        <v>0</v>
      </c>
      <c r="BL182" s="239">
        <v>5875.6550000000007</v>
      </c>
      <c r="BM182" s="239">
        <v>1322.022375</v>
      </c>
      <c r="BN182" s="239">
        <v>146.89137500000001</v>
      </c>
      <c r="BO182" s="239">
        <v>3788</v>
      </c>
      <c r="BP182" s="239">
        <v>852</v>
      </c>
      <c r="BQ182" s="239">
        <v>94</v>
      </c>
      <c r="BR182" s="239">
        <v>2088</v>
      </c>
      <c r="BS182" s="239">
        <v>470</v>
      </c>
      <c r="BT182" s="239">
        <v>53</v>
      </c>
      <c r="BU182" s="239">
        <v>336760.09416666668</v>
      </c>
      <c r="BV182" s="239">
        <v>75771.021187499995</v>
      </c>
      <c r="BW182" s="239">
        <v>8419.0023541666669</v>
      </c>
      <c r="BX182" s="239">
        <v>328226</v>
      </c>
      <c r="BY182" s="239">
        <v>73852</v>
      </c>
      <c r="BZ182" s="239">
        <v>8206</v>
      </c>
      <c r="CA182" s="239">
        <v>8534</v>
      </c>
      <c r="CB182" s="239">
        <v>1919</v>
      </c>
      <c r="CC182" s="239">
        <v>213</v>
      </c>
      <c r="CD182" s="239">
        <v>0</v>
      </c>
      <c r="CE182" s="239">
        <v>0</v>
      </c>
      <c r="CF182" s="239">
        <v>0</v>
      </c>
      <c r="CG182" s="239">
        <v>0</v>
      </c>
      <c r="CH182" s="239">
        <v>0</v>
      </c>
      <c r="CI182" s="239">
        <v>0</v>
      </c>
      <c r="CJ182" s="239">
        <v>0</v>
      </c>
      <c r="CK182" s="239">
        <v>0</v>
      </c>
      <c r="CL182" s="239">
        <v>0</v>
      </c>
      <c r="CM182" s="239">
        <v>15924.900000000001</v>
      </c>
      <c r="CN182" s="239">
        <v>3583.1025</v>
      </c>
      <c r="CO182" s="239">
        <v>398.1225</v>
      </c>
      <c r="CP182" s="239">
        <v>0</v>
      </c>
      <c r="CQ182" s="239">
        <v>0</v>
      </c>
      <c r="CR182" s="239">
        <v>0</v>
      </c>
      <c r="CS182" s="239">
        <v>15925</v>
      </c>
      <c r="CT182" s="239">
        <v>3583</v>
      </c>
      <c r="CU182" s="239">
        <v>398</v>
      </c>
      <c r="CV182" s="239">
        <v>175917.86333333334</v>
      </c>
      <c r="CW182" s="239">
        <v>38940.520499999999</v>
      </c>
      <c r="CX182" s="239">
        <v>4326.7245000000003</v>
      </c>
      <c r="CY182" s="239">
        <v>188896</v>
      </c>
      <c r="CZ182" s="239">
        <v>42298</v>
      </c>
      <c r="DA182" s="239">
        <v>4700</v>
      </c>
      <c r="DB182" s="239">
        <v>-12978</v>
      </c>
      <c r="DC182" s="239">
        <v>-3357</v>
      </c>
      <c r="DD182" s="239">
        <v>-373</v>
      </c>
      <c r="DE182" s="214">
        <v>0.5</v>
      </c>
      <c r="DF182" s="214">
        <v>0.4</v>
      </c>
      <c r="DG182" s="214">
        <v>0.09</v>
      </c>
      <c r="DH182" s="214">
        <v>0.01</v>
      </c>
      <c r="DI182" s="214" t="s">
        <v>1294</v>
      </c>
    </row>
    <row r="183" spans="2:113" s="214" customFormat="1" x14ac:dyDescent="0.2">
      <c r="B183" s="610" t="s">
        <v>449</v>
      </c>
      <c r="C183" s="610" t="s">
        <v>448</v>
      </c>
      <c r="D183" s="239">
        <v>-147493</v>
      </c>
      <c r="E183" s="239">
        <v>0</v>
      </c>
      <c r="F183" s="239">
        <v>-147493</v>
      </c>
      <c r="G183" s="239">
        <v>0</v>
      </c>
      <c r="H183" s="239">
        <v>0</v>
      </c>
      <c r="I183" s="239">
        <v>0</v>
      </c>
      <c r="J183" s="239">
        <v>-147493</v>
      </c>
      <c r="K183" s="239">
        <v>0</v>
      </c>
      <c r="L183" s="239">
        <v>-147493</v>
      </c>
      <c r="M183" s="239">
        <v>92435</v>
      </c>
      <c r="N183" s="239">
        <v>92435</v>
      </c>
      <c r="O183" s="239">
        <v>0</v>
      </c>
      <c r="P183" s="239">
        <v>0</v>
      </c>
      <c r="Q183" s="239">
        <v>0</v>
      </c>
      <c r="R183" s="239">
        <v>0</v>
      </c>
      <c r="S183" s="239">
        <v>179849</v>
      </c>
      <c r="T183" s="239">
        <v>0</v>
      </c>
      <c r="U183" s="239">
        <v>0</v>
      </c>
      <c r="V183" s="239">
        <v>0</v>
      </c>
      <c r="W183" s="239">
        <v>179849</v>
      </c>
      <c r="X183" s="239">
        <v>0</v>
      </c>
      <c r="Y183" s="239">
        <v>0</v>
      </c>
      <c r="Z183" s="239">
        <v>0</v>
      </c>
      <c r="AA183" s="239">
        <v>0</v>
      </c>
      <c r="AB183" s="239">
        <v>0</v>
      </c>
      <c r="AC183" s="239">
        <v>0</v>
      </c>
      <c r="AD183" s="239">
        <v>0</v>
      </c>
      <c r="AE183" s="239">
        <v>0</v>
      </c>
      <c r="AF183" s="239">
        <v>0</v>
      </c>
      <c r="AG183" s="239">
        <v>0</v>
      </c>
      <c r="AH183" s="239">
        <v>0</v>
      </c>
      <c r="AI183" s="239">
        <v>0</v>
      </c>
      <c r="AJ183" s="239">
        <v>0</v>
      </c>
      <c r="AK183" s="239">
        <v>392227.16208333336</v>
      </c>
      <c r="AL183" s="239">
        <v>88251.111468749979</v>
      </c>
      <c r="AM183" s="239">
        <v>9805.6790520833329</v>
      </c>
      <c r="AN183" s="239">
        <v>360662</v>
      </c>
      <c r="AO183" s="239">
        <v>81150</v>
      </c>
      <c r="AP183" s="239">
        <v>9016</v>
      </c>
      <c r="AQ183" s="239">
        <v>31565</v>
      </c>
      <c r="AR183" s="239">
        <v>7101</v>
      </c>
      <c r="AS183" s="239">
        <v>790</v>
      </c>
      <c r="AT183" s="239">
        <v>1366.0350000000001</v>
      </c>
      <c r="AU183" s="239">
        <v>307.35787499999998</v>
      </c>
      <c r="AV183" s="239">
        <v>34.150874999999999</v>
      </c>
      <c r="AW183" s="239">
        <v>0</v>
      </c>
      <c r="AX183" s="239">
        <v>0</v>
      </c>
      <c r="AY183" s="239">
        <v>0</v>
      </c>
      <c r="AZ183" s="239">
        <v>1366</v>
      </c>
      <c r="BA183" s="239">
        <v>307</v>
      </c>
      <c r="BB183" s="239">
        <v>34</v>
      </c>
      <c r="BC183" s="239">
        <v>2883.4458333333332</v>
      </c>
      <c r="BD183" s="239">
        <v>648.77531249999993</v>
      </c>
      <c r="BE183" s="239">
        <v>72.086145833333333</v>
      </c>
      <c r="BF183" s="239">
        <v>3551</v>
      </c>
      <c r="BG183" s="239">
        <v>800</v>
      </c>
      <c r="BH183" s="239">
        <v>88</v>
      </c>
      <c r="BI183" s="239">
        <v>-668</v>
      </c>
      <c r="BJ183" s="239">
        <v>-151</v>
      </c>
      <c r="BK183" s="239">
        <v>-16</v>
      </c>
      <c r="BL183" s="239">
        <v>1659.8583333333336</v>
      </c>
      <c r="BM183" s="239">
        <v>373.46812499999999</v>
      </c>
      <c r="BN183" s="239">
        <v>41.496458333333337</v>
      </c>
      <c r="BO183" s="239">
        <v>0</v>
      </c>
      <c r="BP183" s="239">
        <v>0</v>
      </c>
      <c r="BQ183" s="239">
        <v>0</v>
      </c>
      <c r="BR183" s="239">
        <v>1660</v>
      </c>
      <c r="BS183" s="239">
        <v>373</v>
      </c>
      <c r="BT183" s="239">
        <v>41</v>
      </c>
      <c r="BU183" s="239">
        <v>187598.08166666667</v>
      </c>
      <c r="BV183" s="239">
        <v>42209.568374999995</v>
      </c>
      <c r="BW183" s="239">
        <v>4689.9520416666664</v>
      </c>
      <c r="BX183" s="239">
        <v>191884</v>
      </c>
      <c r="BY183" s="239">
        <v>43174</v>
      </c>
      <c r="BZ183" s="239">
        <v>4798</v>
      </c>
      <c r="CA183" s="239">
        <v>-4286</v>
      </c>
      <c r="CB183" s="239">
        <v>-964</v>
      </c>
      <c r="CC183" s="239">
        <v>-108</v>
      </c>
      <c r="CD183" s="239">
        <v>-188.30666666666667</v>
      </c>
      <c r="CE183" s="239">
        <v>-42.369</v>
      </c>
      <c r="CF183" s="239">
        <v>-4.7076666666666664</v>
      </c>
      <c r="CG183" s="239">
        <v>0</v>
      </c>
      <c r="CH183" s="239">
        <v>0</v>
      </c>
      <c r="CI183" s="239">
        <v>0</v>
      </c>
      <c r="CJ183" s="239">
        <v>-188</v>
      </c>
      <c r="CK183" s="239">
        <v>-42</v>
      </c>
      <c r="CL183" s="239">
        <v>-5</v>
      </c>
      <c r="CM183" s="239">
        <v>10122.295</v>
      </c>
      <c r="CN183" s="239">
        <v>2277.5163749999997</v>
      </c>
      <c r="CO183" s="239">
        <v>253.05737500000001</v>
      </c>
      <c r="CP183" s="239">
        <v>0</v>
      </c>
      <c r="CQ183" s="239">
        <v>0</v>
      </c>
      <c r="CR183" s="239">
        <v>0</v>
      </c>
      <c r="CS183" s="239">
        <v>10122</v>
      </c>
      <c r="CT183" s="239">
        <v>2278</v>
      </c>
      <c r="CU183" s="239">
        <v>253</v>
      </c>
      <c r="CV183" s="239">
        <v>74250.53125</v>
      </c>
      <c r="CW183" s="239">
        <v>16116.239999999998</v>
      </c>
      <c r="CX183" s="239">
        <v>1790.6933333333334</v>
      </c>
      <c r="CY183" s="239">
        <v>75748</v>
      </c>
      <c r="CZ183" s="239">
        <v>17043</v>
      </c>
      <c r="DA183" s="239">
        <v>1894</v>
      </c>
      <c r="DB183" s="239">
        <v>-1497</v>
      </c>
      <c r="DC183" s="239">
        <v>-927</v>
      </c>
      <c r="DD183" s="239">
        <v>-103</v>
      </c>
      <c r="DE183" s="214">
        <v>0.5</v>
      </c>
      <c r="DF183" s="214">
        <v>0.4</v>
      </c>
      <c r="DG183" s="214">
        <v>0.09</v>
      </c>
      <c r="DH183" s="214">
        <v>0.01</v>
      </c>
      <c r="DI183" s="214" t="s">
        <v>1294</v>
      </c>
    </row>
    <row r="184" spans="2:113" s="214" customFormat="1" x14ac:dyDescent="0.2">
      <c r="B184" s="610" t="s">
        <v>451</v>
      </c>
      <c r="C184" s="610" t="s">
        <v>450</v>
      </c>
      <c r="D184" s="239">
        <v>67660</v>
      </c>
      <c r="E184" s="239">
        <v>0</v>
      </c>
      <c r="F184" s="239">
        <v>67660</v>
      </c>
      <c r="G184" s="239">
        <v>0</v>
      </c>
      <c r="H184" s="239">
        <v>0</v>
      </c>
      <c r="I184" s="239">
        <v>0</v>
      </c>
      <c r="J184" s="239">
        <v>67660</v>
      </c>
      <c r="K184" s="239">
        <v>0</v>
      </c>
      <c r="L184" s="239">
        <v>67660</v>
      </c>
      <c r="M184" s="239">
        <v>97835</v>
      </c>
      <c r="N184" s="239">
        <v>97835</v>
      </c>
      <c r="O184" s="239">
        <v>0</v>
      </c>
      <c r="P184" s="239">
        <v>0</v>
      </c>
      <c r="Q184" s="239">
        <v>0</v>
      </c>
      <c r="R184" s="239">
        <v>0</v>
      </c>
      <c r="S184" s="239">
        <v>0</v>
      </c>
      <c r="T184" s="239">
        <v>0</v>
      </c>
      <c r="U184" s="239">
        <v>0</v>
      </c>
      <c r="V184" s="239">
        <v>0</v>
      </c>
      <c r="W184" s="239">
        <v>0</v>
      </c>
      <c r="X184" s="239">
        <v>0</v>
      </c>
      <c r="Y184" s="239">
        <v>0</v>
      </c>
      <c r="Z184" s="239">
        <v>0</v>
      </c>
      <c r="AA184" s="239">
        <v>0</v>
      </c>
      <c r="AB184" s="239">
        <v>0</v>
      </c>
      <c r="AC184" s="239">
        <v>0</v>
      </c>
      <c r="AD184" s="239">
        <v>0</v>
      </c>
      <c r="AE184" s="239">
        <v>0</v>
      </c>
      <c r="AF184" s="239">
        <v>0</v>
      </c>
      <c r="AG184" s="239">
        <v>0</v>
      </c>
      <c r="AH184" s="239">
        <v>0</v>
      </c>
      <c r="AI184" s="239">
        <v>0</v>
      </c>
      <c r="AJ184" s="239">
        <v>0</v>
      </c>
      <c r="AK184" s="239">
        <v>394597.02583333338</v>
      </c>
      <c r="AL184" s="239">
        <v>88784.330812500004</v>
      </c>
      <c r="AM184" s="239">
        <v>9864.9256458333348</v>
      </c>
      <c r="AN184" s="239">
        <v>348991</v>
      </c>
      <c r="AO184" s="239">
        <v>78522</v>
      </c>
      <c r="AP184" s="239">
        <v>8724</v>
      </c>
      <c r="AQ184" s="239">
        <v>45606</v>
      </c>
      <c r="AR184" s="239">
        <v>10262</v>
      </c>
      <c r="AS184" s="239">
        <v>1141</v>
      </c>
      <c r="AT184" s="239">
        <v>0</v>
      </c>
      <c r="AU184" s="239">
        <v>0</v>
      </c>
      <c r="AV184" s="239">
        <v>0</v>
      </c>
      <c r="AW184" s="239">
        <v>0</v>
      </c>
      <c r="AX184" s="239">
        <v>0</v>
      </c>
      <c r="AY184" s="239">
        <v>0</v>
      </c>
      <c r="AZ184" s="239">
        <v>0</v>
      </c>
      <c r="BA184" s="239">
        <v>0</v>
      </c>
      <c r="BB184" s="239">
        <v>0</v>
      </c>
      <c r="BC184" s="239">
        <v>0</v>
      </c>
      <c r="BD184" s="239">
        <v>0</v>
      </c>
      <c r="BE184" s="239">
        <v>0</v>
      </c>
      <c r="BF184" s="239">
        <v>0</v>
      </c>
      <c r="BG184" s="239">
        <v>0</v>
      </c>
      <c r="BH184" s="239">
        <v>0</v>
      </c>
      <c r="BI184" s="239">
        <v>0</v>
      </c>
      <c r="BJ184" s="239">
        <v>0</v>
      </c>
      <c r="BK184" s="239">
        <v>0</v>
      </c>
      <c r="BL184" s="239">
        <v>0</v>
      </c>
      <c r="BM184" s="239">
        <v>0</v>
      </c>
      <c r="BN184" s="239">
        <v>0</v>
      </c>
      <c r="BO184" s="239">
        <v>0</v>
      </c>
      <c r="BP184" s="239">
        <v>0</v>
      </c>
      <c r="BQ184" s="239">
        <v>0</v>
      </c>
      <c r="BR184" s="239">
        <v>0</v>
      </c>
      <c r="BS184" s="239">
        <v>0</v>
      </c>
      <c r="BT184" s="239">
        <v>0</v>
      </c>
      <c r="BU184" s="239">
        <v>140157.38250000001</v>
      </c>
      <c r="BV184" s="239">
        <v>31535.411062499996</v>
      </c>
      <c r="BW184" s="239">
        <v>3503.9345624999996</v>
      </c>
      <c r="BX184" s="239">
        <v>138893</v>
      </c>
      <c r="BY184" s="239">
        <v>31252</v>
      </c>
      <c r="BZ184" s="239">
        <v>3472</v>
      </c>
      <c r="CA184" s="239">
        <v>1264</v>
      </c>
      <c r="CB184" s="239">
        <v>283</v>
      </c>
      <c r="CC184" s="239">
        <v>32</v>
      </c>
      <c r="CD184" s="239">
        <v>0</v>
      </c>
      <c r="CE184" s="239">
        <v>0</v>
      </c>
      <c r="CF184" s="239">
        <v>0</v>
      </c>
      <c r="CG184" s="239">
        <v>0</v>
      </c>
      <c r="CH184" s="239">
        <v>0</v>
      </c>
      <c r="CI184" s="239">
        <v>0</v>
      </c>
      <c r="CJ184" s="239">
        <v>0</v>
      </c>
      <c r="CK184" s="239">
        <v>0</v>
      </c>
      <c r="CL184" s="239">
        <v>0</v>
      </c>
      <c r="CM184" s="239">
        <v>3314.8466666666668</v>
      </c>
      <c r="CN184" s="239">
        <v>745.84050000000002</v>
      </c>
      <c r="CO184" s="239">
        <v>82.871166666666667</v>
      </c>
      <c r="CP184" s="239">
        <v>0</v>
      </c>
      <c r="CQ184" s="239">
        <v>0</v>
      </c>
      <c r="CR184" s="239">
        <v>0</v>
      </c>
      <c r="CS184" s="239">
        <v>3315</v>
      </c>
      <c r="CT184" s="239">
        <v>746</v>
      </c>
      <c r="CU184" s="239">
        <v>83</v>
      </c>
      <c r="CV184" s="239">
        <v>78781.593333333338</v>
      </c>
      <c r="CW184" s="239">
        <v>17725.858499999998</v>
      </c>
      <c r="CX184" s="239">
        <v>1969.5398333333333</v>
      </c>
      <c r="CY184" s="239">
        <v>93595</v>
      </c>
      <c r="CZ184" s="239">
        <v>21059</v>
      </c>
      <c r="DA184" s="239">
        <v>2340</v>
      </c>
      <c r="DB184" s="239">
        <v>-14813</v>
      </c>
      <c r="DC184" s="239">
        <v>-3333</v>
      </c>
      <c r="DD184" s="239">
        <v>-370</v>
      </c>
      <c r="DE184" s="214">
        <v>0.5</v>
      </c>
      <c r="DF184" s="214">
        <v>0.4</v>
      </c>
      <c r="DG184" s="214">
        <v>0.09</v>
      </c>
      <c r="DH184" s="214">
        <v>0.01</v>
      </c>
      <c r="DI184" s="214" t="s">
        <v>1294</v>
      </c>
    </row>
    <row r="185" spans="2:113" s="214" customFormat="1" x14ac:dyDescent="0.2">
      <c r="B185" s="610" t="s">
        <v>453</v>
      </c>
      <c r="C185" s="610" t="s">
        <v>452</v>
      </c>
      <c r="D185" s="239">
        <v>821512</v>
      </c>
      <c r="E185" s="239">
        <v>0</v>
      </c>
      <c r="F185" s="239">
        <v>821512</v>
      </c>
      <c r="G185" s="239">
        <v>0</v>
      </c>
      <c r="H185" s="239">
        <v>0</v>
      </c>
      <c r="I185" s="239">
        <v>0</v>
      </c>
      <c r="J185" s="239">
        <v>821512</v>
      </c>
      <c r="K185" s="239">
        <v>0</v>
      </c>
      <c r="L185" s="239">
        <v>821512</v>
      </c>
      <c r="M185" s="239">
        <v>235478</v>
      </c>
      <c r="N185" s="239">
        <v>235478</v>
      </c>
      <c r="O185" s="239">
        <v>0</v>
      </c>
      <c r="P185" s="239">
        <v>0</v>
      </c>
      <c r="Q185" s="239">
        <v>19603</v>
      </c>
      <c r="R185" s="239">
        <v>-19603</v>
      </c>
      <c r="S185" s="239">
        <v>0</v>
      </c>
      <c r="T185" s="239">
        <v>0</v>
      </c>
      <c r="U185" s="239">
        <v>0</v>
      </c>
      <c r="V185" s="239">
        <v>0</v>
      </c>
      <c r="W185" s="239">
        <v>0</v>
      </c>
      <c r="X185" s="239">
        <v>0</v>
      </c>
      <c r="Y185" s="239">
        <v>66149.818750000006</v>
      </c>
      <c r="Z185" s="239">
        <v>66149.818750000006</v>
      </c>
      <c r="AA185" s="239">
        <v>0</v>
      </c>
      <c r="AB185" s="239">
        <v>0</v>
      </c>
      <c r="AC185" s="239">
        <v>43877</v>
      </c>
      <c r="AD185" s="239">
        <v>43877</v>
      </c>
      <c r="AE185" s="239">
        <v>0</v>
      </c>
      <c r="AF185" s="239">
        <v>0</v>
      </c>
      <c r="AG185" s="239">
        <v>22273</v>
      </c>
      <c r="AH185" s="239">
        <v>22273</v>
      </c>
      <c r="AI185" s="239">
        <v>0</v>
      </c>
      <c r="AJ185" s="239">
        <v>0</v>
      </c>
      <c r="AK185" s="239">
        <v>858738.88945833337</v>
      </c>
      <c r="AL185" s="239">
        <v>0</v>
      </c>
      <c r="AM185" s="239">
        <v>17525.283458333335</v>
      </c>
      <c r="AN185" s="239">
        <v>833719</v>
      </c>
      <c r="AO185" s="239">
        <v>0</v>
      </c>
      <c r="AP185" s="239">
        <v>17014</v>
      </c>
      <c r="AQ185" s="239">
        <v>25020</v>
      </c>
      <c r="AR185" s="239">
        <v>0</v>
      </c>
      <c r="AS185" s="239">
        <v>511</v>
      </c>
      <c r="AT185" s="239">
        <v>18966.113541666666</v>
      </c>
      <c r="AU185" s="239">
        <v>0</v>
      </c>
      <c r="AV185" s="239">
        <v>387.06354166666665</v>
      </c>
      <c r="AW185" s="239">
        <v>1754</v>
      </c>
      <c r="AX185" s="239">
        <v>0</v>
      </c>
      <c r="AY185" s="239">
        <v>36</v>
      </c>
      <c r="AZ185" s="239">
        <v>17212</v>
      </c>
      <c r="BA185" s="239">
        <v>0</v>
      </c>
      <c r="BB185" s="239">
        <v>351</v>
      </c>
      <c r="BC185" s="239">
        <v>5613.2736041666667</v>
      </c>
      <c r="BD185" s="239">
        <v>0</v>
      </c>
      <c r="BE185" s="239">
        <v>114.55660416666667</v>
      </c>
      <c r="BF185" s="239">
        <v>497</v>
      </c>
      <c r="BG185" s="239">
        <v>0</v>
      </c>
      <c r="BH185" s="239">
        <v>10</v>
      </c>
      <c r="BI185" s="239">
        <v>5116</v>
      </c>
      <c r="BJ185" s="239">
        <v>0</v>
      </c>
      <c r="BK185" s="239">
        <v>105</v>
      </c>
      <c r="BL185" s="239">
        <v>12702.5731875</v>
      </c>
      <c r="BM185" s="239">
        <v>0</v>
      </c>
      <c r="BN185" s="239">
        <v>259.23618750000003</v>
      </c>
      <c r="BO185" s="239">
        <v>0</v>
      </c>
      <c r="BP185" s="239">
        <v>0</v>
      </c>
      <c r="BQ185" s="239">
        <v>0</v>
      </c>
      <c r="BR185" s="239">
        <v>12703</v>
      </c>
      <c r="BS185" s="239">
        <v>0</v>
      </c>
      <c r="BT185" s="239">
        <v>259</v>
      </c>
      <c r="BU185" s="239">
        <v>318081.36135416664</v>
      </c>
      <c r="BV185" s="239">
        <v>0</v>
      </c>
      <c r="BW185" s="239">
        <v>6491.4563541666666</v>
      </c>
      <c r="BX185" s="239">
        <v>338402</v>
      </c>
      <c r="BY185" s="239">
        <v>0</v>
      </c>
      <c r="BZ185" s="239">
        <v>6906</v>
      </c>
      <c r="CA185" s="239">
        <v>-20321</v>
      </c>
      <c r="CB185" s="239">
        <v>0</v>
      </c>
      <c r="CC185" s="239">
        <v>-415</v>
      </c>
      <c r="CD185" s="239">
        <v>0</v>
      </c>
      <c r="CE185" s="239">
        <v>0</v>
      </c>
      <c r="CF185" s="239">
        <v>0</v>
      </c>
      <c r="CG185" s="239">
        <v>0</v>
      </c>
      <c r="CH185" s="239">
        <v>0</v>
      </c>
      <c r="CI185" s="239">
        <v>0</v>
      </c>
      <c r="CJ185" s="239">
        <v>0</v>
      </c>
      <c r="CK185" s="239">
        <v>0</v>
      </c>
      <c r="CL185" s="239">
        <v>0</v>
      </c>
      <c r="CM185" s="239">
        <v>1508.3404583333333</v>
      </c>
      <c r="CN185" s="239">
        <v>0</v>
      </c>
      <c r="CO185" s="239">
        <v>30.782458333333334</v>
      </c>
      <c r="CP185" s="239">
        <v>0</v>
      </c>
      <c r="CQ185" s="239">
        <v>0</v>
      </c>
      <c r="CR185" s="239">
        <v>0</v>
      </c>
      <c r="CS185" s="239">
        <v>1508</v>
      </c>
      <c r="CT185" s="239">
        <v>0</v>
      </c>
      <c r="CU185" s="239">
        <v>31</v>
      </c>
      <c r="CV185" s="239">
        <v>453130.23991666664</v>
      </c>
      <c r="CW185" s="239">
        <v>0</v>
      </c>
      <c r="CX185" s="239">
        <v>9247.5559166666662</v>
      </c>
      <c r="CY185" s="239">
        <v>488308</v>
      </c>
      <c r="CZ185" s="239">
        <v>0</v>
      </c>
      <c r="DA185" s="239">
        <v>9947</v>
      </c>
      <c r="DB185" s="239">
        <v>-35178</v>
      </c>
      <c r="DC185" s="239">
        <v>0</v>
      </c>
      <c r="DD185" s="239">
        <v>-699</v>
      </c>
      <c r="DE185" s="214">
        <v>0.5</v>
      </c>
      <c r="DF185" s="214">
        <v>0.49</v>
      </c>
      <c r="DG185" s="214">
        <v>0</v>
      </c>
      <c r="DH185" s="214">
        <v>0.01</v>
      </c>
      <c r="DI185" s="214" t="s">
        <v>748</v>
      </c>
    </row>
    <row r="186" spans="2:113" s="214" customFormat="1" x14ac:dyDescent="0.2">
      <c r="B186" s="610" t="s">
        <v>455</v>
      </c>
      <c r="C186" s="610" t="s">
        <v>454</v>
      </c>
      <c r="D186" s="239">
        <v>-570162</v>
      </c>
      <c r="E186" s="239">
        <v>0</v>
      </c>
      <c r="F186" s="239">
        <v>-570162</v>
      </c>
      <c r="G186" s="239">
        <v>0</v>
      </c>
      <c r="H186" s="239">
        <v>0</v>
      </c>
      <c r="I186" s="239">
        <v>0</v>
      </c>
      <c r="J186" s="239">
        <v>-570162</v>
      </c>
      <c r="K186" s="239">
        <v>0</v>
      </c>
      <c r="L186" s="239">
        <v>-570162</v>
      </c>
      <c r="M186" s="239">
        <v>181145</v>
      </c>
      <c r="N186" s="239">
        <v>181145</v>
      </c>
      <c r="O186" s="239">
        <v>0</v>
      </c>
      <c r="P186" s="239">
        <v>0</v>
      </c>
      <c r="Q186" s="239">
        <v>0</v>
      </c>
      <c r="R186" s="239">
        <v>0</v>
      </c>
      <c r="S186" s="239">
        <v>37026</v>
      </c>
      <c r="T186" s="239">
        <v>0</v>
      </c>
      <c r="U186" s="239">
        <v>0</v>
      </c>
      <c r="V186" s="239">
        <v>0</v>
      </c>
      <c r="W186" s="239">
        <v>37026</v>
      </c>
      <c r="X186" s="239">
        <v>0</v>
      </c>
      <c r="Y186" s="239">
        <v>0</v>
      </c>
      <c r="Z186" s="239">
        <v>0</v>
      </c>
      <c r="AA186" s="239">
        <v>0</v>
      </c>
      <c r="AB186" s="239">
        <v>0</v>
      </c>
      <c r="AC186" s="239">
        <v>0</v>
      </c>
      <c r="AD186" s="239">
        <v>0</v>
      </c>
      <c r="AE186" s="239">
        <v>0</v>
      </c>
      <c r="AF186" s="239">
        <v>0</v>
      </c>
      <c r="AG186" s="239">
        <v>0</v>
      </c>
      <c r="AH186" s="239">
        <v>0</v>
      </c>
      <c r="AI186" s="239">
        <v>0</v>
      </c>
      <c r="AJ186" s="239">
        <v>0</v>
      </c>
      <c r="AK186" s="239">
        <v>523477.72041666671</v>
      </c>
      <c r="AL186" s="239">
        <v>130869.43010416668</v>
      </c>
      <c r="AM186" s="239">
        <v>0</v>
      </c>
      <c r="AN186" s="239">
        <v>529722</v>
      </c>
      <c r="AO186" s="239">
        <v>132430</v>
      </c>
      <c r="AP186" s="239">
        <v>0</v>
      </c>
      <c r="AQ186" s="239">
        <v>-6244</v>
      </c>
      <c r="AR186" s="239">
        <v>-1561</v>
      </c>
      <c r="AS186" s="239">
        <v>0</v>
      </c>
      <c r="AT186" s="239">
        <v>0</v>
      </c>
      <c r="AU186" s="239">
        <v>0</v>
      </c>
      <c r="AV186" s="239">
        <v>0</v>
      </c>
      <c r="AW186" s="239">
        <v>0</v>
      </c>
      <c r="AX186" s="239">
        <v>0</v>
      </c>
      <c r="AY186" s="239">
        <v>0</v>
      </c>
      <c r="AZ186" s="239">
        <v>0</v>
      </c>
      <c r="BA186" s="239">
        <v>0</v>
      </c>
      <c r="BB186" s="239">
        <v>0</v>
      </c>
      <c r="BC186" s="239">
        <v>0</v>
      </c>
      <c r="BD186" s="239">
        <v>0</v>
      </c>
      <c r="BE186" s="239">
        <v>0</v>
      </c>
      <c r="BF186" s="239">
        <v>0</v>
      </c>
      <c r="BG186" s="239">
        <v>0</v>
      </c>
      <c r="BH186" s="239">
        <v>0</v>
      </c>
      <c r="BI186" s="239">
        <v>0</v>
      </c>
      <c r="BJ186" s="239">
        <v>0</v>
      </c>
      <c r="BK186" s="239">
        <v>0</v>
      </c>
      <c r="BL186" s="239">
        <v>0</v>
      </c>
      <c r="BM186" s="239">
        <v>0</v>
      </c>
      <c r="BN186" s="239">
        <v>0</v>
      </c>
      <c r="BO186" s="239">
        <v>0</v>
      </c>
      <c r="BP186" s="239">
        <v>0</v>
      </c>
      <c r="BQ186" s="239">
        <v>0</v>
      </c>
      <c r="BR186" s="239">
        <v>0</v>
      </c>
      <c r="BS186" s="239">
        <v>0</v>
      </c>
      <c r="BT186" s="239">
        <v>0</v>
      </c>
      <c r="BU186" s="239">
        <v>308430.89833333337</v>
      </c>
      <c r="BV186" s="239">
        <v>77107.724583333344</v>
      </c>
      <c r="BW186" s="239">
        <v>0</v>
      </c>
      <c r="BX186" s="239">
        <v>287945</v>
      </c>
      <c r="BY186" s="239">
        <v>71986</v>
      </c>
      <c r="BZ186" s="239">
        <v>0</v>
      </c>
      <c r="CA186" s="239">
        <v>20486</v>
      </c>
      <c r="CB186" s="239">
        <v>5122</v>
      </c>
      <c r="CC186" s="239">
        <v>0</v>
      </c>
      <c r="CD186" s="239">
        <v>0</v>
      </c>
      <c r="CE186" s="239">
        <v>0</v>
      </c>
      <c r="CF186" s="239">
        <v>0</v>
      </c>
      <c r="CG186" s="239">
        <v>0</v>
      </c>
      <c r="CH186" s="239">
        <v>0</v>
      </c>
      <c r="CI186" s="239">
        <v>0</v>
      </c>
      <c r="CJ186" s="239">
        <v>0</v>
      </c>
      <c r="CK186" s="239">
        <v>0</v>
      </c>
      <c r="CL186" s="239">
        <v>0</v>
      </c>
      <c r="CM186" s="239">
        <v>2417.1433333333334</v>
      </c>
      <c r="CN186" s="239">
        <v>604.28583333333336</v>
      </c>
      <c r="CO186" s="239">
        <v>0</v>
      </c>
      <c r="CP186" s="239">
        <v>0</v>
      </c>
      <c r="CQ186" s="239">
        <v>0</v>
      </c>
      <c r="CR186" s="239">
        <v>0</v>
      </c>
      <c r="CS186" s="239">
        <v>2417</v>
      </c>
      <c r="CT186" s="239">
        <v>604</v>
      </c>
      <c r="CU186" s="239">
        <v>0</v>
      </c>
      <c r="CV186" s="239">
        <v>214296.43666666668</v>
      </c>
      <c r="CW186" s="239">
        <v>53439.11854166667</v>
      </c>
      <c r="CX186" s="239">
        <v>0</v>
      </c>
      <c r="CY186" s="239">
        <v>222593</v>
      </c>
      <c r="CZ186" s="239">
        <v>55648</v>
      </c>
      <c r="DA186" s="239">
        <v>0</v>
      </c>
      <c r="DB186" s="239">
        <v>-8297</v>
      </c>
      <c r="DC186" s="239">
        <v>-2209</v>
      </c>
      <c r="DD186" s="239">
        <v>0</v>
      </c>
      <c r="DE186" s="214">
        <v>0.5</v>
      </c>
      <c r="DF186" s="214">
        <v>0.4</v>
      </c>
      <c r="DG186" s="214">
        <v>0.1</v>
      </c>
      <c r="DH186" s="214">
        <v>0</v>
      </c>
      <c r="DI186" s="214" t="s">
        <v>1294</v>
      </c>
    </row>
    <row r="187" spans="2:113" s="214" customFormat="1" x14ac:dyDescent="0.2">
      <c r="B187" s="610" t="s">
        <v>457</v>
      </c>
      <c r="C187" s="610" t="s">
        <v>456</v>
      </c>
      <c r="D187" s="239">
        <v>4147</v>
      </c>
      <c r="E187" s="239">
        <v>0</v>
      </c>
      <c r="F187" s="239">
        <v>4147</v>
      </c>
      <c r="G187" s="239">
        <v>0</v>
      </c>
      <c r="H187" s="239">
        <v>0</v>
      </c>
      <c r="I187" s="239">
        <v>0</v>
      </c>
      <c r="J187" s="239">
        <v>4147</v>
      </c>
      <c r="K187" s="239">
        <v>0</v>
      </c>
      <c r="L187" s="239">
        <v>4147</v>
      </c>
      <c r="M187" s="239">
        <v>122921</v>
      </c>
      <c r="N187" s="239">
        <v>122921</v>
      </c>
      <c r="O187" s="239">
        <v>0</v>
      </c>
      <c r="P187" s="239">
        <v>0</v>
      </c>
      <c r="Q187" s="239">
        <v>0</v>
      </c>
      <c r="R187" s="239">
        <v>0</v>
      </c>
      <c r="S187" s="239">
        <v>1512240</v>
      </c>
      <c r="T187" s="239">
        <v>132000</v>
      </c>
      <c r="U187" s="239">
        <v>417846</v>
      </c>
      <c r="V187" s="239">
        <v>104461</v>
      </c>
      <c r="W187" s="239">
        <v>1094394</v>
      </c>
      <c r="X187" s="239">
        <v>27539</v>
      </c>
      <c r="Y187" s="239">
        <v>0</v>
      </c>
      <c r="Z187" s="239">
        <v>0</v>
      </c>
      <c r="AA187" s="239">
        <v>0</v>
      </c>
      <c r="AB187" s="239">
        <v>0</v>
      </c>
      <c r="AC187" s="239">
        <v>0</v>
      </c>
      <c r="AD187" s="239">
        <v>0</v>
      </c>
      <c r="AE187" s="239">
        <v>0</v>
      </c>
      <c r="AF187" s="239">
        <v>0</v>
      </c>
      <c r="AG187" s="239">
        <v>0</v>
      </c>
      <c r="AH187" s="239">
        <v>0</v>
      </c>
      <c r="AI187" s="239">
        <v>0</v>
      </c>
      <c r="AJ187" s="239">
        <v>0</v>
      </c>
      <c r="AK187" s="239">
        <v>476510.62875000003</v>
      </c>
      <c r="AL187" s="239">
        <v>119127.65718750001</v>
      </c>
      <c r="AM187" s="239">
        <v>0</v>
      </c>
      <c r="AN187" s="239">
        <v>455308</v>
      </c>
      <c r="AO187" s="239">
        <v>113828</v>
      </c>
      <c r="AP187" s="239">
        <v>0</v>
      </c>
      <c r="AQ187" s="239">
        <v>21203</v>
      </c>
      <c r="AR187" s="239">
        <v>5300</v>
      </c>
      <c r="AS187" s="239">
        <v>0</v>
      </c>
      <c r="AT187" s="239">
        <v>4525.041666666667</v>
      </c>
      <c r="AU187" s="239">
        <v>1131.2604166666667</v>
      </c>
      <c r="AV187" s="239">
        <v>0</v>
      </c>
      <c r="AW187" s="239">
        <v>0</v>
      </c>
      <c r="AX187" s="239">
        <v>0</v>
      </c>
      <c r="AY187" s="239">
        <v>0</v>
      </c>
      <c r="AZ187" s="239">
        <v>4525</v>
      </c>
      <c r="BA187" s="239">
        <v>1131</v>
      </c>
      <c r="BB187" s="239">
        <v>0</v>
      </c>
      <c r="BC187" s="239">
        <v>8518.8474999999999</v>
      </c>
      <c r="BD187" s="239">
        <v>2129.711875</v>
      </c>
      <c r="BE187" s="239">
        <v>0</v>
      </c>
      <c r="BF187" s="239">
        <v>5271</v>
      </c>
      <c r="BG187" s="239">
        <v>1318</v>
      </c>
      <c r="BH187" s="239">
        <v>0</v>
      </c>
      <c r="BI187" s="239">
        <v>3248</v>
      </c>
      <c r="BJ187" s="239">
        <v>812</v>
      </c>
      <c r="BK187" s="239">
        <v>0</v>
      </c>
      <c r="BL187" s="239">
        <v>6542.0333333333338</v>
      </c>
      <c r="BM187" s="239">
        <v>1635.5083333333334</v>
      </c>
      <c r="BN187" s="239">
        <v>0</v>
      </c>
      <c r="BO187" s="239">
        <v>26310</v>
      </c>
      <c r="BP187" s="239">
        <v>6578</v>
      </c>
      <c r="BQ187" s="239">
        <v>0</v>
      </c>
      <c r="BR187" s="239">
        <v>-19768</v>
      </c>
      <c r="BS187" s="239">
        <v>-4942</v>
      </c>
      <c r="BT187" s="239">
        <v>0</v>
      </c>
      <c r="BU187" s="239">
        <v>137126.61916666667</v>
      </c>
      <c r="BV187" s="239">
        <v>34281.654791666668</v>
      </c>
      <c r="BW187" s="239">
        <v>0</v>
      </c>
      <c r="BX187" s="239">
        <v>93997</v>
      </c>
      <c r="BY187" s="239">
        <v>23500</v>
      </c>
      <c r="BZ187" s="239">
        <v>0</v>
      </c>
      <c r="CA187" s="239">
        <v>43130</v>
      </c>
      <c r="CB187" s="239">
        <v>10782</v>
      </c>
      <c r="CC187" s="239">
        <v>0</v>
      </c>
      <c r="CD187" s="239">
        <v>0</v>
      </c>
      <c r="CE187" s="239">
        <v>0</v>
      </c>
      <c r="CF187" s="239">
        <v>0</v>
      </c>
      <c r="CG187" s="239">
        <v>0</v>
      </c>
      <c r="CH187" s="239">
        <v>0</v>
      </c>
      <c r="CI187" s="239">
        <v>0</v>
      </c>
      <c r="CJ187" s="239">
        <v>0</v>
      </c>
      <c r="CK187" s="239">
        <v>0</v>
      </c>
      <c r="CL187" s="239">
        <v>0</v>
      </c>
      <c r="CM187" s="239">
        <v>0</v>
      </c>
      <c r="CN187" s="239">
        <v>0</v>
      </c>
      <c r="CO187" s="239">
        <v>0</v>
      </c>
      <c r="CP187" s="239">
        <v>0</v>
      </c>
      <c r="CQ187" s="239">
        <v>0</v>
      </c>
      <c r="CR187" s="239">
        <v>0</v>
      </c>
      <c r="CS187" s="239">
        <v>0</v>
      </c>
      <c r="CT187" s="239">
        <v>0</v>
      </c>
      <c r="CU187" s="239">
        <v>0</v>
      </c>
      <c r="CV187" s="239">
        <v>143059.875</v>
      </c>
      <c r="CW187" s="239">
        <v>32176.59375</v>
      </c>
      <c r="CX187" s="239">
        <v>0</v>
      </c>
      <c r="CY187" s="239">
        <v>152386</v>
      </c>
      <c r="CZ187" s="239">
        <v>38096</v>
      </c>
      <c r="DA187" s="239">
        <v>0</v>
      </c>
      <c r="DB187" s="239">
        <v>-9326</v>
      </c>
      <c r="DC187" s="239">
        <v>-5919</v>
      </c>
      <c r="DD187" s="239">
        <v>0</v>
      </c>
      <c r="DE187" s="214">
        <v>0.5</v>
      </c>
      <c r="DF187" s="214">
        <v>0.4</v>
      </c>
      <c r="DG187" s="214">
        <v>0.1</v>
      </c>
      <c r="DH187" s="214">
        <v>0</v>
      </c>
      <c r="DI187" s="214" t="s">
        <v>1294</v>
      </c>
    </row>
    <row r="188" spans="2:113" s="214" customFormat="1" x14ac:dyDescent="0.2">
      <c r="B188" s="610" t="s">
        <v>459</v>
      </c>
      <c r="C188" s="610" t="s">
        <v>458</v>
      </c>
      <c r="D188" s="239">
        <v>-1254700</v>
      </c>
      <c r="E188" s="239">
        <v>0</v>
      </c>
      <c r="F188" s="239">
        <v>-1254700</v>
      </c>
      <c r="G188" s="239">
        <v>0</v>
      </c>
      <c r="H188" s="239">
        <v>0</v>
      </c>
      <c r="I188" s="239">
        <v>0</v>
      </c>
      <c r="J188" s="239">
        <v>-1254700</v>
      </c>
      <c r="K188" s="239">
        <v>0</v>
      </c>
      <c r="L188" s="239">
        <v>-1254700</v>
      </c>
      <c r="M188" s="239">
        <v>251144</v>
      </c>
      <c r="N188" s="239">
        <v>251144</v>
      </c>
      <c r="O188" s="239">
        <v>0</v>
      </c>
      <c r="P188" s="239">
        <v>156104</v>
      </c>
      <c r="Q188" s="239">
        <v>0</v>
      </c>
      <c r="R188" s="239">
        <v>156104</v>
      </c>
      <c r="S188" s="239">
        <v>1122359</v>
      </c>
      <c r="T188" s="239">
        <v>0</v>
      </c>
      <c r="U188" s="239">
        <v>897600</v>
      </c>
      <c r="V188" s="239">
        <v>0</v>
      </c>
      <c r="W188" s="239">
        <v>224759</v>
      </c>
      <c r="X188" s="239">
        <v>0</v>
      </c>
      <c r="Y188" s="239">
        <v>0</v>
      </c>
      <c r="Z188" s="239">
        <v>0</v>
      </c>
      <c r="AA188" s="239">
        <v>0</v>
      </c>
      <c r="AB188" s="239">
        <v>0</v>
      </c>
      <c r="AC188" s="239">
        <v>0</v>
      </c>
      <c r="AD188" s="239">
        <v>0</v>
      </c>
      <c r="AE188" s="239">
        <v>0</v>
      </c>
      <c r="AF188" s="239">
        <v>0</v>
      </c>
      <c r="AG188" s="239">
        <v>0</v>
      </c>
      <c r="AH188" s="239">
        <v>0</v>
      </c>
      <c r="AI188" s="239">
        <v>0</v>
      </c>
      <c r="AJ188" s="239">
        <v>0</v>
      </c>
      <c r="AK188" s="239">
        <v>893008.39461458323</v>
      </c>
      <c r="AL188" s="239">
        <v>0</v>
      </c>
      <c r="AM188" s="239">
        <v>18224.661114583334</v>
      </c>
      <c r="AN188" s="239">
        <v>861811</v>
      </c>
      <c r="AO188" s="239">
        <v>0</v>
      </c>
      <c r="AP188" s="239">
        <v>17588</v>
      </c>
      <c r="AQ188" s="239">
        <v>31197</v>
      </c>
      <c r="AR188" s="239">
        <v>0</v>
      </c>
      <c r="AS188" s="239">
        <v>637</v>
      </c>
      <c r="AT188" s="239">
        <v>18216.914770833333</v>
      </c>
      <c r="AU188" s="239">
        <v>0</v>
      </c>
      <c r="AV188" s="239">
        <v>371.77377083333329</v>
      </c>
      <c r="AW188" s="239">
        <v>4027</v>
      </c>
      <c r="AX188" s="239">
        <v>0</v>
      </c>
      <c r="AY188" s="239">
        <v>82</v>
      </c>
      <c r="AZ188" s="239">
        <v>14190</v>
      </c>
      <c r="BA188" s="239">
        <v>0</v>
      </c>
      <c r="BB188" s="239">
        <v>290</v>
      </c>
      <c r="BC188" s="239">
        <v>15828.6261875</v>
      </c>
      <c r="BD188" s="239">
        <v>0</v>
      </c>
      <c r="BE188" s="239">
        <v>323.03318750000005</v>
      </c>
      <c r="BF188" s="239">
        <v>0</v>
      </c>
      <c r="BG188" s="239">
        <v>0</v>
      </c>
      <c r="BH188" s="239">
        <v>0</v>
      </c>
      <c r="BI188" s="239">
        <v>15829</v>
      </c>
      <c r="BJ188" s="239">
        <v>0</v>
      </c>
      <c r="BK188" s="239">
        <v>323</v>
      </c>
      <c r="BL188" s="239">
        <v>20001.171166666667</v>
      </c>
      <c r="BM188" s="239">
        <v>0</v>
      </c>
      <c r="BN188" s="239">
        <v>408.18716666666666</v>
      </c>
      <c r="BO188" s="239">
        <v>1989</v>
      </c>
      <c r="BP188" s="239">
        <v>0</v>
      </c>
      <c r="BQ188" s="239">
        <v>40</v>
      </c>
      <c r="BR188" s="239">
        <v>18012</v>
      </c>
      <c r="BS188" s="239">
        <v>0</v>
      </c>
      <c r="BT188" s="239">
        <v>368</v>
      </c>
      <c r="BU188" s="239">
        <v>327687.21314583335</v>
      </c>
      <c r="BV188" s="239">
        <v>0</v>
      </c>
      <c r="BW188" s="239">
        <v>6687.4941458333342</v>
      </c>
      <c r="BX188" s="239">
        <v>308876</v>
      </c>
      <c r="BY188" s="239">
        <v>0</v>
      </c>
      <c r="BZ188" s="239">
        <v>6304</v>
      </c>
      <c r="CA188" s="239">
        <v>18811</v>
      </c>
      <c r="CB188" s="239">
        <v>0</v>
      </c>
      <c r="CC188" s="239">
        <v>383</v>
      </c>
      <c r="CD188" s="239">
        <v>-866.0280416666667</v>
      </c>
      <c r="CE188" s="239">
        <v>0</v>
      </c>
      <c r="CF188" s="239">
        <v>-17.674041666666668</v>
      </c>
      <c r="CG188" s="239">
        <v>0</v>
      </c>
      <c r="CH188" s="239">
        <v>0</v>
      </c>
      <c r="CI188" s="239">
        <v>0</v>
      </c>
      <c r="CJ188" s="239">
        <v>-866</v>
      </c>
      <c r="CK188" s="239">
        <v>0</v>
      </c>
      <c r="CL188" s="239">
        <v>-18</v>
      </c>
      <c r="CM188" s="239">
        <v>5385.0836666666664</v>
      </c>
      <c r="CN188" s="239">
        <v>0</v>
      </c>
      <c r="CO188" s="239">
        <v>109.89966666666668</v>
      </c>
      <c r="CP188" s="239">
        <v>0</v>
      </c>
      <c r="CQ188" s="239">
        <v>0</v>
      </c>
      <c r="CR188" s="239">
        <v>0</v>
      </c>
      <c r="CS188" s="239">
        <v>5385</v>
      </c>
      <c r="CT188" s="239">
        <v>0</v>
      </c>
      <c r="CU188" s="239">
        <v>110</v>
      </c>
      <c r="CV188" s="239">
        <v>598702.87108333339</v>
      </c>
      <c r="CW188" s="239">
        <v>0</v>
      </c>
      <c r="CX188" s="239">
        <v>11837.931</v>
      </c>
      <c r="CY188" s="239">
        <v>652777</v>
      </c>
      <c r="CZ188" s="239">
        <v>0</v>
      </c>
      <c r="DA188" s="239">
        <v>13055</v>
      </c>
      <c r="DB188" s="239">
        <v>-54074</v>
      </c>
      <c r="DC188" s="239">
        <v>0</v>
      </c>
      <c r="DD188" s="239">
        <v>-1217</v>
      </c>
      <c r="DE188" s="214">
        <v>0.5</v>
      </c>
      <c r="DF188" s="214">
        <v>0.49</v>
      </c>
      <c r="DG188" s="214">
        <v>0</v>
      </c>
      <c r="DH188" s="214">
        <v>0.01</v>
      </c>
      <c r="DI188" s="214" t="s">
        <v>748</v>
      </c>
    </row>
    <row r="189" spans="2:113" s="214" customFormat="1" x14ac:dyDescent="0.2">
      <c r="B189" s="610" t="s">
        <v>461</v>
      </c>
      <c r="C189" s="610" t="s">
        <v>460</v>
      </c>
      <c r="D189" s="239">
        <v>-202535</v>
      </c>
      <c r="E189" s="239">
        <v>0</v>
      </c>
      <c r="F189" s="239">
        <v>-202535</v>
      </c>
      <c r="G189" s="239">
        <v>0</v>
      </c>
      <c r="H189" s="239">
        <v>0</v>
      </c>
      <c r="I189" s="239">
        <v>0</v>
      </c>
      <c r="J189" s="239">
        <v>-202535</v>
      </c>
      <c r="K189" s="239">
        <v>0</v>
      </c>
      <c r="L189" s="239">
        <v>-202535</v>
      </c>
      <c r="M189" s="239">
        <v>236095</v>
      </c>
      <c r="N189" s="239">
        <v>236095</v>
      </c>
      <c r="O189" s="239">
        <v>0</v>
      </c>
      <c r="P189" s="239">
        <v>0</v>
      </c>
      <c r="Q189" s="239">
        <v>0</v>
      </c>
      <c r="R189" s="239">
        <v>0</v>
      </c>
      <c r="S189" s="239">
        <v>587779</v>
      </c>
      <c r="T189" s="239">
        <v>0</v>
      </c>
      <c r="U189" s="239">
        <v>199200</v>
      </c>
      <c r="V189" s="239">
        <v>0</v>
      </c>
      <c r="W189" s="239">
        <v>388579</v>
      </c>
      <c r="X189" s="239">
        <v>0</v>
      </c>
      <c r="Y189" s="239">
        <v>0</v>
      </c>
      <c r="Z189" s="239">
        <v>0</v>
      </c>
      <c r="AA189" s="239">
        <v>0</v>
      </c>
      <c r="AB189" s="239">
        <v>0</v>
      </c>
      <c r="AC189" s="239">
        <v>0</v>
      </c>
      <c r="AD189" s="239">
        <v>0</v>
      </c>
      <c r="AE189" s="239">
        <v>0</v>
      </c>
      <c r="AF189" s="239">
        <v>0</v>
      </c>
      <c r="AG189" s="239">
        <v>0</v>
      </c>
      <c r="AH189" s="239">
        <v>0</v>
      </c>
      <c r="AI189" s="239">
        <v>0</v>
      </c>
      <c r="AJ189" s="239">
        <v>0</v>
      </c>
      <c r="AK189" s="239">
        <v>923553.29333333345</v>
      </c>
      <c r="AL189" s="239">
        <v>230888.32333333336</v>
      </c>
      <c r="AM189" s="239">
        <v>0</v>
      </c>
      <c r="AN189" s="239">
        <v>739923</v>
      </c>
      <c r="AO189" s="239">
        <v>184980</v>
      </c>
      <c r="AP189" s="239">
        <v>0</v>
      </c>
      <c r="AQ189" s="239">
        <v>183630</v>
      </c>
      <c r="AR189" s="239">
        <v>45908</v>
      </c>
      <c r="AS189" s="239">
        <v>0</v>
      </c>
      <c r="AT189" s="239">
        <v>10752.554166666667</v>
      </c>
      <c r="AU189" s="239">
        <v>2688.1385416666667</v>
      </c>
      <c r="AV189" s="239">
        <v>0</v>
      </c>
      <c r="AW189" s="239">
        <v>1237</v>
      </c>
      <c r="AX189" s="239">
        <v>310</v>
      </c>
      <c r="AY189" s="239">
        <v>0</v>
      </c>
      <c r="AZ189" s="239">
        <v>9516</v>
      </c>
      <c r="BA189" s="239">
        <v>2378</v>
      </c>
      <c r="BB189" s="239">
        <v>0</v>
      </c>
      <c r="BC189" s="239">
        <v>4449.1508333333331</v>
      </c>
      <c r="BD189" s="239">
        <v>1112.2877083333333</v>
      </c>
      <c r="BE189" s="239">
        <v>0</v>
      </c>
      <c r="BF189" s="239">
        <v>10504</v>
      </c>
      <c r="BG189" s="239">
        <v>2626</v>
      </c>
      <c r="BH189" s="239">
        <v>0</v>
      </c>
      <c r="BI189" s="239">
        <v>-6055</v>
      </c>
      <c r="BJ189" s="239">
        <v>-1514</v>
      </c>
      <c r="BK189" s="239">
        <v>0</v>
      </c>
      <c r="BL189" s="239">
        <v>1438.6791666666668</v>
      </c>
      <c r="BM189" s="239">
        <v>359.6697916666667</v>
      </c>
      <c r="BN189" s="239">
        <v>0</v>
      </c>
      <c r="BO189" s="239">
        <v>0</v>
      </c>
      <c r="BP189" s="239">
        <v>0</v>
      </c>
      <c r="BQ189" s="239">
        <v>0</v>
      </c>
      <c r="BR189" s="239">
        <v>1439</v>
      </c>
      <c r="BS189" s="239">
        <v>360</v>
      </c>
      <c r="BT189" s="239">
        <v>0</v>
      </c>
      <c r="BU189" s="239">
        <v>372866.27416666673</v>
      </c>
      <c r="BV189" s="239">
        <v>93216.568541666682</v>
      </c>
      <c r="BW189" s="239">
        <v>0</v>
      </c>
      <c r="BX189" s="239">
        <v>332416</v>
      </c>
      <c r="BY189" s="239">
        <v>83104</v>
      </c>
      <c r="BZ189" s="239">
        <v>0</v>
      </c>
      <c r="CA189" s="239">
        <v>40450</v>
      </c>
      <c r="CB189" s="239">
        <v>10113</v>
      </c>
      <c r="CC189" s="239">
        <v>0</v>
      </c>
      <c r="CD189" s="239">
        <v>-1531.615</v>
      </c>
      <c r="CE189" s="239">
        <v>-382.90375</v>
      </c>
      <c r="CF189" s="239">
        <v>0</v>
      </c>
      <c r="CG189" s="239">
        <v>0</v>
      </c>
      <c r="CH189" s="239">
        <v>0</v>
      </c>
      <c r="CI189" s="239">
        <v>0</v>
      </c>
      <c r="CJ189" s="239">
        <v>-1532</v>
      </c>
      <c r="CK189" s="239">
        <v>-383</v>
      </c>
      <c r="CL189" s="239">
        <v>0</v>
      </c>
      <c r="CM189" s="239">
        <v>18171.1875</v>
      </c>
      <c r="CN189" s="239">
        <v>4542.796875</v>
      </c>
      <c r="CO189" s="239">
        <v>0</v>
      </c>
      <c r="CP189" s="239">
        <v>0</v>
      </c>
      <c r="CQ189" s="239">
        <v>0</v>
      </c>
      <c r="CR189" s="239">
        <v>0</v>
      </c>
      <c r="CS189" s="239">
        <v>18171</v>
      </c>
      <c r="CT189" s="239">
        <v>4543</v>
      </c>
      <c r="CU189" s="239">
        <v>0</v>
      </c>
      <c r="CV189" s="239">
        <v>137686.15291666667</v>
      </c>
      <c r="CW189" s="239">
        <v>32278.593958333335</v>
      </c>
      <c r="CX189" s="239">
        <v>0</v>
      </c>
      <c r="CY189" s="239">
        <v>143827</v>
      </c>
      <c r="CZ189" s="239">
        <v>35230</v>
      </c>
      <c r="DA189" s="239">
        <v>0</v>
      </c>
      <c r="DB189" s="239">
        <v>-6141</v>
      </c>
      <c r="DC189" s="239">
        <v>-2951</v>
      </c>
      <c r="DD189" s="239">
        <v>0</v>
      </c>
      <c r="DE189" s="214">
        <v>0.5</v>
      </c>
      <c r="DF189" s="214">
        <v>0.4</v>
      </c>
      <c r="DG189" s="214">
        <v>0.1</v>
      </c>
      <c r="DH189" s="214">
        <v>0</v>
      </c>
      <c r="DI189" s="214" t="s">
        <v>1294</v>
      </c>
    </row>
    <row r="190" spans="2:113" s="214" customFormat="1" x14ac:dyDescent="0.2">
      <c r="B190" s="610" t="s">
        <v>463</v>
      </c>
      <c r="C190" s="610" t="s">
        <v>462</v>
      </c>
      <c r="D190" s="239">
        <v>-118204</v>
      </c>
      <c r="E190" s="239">
        <v>-47</v>
      </c>
      <c r="F190" s="239">
        <v>-118251</v>
      </c>
      <c r="G190" s="239">
        <v>0</v>
      </c>
      <c r="H190" s="239">
        <v>0</v>
      </c>
      <c r="I190" s="239">
        <v>0</v>
      </c>
      <c r="J190" s="239">
        <v>-118204</v>
      </c>
      <c r="K190" s="239">
        <v>-47</v>
      </c>
      <c r="L190" s="239">
        <v>-118251</v>
      </c>
      <c r="M190" s="239">
        <v>261826</v>
      </c>
      <c r="N190" s="239">
        <v>261826</v>
      </c>
      <c r="O190" s="239">
        <v>0</v>
      </c>
      <c r="P190" s="239">
        <v>257821</v>
      </c>
      <c r="Q190" s="239">
        <v>187007</v>
      </c>
      <c r="R190" s="239">
        <v>70814</v>
      </c>
      <c r="S190" s="239">
        <v>89320</v>
      </c>
      <c r="T190" s="239">
        <v>0</v>
      </c>
      <c r="U190" s="239">
        <v>97834</v>
      </c>
      <c r="V190" s="239">
        <v>0</v>
      </c>
      <c r="W190" s="239">
        <v>-8514</v>
      </c>
      <c r="X190" s="239">
        <v>0</v>
      </c>
      <c r="Y190" s="239">
        <v>0</v>
      </c>
      <c r="Z190" s="239">
        <v>0</v>
      </c>
      <c r="AA190" s="239">
        <v>0</v>
      </c>
      <c r="AB190" s="239">
        <v>0</v>
      </c>
      <c r="AC190" s="239">
        <v>0</v>
      </c>
      <c r="AD190" s="239">
        <v>0</v>
      </c>
      <c r="AE190" s="239">
        <v>0</v>
      </c>
      <c r="AF190" s="239">
        <v>0</v>
      </c>
      <c r="AG190" s="239">
        <v>0</v>
      </c>
      <c r="AH190" s="239">
        <v>0</v>
      </c>
      <c r="AI190" s="239">
        <v>0</v>
      </c>
      <c r="AJ190" s="239">
        <v>0</v>
      </c>
      <c r="AK190" s="239">
        <v>1066177.3003958333</v>
      </c>
      <c r="AL190" s="239">
        <v>0</v>
      </c>
      <c r="AM190" s="239">
        <v>21239.926687499999</v>
      </c>
      <c r="AN190" s="239">
        <v>978564</v>
      </c>
      <c r="AO190" s="239">
        <v>0</v>
      </c>
      <c r="AP190" s="239">
        <v>19970</v>
      </c>
      <c r="AQ190" s="239">
        <v>87613</v>
      </c>
      <c r="AR190" s="239">
        <v>0</v>
      </c>
      <c r="AS190" s="239">
        <v>1270</v>
      </c>
      <c r="AT190" s="239">
        <v>3885.6918333333329</v>
      </c>
      <c r="AU190" s="239">
        <v>0</v>
      </c>
      <c r="AV190" s="239">
        <v>79.299833333333325</v>
      </c>
      <c r="AW190" s="239">
        <v>0</v>
      </c>
      <c r="AX190" s="239">
        <v>0</v>
      </c>
      <c r="AY190" s="239">
        <v>0</v>
      </c>
      <c r="AZ190" s="239">
        <v>3886</v>
      </c>
      <c r="BA190" s="239">
        <v>0</v>
      </c>
      <c r="BB190" s="239">
        <v>79</v>
      </c>
      <c r="BC190" s="239">
        <v>37352.281104166665</v>
      </c>
      <c r="BD190" s="239">
        <v>0</v>
      </c>
      <c r="BE190" s="239">
        <v>23.447020833333333</v>
      </c>
      <c r="BF190" s="239">
        <v>58795</v>
      </c>
      <c r="BG190" s="239">
        <v>0</v>
      </c>
      <c r="BH190" s="239">
        <v>1200</v>
      </c>
      <c r="BI190" s="239">
        <v>-21443</v>
      </c>
      <c r="BJ190" s="239">
        <v>0</v>
      </c>
      <c r="BK190" s="239">
        <v>-1177</v>
      </c>
      <c r="BL190" s="239">
        <v>3222.4992916666665</v>
      </c>
      <c r="BM190" s="239">
        <v>0</v>
      </c>
      <c r="BN190" s="239">
        <v>65.76529166666667</v>
      </c>
      <c r="BO190" s="239">
        <v>2236</v>
      </c>
      <c r="BP190" s="239">
        <v>0</v>
      </c>
      <c r="BQ190" s="239">
        <v>46</v>
      </c>
      <c r="BR190" s="239">
        <v>986</v>
      </c>
      <c r="BS190" s="239">
        <v>0</v>
      </c>
      <c r="BT190" s="239">
        <v>20</v>
      </c>
      <c r="BU190" s="239">
        <v>429517.10718749999</v>
      </c>
      <c r="BV190" s="239">
        <v>0</v>
      </c>
      <c r="BW190" s="239">
        <v>8763.1084375000009</v>
      </c>
      <c r="BX190" s="239">
        <v>309356</v>
      </c>
      <c r="BY190" s="239">
        <v>0</v>
      </c>
      <c r="BZ190" s="239">
        <v>6314</v>
      </c>
      <c r="CA190" s="239">
        <v>120161</v>
      </c>
      <c r="CB190" s="239">
        <v>0</v>
      </c>
      <c r="CC190" s="239">
        <v>2449</v>
      </c>
      <c r="CD190" s="239">
        <v>0</v>
      </c>
      <c r="CE190" s="239">
        <v>0</v>
      </c>
      <c r="CF190" s="239">
        <v>0</v>
      </c>
      <c r="CG190" s="239">
        <v>0</v>
      </c>
      <c r="CH190" s="239">
        <v>0</v>
      </c>
      <c r="CI190" s="239">
        <v>0</v>
      </c>
      <c r="CJ190" s="239">
        <v>0</v>
      </c>
      <c r="CK190" s="239">
        <v>0</v>
      </c>
      <c r="CL190" s="239">
        <v>0</v>
      </c>
      <c r="CM190" s="239">
        <v>10811.927583333332</v>
      </c>
      <c r="CN190" s="239">
        <v>0</v>
      </c>
      <c r="CO190" s="239">
        <v>220.65158333333332</v>
      </c>
      <c r="CP190" s="239">
        <v>0</v>
      </c>
      <c r="CQ190" s="239">
        <v>0</v>
      </c>
      <c r="CR190" s="239">
        <v>0</v>
      </c>
      <c r="CS190" s="239">
        <v>10812</v>
      </c>
      <c r="CT190" s="239">
        <v>0</v>
      </c>
      <c r="CU190" s="239">
        <v>221</v>
      </c>
      <c r="CV190" s="239">
        <v>489689.58106249996</v>
      </c>
      <c r="CW190" s="239">
        <v>0</v>
      </c>
      <c r="CX190" s="239">
        <v>9890.3491458333338</v>
      </c>
      <c r="CY190" s="239">
        <v>414534</v>
      </c>
      <c r="CZ190" s="239">
        <v>0</v>
      </c>
      <c r="DA190" s="239">
        <v>8375</v>
      </c>
      <c r="DB190" s="239">
        <v>75156</v>
      </c>
      <c r="DC190" s="239">
        <v>0</v>
      </c>
      <c r="DD190" s="239">
        <v>1515</v>
      </c>
      <c r="DE190" s="214">
        <v>0.5</v>
      </c>
      <c r="DF190" s="214">
        <v>0.49</v>
      </c>
      <c r="DG190" s="214">
        <v>0</v>
      </c>
      <c r="DH190" s="214">
        <v>0.01</v>
      </c>
      <c r="DI190" s="214" t="s">
        <v>748</v>
      </c>
    </row>
    <row r="191" spans="2:113" s="214" customFormat="1" x14ac:dyDescent="0.2">
      <c r="B191" s="610" t="s">
        <v>465</v>
      </c>
      <c r="C191" s="610" t="s">
        <v>464</v>
      </c>
      <c r="D191" s="239">
        <v>-256015</v>
      </c>
      <c r="E191" s="239">
        <v>-948</v>
      </c>
      <c r="F191" s="239">
        <v>-256963</v>
      </c>
      <c r="G191" s="239">
        <v>0</v>
      </c>
      <c r="H191" s="239">
        <v>0</v>
      </c>
      <c r="I191" s="239">
        <v>0</v>
      </c>
      <c r="J191" s="239">
        <v>-256015</v>
      </c>
      <c r="K191" s="239">
        <v>-948</v>
      </c>
      <c r="L191" s="239">
        <v>-256963</v>
      </c>
      <c r="M191" s="239">
        <v>229326</v>
      </c>
      <c r="N191" s="239">
        <v>229326</v>
      </c>
      <c r="O191" s="239">
        <v>0</v>
      </c>
      <c r="P191" s="239">
        <v>24532</v>
      </c>
      <c r="Q191" s="239">
        <v>61651</v>
      </c>
      <c r="R191" s="239">
        <v>-37119</v>
      </c>
      <c r="S191" s="239">
        <v>0</v>
      </c>
      <c r="T191" s="239">
        <v>0</v>
      </c>
      <c r="U191" s="239">
        <v>0</v>
      </c>
      <c r="V191" s="239">
        <v>0</v>
      </c>
      <c r="W191" s="239">
        <v>0</v>
      </c>
      <c r="X191" s="239">
        <v>0</v>
      </c>
      <c r="Y191" s="239">
        <v>69301.114583333343</v>
      </c>
      <c r="Z191" s="239">
        <v>69301.114583333343</v>
      </c>
      <c r="AA191" s="239">
        <v>0</v>
      </c>
      <c r="AB191" s="239">
        <v>0</v>
      </c>
      <c r="AC191" s="239">
        <v>0</v>
      </c>
      <c r="AD191" s="239">
        <v>0</v>
      </c>
      <c r="AE191" s="239">
        <v>0</v>
      </c>
      <c r="AF191" s="239">
        <v>0</v>
      </c>
      <c r="AG191" s="239">
        <v>69301</v>
      </c>
      <c r="AH191" s="239">
        <v>69301</v>
      </c>
      <c r="AI191" s="239">
        <v>0</v>
      </c>
      <c r="AJ191" s="239">
        <v>0</v>
      </c>
      <c r="AK191" s="239">
        <v>909592.2969270834</v>
      </c>
      <c r="AL191" s="239">
        <v>0</v>
      </c>
      <c r="AM191" s="239">
        <v>18517.845260416667</v>
      </c>
      <c r="AN191" s="239">
        <v>862055</v>
      </c>
      <c r="AO191" s="239">
        <v>0</v>
      </c>
      <c r="AP191" s="239">
        <v>17592</v>
      </c>
      <c r="AQ191" s="239">
        <v>47537</v>
      </c>
      <c r="AR191" s="239">
        <v>0</v>
      </c>
      <c r="AS191" s="239">
        <v>926</v>
      </c>
      <c r="AT191" s="239">
        <v>11653.991166666665</v>
      </c>
      <c r="AU191" s="239">
        <v>0</v>
      </c>
      <c r="AV191" s="239">
        <v>181.12341666666666</v>
      </c>
      <c r="AW191" s="239">
        <v>0</v>
      </c>
      <c r="AX191" s="239">
        <v>0</v>
      </c>
      <c r="AY191" s="239">
        <v>0</v>
      </c>
      <c r="AZ191" s="239">
        <v>11654</v>
      </c>
      <c r="BA191" s="239">
        <v>0</v>
      </c>
      <c r="BB191" s="239">
        <v>181</v>
      </c>
      <c r="BC191" s="239">
        <v>0</v>
      </c>
      <c r="BD191" s="239">
        <v>0</v>
      </c>
      <c r="BE191" s="239">
        <v>0</v>
      </c>
      <c r="BF191" s="239">
        <v>0</v>
      </c>
      <c r="BG191" s="239">
        <v>0</v>
      </c>
      <c r="BH191" s="239">
        <v>0</v>
      </c>
      <c r="BI191" s="239">
        <v>0</v>
      </c>
      <c r="BJ191" s="239">
        <v>0</v>
      </c>
      <c r="BK191" s="239">
        <v>0</v>
      </c>
      <c r="BL191" s="239">
        <v>49211.968895833335</v>
      </c>
      <c r="BM191" s="239">
        <v>0</v>
      </c>
      <c r="BN191" s="239">
        <v>1004.3258958333333</v>
      </c>
      <c r="BO191" s="239">
        <v>39771</v>
      </c>
      <c r="BP191" s="239">
        <v>0</v>
      </c>
      <c r="BQ191" s="239">
        <v>812</v>
      </c>
      <c r="BR191" s="239">
        <v>9441</v>
      </c>
      <c r="BS191" s="239">
        <v>0</v>
      </c>
      <c r="BT191" s="239">
        <v>192</v>
      </c>
      <c r="BU191" s="239">
        <v>550606.41052083333</v>
      </c>
      <c r="BV191" s="239">
        <v>0</v>
      </c>
      <c r="BW191" s="239">
        <v>11236.865520833333</v>
      </c>
      <c r="BX191" s="239">
        <v>571717</v>
      </c>
      <c r="BY191" s="239">
        <v>0</v>
      </c>
      <c r="BZ191" s="239">
        <v>11668</v>
      </c>
      <c r="CA191" s="239">
        <v>-21111</v>
      </c>
      <c r="CB191" s="239">
        <v>0</v>
      </c>
      <c r="CC191" s="239">
        <v>-431</v>
      </c>
      <c r="CD191" s="239">
        <v>0</v>
      </c>
      <c r="CE191" s="239">
        <v>0</v>
      </c>
      <c r="CF191" s="239">
        <v>0</v>
      </c>
      <c r="CG191" s="239">
        <v>0</v>
      </c>
      <c r="CH191" s="239">
        <v>0</v>
      </c>
      <c r="CI191" s="239">
        <v>0</v>
      </c>
      <c r="CJ191" s="239">
        <v>0</v>
      </c>
      <c r="CK191" s="239">
        <v>0</v>
      </c>
      <c r="CL191" s="239">
        <v>0</v>
      </c>
      <c r="CM191" s="239">
        <v>2262.0135416666667</v>
      </c>
      <c r="CN191" s="239">
        <v>0</v>
      </c>
      <c r="CO191" s="239">
        <v>46.163541666666667</v>
      </c>
      <c r="CP191" s="239">
        <v>0</v>
      </c>
      <c r="CQ191" s="239">
        <v>0</v>
      </c>
      <c r="CR191" s="239">
        <v>0</v>
      </c>
      <c r="CS191" s="239">
        <v>2262</v>
      </c>
      <c r="CT191" s="239">
        <v>0</v>
      </c>
      <c r="CU191" s="239">
        <v>46</v>
      </c>
      <c r="CV191" s="239">
        <v>399301.82293749996</v>
      </c>
      <c r="CW191" s="239">
        <v>0</v>
      </c>
      <c r="CX191" s="239">
        <v>8141.7156041666667</v>
      </c>
      <c r="CY191" s="239">
        <v>413899</v>
      </c>
      <c r="CZ191" s="239">
        <v>0</v>
      </c>
      <c r="DA191" s="239">
        <v>8429</v>
      </c>
      <c r="DB191" s="239">
        <v>-14597</v>
      </c>
      <c r="DC191" s="239">
        <v>0</v>
      </c>
      <c r="DD191" s="239">
        <v>-287</v>
      </c>
      <c r="DE191" s="214">
        <v>0.5</v>
      </c>
      <c r="DF191" s="214">
        <v>0.49</v>
      </c>
      <c r="DG191" s="214">
        <v>0</v>
      </c>
      <c r="DH191" s="214">
        <v>0.01</v>
      </c>
      <c r="DI191" s="214" t="s">
        <v>1296</v>
      </c>
    </row>
    <row r="192" spans="2:113" s="214" customFormat="1" x14ac:dyDescent="0.2">
      <c r="B192" s="610" t="s">
        <v>467</v>
      </c>
      <c r="C192" s="610" t="s">
        <v>466</v>
      </c>
      <c r="D192" s="239">
        <v>-185429</v>
      </c>
      <c r="E192" s="239">
        <v>0</v>
      </c>
      <c r="F192" s="239">
        <v>-185429</v>
      </c>
      <c r="G192" s="239">
        <v>0</v>
      </c>
      <c r="H192" s="239">
        <v>0</v>
      </c>
      <c r="I192" s="239">
        <v>0</v>
      </c>
      <c r="J192" s="239">
        <v>-185429</v>
      </c>
      <c r="K192" s="239">
        <v>0</v>
      </c>
      <c r="L192" s="239">
        <v>-185429</v>
      </c>
      <c r="M192" s="239">
        <v>110738</v>
      </c>
      <c r="N192" s="239">
        <v>110738</v>
      </c>
      <c r="O192" s="239">
        <v>0</v>
      </c>
      <c r="P192" s="239">
        <v>0</v>
      </c>
      <c r="Q192" s="239">
        <v>0</v>
      </c>
      <c r="R192" s="239">
        <v>0</v>
      </c>
      <c r="S192" s="239">
        <v>0</v>
      </c>
      <c r="T192" s="239">
        <v>0</v>
      </c>
      <c r="U192" s="239">
        <v>0</v>
      </c>
      <c r="V192" s="239">
        <v>0</v>
      </c>
      <c r="W192" s="239">
        <v>0</v>
      </c>
      <c r="X192" s="239">
        <v>0</v>
      </c>
      <c r="Y192" s="239">
        <v>0</v>
      </c>
      <c r="Z192" s="239">
        <v>0</v>
      </c>
      <c r="AA192" s="239">
        <v>0</v>
      </c>
      <c r="AB192" s="239">
        <v>0</v>
      </c>
      <c r="AC192" s="239">
        <v>0</v>
      </c>
      <c r="AD192" s="239">
        <v>0</v>
      </c>
      <c r="AE192" s="239">
        <v>0</v>
      </c>
      <c r="AF192" s="239">
        <v>0</v>
      </c>
      <c r="AG192" s="239">
        <v>0</v>
      </c>
      <c r="AH192" s="239">
        <v>0</v>
      </c>
      <c r="AI192" s="239">
        <v>0</v>
      </c>
      <c r="AJ192" s="239">
        <v>0</v>
      </c>
      <c r="AK192" s="239">
        <v>296423.50750000001</v>
      </c>
      <c r="AL192" s="239">
        <v>74105.876875000002</v>
      </c>
      <c r="AM192" s="239">
        <v>0</v>
      </c>
      <c r="AN192" s="239">
        <v>266902</v>
      </c>
      <c r="AO192" s="239">
        <v>66726</v>
      </c>
      <c r="AP192" s="239">
        <v>0</v>
      </c>
      <c r="AQ192" s="239">
        <v>29522</v>
      </c>
      <c r="AR192" s="239">
        <v>7380</v>
      </c>
      <c r="AS192" s="239">
        <v>0</v>
      </c>
      <c r="AT192" s="239">
        <v>2954.8725000000004</v>
      </c>
      <c r="AU192" s="239">
        <v>738.7181250000001</v>
      </c>
      <c r="AV192" s="239">
        <v>0</v>
      </c>
      <c r="AW192" s="239">
        <v>828</v>
      </c>
      <c r="AX192" s="239">
        <v>206</v>
      </c>
      <c r="AY192" s="239">
        <v>0</v>
      </c>
      <c r="AZ192" s="239">
        <v>2127</v>
      </c>
      <c r="BA192" s="239">
        <v>533</v>
      </c>
      <c r="BB192" s="239">
        <v>0</v>
      </c>
      <c r="BC192" s="239">
        <v>0</v>
      </c>
      <c r="BD192" s="239">
        <v>0</v>
      </c>
      <c r="BE192" s="239">
        <v>0</v>
      </c>
      <c r="BF192" s="239">
        <v>0</v>
      </c>
      <c r="BG192" s="239">
        <v>0</v>
      </c>
      <c r="BH192" s="239">
        <v>0</v>
      </c>
      <c r="BI192" s="239">
        <v>0</v>
      </c>
      <c r="BJ192" s="239">
        <v>0</v>
      </c>
      <c r="BK192" s="239">
        <v>0</v>
      </c>
      <c r="BL192" s="239">
        <v>2320.5549999999998</v>
      </c>
      <c r="BM192" s="239">
        <v>580.13874999999996</v>
      </c>
      <c r="BN192" s="239">
        <v>0</v>
      </c>
      <c r="BO192" s="239">
        <v>1116</v>
      </c>
      <c r="BP192" s="239">
        <v>280</v>
      </c>
      <c r="BQ192" s="239">
        <v>0</v>
      </c>
      <c r="BR192" s="239">
        <v>1205</v>
      </c>
      <c r="BS192" s="239">
        <v>300</v>
      </c>
      <c r="BT192" s="239">
        <v>0</v>
      </c>
      <c r="BU192" s="239">
        <v>91637.166666666657</v>
      </c>
      <c r="BV192" s="239">
        <v>22909.291666666664</v>
      </c>
      <c r="BW192" s="239">
        <v>0</v>
      </c>
      <c r="BX192" s="239">
        <v>120532</v>
      </c>
      <c r="BY192" s="239">
        <v>30134</v>
      </c>
      <c r="BZ192" s="239">
        <v>0</v>
      </c>
      <c r="CA192" s="239">
        <v>-28895</v>
      </c>
      <c r="CB192" s="239">
        <v>-7225</v>
      </c>
      <c r="CC192" s="239">
        <v>0</v>
      </c>
      <c r="CD192" s="239">
        <v>0</v>
      </c>
      <c r="CE192" s="239">
        <v>0</v>
      </c>
      <c r="CF192" s="239">
        <v>0</v>
      </c>
      <c r="CG192" s="239">
        <v>0</v>
      </c>
      <c r="CH192" s="239">
        <v>0</v>
      </c>
      <c r="CI192" s="239">
        <v>0</v>
      </c>
      <c r="CJ192" s="239">
        <v>0</v>
      </c>
      <c r="CK192" s="239">
        <v>0</v>
      </c>
      <c r="CL192" s="239">
        <v>0</v>
      </c>
      <c r="CM192" s="239">
        <v>2230.0541666666668</v>
      </c>
      <c r="CN192" s="239">
        <v>557.5135416666667</v>
      </c>
      <c r="CO192" s="239">
        <v>0</v>
      </c>
      <c r="CP192" s="239">
        <v>0</v>
      </c>
      <c r="CQ192" s="239">
        <v>0</v>
      </c>
      <c r="CR192" s="239">
        <v>0</v>
      </c>
      <c r="CS192" s="239">
        <v>2230</v>
      </c>
      <c r="CT192" s="239">
        <v>558</v>
      </c>
      <c r="CU192" s="239">
        <v>0</v>
      </c>
      <c r="CV192" s="239">
        <v>240176.32333333336</v>
      </c>
      <c r="CW192" s="239">
        <v>60044.080833333341</v>
      </c>
      <c r="CX192" s="239">
        <v>0</v>
      </c>
      <c r="CY192" s="239">
        <v>250791</v>
      </c>
      <c r="CZ192" s="239">
        <v>62698</v>
      </c>
      <c r="DA192" s="239">
        <v>0</v>
      </c>
      <c r="DB192" s="239">
        <v>-10615</v>
      </c>
      <c r="DC192" s="239">
        <v>-2654</v>
      </c>
      <c r="DD192" s="239">
        <v>0</v>
      </c>
      <c r="DE192" s="214">
        <v>0.5</v>
      </c>
      <c r="DF192" s="214">
        <v>0.4</v>
      </c>
      <c r="DG192" s="214">
        <v>0.1</v>
      </c>
      <c r="DH192" s="214">
        <v>0</v>
      </c>
      <c r="DI192" s="214" t="s">
        <v>1294</v>
      </c>
    </row>
    <row r="193" spans="2:113" s="214" customFormat="1" x14ac:dyDescent="0.2">
      <c r="B193" s="610" t="s">
        <v>469</v>
      </c>
      <c r="C193" s="610" t="s">
        <v>468</v>
      </c>
      <c r="D193" s="239">
        <v>-64599</v>
      </c>
      <c r="E193" s="239">
        <v>0</v>
      </c>
      <c r="F193" s="239">
        <v>-64599</v>
      </c>
      <c r="G193" s="239">
        <v>0</v>
      </c>
      <c r="H193" s="239">
        <v>0</v>
      </c>
      <c r="I193" s="239">
        <v>0</v>
      </c>
      <c r="J193" s="239">
        <v>-64599</v>
      </c>
      <c r="K193" s="239">
        <v>0</v>
      </c>
      <c r="L193" s="239">
        <v>-64599</v>
      </c>
      <c r="M193" s="239">
        <v>146594</v>
      </c>
      <c r="N193" s="239">
        <v>146594</v>
      </c>
      <c r="O193" s="239">
        <v>0</v>
      </c>
      <c r="P193" s="239">
        <v>0</v>
      </c>
      <c r="Q193" s="239">
        <v>0</v>
      </c>
      <c r="R193" s="239">
        <v>0</v>
      </c>
      <c r="S193" s="239">
        <v>0</v>
      </c>
      <c r="T193" s="239">
        <v>0</v>
      </c>
      <c r="U193" s="239">
        <v>0</v>
      </c>
      <c r="V193" s="239">
        <v>0</v>
      </c>
      <c r="W193" s="239">
        <v>0</v>
      </c>
      <c r="X193" s="239">
        <v>0</v>
      </c>
      <c r="Y193" s="239">
        <v>0</v>
      </c>
      <c r="Z193" s="239">
        <v>0</v>
      </c>
      <c r="AA193" s="239">
        <v>0</v>
      </c>
      <c r="AB193" s="239">
        <v>0</v>
      </c>
      <c r="AC193" s="239">
        <v>0</v>
      </c>
      <c r="AD193" s="239">
        <v>0</v>
      </c>
      <c r="AE193" s="239">
        <v>0</v>
      </c>
      <c r="AF193" s="239">
        <v>0</v>
      </c>
      <c r="AG193" s="239">
        <v>0</v>
      </c>
      <c r="AH193" s="239">
        <v>0</v>
      </c>
      <c r="AI193" s="239">
        <v>0</v>
      </c>
      <c r="AJ193" s="239">
        <v>0</v>
      </c>
      <c r="AK193" s="239">
        <v>414750.10041666671</v>
      </c>
      <c r="AL193" s="239">
        <v>93318.772593749993</v>
      </c>
      <c r="AM193" s="239">
        <v>10368.752510416665</v>
      </c>
      <c r="AN193" s="239">
        <v>378485</v>
      </c>
      <c r="AO193" s="239">
        <v>85158</v>
      </c>
      <c r="AP193" s="239">
        <v>9462</v>
      </c>
      <c r="AQ193" s="239">
        <v>36265</v>
      </c>
      <c r="AR193" s="239">
        <v>8161</v>
      </c>
      <c r="AS193" s="239">
        <v>907</v>
      </c>
      <c r="AT193" s="239">
        <v>2786.4516666666668</v>
      </c>
      <c r="AU193" s="239">
        <v>626.95162499999992</v>
      </c>
      <c r="AV193" s="239">
        <v>69.661291666666671</v>
      </c>
      <c r="AW193" s="239">
        <v>3126</v>
      </c>
      <c r="AX193" s="239">
        <v>704</v>
      </c>
      <c r="AY193" s="239">
        <v>78</v>
      </c>
      <c r="AZ193" s="239">
        <v>-340</v>
      </c>
      <c r="BA193" s="239">
        <v>-77</v>
      </c>
      <c r="BB193" s="239">
        <v>-8</v>
      </c>
      <c r="BC193" s="239">
        <v>746.32749999999999</v>
      </c>
      <c r="BD193" s="239">
        <v>167.9236875</v>
      </c>
      <c r="BE193" s="239">
        <v>18.6581875</v>
      </c>
      <c r="BF193" s="239">
        <v>0</v>
      </c>
      <c r="BG193" s="239">
        <v>0</v>
      </c>
      <c r="BH193" s="239">
        <v>0</v>
      </c>
      <c r="BI193" s="239">
        <v>746</v>
      </c>
      <c r="BJ193" s="239">
        <v>168</v>
      </c>
      <c r="BK193" s="239">
        <v>19</v>
      </c>
      <c r="BL193" s="239">
        <v>0</v>
      </c>
      <c r="BM193" s="239">
        <v>0</v>
      </c>
      <c r="BN193" s="239">
        <v>0</v>
      </c>
      <c r="BO193" s="239">
        <v>0</v>
      </c>
      <c r="BP193" s="239">
        <v>0</v>
      </c>
      <c r="BQ193" s="239">
        <v>0</v>
      </c>
      <c r="BR193" s="239">
        <v>0</v>
      </c>
      <c r="BS193" s="239">
        <v>0</v>
      </c>
      <c r="BT193" s="239">
        <v>0</v>
      </c>
      <c r="BU193" s="239">
        <v>130208.37833333336</v>
      </c>
      <c r="BV193" s="239">
        <v>29296.885125000001</v>
      </c>
      <c r="BW193" s="239">
        <v>3255.2094583333337</v>
      </c>
      <c r="BX193" s="239">
        <v>116615</v>
      </c>
      <c r="BY193" s="239">
        <v>26238</v>
      </c>
      <c r="BZ193" s="239">
        <v>2916</v>
      </c>
      <c r="CA193" s="239">
        <v>13593</v>
      </c>
      <c r="CB193" s="239">
        <v>3059</v>
      </c>
      <c r="CC193" s="239">
        <v>339</v>
      </c>
      <c r="CD193" s="239">
        <v>0</v>
      </c>
      <c r="CE193" s="239">
        <v>0</v>
      </c>
      <c r="CF193" s="239">
        <v>0</v>
      </c>
      <c r="CG193" s="239">
        <v>0</v>
      </c>
      <c r="CH193" s="239">
        <v>0</v>
      </c>
      <c r="CI193" s="239">
        <v>0</v>
      </c>
      <c r="CJ193" s="239">
        <v>0</v>
      </c>
      <c r="CK193" s="239">
        <v>0</v>
      </c>
      <c r="CL193" s="239">
        <v>0</v>
      </c>
      <c r="CM193" s="239">
        <v>2965.4241666666667</v>
      </c>
      <c r="CN193" s="239">
        <v>667.22043749999989</v>
      </c>
      <c r="CO193" s="239">
        <v>74.135604166666667</v>
      </c>
      <c r="CP193" s="239">
        <v>0</v>
      </c>
      <c r="CQ193" s="239">
        <v>0</v>
      </c>
      <c r="CR193" s="239">
        <v>0</v>
      </c>
      <c r="CS193" s="239">
        <v>2965</v>
      </c>
      <c r="CT193" s="239">
        <v>667</v>
      </c>
      <c r="CU193" s="239">
        <v>74</v>
      </c>
      <c r="CV193" s="239">
        <v>298107.61750000005</v>
      </c>
      <c r="CW193" s="239">
        <v>67074.213937499997</v>
      </c>
      <c r="CX193" s="239">
        <v>7452.6904375000004</v>
      </c>
      <c r="CY193" s="239">
        <v>292908</v>
      </c>
      <c r="CZ193" s="239">
        <v>65904</v>
      </c>
      <c r="DA193" s="239">
        <v>7323</v>
      </c>
      <c r="DB193" s="239">
        <v>5200</v>
      </c>
      <c r="DC193" s="239">
        <v>1170</v>
      </c>
      <c r="DD193" s="239">
        <v>130</v>
      </c>
      <c r="DE193" s="214">
        <v>0.5</v>
      </c>
      <c r="DF193" s="214">
        <v>0.4</v>
      </c>
      <c r="DG193" s="214">
        <v>0.09</v>
      </c>
      <c r="DH193" s="214">
        <v>0.01</v>
      </c>
      <c r="DI193" s="214" t="s">
        <v>1294</v>
      </c>
    </row>
    <row r="194" spans="2:113" s="214" customFormat="1" x14ac:dyDescent="0.2">
      <c r="B194" s="610" t="s">
        <v>471</v>
      </c>
      <c r="C194" s="610" t="s">
        <v>470</v>
      </c>
      <c r="D194" s="239">
        <v>-136924</v>
      </c>
      <c r="E194" s="239">
        <v>-12495</v>
      </c>
      <c r="F194" s="239">
        <v>-149419</v>
      </c>
      <c r="G194" s="239">
        <v>0</v>
      </c>
      <c r="H194" s="239">
        <v>0</v>
      </c>
      <c r="I194" s="239">
        <v>0</v>
      </c>
      <c r="J194" s="239">
        <v>-136924</v>
      </c>
      <c r="K194" s="239">
        <v>-12495</v>
      </c>
      <c r="L194" s="239">
        <v>-149419</v>
      </c>
      <c r="M194" s="239">
        <v>297757</v>
      </c>
      <c r="N194" s="239">
        <v>297757</v>
      </c>
      <c r="O194" s="239">
        <v>0</v>
      </c>
      <c r="P194" s="239">
        <v>551114</v>
      </c>
      <c r="Q194" s="239">
        <v>0</v>
      </c>
      <c r="R194" s="239">
        <v>551114</v>
      </c>
      <c r="S194" s="239">
        <v>0</v>
      </c>
      <c r="T194" s="239">
        <v>0</v>
      </c>
      <c r="U194" s="239">
        <v>0</v>
      </c>
      <c r="V194" s="239">
        <v>0</v>
      </c>
      <c r="W194" s="239">
        <v>0</v>
      </c>
      <c r="X194" s="239">
        <v>0</v>
      </c>
      <c r="Y194" s="239">
        <v>2147974.375</v>
      </c>
      <c r="Z194" s="239">
        <v>2147974.375</v>
      </c>
      <c r="AA194" s="239">
        <v>0</v>
      </c>
      <c r="AB194" s="239">
        <v>0</v>
      </c>
      <c r="AC194" s="239">
        <v>2041284</v>
      </c>
      <c r="AD194" s="239">
        <v>2041284</v>
      </c>
      <c r="AE194" s="239">
        <v>0</v>
      </c>
      <c r="AF194" s="239">
        <v>0</v>
      </c>
      <c r="AG194" s="239">
        <v>106690</v>
      </c>
      <c r="AH194" s="239">
        <v>106690</v>
      </c>
      <c r="AI194" s="239">
        <v>0</v>
      </c>
      <c r="AJ194" s="239">
        <v>0</v>
      </c>
      <c r="AK194" s="239">
        <v>795702.80666666676</v>
      </c>
      <c r="AL194" s="239">
        <v>190245.94125000003</v>
      </c>
      <c r="AM194" s="239">
        <v>0</v>
      </c>
      <c r="AN194" s="239">
        <v>742347</v>
      </c>
      <c r="AO194" s="239">
        <v>185586</v>
      </c>
      <c r="AP194" s="239">
        <v>0</v>
      </c>
      <c r="AQ194" s="239">
        <v>53356</v>
      </c>
      <c r="AR194" s="239">
        <v>4660</v>
      </c>
      <c r="AS194" s="239">
        <v>0</v>
      </c>
      <c r="AT194" s="239">
        <v>0</v>
      </c>
      <c r="AU194" s="239">
        <v>0</v>
      </c>
      <c r="AV194" s="239">
        <v>0</v>
      </c>
      <c r="AW194" s="239">
        <v>0</v>
      </c>
      <c r="AX194" s="239">
        <v>0</v>
      </c>
      <c r="AY194" s="239">
        <v>0</v>
      </c>
      <c r="AZ194" s="239">
        <v>0</v>
      </c>
      <c r="BA194" s="239">
        <v>0</v>
      </c>
      <c r="BB194" s="239">
        <v>0</v>
      </c>
      <c r="BC194" s="239">
        <v>0</v>
      </c>
      <c r="BD194" s="239">
        <v>0</v>
      </c>
      <c r="BE194" s="239">
        <v>0</v>
      </c>
      <c r="BF194" s="239">
        <v>0</v>
      </c>
      <c r="BG194" s="239">
        <v>0</v>
      </c>
      <c r="BH194" s="239">
        <v>0</v>
      </c>
      <c r="BI194" s="239">
        <v>0</v>
      </c>
      <c r="BJ194" s="239">
        <v>0</v>
      </c>
      <c r="BK194" s="239">
        <v>0</v>
      </c>
      <c r="BL194" s="239">
        <v>112085.89083333334</v>
      </c>
      <c r="BM194" s="239">
        <v>28021.472708333335</v>
      </c>
      <c r="BN194" s="239">
        <v>0</v>
      </c>
      <c r="BO194" s="239">
        <v>17108</v>
      </c>
      <c r="BP194" s="239">
        <v>4278</v>
      </c>
      <c r="BQ194" s="239">
        <v>0</v>
      </c>
      <c r="BR194" s="239">
        <v>94978</v>
      </c>
      <c r="BS194" s="239">
        <v>23743</v>
      </c>
      <c r="BT194" s="239">
        <v>0</v>
      </c>
      <c r="BU194" s="239">
        <v>511021.68083333329</v>
      </c>
      <c r="BV194" s="239">
        <v>126444.57854166666</v>
      </c>
      <c r="BW194" s="239">
        <v>0</v>
      </c>
      <c r="BX194" s="239">
        <v>472989</v>
      </c>
      <c r="BY194" s="239">
        <v>118248</v>
      </c>
      <c r="BZ194" s="239">
        <v>0</v>
      </c>
      <c r="CA194" s="239">
        <v>38033</v>
      </c>
      <c r="CB194" s="239">
        <v>8197</v>
      </c>
      <c r="CC194" s="239">
        <v>0</v>
      </c>
      <c r="CD194" s="239">
        <v>0</v>
      </c>
      <c r="CE194" s="239">
        <v>0</v>
      </c>
      <c r="CF194" s="239">
        <v>0</v>
      </c>
      <c r="CG194" s="239">
        <v>0</v>
      </c>
      <c r="CH194" s="239">
        <v>0</v>
      </c>
      <c r="CI194" s="239">
        <v>0</v>
      </c>
      <c r="CJ194" s="239">
        <v>0</v>
      </c>
      <c r="CK194" s="239">
        <v>0</v>
      </c>
      <c r="CL194" s="239">
        <v>0</v>
      </c>
      <c r="CM194" s="239">
        <v>0</v>
      </c>
      <c r="CN194" s="239">
        <v>0</v>
      </c>
      <c r="CO194" s="239">
        <v>0</v>
      </c>
      <c r="CP194" s="239">
        <v>0</v>
      </c>
      <c r="CQ194" s="239">
        <v>0</v>
      </c>
      <c r="CR194" s="239">
        <v>0</v>
      </c>
      <c r="CS194" s="239">
        <v>0</v>
      </c>
      <c r="CT194" s="239">
        <v>0</v>
      </c>
      <c r="CU194" s="239">
        <v>0</v>
      </c>
      <c r="CV194" s="239">
        <v>568013.27916666667</v>
      </c>
      <c r="CW194" s="239">
        <v>139994.04999999999</v>
      </c>
      <c r="CX194" s="239">
        <v>0</v>
      </c>
      <c r="CY194" s="239">
        <v>602415</v>
      </c>
      <c r="CZ194" s="239">
        <v>143161</v>
      </c>
      <c r="DA194" s="239">
        <v>0</v>
      </c>
      <c r="DB194" s="239">
        <v>-34402</v>
      </c>
      <c r="DC194" s="239">
        <v>-3167</v>
      </c>
      <c r="DD194" s="239">
        <v>0</v>
      </c>
      <c r="DE194" s="214">
        <v>0.5</v>
      </c>
      <c r="DF194" s="214">
        <v>0.4</v>
      </c>
      <c r="DG194" s="214">
        <v>0.1</v>
      </c>
      <c r="DH194" s="214">
        <v>0</v>
      </c>
      <c r="DI194" s="214" t="s">
        <v>1294</v>
      </c>
    </row>
    <row r="195" spans="2:113" s="214" customFormat="1" x14ac:dyDescent="0.2">
      <c r="B195" s="610" t="s">
        <v>473</v>
      </c>
      <c r="C195" s="610" t="s">
        <v>472</v>
      </c>
      <c r="D195" s="239">
        <v>-273773</v>
      </c>
      <c r="E195" s="239">
        <v>0</v>
      </c>
      <c r="F195" s="239">
        <v>-273773</v>
      </c>
      <c r="G195" s="239">
        <v>0</v>
      </c>
      <c r="H195" s="239">
        <v>0</v>
      </c>
      <c r="I195" s="239">
        <v>0</v>
      </c>
      <c r="J195" s="239">
        <v>-273773</v>
      </c>
      <c r="K195" s="239">
        <v>0</v>
      </c>
      <c r="L195" s="239">
        <v>-273773</v>
      </c>
      <c r="M195" s="239">
        <v>474651</v>
      </c>
      <c r="N195" s="239">
        <v>474651</v>
      </c>
      <c r="O195" s="239">
        <v>0</v>
      </c>
      <c r="P195" s="239">
        <v>33348</v>
      </c>
      <c r="Q195" s="239">
        <v>30818</v>
      </c>
      <c r="R195" s="239">
        <v>2530</v>
      </c>
      <c r="S195" s="239">
        <v>1221311</v>
      </c>
      <c r="T195" s="239">
        <v>0</v>
      </c>
      <c r="U195" s="239">
        <v>1206260</v>
      </c>
      <c r="V195" s="239">
        <v>0</v>
      </c>
      <c r="W195" s="239">
        <v>15051</v>
      </c>
      <c r="X195" s="239">
        <v>0</v>
      </c>
      <c r="Y195" s="239">
        <v>62935.618750000001</v>
      </c>
      <c r="Z195" s="239">
        <v>62935.618750000001</v>
      </c>
      <c r="AA195" s="239">
        <v>0</v>
      </c>
      <c r="AB195" s="239">
        <v>0</v>
      </c>
      <c r="AC195" s="239">
        <v>84056</v>
      </c>
      <c r="AD195" s="239">
        <v>84056</v>
      </c>
      <c r="AE195" s="239">
        <v>0</v>
      </c>
      <c r="AF195" s="239">
        <v>0</v>
      </c>
      <c r="AG195" s="239">
        <v>-21120</v>
      </c>
      <c r="AH195" s="239">
        <v>-21120</v>
      </c>
      <c r="AI195" s="239">
        <v>0</v>
      </c>
      <c r="AJ195" s="239">
        <v>0</v>
      </c>
      <c r="AK195" s="239">
        <v>2082421.6385416666</v>
      </c>
      <c r="AL195" s="239">
        <v>0</v>
      </c>
      <c r="AM195" s="239">
        <v>0</v>
      </c>
      <c r="AN195" s="239">
        <v>2038330</v>
      </c>
      <c r="AO195" s="239">
        <v>0</v>
      </c>
      <c r="AP195" s="239">
        <v>0</v>
      </c>
      <c r="AQ195" s="239">
        <v>44092</v>
      </c>
      <c r="AR195" s="239">
        <v>0</v>
      </c>
      <c r="AS195" s="239">
        <v>0</v>
      </c>
      <c r="AT195" s="239">
        <v>21912.970833333333</v>
      </c>
      <c r="AU195" s="239">
        <v>0</v>
      </c>
      <c r="AV195" s="239">
        <v>0</v>
      </c>
      <c r="AW195" s="239">
        <v>4855</v>
      </c>
      <c r="AX195" s="239">
        <v>0</v>
      </c>
      <c r="AY195" s="239">
        <v>0</v>
      </c>
      <c r="AZ195" s="239">
        <v>17058</v>
      </c>
      <c r="BA195" s="239">
        <v>0</v>
      </c>
      <c r="BB195" s="239">
        <v>0</v>
      </c>
      <c r="BC195" s="239">
        <v>34932.611458333333</v>
      </c>
      <c r="BD195" s="239">
        <v>0</v>
      </c>
      <c r="BE195" s="239">
        <v>0</v>
      </c>
      <c r="BF195" s="239">
        <v>50729</v>
      </c>
      <c r="BG195" s="239">
        <v>0</v>
      </c>
      <c r="BH195" s="239">
        <v>0</v>
      </c>
      <c r="BI195" s="239">
        <v>-15796</v>
      </c>
      <c r="BJ195" s="239">
        <v>0</v>
      </c>
      <c r="BK195" s="239">
        <v>0</v>
      </c>
      <c r="BL195" s="239">
        <v>31718.918750000001</v>
      </c>
      <c r="BM195" s="239">
        <v>0</v>
      </c>
      <c r="BN195" s="239">
        <v>0</v>
      </c>
      <c r="BO195" s="239">
        <v>15910</v>
      </c>
      <c r="BP195" s="239">
        <v>0</v>
      </c>
      <c r="BQ195" s="239">
        <v>0</v>
      </c>
      <c r="BR195" s="239">
        <v>15809</v>
      </c>
      <c r="BS195" s="239">
        <v>0</v>
      </c>
      <c r="BT195" s="239">
        <v>0</v>
      </c>
      <c r="BU195" s="239">
        <v>899222.16458333342</v>
      </c>
      <c r="BV195" s="239">
        <v>0</v>
      </c>
      <c r="BW195" s="239">
        <v>0</v>
      </c>
      <c r="BX195" s="239">
        <v>862396</v>
      </c>
      <c r="BY195" s="239">
        <v>0</v>
      </c>
      <c r="BZ195" s="239">
        <v>0</v>
      </c>
      <c r="CA195" s="239">
        <v>36826</v>
      </c>
      <c r="CB195" s="239">
        <v>0</v>
      </c>
      <c r="CC195" s="239">
        <v>0</v>
      </c>
      <c r="CD195" s="239">
        <v>43875.148958333331</v>
      </c>
      <c r="CE195" s="239">
        <v>0</v>
      </c>
      <c r="CF195" s="239">
        <v>0</v>
      </c>
      <c r="CG195" s="239">
        <v>130489</v>
      </c>
      <c r="CH195" s="239">
        <v>0</v>
      </c>
      <c r="CI195" s="239">
        <v>0</v>
      </c>
      <c r="CJ195" s="239">
        <v>-86614</v>
      </c>
      <c r="CK195" s="239">
        <v>0</v>
      </c>
      <c r="CL195" s="239">
        <v>0</v>
      </c>
      <c r="CM195" s="239">
        <v>18552.163541666665</v>
      </c>
      <c r="CN195" s="239">
        <v>0</v>
      </c>
      <c r="CO195" s="239">
        <v>0</v>
      </c>
      <c r="CP195" s="239">
        <v>0</v>
      </c>
      <c r="CQ195" s="239">
        <v>0</v>
      </c>
      <c r="CR195" s="239">
        <v>0</v>
      </c>
      <c r="CS195" s="239">
        <v>18552</v>
      </c>
      <c r="CT195" s="239">
        <v>0</v>
      </c>
      <c r="CU195" s="239">
        <v>0</v>
      </c>
      <c r="CV195" s="239">
        <v>543589.65208333335</v>
      </c>
      <c r="CW195" s="239">
        <v>0</v>
      </c>
      <c r="CX195" s="239">
        <v>0</v>
      </c>
      <c r="CY195" s="239">
        <v>568328</v>
      </c>
      <c r="CZ195" s="239">
        <v>0</v>
      </c>
      <c r="DA195" s="239">
        <v>0</v>
      </c>
      <c r="DB195" s="239">
        <v>-24738</v>
      </c>
      <c r="DC195" s="239">
        <v>0</v>
      </c>
      <c r="DD195" s="239">
        <v>0</v>
      </c>
      <c r="DE195" s="214">
        <v>0.5</v>
      </c>
      <c r="DF195" s="214">
        <v>0.5</v>
      </c>
      <c r="DG195" s="214">
        <v>0</v>
      </c>
      <c r="DH195" s="214">
        <v>0</v>
      </c>
      <c r="DI195" s="214" t="s">
        <v>748</v>
      </c>
    </row>
    <row r="196" spans="2:113" s="214" customFormat="1" x14ac:dyDescent="0.2">
      <c r="B196" s="610" t="s">
        <v>475</v>
      </c>
      <c r="C196" s="610" t="s">
        <v>474</v>
      </c>
      <c r="D196" s="239">
        <v>-454468</v>
      </c>
      <c r="E196" s="239">
        <v>0</v>
      </c>
      <c r="F196" s="239">
        <v>-454468</v>
      </c>
      <c r="G196" s="239">
        <v>0</v>
      </c>
      <c r="H196" s="239">
        <v>0</v>
      </c>
      <c r="I196" s="239">
        <v>0</v>
      </c>
      <c r="J196" s="239">
        <v>-454468</v>
      </c>
      <c r="K196" s="239">
        <v>0</v>
      </c>
      <c r="L196" s="239">
        <v>-454468</v>
      </c>
      <c r="M196" s="239">
        <v>270558</v>
      </c>
      <c r="N196" s="239">
        <v>270558</v>
      </c>
      <c r="O196" s="239">
        <v>0</v>
      </c>
      <c r="P196" s="239">
        <v>0</v>
      </c>
      <c r="Q196" s="239">
        <v>0</v>
      </c>
      <c r="R196" s="239">
        <v>0</v>
      </c>
      <c r="S196" s="239">
        <v>0</v>
      </c>
      <c r="T196" s="239">
        <v>0</v>
      </c>
      <c r="U196" s="239">
        <v>0</v>
      </c>
      <c r="V196" s="239">
        <v>0</v>
      </c>
      <c r="W196" s="239">
        <v>0</v>
      </c>
      <c r="X196" s="239">
        <v>0</v>
      </c>
      <c r="Y196" s="239">
        <v>0</v>
      </c>
      <c r="Z196" s="239">
        <v>0</v>
      </c>
      <c r="AA196" s="239">
        <v>0</v>
      </c>
      <c r="AB196" s="239">
        <v>0</v>
      </c>
      <c r="AC196" s="239">
        <v>0</v>
      </c>
      <c r="AD196" s="239">
        <v>0</v>
      </c>
      <c r="AE196" s="239">
        <v>0</v>
      </c>
      <c r="AF196" s="239">
        <v>0</v>
      </c>
      <c r="AG196" s="239">
        <v>0</v>
      </c>
      <c r="AH196" s="239">
        <v>0</v>
      </c>
      <c r="AI196" s="239">
        <v>0</v>
      </c>
      <c r="AJ196" s="239">
        <v>0</v>
      </c>
      <c r="AK196" s="239">
        <v>731424.4883333334</v>
      </c>
      <c r="AL196" s="239">
        <v>182856.12208333335</v>
      </c>
      <c r="AM196" s="239">
        <v>0</v>
      </c>
      <c r="AN196" s="239">
        <v>669027</v>
      </c>
      <c r="AO196" s="239">
        <v>167258</v>
      </c>
      <c r="AP196" s="239">
        <v>0</v>
      </c>
      <c r="AQ196" s="239">
        <v>62397</v>
      </c>
      <c r="AR196" s="239">
        <v>15598</v>
      </c>
      <c r="AS196" s="239">
        <v>0</v>
      </c>
      <c r="AT196" s="239">
        <v>4232.435833333333</v>
      </c>
      <c r="AU196" s="239">
        <v>1058.1089583333332</v>
      </c>
      <c r="AV196" s="239">
        <v>0</v>
      </c>
      <c r="AW196" s="239">
        <v>1089</v>
      </c>
      <c r="AX196" s="239">
        <v>272</v>
      </c>
      <c r="AY196" s="239">
        <v>0</v>
      </c>
      <c r="AZ196" s="239">
        <v>3143</v>
      </c>
      <c r="BA196" s="239">
        <v>786</v>
      </c>
      <c r="BB196" s="239">
        <v>0</v>
      </c>
      <c r="BC196" s="239">
        <v>0</v>
      </c>
      <c r="BD196" s="239">
        <v>0</v>
      </c>
      <c r="BE196" s="239">
        <v>0</v>
      </c>
      <c r="BF196" s="239">
        <v>0</v>
      </c>
      <c r="BG196" s="239">
        <v>0</v>
      </c>
      <c r="BH196" s="239">
        <v>0</v>
      </c>
      <c r="BI196" s="239">
        <v>0</v>
      </c>
      <c r="BJ196" s="239">
        <v>0</v>
      </c>
      <c r="BK196" s="239">
        <v>0</v>
      </c>
      <c r="BL196" s="239">
        <v>10524.07</v>
      </c>
      <c r="BM196" s="239">
        <v>2631.0174999999999</v>
      </c>
      <c r="BN196" s="239">
        <v>0</v>
      </c>
      <c r="BO196" s="239">
        <v>0</v>
      </c>
      <c r="BP196" s="239">
        <v>0</v>
      </c>
      <c r="BQ196" s="239">
        <v>0</v>
      </c>
      <c r="BR196" s="239">
        <v>10524</v>
      </c>
      <c r="BS196" s="239">
        <v>2631</v>
      </c>
      <c r="BT196" s="239">
        <v>0</v>
      </c>
      <c r="BU196" s="239">
        <v>489354.64500000002</v>
      </c>
      <c r="BV196" s="239">
        <v>122338.66125</v>
      </c>
      <c r="BW196" s="239">
        <v>0</v>
      </c>
      <c r="BX196" s="239">
        <v>577584</v>
      </c>
      <c r="BY196" s="239">
        <v>144396</v>
      </c>
      <c r="BZ196" s="239">
        <v>0</v>
      </c>
      <c r="CA196" s="239">
        <v>-88229</v>
      </c>
      <c r="CB196" s="239">
        <v>-22057</v>
      </c>
      <c r="CC196" s="239">
        <v>0</v>
      </c>
      <c r="CD196" s="239">
        <v>0</v>
      </c>
      <c r="CE196" s="239">
        <v>0</v>
      </c>
      <c r="CF196" s="239">
        <v>0</v>
      </c>
      <c r="CG196" s="239">
        <v>0</v>
      </c>
      <c r="CH196" s="239">
        <v>0</v>
      </c>
      <c r="CI196" s="239">
        <v>0</v>
      </c>
      <c r="CJ196" s="239">
        <v>0</v>
      </c>
      <c r="CK196" s="239">
        <v>0</v>
      </c>
      <c r="CL196" s="239">
        <v>0</v>
      </c>
      <c r="CM196" s="239">
        <v>5400.0183333333334</v>
      </c>
      <c r="CN196" s="239">
        <v>1350.0045833333334</v>
      </c>
      <c r="CO196" s="239">
        <v>0</v>
      </c>
      <c r="CP196" s="239">
        <v>0</v>
      </c>
      <c r="CQ196" s="239">
        <v>0</v>
      </c>
      <c r="CR196" s="239">
        <v>0</v>
      </c>
      <c r="CS196" s="239">
        <v>5400</v>
      </c>
      <c r="CT196" s="239">
        <v>1350</v>
      </c>
      <c r="CU196" s="239">
        <v>0</v>
      </c>
      <c r="CV196" s="239">
        <v>433206.94666666671</v>
      </c>
      <c r="CW196" s="239">
        <v>108301.73666666668</v>
      </c>
      <c r="CX196" s="239">
        <v>0</v>
      </c>
      <c r="CY196" s="239">
        <v>447758</v>
      </c>
      <c r="CZ196" s="239">
        <v>111939</v>
      </c>
      <c r="DA196" s="239">
        <v>0</v>
      </c>
      <c r="DB196" s="239">
        <v>-14551</v>
      </c>
      <c r="DC196" s="239">
        <v>-3637</v>
      </c>
      <c r="DD196" s="239">
        <v>0</v>
      </c>
      <c r="DE196" s="214">
        <v>0.5</v>
      </c>
      <c r="DF196" s="214">
        <v>0.4</v>
      </c>
      <c r="DG196" s="214">
        <v>0.1</v>
      </c>
      <c r="DH196" s="214">
        <v>0</v>
      </c>
      <c r="DI196" s="214" t="s">
        <v>1294</v>
      </c>
    </row>
    <row r="197" spans="2:113" s="214" customFormat="1" x14ac:dyDescent="0.2">
      <c r="B197" s="610" t="s">
        <v>477</v>
      </c>
      <c r="C197" s="610" t="s">
        <v>476</v>
      </c>
      <c r="D197" s="239">
        <v>87636</v>
      </c>
      <c r="E197" s="239">
        <v>33498</v>
      </c>
      <c r="F197" s="239">
        <v>121134</v>
      </c>
      <c r="G197" s="239">
        <v>0</v>
      </c>
      <c r="H197" s="239">
        <v>0</v>
      </c>
      <c r="I197" s="239">
        <v>0</v>
      </c>
      <c r="J197" s="239">
        <v>87636</v>
      </c>
      <c r="K197" s="239">
        <v>33498</v>
      </c>
      <c r="L197" s="239">
        <v>121134</v>
      </c>
      <c r="M197" s="239">
        <v>495426</v>
      </c>
      <c r="N197" s="239">
        <v>495983</v>
      </c>
      <c r="O197" s="239">
        <v>-557</v>
      </c>
      <c r="P197" s="239">
        <v>0</v>
      </c>
      <c r="Q197" s="239">
        <v>0</v>
      </c>
      <c r="R197" s="239">
        <v>0</v>
      </c>
      <c r="S197" s="239">
        <v>0</v>
      </c>
      <c r="T197" s="239">
        <v>0</v>
      </c>
      <c r="U197" s="239">
        <v>0</v>
      </c>
      <c r="V197" s="239">
        <v>0</v>
      </c>
      <c r="W197" s="239">
        <v>0</v>
      </c>
      <c r="X197" s="239">
        <v>0</v>
      </c>
      <c r="Y197" s="239">
        <v>0</v>
      </c>
      <c r="Z197" s="239">
        <v>0</v>
      </c>
      <c r="AA197" s="239">
        <v>0</v>
      </c>
      <c r="AB197" s="239">
        <v>0</v>
      </c>
      <c r="AC197" s="239">
        <v>0</v>
      </c>
      <c r="AD197" s="239">
        <v>0</v>
      </c>
      <c r="AE197" s="239">
        <v>0</v>
      </c>
      <c r="AF197" s="239">
        <v>0</v>
      </c>
      <c r="AG197" s="239">
        <v>0</v>
      </c>
      <c r="AH197" s="239">
        <v>0</v>
      </c>
      <c r="AI197" s="239">
        <v>0</v>
      </c>
      <c r="AJ197" s="239">
        <v>0</v>
      </c>
      <c r="AK197" s="239">
        <v>1513381.3953333334</v>
      </c>
      <c r="AL197" s="239">
        <v>0</v>
      </c>
      <c r="AM197" s="239">
        <v>27813.300500000001</v>
      </c>
      <c r="AN197" s="239">
        <v>1322905</v>
      </c>
      <c r="AO197" s="239">
        <v>0</v>
      </c>
      <c r="AP197" s="239">
        <v>26998</v>
      </c>
      <c r="AQ197" s="239">
        <v>190476</v>
      </c>
      <c r="AR197" s="239">
        <v>0</v>
      </c>
      <c r="AS197" s="239">
        <v>815</v>
      </c>
      <c r="AT197" s="239">
        <v>7714.3235000000004</v>
      </c>
      <c r="AU197" s="239">
        <v>0</v>
      </c>
      <c r="AV197" s="239">
        <v>123.33275</v>
      </c>
      <c r="AW197" s="239">
        <v>9944</v>
      </c>
      <c r="AX197" s="239">
        <v>0</v>
      </c>
      <c r="AY197" s="239">
        <v>202</v>
      </c>
      <c r="AZ197" s="239">
        <v>-2230</v>
      </c>
      <c r="BA197" s="239">
        <v>0</v>
      </c>
      <c r="BB197" s="239">
        <v>-79</v>
      </c>
      <c r="BC197" s="239">
        <v>172986.79314583333</v>
      </c>
      <c r="BD197" s="239">
        <v>0</v>
      </c>
      <c r="BE197" s="239">
        <v>22.493312500000002</v>
      </c>
      <c r="BF197" s="239">
        <v>54686</v>
      </c>
      <c r="BG197" s="239">
        <v>0</v>
      </c>
      <c r="BH197" s="239">
        <v>1116</v>
      </c>
      <c r="BI197" s="239">
        <v>118301</v>
      </c>
      <c r="BJ197" s="239">
        <v>0</v>
      </c>
      <c r="BK197" s="239">
        <v>-1094</v>
      </c>
      <c r="BL197" s="239">
        <v>123267.12675</v>
      </c>
      <c r="BM197" s="239">
        <v>0</v>
      </c>
      <c r="BN197" s="239">
        <v>2326.1149166666669</v>
      </c>
      <c r="BO197" s="239">
        <v>24857</v>
      </c>
      <c r="BP197" s="239">
        <v>0</v>
      </c>
      <c r="BQ197" s="239">
        <v>508</v>
      </c>
      <c r="BR197" s="239">
        <v>98410</v>
      </c>
      <c r="BS197" s="239">
        <v>0</v>
      </c>
      <c r="BT197" s="239">
        <v>1818</v>
      </c>
      <c r="BU197" s="239">
        <v>772170.10427083331</v>
      </c>
      <c r="BV197" s="239">
        <v>0</v>
      </c>
      <c r="BW197" s="239">
        <v>12634.961354166668</v>
      </c>
      <c r="BX197" s="239">
        <v>684063</v>
      </c>
      <c r="BY197" s="239">
        <v>0</v>
      </c>
      <c r="BZ197" s="239">
        <v>13960</v>
      </c>
      <c r="CA197" s="239">
        <v>88107</v>
      </c>
      <c r="CB197" s="239">
        <v>0</v>
      </c>
      <c r="CC197" s="239">
        <v>-1325</v>
      </c>
      <c r="CD197" s="239">
        <v>212.77841666666666</v>
      </c>
      <c r="CE197" s="239">
        <v>0</v>
      </c>
      <c r="CF197" s="239">
        <v>4.3424166666666668</v>
      </c>
      <c r="CG197" s="239">
        <v>0</v>
      </c>
      <c r="CH197" s="239">
        <v>0</v>
      </c>
      <c r="CI197" s="239">
        <v>0</v>
      </c>
      <c r="CJ197" s="239">
        <v>213</v>
      </c>
      <c r="CK197" s="239">
        <v>0</v>
      </c>
      <c r="CL197" s="239">
        <v>4</v>
      </c>
      <c r="CM197" s="239">
        <v>921.70837499999993</v>
      </c>
      <c r="CN197" s="239">
        <v>0</v>
      </c>
      <c r="CO197" s="239">
        <v>18.810375000000001</v>
      </c>
      <c r="CP197" s="239">
        <v>0</v>
      </c>
      <c r="CQ197" s="239">
        <v>0</v>
      </c>
      <c r="CR197" s="239">
        <v>0</v>
      </c>
      <c r="CS197" s="239">
        <v>922</v>
      </c>
      <c r="CT197" s="239">
        <v>0</v>
      </c>
      <c r="CU197" s="239">
        <v>19</v>
      </c>
      <c r="CV197" s="239">
        <v>780489.16122916667</v>
      </c>
      <c r="CW197" s="239">
        <v>0</v>
      </c>
      <c r="CX197" s="239">
        <v>15928.350229166665</v>
      </c>
      <c r="CY197" s="239">
        <v>881827</v>
      </c>
      <c r="CZ197" s="239">
        <v>0</v>
      </c>
      <c r="DA197" s="239">
        <v>17996</v>
      </c>
      <c r="DB197" s="239">
        <v>-101338</v>
      </c>
      <c r="DC197" s="239">
        <v>0</v>
      </c>
      <c r="DD197" s="239">
        <v>-2068</v>
      </c>
      <c r="DE197" s="214">
        <v>0.5</v>
      </c>
      <c r="DF197" s="214">
        <v>0.49</v>
      </c>
      <c r="DG197" s="214">
        <v>0</v>
      </c>
      <c r="DH197" s="214">
        <v>0.01</v>
      </c>
      <c r="DI197" s="214" t="s">
        <v>748</v>
      </c>
    </row>
    <row r="198" spans="2:113" s="214" customFormat="1" x14ac:dyDescent="0.2">
      <c r="B198" s="610" t="s">
        <v>479</v>
      </c>
      <c r="C198" s="610" t="s">
        <v>478</v>
      </c>
      <c r="D198" s="239">
        <v>-62298</v>
      </c>
      <c r="E198" s="239">
        <v>0</v>
      </c>
      <c r="F198" s="239">
        <v>-62298</v>
      </c>
      <c r="G198" s="239">
        <v>0</v>
      </c>
      <c r="H198" s="239">
        <v>0</v>
      </c>
      <c r="I198" s="239">
        <v>0</v>
      </c>
      <c r="J198" s="239">
        <v>-62298</v>
      </c>
      <c r="K198" s="239">
        <v>0</v>
      </c>
      <c r="L198" s="239">
        <v>-62298</v>
      </c>
      <c r="M198" s="239">
        <v>134325</v>
      </c>
      <c r="N198" s="239">
        <v>134325</v>
      </c>
      <c r="O198" s="239">
        <v>0</v>
      </c>
      <c r="P198" s="239">
        <v>0</v>
      </c>
      <c r="Q198" s="239">
        <v>0</v>
      </c>
      <c r="R198" s="239">
        <v>0</v>
      </c>
      <c r="S198" s="239">
        <v>0</v>
      </c>
      <c r="T198" s="239">
        <v>0</v>
      </c>
      <c r="U198" s="239">
        <v>0</v>
      </c>
      <c r="V198" s="239">
        <v>0</v>
      </c>
      <c r="W198" s="239">
        <v>0</v>
      </c>
      <c r="X198" s="239">
        <v>0</v>
      </c>
      <c r="Y198" s="239">
        <v>0</v>
      </c>
      <c r="Z198" s="239">
        <v>0</v>
      </c>
      <c r="AA198" s="239">
        <v>0</v>
      </c>
      <c r="AB198" s="239">
        <v>0</v>
      </c>
      <c r="AC198" s="239">
        <v>0</v>
      </c>
      <c r="AD198" s="239">
        <v>0</v>
      </c>
      <c r="AE198" s="239">
        <v>0</v>
      </c>
      <c r="AF198" s="239">
        <v>0</v>
      </c>
      <c r="AG198" s="239">
        <v>0</v>
      </c>
      <c r="AH198" s="239">
        <v>0</v>
      </c>
      <c r="AI198" s="239">
        <v>0</v>
      </c>
      <c r="AJ198" s="239">
        <v>0</v>
      </c>
      <c r="AK198" s="239">
        <v>417096.02</v>
      </c>
      <c r="AL198" s="239">
        <v>104274.005</v>
      </c>
      <c r="AM198" s="239">
        <v>0</v>
      </c>
      <c r="AN198" s="239">
        <v>382076</v>
      </c>
      <c r="AO198" s="239">
        <v>95520</v>
      </c>
      <c r="AP198" s="239">
        <v>0</v>
      </c>
      <c r="AQ198" s="239">
        <v>35020</v>
      </c>
      <c r="AR198" s="239">
        <v>8754</v>
      </c>
      <c r="AS198" s="239">
        <v>0</v>
      </c>
      <c r="AT198" s="239">
        <v>0</v>
      </c>
      <c r="AU198" s="239">
        <v>0</v>
      </c>
      <c r="AV198" s="239">
        <v>0</v>
      </c>
      <c r="AW198" s="239">
        <v>0</v>
      </c>
      <c r="AX198" s="239">
        <v>0</v>
      </c>
      <c r="AY198" s="239">
        <v>0</v>
      </c>
      <c r="AZ198" s="239">
        <v>0</v>
      </c>
      <c r="BA198" s="239">
        <v>0</v>
      </c>
      <c r="BB198" s="239">
        <v>0</v>
      </c>
      <c r="BC198" s="239">
        <v>24639.359166666669</v>
      </c>
      <c r="BD198" s="239">
        <v>6159.8397916666672</v>
      </c>
      <c r="BE198" s="239">
        <v>0</v>
      </c>
      <c r="BF198" s="239">
        <v>6652</v>
      </c>
      <c r="BG198" s="239">
        <v>1664</v>
      </c>
      <c r="BH198" s="239">
        <v>0</v>
      </c>
      <c r="BI198" s="239">
        <v>17987</v>
      </c>
      <c r="BJ198" s="239">
        <v>4496</v>
      </c>
      <c r="BK198" s="239">
        <v>0</v>
      </c>
      <c r="BL198" s="239">
        <v>2850.979166666667</v>
      </c>
      <c r="BM198" s="239">
        <v>712.74479166666674</v>
      </c>
      <c r="BN198" s="239">
        <v>0</v>
      </c>
      <c r="BO198" s="239">
        <v>9179</v>
      </c>
      <c r="BP198" s="239">
        <v>2294</v>
      </c>
      <c r="BQ198" s="239">
        <v>0</v>
      </c>
      <c r="BR198" s="239">
        <v>-6328</v>
      </c>
      <c r="BS198" s="239">
        <v>-1581</v>
      </c>
      <c r="BT198" s="239">
        <v>0</v>
      </c>
      <c r="BU198" s="239">
        <v>209513.08166666669</v>
      </c>
      <c r="BV198" s="239">
        <v>52378.270416666674</v>
      </c>
      <c r="BW198" s="239">
        <v>0</v>
      </c>
      <c r="BX198" s="239">
        <v>243499</v>
      </c>
      <c r="BY198" s="239">
        <v>60876</v>
      </c>
      <c r="BZ198" s="239">
        <v>0</v>
      </c>
      <c r="CA198" s="239">
        <v>-33986</v>
      </c>
      <c r="CB198" s="239">
        <v>-8498</v>
      </c>
      <c r="CC198" s="239">
        <v>0</v>
      </c>
      <c r="CD198" s="239">
        <v>0</v>
      </c>
      <c r="CE198" s="239">
        <v>0</v>
      </c>
      <c r="CF198" s="239">
        <v>0</v>
      </c>
      <c r="CG198" s="239">
        <v>0</v>
      </c>
      <c r="CH198" s="239">
        <v>0</v>
      </c>
      <c r="CI198" s="239">
        <v>0</v>
      </c>
      <c r="CJ198" s="239">
        <v>0</v>
      </c>
      <c r="CK198" s="239">
        <v>0</v>
      </c>
      <c r="CL198" s="239">
        <v>0</v>
      </c>
      <c r="CM198" s="239">
        <v>1874.1383333333335</v>
      </c>
      <c r="CN198" s="239">
        <v>468.53458333333339</v>
      </c>
      <c r="CO198" s="239">
        <v>0</v>
      </c>
      <c r="CP198" s="239">
        <v>0</v>
      </c>
      <c r="CQ198" s="239">
        <v>0</v>
      </c>
      <c r="CR198" s="239">
        <v>0</v>
      </c>
      <c r="CS198" s="239">
        <v>1874</v>
      </c>
      <c r="CT198" s="239">
        <v>469</v>
      </c>
      <c r="CU198" s="239">
        <v>0</v>
      </c>
      <c r="CV198" s="239">
        <v>194432.29166666666</v>
      </c>
      <c r="CW198" s="239">
        <v>48608.072916666664</v>
      </c>
      <c r="CX198" s="239">
        <v>0</v>
      </c>
      <c r="CY198" s="239">
        <v>201266</v>
      </c>
      <c r="CZ198" s="239">
        <v>50316</v>
      </c>
      <c r="DA198" s="239">
        <v>0</v>
      </c>
      <c r="DB198" s="239">
        <v>-6834</v>
      </c>
      <c r="DC198" s="239">
        <v>-1708</v>
      </c>
      <c r="DD198" s="239">
        <v>0</v>
      </c>
      <c r="DE198" s="214">
        <v>0.5</v>
      </c>
      <c r="DF198" s="214">
        <v>0.4</v>
      </c>
      <c r="DG198" s="214">
        <v>0.1</v>
      </c>
      <c r="DH198" s="214">
        <v>0</v>
      </c>
      <c r="DI198" s="214" t="s">
        <v>1294</v>
      </c>
    </row>
    <row r="199" spans="2:113" s="214" customFormat="1" x14ac:dyDescent="0.2">
      <c r="B199" s="610" t="s">
        <v>481</v>
      </c>
      <c r="C199" s="610" t="s">
        <v>480</v>
      </c>
      <c r="D199" s="239">
        <v>-1046</v>
      </c>
      <c r="E199" s="239">
        <v>0</v>
      </c>
      <c r="F199" s="239">
        <v>-1046</v>
      </c>
      <c r="G199" s="239">
        <v>0</v>
      </c>
      <c r="H199" s="239">
        <v>0</v>
      </c>
      <c r="I199" s="239">
        <v>0</v>
      </c>
      <c r="J199" s="239">
        <v>-1046</v>
      </c>
      <c r="K199" s="239">
        <v>0</v>
      </c>
      <c r="L199" s="239">
        <v>-1046</v>
      </c>
      <c r="M199" s="239">
        <v>56350</v>
      </c>
      <c r="N199" s="239">
        <v>56350</v>
      </c>
      <c r="O199" s="239">
        <v>0</v>
      </c>
      <c r="P199" s="239">
        <v>0</v>
      </c>
      <c r="Q199" s="239">
        <v>0</v>
      </c>
      <c r="R199" s="239">
        <v>0</v>
      </c>
      <c r="S199" s="239">
        <v>0</v>
      </c>
      <c r="T199" s="239">
        <v>0</v>
      </c>
      <c r="U199" s="239">
        <v>0</v>
      </c>
      <c r="V199" s="239">
        <v>0</v>
      </c>
      <c r="W199" s="239">
        <v>0</v>
      </c>
      <c r="X199" s="239">
        <v>0</v>
      </c>
      <c r="Y199" s="239">
        <v>0</v>
      </c>
      <c r="Z199" s="239">
        <v>0</v>
      </c>
      <c r="AA199" s="239">
        <v>0</v>
      </c>
      <c r="AB199" s="239">
        <v>0</v>
      </c>
      <c r="AC199" s="239">
        <v>0</v>
      </c>
      <c r="AD199" s="239">
        <v>0</v>
      </c>
      <c r="AE199" s="239">
        <v>0</v>
      </c>
      <c r="AF199" s="239">
        <v>0</v>
      </c>
      <c r="AG199" s="239">
        <v>0</v>
      </c>
      <c r="AH199" s="239">
        <v>0</v>
      </c>
      <c r="AI199" s="239">
        <v>0</v>
      </c>
      <c r="AJ199" s="239">
        <v>0</v>
      </c>
      <c r="AK199" s="239">
        <v>210045.73791666669</v>
      </c>
      <c r="AL199" s="239">
        <v>47260.291031250003</v>
      </c>
      <c r="AM199" s="239">
        <v>5251.1434479166674</v>
      </c>
      <c r="AN199" s="239">
        <v>196947</v>
      </c>
      <c r="AO199" s="239">
        <v>44312</v>
      </c>
      <c r="AP199" s="239">
        <v>4924</v>
      </c>
      <c r="AQ199" s="239">
        <v>13099</v>
      </c>
      <c r="AR199" s="239">
        <v>2948</v>
      </c>
      <c r="AS199" s="239">
        <v>327</v>
      </c>
      <c r="AT199" s="239">
        <v>2581.5058333333336</v>
      </c>
      <c r="AU199" s="239">
        <v>580.83881250000002</v>
      </c>
      <c r="AV199" s="239">
        <v>64.537645833333329</v>
      </c>
      <c r="AW199" s="239">
        <v>4057</v>
      </c>
      <c r="AX199" s="239">
        <v>914</v>
      </c>
      <c r="AY199" s="239">
        <v>102</v>
      </c>
      <c r="AZ199" s="239">
        <v>-1475</v>
      </c>
      <c r="BA199" s="239">
        <v>-333</v>
      </c>
      <c r="BB199" s="239">
        <v>-37</v>
      </c>
      <c r="BC199" s="239">
        <v>0</v>
      </c>
      <c r="BD199" s="239">
        <v>0</v>
      </c>
      <c r="BE199" s="239">
        <v>0</v>
      </c>
      <c r="BF199" s="239">
        <v>0</v>
      </c>
      <c r="BG199" s="239">
        <v>0</v>
      </c>
      <c r="BH199" s="239">
        <v>0</v>
      </c>
      <c r="BI199" s="239">
        <v>0</v>
      </c>
      <c r="BJ199" s="239">
        <v>0</v>
      </c>
      <c r="BK199" s="239">
        <v>0</v>
      </c>
      <c r="BL199" s="239">
        <v>1931.3608333333334</v>
      </c>
      <c r="BM199" s="239">
        <v>434.55618749999996</v>
      </c>
      <c r="BN199" s="239">
        <v>48.284020833333336</v>
      </c>
      <c r="BO199" s="239">
        <v>4057</v>
      </c>
      <c r="BP199" s="239">
        <v>914</v>
      </c>
      <c r="BQ199" s="239">
        <v>102</v>
      </c>
      <c r="BR199" s="239">
        <v>-2126</v>
      </c>
      <c r="BS199" s="239">
        <v>-479</v>
      </c>
      <c r="BT199" s="239">
        <v>-54</v>
      </c>
      <c r="BU199" s="239">
        <v>100987.16083333334</v>
      </c>
      <c r="BV199" s="239">
        <v>22722.111187499999</v>
      </c>
      <c r="BW199" s="239">
        <v>2524.6790208333332</v>
      </c>
      <c r="BX199" s="239">
        <v>88836</v>
      </c>
      <c r="BY199" s="239">
        <v>19988</v>
      </c>
      <c r="BZ199" s="239">
        <v>2220</v>
      </c>
      <c r="CA199" s="239">
        <v>12151</v>
      </c>
      <c r="CB199" s="239">
        <v>2734</v>
      </c>
      <c r="CC199" s="239">
        <v>305</v>
      </c>
      <c r="CD199" s="239">
        <v>0</v>
      </c>
      <c r="CE199" s="239">
        <v>0</v>
      </c>
      <c r="CF199" s="239">
        <v>0</v>
      </c>
      <c r="CG199" s="239">
        <v>0</v>
      </c>
      <c r="CH199" s="239">
        <v>0</v>
      </c>
      <c r="CI199" s="239">
        <v>0</v>
      </c>
      <c r="CJ199" s="239">
        <v>0</v>
      </c>
      <c r="CK199" s="239">
        <v>0</v>
      </c>
      <c r="CL199" s="239">
        <v>0</v>
      </c>
      <c r="CM199" s="239">
        <v>75.484999999999999</v>
      </c>
      <c r="CN199" s="239">
        <v>16.984124999999999</v>
      </c>
      <c r="CO199" s="239">
        <v>1.8871250000000002</v>
      </c>
      <c r="CP199" s="239">
        <v>0</v>
      </c>
      <c r="CQ199" s="239">
        <v>0</v>
      </c>
      <c r="CR199" s="239">
        <v>0</v>
      </c>
      <c r="CS199" s="239">
        <v>75</v>
      </c>
      <c r="CT199" s="239">
        <v>17</v>
      </c>
      <c r="CU199" s="239">
        <v>2</v>
      </c>
      <c r="CV199" s="239">
        <v>67694.596666666665</v>
      </c>
      <c r="CW199" s="239">
        <v>15231.284249999999</v>
      </c>
      <c r="CX199" s="239">
        <v>1692.3649166666667</v>
      </c>
      <c r="CY199" s="239">
        <v>68984</v>
      </c>
      <c r="CZ199" s="239">
        <v>15521</v>
      </c>
      <c r="DA199" s="239">
        <v>1725</v>
      </c>
      <c r="DB199" s="239">
        <v>-1289</v>
      </c>
      <c r="DC199" s="239">
        <v>-290</v>
      </c>
      <c r="DD199" s="239">
        <v>-33</v>
      </c>
      <c r="DE199" s="214">
        <v>0.5</v>
      </c>
      <c r="DF199" s="214">
        <v>0.4</v>
      </c>
      <c r="DG199" s="214">
        <v>0.09</v>
      </c>
      <c r="DH199" s="214">
        <v>0.01</v>
      </c>
      <c r="DI199" s="214" t="s">
        <v>1294</v>
      </c>
    </row>
    <row r="200" spans="2:113" s="214" customFormat="1" x14ac:dyDescent="0.2">
      <c r="B200" s="610" t="s">
        <v>483</v>
      </c>
      <c r="C200" s="610" t="s">
        <v>482</v>
      </c>
      <c r="D200" s="239">
        <v>605824</v>
      </c>
      <c r="E200" s="239">
        <v>0</v>
      </c>
      <c r="F200" s="239">
        <v>605824</v>
      </c>
      <c r="G200" s="239">
        <v>0</v>
      </c>
      <c r="H200" s="239">
        <v>0</v>
      </c>
      <c r="I200" s="239">
        <v>0</v>
      </c>
      <c r="J200" s="239">
        <v>605824</v>
      </c>
      <c r="K200" s="239">
        <v>0</v>
      </c>
      <c r="L200" s="239">
        <v>605824</v>
      </c>
      <c r="M200" s="239">
        <v>311145</v>
      </c>
      <c r="N200" s="239">
        <v>311145</v>
      </c>
      <c r="O200" s="239">
        <v>0</v>
      </c>
      <c r="P200" s="239">
        <v>0</v>
      </c>
      <c r="Q200" s="239">
        <v>0</v>
      </c>
      <c r="R200" s="239">
        <v>0</v>
      </c>
      <c r="S200" s="239">
        <v>0</v>
      </c>
      <c r="T200" s="239">
        <v>0</v>
      </c>
      <c r="U200" s="239">
        <v>1896</v>
      </c>
      <c r="V200" s="239">
        <v>0</v>
      </c>
      <c r="W200" s="239">
        <v>-1896</v>
      </c>
      <c r="X200" s="239">
        <v>0</v>
      </c>
      <c r="Y200" s="239">
        <v>0</v>
      </c>
      <c r="Z200" s="239">
        <v>0</v>
      </c>
      <c r="AA200" s="239">
        <v>0</v>
      </c>
      <c r="AB200" s="239">
        <v>0</v>
      </c>
      <c r="AC200" s="239">
        <v>0</v>
      </c>
      <c r="AD200" s="239">
        <v>0</v>
      </c>
      <c r="AE200" s="239">
        <v>0</v>
      </c>
      <c r="AF200" s="239">
        <v>0</v>
      </c>
      <c r="AG200" s="239">
        <v>0</v>
      </c>
      <c r="AH200" s="239">
        <v>0</v>
      </c>
      <c r="AI200" s="239">
        <v>0</v>
      </c>
      <c r="AJ200" s="239">
        <v>0</v>
      </c>
      <c r="AK200" s="239">
        <v>1541246.5410416666</v>
      </c>
      <c r="AL200" s="239">
        <v>0</v>
      </c>
      <c r="AM200" s="239">
        <v>31454.011041666665</v>
      </c>
      <c r="AN200" s="239">
        <v>1424765</v>
      </c>
      <c r="AO200" s="239">
        <v>0</v>
      </c>
      <c r="AP200" s="239">
        <v>29076</v>
      </c>
      <c r="AQ200" s="239">
        <v>116482</v>
      </c>
      <c r="AR200" s="239">
        <v>0</v>
      </c>
      <c r="AS200" s="239">
        <v>2378</v>
      </c>
      <c r="AT200" s="239">
        <v>1028.0975833333332</v>
      </c>
      <c r="AU200" s="239">
        <v>0</v>
      </c>
      <c r="AV200" s="239">
        <v>20.981583333333333</v>
      </c>
      <c r="AW200" s="239">
        <v>0</v>
      </c>
      <c r="AX200" s="239">
        <v>0</v>
      </c>
      <c r="AY200" s="239">
        <v>0</v>
      </c>
      <c r="AZ200" s="239">
        <v>1028</v>
      </c>
      <c r="BA200" s="239">
        <v>0</v>
      </c>
      <c r="BB200" s="239">
        <v>21</v>
      </c>
      <c r="BC200" s="239">
        <v>0</v>
      </c>
      <c r="BD200" s="239">
        <v>0</v>
      </c>
      <c r="BE200" s="239">
        <v>0</v>
      </c>
      <c r="BF200" s="239">
        <v>0</v>
      </c>
      <c r="BG200" s="239">
        <v>0</v>
      </c>
      <c r="BH200" s="239">
        <v>0</v>
      </c>
      <c r="BI200" s="239">
        <v>0</v>
      </c>
      <c r="BJ200" s="239">
        <v>0</v>
      </c>
      <c r="BK200" s="239">
        <v>0</v>
      </c>
      <c r="BL200" s="239">
        <v>46727.731166666665</v>
      </c>
      <c r="BM200" s="239">
        <v>0</v>
      </c>
      <c r="BN200" s="239">
        <v>953.62716666666665</v>
      </c>
      <c r="BO200" s="239">
        <v>8705</v>
      </c>
      <c r="BP200" s="239">
        <v>0</v>
      </c>
      <c r="BQ200" s="239">
        <v>178</v>
      </c>
      <c r="BR200" s="239">
        <v>38023</v>
      </c>
      <c r="BS200" s="239">
        <v>0</v>
      </c>
      <c r="BT200" s="239">
        <v>776</v>
      </c>
      <c r="BU200" s="239">
        <v>532856.81283333339</v>
      </c>
      <c r="BV200" s="239">
        <v>0</v>
      </c>
      <c r="BW200" s="239">
        <v>10874.628833333334</v>
      </c>
      <c r="BX200" s="239">
        <v>561929</v>
      </c>
      <c r="BY200" s="239">
        <v>0</v>
      </c>
      <c r="BZ200" s="239">
        <v>11468</v>
      </c>
      <c r="CA200" s="239">
        <v>-29072</v>
      </c>
      <c r="CB200" s="239">
        <v>0</v>
      </c>
      <c r="CC200" s="239">
        <v>-593</v>
      </c>
      <c r="CD200" s="239">
        <v>0</v>
      </c>
      <c r="CE200" s="239">
        <v>0</v>
      </c>
      <c r="CF200" s="239">
        <v>0</v>
      </c>
      <c r="CG200" s="239">
        <v>3738</v>
      </c>
      <c r="CH200" s="239">
        <v>0</v>
      </c>
      <c r="CI200" s="239">
        <v>0</v>
      </c>
      <c r="CJ200" s="239">
        <v>-3738</v>
      </c>
      <c r="CK200" s="239">
        <v>0</v>
      </c>
      <c r="CL200" s="239">
        <v>0</v>
      </c>
      <c r="CM200" s="239">
        <v>4147.1905416666668</v>
      </c>
      <c r="CN200" s="239">
        <v>0</v>
      </c>
      <c r="CO200" s="239">
        <v>84.636541666666673</v>
      </c>
      <c r="CP200" s="239">
        <v>0</v>
      </c>
      <c r="CQ200" s="239">
        <v>0</v>
      </c>
      <c r="CR200" s="239">
        <v>0</v>
      </c>
      <c r="CS200" s="239">
        <v>4147</v>
      </c>
      <c r="CT200" s="239">
        <v>0</v>
      </c>
      <c r="CU200" s="239">
        <v>85</v>
      </c>
      <c r="CV200" s="239">
        <v>388916.88120833336</v>
      </c>
      <c r="CW200" s="239">
        <v>0</v>
      </c>
      <c r="CX200" s="239">
        <v>7937.0792083333336</v>
      </c>
      <c r="CY200" s="239">
        <v>417091</v>
      </c>
      <c r="CZ200" s="239">
        <v>0</v>
      </c>
      <c r="DA200" s="239">
        <v>8511</v>
      </c>
      <c r="DB200" s="239">
        <v>-28174</v>
      </c>
      <c r="DC200" s="239">
        <v>0</v>
      </c>
      <c r="DD200" s="239">
        <v>-574</v>
      </c>
      <c r="DE200" s="214">
        <v>0.5</v>
      </c>
      <c r="DF200" s="214">
        <v>0.49</v>
      </c>
      <c r="DG200" s="214">
        <v>0</v>
      </c>
      <c r="DH200" s="214">
        <v>0.01</v>
      </c>
      <c r="DI200" s="214" t="s">
        <v>1296</v>
      </c>
    </row>
    <row r="201" spans="2:113" s="214" customFormat="1" x14ac:dyDescent="0.2">
      <c r="B201" s="610" t="s">
        <v>485</v>
      </c>
      <c r="C201" s="610" t="s">
        <v>484</v>
      </c>
      <c r="D201" s="239">
        <v>-85179</v>
      </c>
      <c r="E201" s="239">
        <v>0</v>
      </c>
      <c r="F201" s="239">
        <v>-85179</v>
      </c>
      <c r="G201" s="239">
        <v>0</v>
      </c>
      <c r="H201" s="239">
        <v>0</v>
      </c>
      <c r="I201" s="239">
        <v>0</v>
      </c>
      <c r="J201" s="239">
        <v>-85179</v>
      </c>
      <c r="K201" s="239">
        <v>0</v>
      </c>
      <c r="L201" s="239">
        <v>-85179</v>
      </c>
      <c r="M201" s="239">
        <v>219682</v>
      </c>
      <c r="N201" s="239">
        <v>219682</v>
      </c>
      <c r="O201" s="239">
        <v>0</v>
      </c>
      <c r="P201" s="239">
        <v>0</v>
      </c>
      <c r="Q201" s="239">
        <v>0</v>
      </c>
      <c r="R201" s="239">
        <v>0</v>
      </c>
      <c r="S201" s="239">
        <v>21818</v>
      </c>
      <c r="T201" s="239">
        <v>0</v>
      </c>
      <c r="U201" s="239">
        <v>0</v>
      </c>
      <c r="V201" s="239">
        <v>0</v>
      </c>
      <c r="W201" s="239">
        <v>21818</v>
      </c>
      <c r="X201" s="239">
        <v>0</v>
      </c>
      <c r="Y201" s="239">
        <v>0</v>
      </c>
      <c r="Z201" s="239">
        <v>0</v>
      </c>
      <c r="AA201" s="239">
        <v>0</v>
      </c>
      <c r="AB201" s="239">
        <v>0</v>
      </c>
      <c r="AC201" s="239">
        <v>0</v>
      </c>
      <c r="AD201" s="239">
        <v>0</v>
      </c>
      <c r="AE201" s="239">
        <v>0</v>
      </c>
      <c r="AF201" s="239">
        <v>0</v>
      </c>
      <c r="AG201" s="239">
        <v>0</v>
      </c>
      <c r="AH201" s="239">
        <v>0</v>
      </c>
      <c r="AI201" s="239">
        <v>0</v>
      </c>
      <c r="AJ201" s="239">
        <v>0</v>
      </c>
      <c r="AK201" s="239">
        <v>250828.33541666667</v>
      </c>
      <c r="AL201" s="239">
        <v>62707.083854166667</v>
      </c>
      <c r="AM201" s="239">
        <v>0</v>
      </c>
      <c r="AN201" s="239">
        <v>236321</v>
      </c>
      <c r="AO201" s="239">
        <v>59080</v>
      </c>
      <c r="AP201" s="239">
        <v>0</v>
      </c>
      <c r="AQ201" s="239">
        <v>14507</v>
      </c>
      <c r="AR201" s="239">
        <v>3627</v>
      </c>
      <c r="AS201" s="239">
        <v>0</v>
      </c>
      <c r="AT201" s="239">
        <v>26.37916666666667</v>
      </c>
      <c r="AU201" s="239">
        <v>6.5947916666666675</v>
      </c>
      <c r="AV201" s="239">
        <v>0</v>
      </c>
      <c r="AW201" s="239">
        <v>2028</v>
      </c>
      <c r="AX201" s="239">
        <v>508</v>
      </c>
      <c r="AY201" s="239">
        <v>0</v>
      </c>
      <c r="AZ201" s="239">
        <v>-2002</v>
      </c>
      <c r="BA201" s="239">
        <v>-501</v>
      </c>
      <c r="BB201" s="239">
        <v>0</v>
      </c>
      <c r="BC201" s="239">
        <v>13139.260000000002</v>
      </c>
      <c r="BD201" s="239">
        <v>3284.8150000000005</v>
      </c>
      <c r="BE201" s="239">
        <v>0</v>
      </c>
      <c r="BF201" s="239">
        <v>8116</v>
      </c>
      <c r="BG201" s="239">
        <v>2030</v>
      </c>
      <c r="BH201" s="239">
        <v>0</v>
      </c>
      <c r="BI201" s="239">
        <v>5023</v>
      </c>
      <c r="BJ201" s="239">
        <v>1255</v>
      </c>
      <c r="BK201" s="239">
        <v>0</v>
      </c>
      <c r="BL201" s="239">
        <v>42392.1325</v>
      </c>
      <c r="BM201" s="239">
        <v>10598.033125</v>
      </c>
      <c r="BN201" s="239">
        <v>0</v>
      </c>
      <c r="BO201" s="239">
        <v>8116</v>
      </c>
      <c r="BP201" s="239">
        <v>2030</v>
      </c>
      <c r="BQ201" s="239">
        <v>0</v>
      </c>
      <c r="BR201" s="239">
        <v>34276</v>
      </c>
      <c r="BS201" s="239">
        <v>8568</v>
      </c>
      <c r="BT201" s="239">
        <v>0</v>
      </c>
      <c r="BU201" s="239">
        <v>479539.56583333336</v>
      </c>
      <c r="BV201" s="239">
        <v>119884.89145833334</v>
      </c>
      <c r="BW201" s="239">
        <v>0</v>
      </c>
      <c r="BX201" s="239">
        <v>496624</v>
      </c>
      <c r="BY201" s="239">
        <v>124156</v>
      </c>
      <c r="BZ201" s="239">
        <v>0</v>
      </c>
      <c r="CA201" s="239">
        <v>-17084</v>
      </c>
      <c r="CB201" s="239">
        <v>-4271</v>
      </c>
      <c r="CC201" s="239">
        <v>0</v>
      </c>
      <c r="CD201" s="239">
        <v>0</v>
      </c>
      <c r="CE201" s="239">
        <v>0</v>
      </c>
      <c r="CF201" s="239">
        <v>0</v>
      </c>
      <c r="CG201" s="239">
        <v>0</v>
      </c>
      <c r="CH201" s="239">
        <v>0</v>
      </c>
      <c r="CI201" s="239">
        <v>0</v>
      </c>
      <c r="CJ201" s="239">
        <v>0</v>
      </c>
      <c r="CK201" s="239">
        <v>0</v>
      </c>
      <c r="CL201" s="239">
        <v>0</v>
      </c>
      <c r="CM201" s="239">
        <v>7733.9658333333346</v>
      </c>
      <c r="CN201" s="239">
        <v>1933.4914583333336</v>
      </c>
      <c r="CO201" s="239">
        <v>0</v>
      </c>
      <c r="CP201" s="239">
        <v>0</v>
      </c>
      <c r="CQ201" s="239">
        <v>0</v>
      </c>
      <c r="CR201" s="239">
        <v>0</v>
      </c>
      <c r="CS201" s="239">
        <v>7734</v>
      </c>
      <c r="CT201" s="239">
        <v>1933</v>
      </c>
      <c r="CU201" s="239">
        <v>0</v>
      </c>
      <c r="CV201" s="239">
        <v>510245.14333333331</v>
      </c>
      <c r="CW201" s="239">
        <v>127481.74104166665</v>
      </c>
      <c r="CX201" s="239">
        <v>0</v>
      </c>
      <c r="CY201" s="239">
        <v>494948</v>
      </c>
      <c r="CZ201" s="239">
        <v>123737</v>
      </c>
      <c r="DA201" s="239">
        <v>0</v>
      </c>
      <c r="DB201" s="239">
        <v>15297</v>
      </c>
      <c r="DC201" s="239">
        <v>3745</v>
      </c>
      <c r="DD201" s="239">
        <v>0</v>
      </c>
      <c r="DE201" s="214">
        <v>0.5</v>
      </c>
      <c r="DF201" s="214">
        <v>0.4</v>
      </c>
      <c r="DG201" s="214">
        <v>0.1</v>
      </c>
      <c r="DH201" s="214">
        <v>0</v>
      </c>
      <c r="DI201" s="214" t="s">
        <v>1294</v>
      </c>
    </row>
    <row r="202" spans="2:113" s="214" customFormat="1" x14ac:dyDescent="0.2">
      <c r="B202" s="610" t="s">
        <v>487</v>
      </c>
      <c r="C202" s="610" t="s">
        <v>486</v>
      </c>
      <c r="D202" s="239">
        <v>-153171</v>
      </c>
      <c r="E202" s="239">
        <v>0</v>
      </c>
      <c r="F202" s="239">
        <v>-153171</v>
      </c>
      <c r="G202" s="239">
        <v>0</v>
      </c>
      <c r="H202" s="239">
        <v>0</v>
      </c>
      <c r="I202" s="239">
        <v>0</v>
      </c>
      <c r="J202" s="239">
        <v>-153171</v>
      </c>
      <c r="K202" s="239">
        <v>0</v>
      </c>
      <c r="L202" s="239">
        <v>-153171</v>
      </c>
      <c r="M202" s="239">
        <v>136755</v>
      </c>
      <c r="N202" s="239">
        <v>136755</v>
      </c>
      <c r="O202" s="239">
        <v>0</v>
      </c>
      <c r="P202" s="239">
        <v>0</v>
      </c>
      <c r="Q202" s="239">
        <v>0</v>
      </c>
      <c r="R202" s="239">
        <v>0</v>
      </c>
      <c r="S202" s="239">
        <v>0</v>
      </c>
      <c r="T202" s="239">
        <v>0</v>
      </c>
      <c r="U202" s="239">
        <v>0</v>
      </c>
      <c r="V202" s="239">
        <v>0</v>
      </c>
      <c r="W202" s="239">
        <v>0</v>
      </c>
      <c r="X202" s="239">
        <v>0</v>
      </c>
      <c r="Y202" s="239">
        <v>0</v>
      </c>
      <c r="Z202" s="239">
        <v>0</v>
      </c>
      <c r="AA202" s="239">
        <v>0</v>
      </c>
      <c r="AB202" s="239">
        <v>0</v>
      </c>
      <c r="AC202" s="239">
        <v>0</v>
      </c>
      <c r="AD202" s="239">
        <v>0</v>
      </c>
      <c r="AE202" s="239">
        <v>0</v>
      </c>
      <c r="AF202" s="239">
        <v>0</v>
      </c>
      <c r="AG202" s="239">
        <v>0</v>
      </c>
      <c r="AH202" s="239">
        <v>0</v>
      </c>
      <c r="AI202" s="239">
        <v>0</v>
      </c>
      <c r="AJ202" s="239">
        <v>0</v>
      </c>
      <c r="AK202" s="239">
        <v>582377.93541666667</v>
      </c>
      <c r="AL202" s="239">
        <v>131035.03546874999</v>
      </c>
      <c r="AM202" s="239">
        <v>14559.448385416666</v>
      </c>
      <c r="AN202" s="239">
        <v>555210</v>
      </c>
      <c r="AO202" s="239">
        <v>124922</v>
      </c>
      <c r="AP202" s="239">
        <v>13880</v>
      </c>
      <c r="AQ202" s="239">
        <v>27168</v>
      </c>
      <c r="AR202" s="239">
        <v>6113</v>
      </c>
      <c r="AS202" s="239">
        <v>679</v>
      </c>
      <c r="AT202" s="239">
        <v>-122.15583333333336</v>
      </c>
      <c r="AU202" s="239">
        <v>-27.485062499999998</v>
      </c>
      <c r="AV202" s="239">
        <v>-3.0538958333333337</v>
      </c>
      <c r="AW202" s="239">
        <v>0</v>
      </c>
      <c r="AX202" s="239">
        <v>0</v>
      </c>
      <c r="AY202" s="239">
        <v>0</v>
      </c>
      <c r="AZ202" s="239">
        <v>-122</v>
      </c>
      <c r="BA202" s="239">
        <v>-27</v>
      </c>
      <c r="BB202" s="239">
        <v>-3</v>
      </c>
      <c r="BC202" s="239">
        <v>0</v>
      </c>
      <c r="BD202" s="239">
        <v>0</v>
      </c>
      <c r="BE202" s="239">
        <v>0</v>
      </c>
      <c r="BF202" s="239">
        <v>0</v>
      </c>
      <c r="BG202" s="239">
        <v>0</v>
      </c>
      <c r="BH202" s="239">
        <v>0</v>
      </c>
      <c r="BI202" s="239">
        <v>0</v>
      </c>
      <c r="BJ202" s="239">
        <v>0</v>
      </c>
      <c r="BK202" s="239">
        <v>0</v>
      </c>
      <c r="BL202" s="239">
        <v>1982.4958333333334</v>
      </c>
      <c r="BM202" s="239">
        <v>446.06156249999998</v>
      </c>
      <c r="BN202" s="239">
        <v>49.562395833333333</v>
      </c>
      <c r="BO202" s="239">
        <v>0</v>
      </c>
      <c r="BP202" s="239">
        <v>0</v>
      </c>
      <c r="BQ202" s="239">
        <v>0</v>
      </c>
      <c r="BR202" s="239">
        <v>1982</v>
      </c>
      <c r="BS202" s="239">
        <v>446</v>
      </c>
      <c r="BT202" s="239">
        <v>50</v>
      </c>
      <c r="BU202" s="239">
        <v>139338.41083333333</v>
      </c>
      <c r="BV202" s="239">
        <v>31351.142437499995</v>
      </c>
      <c r="BW202" s="239">
        <v>3483.4602708333332</v>
      </c>
      <c r="BX202" s="239">
        <v>142545</v>
      </c>
      <c r="BY202" s="239">
        <v>32072</v>
      </c>
      <c r="BZ202" s="239">
        <v>3564</v>
      </c>
      <c r="CA202" s="239">
        <v>-3207</v>
      </c>
      <c r="CB202" s="239">
        <v>-721</v>
      </c>
      <c r="CC202" s="239">
        <v>-81</v>
      </c>
      <c r="CD202" s="239">
        <v>7063.9350000000013</v>
      </c>
      <c r="CE202" s="239">
        <v>1589.3853750000001</v>
      </c>
      <c r="CF202" s="239">
        <v>176.598375</v>
      </c>
      <c r="CG202" s="239">
        <v>38626</v>
      </c>
      <c r="CH202" s="239">
        <v>0</v>
      </c>
      <c r="CI202" s="239">
        <v>0</v>
      </c>
      <c r="CJ202" s="239">
        <v>-31562</v>
      </c>
      <c r="CK202" s="239">
        <v>1589</v>
      </c>
      <c r="CL202" s="239">
        <v>177</v>
      </c>
      <c r="CM202" s="239">
        <v>0</v>
      </c>
      <c r="CN202" s="239">
        <v>0</v>
      </c>
      <c r="CO202" s="239">
        <v>0</v>
      </c>
      <c r="CP202" s="239">
        <v>0</v>
      </c>
      <c r="CQ202" s="239">
        <v>0</v>
      </c>
      <c r="CR202" s="239">
        <v>0</v>
      </c>
      <c r="CS202" s="239">
        <v>0</v>
      </c>
      <c r="CT202" s="239">
        <v>0</v>
      </c>
      <c r="CU202" s="239">
        <v>0</v>
      </c>
      <c r="CV202" s="239">
        <v>98798.425833333327</v>
      </c>
      <c r="CW202" s="239">
        <v>22229.645812499995</v>
      </c>
      <c r="CX202" s="239">
        <v>2469.9606458333337</v>
      </c>
      <c r="CY202" s="239">
        <v>112735</v>
      </c>
      <c r="CZ202" s="239">
        <v>25365</v>
      </c>
      <c r="DA202" s="239">
        <v>2818</v>
      </c>
      <c r="DB202" s="239">
        <v>-13937</v>
      </c>
      <c r="DC202" s="239">
        <v>-3135</v>
      </c>
      <c r="DD202" s="239">
        <v>-348</v>
      </c>
      <c r="DE202" s="214">
        <v>0.5</v>
      </c>
      <c r="DF202" s="214">
        <v>0.4</v>
      </c>
      <c r="DG202" s="214">
        <v>0.09</v>
      </c>
      <c r="DH202" s="214">
        <v>0.01</v>
      </c>
      <c r="DI202" s="214" t="s">
        <v>1294</v>
      </c>
    </row>
    <row r="203" spans="2:113" s="214" customFormat="1" x14ac:dyDescent="0.2">
      <c r="B203" s="610" t="s">
        <v>489</v>
      </c>
      <c r="C203" s="610" t="s">
        <v>488</v>
      </c>
      <c r="D203" s="239">
        <v>-4838315</v>
      </c>
      <c r="E203" s="239">
        <v>0</v>
      </c>
      <c r="F203" s="239">
        <v>-4838315</v>
      </c>
      <c r="G203" s="239">
        <v>0</v>
      </c>
      <c r="H203" s="239">
        <v>0</v>
      </c>
      <c r="I203" s="239">
        <v>0</v>
      </c>
      <c r="J203" s="239">
        <v>-4838315</v>
      </c>
      <c r="K203" s="239">
        <v>0</v>
      </c>
      <c r="L203" s="239">
        <v>-4838315</v>
      </c>
      <c r="M203" s="239">
        <v>274992</v>
      </c>
      <c r="N203" s="239">
        <v>274992</v>
      </c>
      <c r="O203" s="239">
        <v>0</v>
      </c>
      <c r="P203" s="239">
        <v>0</v>
      </c>
      <c r="Q203" s="239">
        <v>0</v>
      </c>
      <c r="R203" s="239">
        <v>0</v>
      </c>
      <c r="S203" s="239">
        <v>20815</v>
      </c>
      <c r="T203" s="239">
        <v>0</v>
      </c>
      <c r="U203" s="239">
        <v>40000</v>
      </c>
      <c r="V203" s="239">
        <v>0</v>
      </c>
      <c r="W203" s="239">
        <v>-19185</v>
      </c>
      <c r="X203" s="239">
        <v>0</v>
      </c>
      <c r="Y203" s="239">
        <v>0</v>
      </c>
      <c r="Z203" s="239">
        <v>0</v>
      </c>
      <c r="AA203" s="239">
        <v>0</v>
      </c>
      <c r="AB203" s="239">
        <v>0</v>
      </c>
      <c r="AC203" s="239">
        <v>0</v>
      </c>
      <c r="AD203" s="239">
        <v>0</v>
      </c>
      <c r="AE203" s="239">
        <v>0</v>
      </c>
      <c r="AF203" s="239">
        <v>0</v>
      </c>
      <c r="AG203" s="239">
        <v>0</v>
      </c>
      <c r="AH203" s="239">
        <v>0</v>
      </c>
      <c r="AI203" s="239">
        <v>0</v>
      </c>
      <c r="AJ203" s="239">
        <v>0</v>
      </c>
      <c r="AK203" s="239">
        <v>814916.47854166676</v>
      </c>
      <c r="AL203" s="239">
        <v>0</v>
      </c>
      <c r="AM203" s="239">
        <v>16630.948541666668</v>
      </c>
      <c r="AN203" s="239">
        <v>760245</v>
      </c>
      <c r="AO203" s="239">
        <v>0</v>
      </c>
      <c r="AP203" s="239">
        <v>15516</v>
      </c>
      <c r="AQ203" s="239">
        <v>54671</v>
      </c>
      <c r="AR203" s="239">
        <v>0</v>
      </c>
      <c r="AS203" s="239">
        <v>1115</v>
      </c>
      <c r="AT203" s="239">
        <v>9654.5720833333326</v>
      </c>
      <c r="AU203" s="239">
        <v>0</v>
      </c>
      <c r="AV203" s="239">
        <v>197.03208333333333</v>
      </c>
      <c r="AW203" s="239">
        <v>0</v>
      </c>
      <c r="AX203" s="239">
        <v>0</v>
      </c>
      <c r="AY203" s="239">
        <v>0</v>
      </c>
      <c r="AZ203" s="239">
        <v>9655</v>
      </c>
      <c r="BA203" s="239">
        <v>0</v>
      </c>
      <c r="BB203" s="239">
        <v>197</v>
      </c>
      <c r="BC203" s="239">
        <v>0</v>
      </c>
      <c r="BD203" s="239">
        <v>0</v>
      </c>
      <c r="BE203" s="239">
        <v>0</v>
      </c>
      <c r="BF203" s="239">
        <v>0</v>
      </c>
      <c r="BG203" s="239">
        <v>0</v>
      </c>
      <c r="BH203" s="239">
        <v>0</v>
      </c>
      <c r="BI203" s="239">
        <v>0</v>
      </c>
      <c r="BJ203" s="239">
        <v>0</v>
      </c>
      <c r="BK203" s="239">
        <v>0</v>
      </c>
      <c r="BL203" s="239">
        <v>19628.808937499998</v>
      </c>
      <c r="BM203" s="239">
        <v>0</v>
      </c>
      <c r="BN203" s="239">
        <v>400.58793749999995</v>
      </c>
      <c r="BO203" s="239">
        <v>8087</v>
      </c>
      <c r="BP203" s="239">
        <v>0</v>
      </c>
      <c r="BQ203" s="239">
        <v>166</v>
      </c>
      <c r="BR203" s="239">
        <v>11542</v>
      </c>
      <c r="BS203" s="239">
        <v>0</v>
      </c>
      <c r="BT203" s="239">
        <v>235</v>
      </c>
      <c r="BU203" s="239">
        <v>443499.82075000001</v>
      </c>
      <c r="BV203" s="239">
        <v>0</v>
      </c>
      <c r="BW203" s="239">
        <v>9051.0167500000007</v>
      </c>
      <c r="BX203" s="239">
        <v>485080</v>
      </c>
      <c r="BY203" s="239">
        <v>0</v>
      </c>
      <c r="BZ203" s="239">
        <v>9900</v>
      </c>
      <c r="CA203" s="239">
        <v>-41580</v>
      </c>
      <c r="CB203" s="239">
        <v>0</v>
      </c>
      <c r="CC203" s="239">
        <v>-849</v>
      </c>
      <c r="CD203" s="239">
        <v>0</v>
      </c>
      <c r="CE203" s="239">
        <v>0</v>
      </c>
      <c r="CF203" s="239">
        <v>0</v>
      </c>
      <c r="CG203" s="239">
        <v>0</v>
      </c>
      <c r="CH203" s="239">
        <v>0</v>
      </c>
      <c r="CI203" s="239">
        <v>0</v>
      </c>
      <c r="CJ203" s="239">
        <v>0</v>
      </c>
      <c r="CK203" s="239">
        <v>0</v>
      </c>
      <c r="CL203" s="239">
        <v>0</v>
      </c>
      <c r="CM203" s="239">
        <v>8844.7215208333328</v>
      </c>
      <c r="CN203" s="239">
        <v>0</v>
      </c>
      <c r="CO203" s="239">
        <v>180.50452083333334</v>
      </c>
      <c r="CP203" s="239">
        <v>0</v>
      </c>
      <c r="CQ203" s="239">
        <v>0</v>
      </c>
      <c r="CR203" s="239">
        <v>0</v>
      </c>
      <c r="CS203" s="239">
        <v>8845</v>
      </c>
      <c r="CT203" s="239">
        <v>0</v>
      </c>
      <c r="CU203" s="239">
        <v>181</v>
      </c>
      <c r="CV203" s="239">
        <v>687466.95091666665</v>
      </c>
      <c r="CW203" s="239">
        <v>0</v>
      </c>
      <c r="CX203" s="239">
        <v>14023.742833333334</v>
      </c>
      <c r="CY203" s="239">
        <v>687877</v>
      </c>
      <c r="CZ203" s="239">
        <v>0</v>
      </c>
      <c r="DA203" s="239">
        <v>14026</v>
      </c>
      <c r="DB203" s="239">
        <v>-410</v>
      </c>
      <c r="DC203" s="239">
        <v>0</v>
      </c>
      <c r="DD203" s="239">
        <v>-2</v>
      </c>
      <c r="DE203" s="214">
        <v>0.5</v>
      </c>
      <c r="DF203" s="214">
        <v>0.49</v>
      </c>
      <c r="DG203" s="214">
        <v>0</v>
      </c>
      <c r="DH203" s="214">
        <v>0.01</v>
      </c>
      <c r="DI203" s="214" t="s">
        <v>748</v>
      </c>
    </row>
    <row r="204" spans="2:113" s="214" customFormat="1" x14ac:dyDescent="0.2">
      <c r="B204" s="610" t="s">
        <v>491</v>
      </c>
      <c r="C204" s="610" t="s">
        <v>490</v>
      </c>
      <c r="D204" s="239">
        <v>178329</v>
      </c>
      <c r="E204" s="239">
        <v>0</v>
      </c>
      <c r="F204" s="239">
        <v>178329</v>
      </c>
      <c r="G204" s="239">
        <v>0</v>
      </c>
      <c r="H204" s="239">
        <v>0</v>
      </c>
      <c r="I204" s="239">
        <v>0</v>
      </c>
      <c r="J204" s="239">
        <v>178329</v>
      </c>
      <c r="K204" s="239">
        <v>0</v>
      </c>
      <c r="L204" s="239">
        <v>178329</v>
      </c>
      <c r="M204" s="239">
        <v>312349</v>
      </c>
      <c r="N204" s="239">
        <v>312349</v>
      </c>
      <c r="O204" s="239">
        <v>0</v>
      </c>
      <c r="P204" s="239">
        <v>0</v>
      </c>
      <c r="Q204" s="239">
        <v>0</v>
      </c>
      <c r="R204" s="239">
        <v>0</v>
      </c>
      <c r="S204" s="239">
        <v>101951</v>
      </c>
      <c r="T204" s="239">
        <v>0</v>
      </c>
      <c r="U204" s="239">
        <v>1282000</v>
      </c>
      <c r="V204" s="239">
        <v>0</v>
      </c>
      <c r="W204" s="239">
        <v>-1180049</v>
      </c>
      <c r="X204" s="239">
        <v>0</v>
      </c>
      <c r="Y204" s="239">
        <v>0</v>
      </c>
      <c r="Z204" s="239">
        <v>0</v>
      </c>
      <c r="AA204" s="239">
        <v>0</v>
      </c>
      <c r="AB204" s="239">
        <v>0</v>
      </c>
      <c r="AC204" s="239">
        <v>0</v>
      </c>
      <c r="AD204" s="239">
        <v>0</v>
      </c>
      <c r="AE204" s="239">
        <v>0</v>
      </c>
      <c r="AF204" s="239">
        <v>0</v>
      </c>
      <c r="AG204" s="239">
        <v>0</v>
      </c>
      <c r="AH204" s="239">
        <v>0</v>
      </c>
      <c r="AI204" s="239">
        <v>0</v>
      </c>
      <c r="AJ204" s="239">
        <v>0</v>
      </c>
      <c r="AK204" s="239">
        <v>1165375.7051562502</v>
      </c>
      <c r="AL204" s="239">
        <v>0</v>
      </c>
      <c r="AM204" s="239">
        <v>23783.177656250002</v>
      </c>
      <c r="AN204" s="239">
        <v>1090218</v>
      </c>
      <c r="AO204" s="239">
        <v>0</v>
      </c>
      <c r="AP204" s="239">
        <v>22250</v>
      </c>
      <c r="AQ204" s="239">
        <v>75158</v>
      </c>
      <c r="AR204" s="239">
        <v>0</v>
      </c>
      <c r="AS204" s="239">
        <v>1533</v>
      </c>
      <c r="AT204" s="239">
        <v>9810.675874999999</v>
      </c>
      <c r="AU204" s="239">
        <v>0</v>
      </c>
      <c r="AV204" s="239">
        <v>200.21787499999999</v>
      </c>
      <c r="AW204" s="239">
        <v>6332</v>
      </c>
      <c r="AX204" s="239">
        <v>0</v>
      </c>
      <c r="AY204" s="239">
        <v>130</v>
      </c>
      <c r="AZ204" s="239">
        <v>3479</v>
      </c>
      <c r="BA204" s="239">
        <v>0</v>
      </c>
      <c r="BB204" s="239">
        <v>70</v>
      </c>
      <c r="BC204" s="239">
        <v>59284.640625</v>
      </c>
      <c r="BD204" s="239">
        <v>0</v>
      </c>
      <c r="BE204" s="239">
        <v>1209.890625</v>
      </c>
      <c r="BF204" s="239">
        <v>0</v>
      </c>
      <c r="BG204" s="239">
        <v>0</v>
      </c>
      <c r="BH204" s="239">
        <v>0</v>
      </c>
      <c r="BI204" s="239">
        <v>59285</v>
      </c>
      <c r="BJ204" s="239">
        <v>0</v>
      </c>
      <c r="BK204" s="239">
        <v>1210</v>
      </c>
      <c r="BL204" s="239">
        <v>97755.276645833335</v>
      </c>
      <c r="BM204" s="239">
        <v>0</v>
      </c>
      <c r="BN204" s="239">
        <v>1995.0056458333333</v>
      </c>
      <c r="BO204" s="239">
        <v>12494</v>
      </c>
      <c r="BP204" s="239">
        <v>0</v>
      </c>
      <c r="BQ204" s="239">
        <v>256</v>
      </c>
      <c r="BR204" s="239">
        <v>85261</v>
      </c>
      <c r="BS204" s="239">
        <v>0</v>
      </c>
      <c r="BT204" s="239">
        <v>1739</v>
      </c>
      <c r="BU204" s="239">
        <v>662075.45497916662</v>
      </c>
      <c r="BV204" s="239">
        <v>0</v>
      </c>
      <c r="BW204" s="239">
        <v>13511.743979166666</v>
      </c>
      <c r="BX204" s="239">
        <v>445047</v>
      </c>
      <c r="BY204" s="239">
        <v>0</v>
      </c>
      <c r="BZ204" s="239">
        <v>9082</v>
      </c>
      <c r="CA204" s="239">
        <v>217028</v>
      </c>
      <c r="CB204" s="239">
        <v>0</v>
      </c>
      <c r="CC204" s="239">
        <v>4430</v>
      </c>
      <c r="CD204" s="239">
        <v>0</v>
      </c>
      <c r="CE204" s="239">
        <v>0</v>
      </c>
      <c r="CF204" s="239">
        <v>0</v>
      </c>
      <c r="CG204" s="239">
        <v>0</v>
      </c>
      <c r="CH204" s="239">
        <v>0</v>
      </c>
      <c r="CI204" s="239">
        <v>0</v>
      </c>
      <c r="CJ204" s="239">
        <v>0</v>
      </c>
      <c r="CK204" s="239">
        <v>0</v>
      </c>
      <c r="CL204" s="239">
        <v>0</v>
      </c>
      <c r="CM204" s="239">
        <v>-30414.884937499999</v>
      </c>
      <c r="CN204" s="239">
        <v>0</v>
      </c>
      <c r="CO204" s="239">
        <v>-620.71193749999998</v>
      </c>
      <c r="CP204" s="239">
        <v>0</v>
      </c>
      <c r="CQ204" s="239">
        <v>0</v>
      </c>
      <c r="CR204" s="239">
        <v>0</v>
      </c>
      <c r="CS204" s="239">
        <v>-30415</v>
      </c>
      <c r="CT204" s="239">
        <v>0</v>
      </c>
      <c r="CU204" s="239">
        <v>-621</v>
      </c>
      <c r="CV204" s="239">
        <v>621091.2392708332</v>
      </c>
      <c r="CW204" s="239">
        <v>0</v>
      </c>
      <c r="CX204" s="239">
        <v>12644.988854166668</v>
      </c>
      <c r="CY204" s="239">
        <v>667401</v>
      </c>
      <c r="CZ204" s="239">
        <v>0</v>
      </c>
      <c r="DA204" s="239">
        <v>13239</v>
      </c>
      <c r="DB204" s="239">
        <v>-46310</v>
      </c>
      <c r="DC204" s="239">
        <v>0</v>
      </c>
      <c r="DD204" s="239">
        <v>-594</v>
      </c>
      <c r="DE204" s="214">
        <v>0.5</v>
      </c>
      <c r="DF204" s="214">
        <v>0.49</v>
      </c>
      <c r="DG204" s="214">
        <v>0</v>
      </c>
      <c r="DH204" s="214">
        <v>0.01</v>
      </c>
      <c r="DI204" s="214" t="s">
        <v>748</v>
      </c>
    </row>
    <row r="205" spans="2:113" s="214" customFormat="1" x14ac:dyDescent="0.2">
      <c r="B205" s="610" t="s">
        <v>493</v>
      </c>
      <c r="C205" s="610" t="s">
        <v>492</v>
      </c>
      <c r="D205" s="239">
        <v>-92407</v>
      </c>
      <c r="E205" s="239">
        <v>0</v>
      </c>
      <c r="F205" s="239">
        <v>-92407</v>
      </c>
      <c r="G205" s="239">
        <v>0</v>
      </c>
      <c r="H205" s="239">
        <v>0</v>
      </c>
      <c r="I205" s="239">
        <v>0</v>
      </c>
      <c r="J205" s="239">
        <v>-92407</v>
      </c>
      <c r="K205" s="239">
        <v>0</v>
      </c>
      <c r="L205" s="239">
        <v>-92407</v>
      </c>
      <c r="M205" s="239">
        <v>236916</v>
      </c>
      <c r="N205" s="239">
        <v>236916</v>
      </c>
      <c r="O205" s="239">
        <v>0</v>
      </c>
      <c r="P205" s="239">
        <v>0</v>
      </c>
      <c r="Q205" s="239">
        <v>0</v>
      </c>
      <c r="R205" s="239">
        <v>0</v>
      </c>
      <c r="S205" s="239">
        <v>0</v>
      </c>
      <c r="T205" s="239">
        <v>0</v>
      </c>
      <c r="U205" s="239">
        <v>0</v>
      </c>
      <c r="V205" s="239">
        <v>0</v>
      </c>
      <c r="W205" s="239">
        <v>0</v>
      </c>
      <c r="X205" s="239">
        <v>0</v>
      </c>
      <c r="Y205" s="239">
        <v>0</v>
      </c>
      <c r="Z205" s="239">
        <v>0</v>
      </c>
      <c r="AA205" s="239">
        <v>0</v>
      </c>
      <c r="AB205" s="239">
        <v>0</v>
      </c>
      <c r="AC205" s="239">
        <v>0</v>
      </c>
      <c r="AD205" s="239">
        <v>0</v>
      </c>
      <c r="AE205" s="239">
        <v>0</v>
      </c>
      <c r="AF205" s="239">
        <v>0</v>
      </c>
      <c r="AG205" s="239">
        <v>0</v>
      </c>
      <c r="AH205" s="239">
        <v>0</v>
      </c>
      <c r="AI205" s="239">
        <v>0</v>
      </c>
      <c r="AJ205" s="239">
        <v>0</v>
      </c>
      <c r="AK205" s="239">
        <v>798942.93434374989</v>
      </c>
      <c r="AL205" s="239">
        <v>0</v>
      </c>
      <c r="AM205" s="239">
        <v>16304.957843749999</v>
      </c>
      <c r="AN205" s="239">
        <v>748036</v>
      </c>
      <c r="AO205" s="239">
        <v>0</v>
      </c>
      <c r="AP205" s="239">
        <v>15266</v>
      </c>
      <c r="AQ205" s="239">
        <v>50907</v>
      </c>
      <c r="AR205" s="239">
        <v>0</v>
      </c>
      <c r="AS205" s="239">
        <v>1039</v>
      </c>
      <c r="AT205" s="239">
        <v>0</v>
      </c>
      <c r="AU205" s="239">
        <v>0</v>
      </c>
      <c r="AV205" s="239">
        <v>0</v>
      </c>
      <c r="AW205" s="239">
        <v>0</v>
      </c>
      <c r="AX205" s="239">
        <v>0</v>
      </c>
      <c r="AY205" s="239">
        <v>0</v>
      </c>
      <c r="AZ205" s="239">
        <v>0</v>
      </c>
      <c r="BA205" s="239">
        <v>0</v>
      </c>
      <c r="BB205" s="239">
        <v>0</v>
      </c>
      <c r="BC205" s="239">
        <v>0</v>
      </c>
      <c r="BD205" s="239">
        <v>0</v>
      </c>
      <c r="BE205" s="239">
        <v>0</v>
      </c>
      <c r="BF205" s="239">
        <v>0</v>
      </c>
      <c r="BG205" s="239">
        <v>0</v>
      </c>
      <c r="BH205" s="239">
        <v>0</v>
      </c>
      <c r="BI205" s="239">
        <v>0</v>
      </c>
      <c r="BJ205" s="239">
        <v>0</v>
      </c>
      <c r="BK205" s="239">
        <v>0</v>
      </c>
      <c r="BL205" s="239">
        <v>14212.405083333335</v>
      </c>
      <c r="BM205" s="239">
        <v>0</v>
      </c>
      <c r="BN205" s="239">
        <v>290.04908333333333</v>
      </c>
      <c r="BO205" s="239">
        <v>0</v>
      </c>
      <c r="BP205" s="239">
        <v>0</v>
      </c>
      <c r="BQ205" s="239">
        <v>0</v>
      </c>
      <c r="BR205" s="239">
        <v>14212</v>
      </c>
      <c r="BS205" s="239">
        <v>0</v>
      </c>
      <c r="BT205" s="239">
        <v>290</v>
      </c>
      <c r="BU205" s="239">
        <v>459475.10495833337</v>
      </c>
      <c r="BV205" s="239">
        <v>0</v>
      </c>
      <c r="BW205" s="239">
        <v>9377.0429583333334</v>
      </c>
      <c r="BX205" s="239">
        <v>350740</v>
      </c>
      <c r="BY205" s="239">
        <v>0</v>
      </c>
      <c r="BZ205" s="239">
        <v>7158</v>
      </c>
      <c r="CA205" s="239">
        <v>108735</v>
      </c>
      <c r="CB205" s="239">
        <v>0</v>
      </c>
      <c r="CC205" s="239">
        <v>2219</v>
      </c>
      <c r="CD205" s="239">
        <v>0</v>
      </c>
      <c r="CE205" s="239">
        <v>0</v>
      </c>
      <c r="CF205" s="239">
        <v>0</v>
      </c>
      <c r="CG205" s="239">
        <v>0</v>
      </c>
      <c r="CH205" s="239">
        <v>0</v>
      </c>
      <c r="CI205" s="239">
        <v>0</v>
      </c>
      <c r="CJ205" s="239">
        <v>0</v>
      </c>
      <c r="CK205" s="239">
        <v>0</v>
      </c>
      <c r="CL205" s="239">
        <v>0</v>
      </c>
      <c r="CM205" s="239">
        <v>6421.6327291666666</v>
      </c>
      <c r="CN205" s="239">
        <v>0</v>
      </c>
      <c r="CO205" s="239">
        <v>131.05372916666667</v>
      </c>
      <c r="CP205" s="239">
        <v>0</v>
      </c>
      <c r="CQ205" s="239">
        <v>0</v>
      </c>
      <c r="CR205" s="239">
        <v>0</v>
      </c>
      <c r="CS205" s="239">
        <v>6422</v>
      </c>
      <c r="CT205" s="239">
        <v>0</v>
      </c>
      <c r="CU205" s="239">
        <v>131</v>
      </c>
      <c r="CV205" s="239">
        <v>427146.83943749993</v>
      </c>
      <c r="CW205" s="239">
        <v>0</v>
      </c>
      <c r="CX205" s="239">
        <v>8717.2824375</v>
      </c>
      <c r="CY205" s="239">
        <v>422982</v>
      </c>
      <c r="CZ205" s="239">
        <v>0</v>
      </c>
      <c r="DA205" s="239">
        <v>8632</v>
      </c>
      <c r="DB205" s="239">
        <v>4165</v>
      </c>
      <c r="DC205" s="239">
        <v>0</v>
      </c>
      <c r="DD205" s="239">
        <v>85</v>
      </c>
      <c r="DE205" s="214">
        <v>0.5</v>
      </c>
      <c r="DF205" s="214">
        <v>0.49</v>
      </c>
      <c r="DG205" s="214">
        <v>0</v>
      </c>
      <c r="DH205" s="214">
        <v>0.01</v>
      </c>
      <c r="DI205" s="214" t="s">
        <v>748</v>
      </c>
    </row>
    <row r="206" spans="2:113" s="214" customFormat="1" x14ac:dyDescent="0.2">
      <c r="B206" s="610" t="s">
        <v>495</v>
      </c>
      <c r="C206" s="610" t="s">
        <v>494</v>
      </c>
      <c r="D206" s="239">
        <v>478368</v>
      </c>
      <c r="E206" s="239">
        <v>0</v>
      </c>
      <c r="F206" s="239">
        <v>478368</v>
      </c>
      <c r="G206" s="239">
        <v>0</v>
      </c>
      <c r="H206" s="239">
        <v>0</v>
      </c>
      <c r="I206" s="239">
        <v>0</v>
      </c>
      <c r="J206" s="239">
        <v>478368</v>
      </c>
      <c r="K206" s="239">
        <v>0</v>
      </c>
      <c r="L206" s="239">
        <v>478368</v>
      </c>
      <c r="M206" s="239">
        <v>277975</v>
      </c>
      <c r="N206" s="239">
        <v>277975</v>
      </c>
      <c r="O206" s="239">
        <v>0</v>
      </c>
      <c r="P206" s="239">
        <v>0</v>
      </c>
      <c r="Q206" s="239">
        <v>0</v>
      </c>
      <c r="R206" s="239">
        <v>0</v>
      </c>
      <c r="S206" s="239">
        <v>0</v>
      </c>
      <c r="T206" s="239">
        <v>0</v>
      </c>
      <c r="U206" s="239">
        <v>0</v>
      </c>
      <c r="V206" s="239">
        <v>0</v>
      </c>
      <c r="W206" s="239">
        <v>0</v>
      </c>
      <c r="X206" s="239">
        <v>0</v>
      </c>
      <c r="Y206" s="239">
        <v>0</v>
      </c>
      <c r="Z206" s="239">
        <v>0</v>
      </c>
      <c r="AA206" s="239">
        <v>0</v>
      </c>
      <c r="AB206" s="239">
        <v>0</v>
      </c>
      <c r="AC206" s="239">
        <v>0</v>
      </c>
      <c r="AD206" s="239">
        <v>0</v>
      </c>
      <c r="AE206" s="239">
        <v>0</v>
      </c>
      <c r="AF206" s="239">
        <v>0</v>
      </c>
      <c r="AG206" s="239">
        <v>0</v>
      </c>
      <c r="AH206" s="239">
        <v>0</v>
      </c>
      <c r="AI206" s="239">
        <v>0</v>
      </c>
      <c r="AJ206" s="239">
        <v>0</v>
      </c>
      <c r="AK206" s="239">
        <v>926712.14781250001</v>
      </c>
      <c r="AL206" s="239">
        <v>0</v>
      </c>
      <c r="AM206" s="239">
        <v>18912.492812500001</v>
      </c>
      <c r="AN206" s="239">
        <v>902200</v>
      </c>
      <c r="AO206" s="239">
        <v>0</v>
      </c>
      <c r="AP206" s="239">
        <v>18412</v>
      </c>
      <c r="AQ206" s="239">
        <v>24512</v>
      </c>
      <c r="AR206" s="239">
        <v>0</v>
      </c>
      <c r="AS206" s="239">
        <v>500</v>
      </c>
      <c r="AT206" s="239">
        <v>19009.365229166666</v>
      </c>
      <c r="AU206" s="239">
        <v>0</v>
      </c>
      <c r="AV206" s="239">
        <v>387.94622916666663</v>
      </c>
      <c r="AW206" s="239">
        <v>0</v>
      </c>
      <c r="AX206" s="239">
        <v>0</v>
      </c>
      <c r="AY206" s="239">
        <v>0</v>
      </c>
      <c r="AZ206" s="239">
        <v>19009</v>
      </c>
      <c r="BA206" s="239">
        <v>0</v>
      </c>
      <c r="BB206" s="239">
        <v>388</v>
      </c>
      <c r="BC206" s="239">
        <v>0</v>
      </c>
      <c r="BD206" s="239">
        <v>0</v>
      </c>
      <c r="BE206" s="239">
        <v>0</v>
      </c>
      <c r="BF206" s="239">
        <v>995</v>
      </c>
      <c r="BG206" s="239">
        <v>0</v>
      </c>
      <c r="BH206" s="239">
        <v>20</v>
      </c>
      <c r="BI206" s="239">
        <v>-995</v>
      </c>
      <c r="BJ206" s="239">
        <v>0</v>
      </c>
      <c r="BK206" s="239">
        <v>-20</v>
      </c>
      <c r="BL206" s="239">
        <v>26104.630562499999</v>
      </c>
      <c r="BM206" s="239">
        <v>0</v>
      </c>
      <c r="BN206" s="239">
        <v>532.74756249999996</v>
      </c>
      <c r="BO206" s="239">
        <v>4971</v>
      </c>
      <c r="BP206" s="239">
        <v>0</v>
      </c>
      <c r="BQ206" s="239">
        <v>102</v>
      </c>
      <c r="BR206" s="239">
        <v>21134</v>
      </c>
      <c r="BS206" s="239">
        <v>0</v>
      </c>
      <c r="BT206" s="239">
        <v>431</v>
      </c>
      <c r="BU206" s="239">
        <v>576786.60724999988</v>
      </c>
      <c r="BV206" s="239">
        <v>0</v>
      </c>
      <c r="BW206" s="239">
        <v>11771.155249999998</v>
      </c>
      <c r="BX206" s="239">
        <v>571072</v>
      </c>
      <c r="BY206" s="239">
        <v>0</v>
      </c>
      <c r="BZ206" s="239">
        <v>11654</v>
      </c>
      <c r="CA206" s="239">
        <v>5715</v>
      </c>
      <c r="CB206" s="239">
        <v>0</v>
      </c>
      <c r="CC206" s="239">
        <v>117</v>
      </c>
      <c r="CD206" s="239">
        <v>0</v>
      </c>
      <c r="CE206" s="239">
        <v>0</v>
      </c>
      <c r="CF206" s="239">
        <v>0</v>
      </c>
      <c r="CG206" s="239">
        <v>0</v>
      </c>
      <c r="CH206" s="239">
        <v>0</v>
      </c>
      <c r="CI206" s="239">
        <v>0</v>
      </c>
      <c r="CJ206" s="239">
        <v>0</v>
      </c>
      <c r="CK206" s="239">
        <v>0</v>
      </c>
      <c r="CL206" s="239">
        <v>0</v>
      </c>
      <c r="CM206" s="239">
        <v>1978.1432708333334</v>
      </c>
      <c r="CN206" s="239">
        <v>0</v>
      </c>
      <c r="CO206" s="239">
        <v>40.370270833333336</v>
      </c>
      <c r="CP206" s="239">
        <v>0</v>
      </c>
      <c r="CQ206" s="239">
        <v>0</v>
      </c>
      <c r="CR206" s="239">
        <v>0</v>
      </c>
      <c r="CS206" s="239">
        <v>1978</v>
      </c>
      <c r="CT206" s="239">
        <v>0</v>
      </c>
      <c r="CU206" s="239">
        <v>40</v>
      </c>
      <c r="CV206" s="239">
        <v>596069.79468749999</v>
      </c>
      <c r="CW206" s="239">
        <v>0</v>
      </c>
      <c r="CX206" s="239">
        <v>12164.6896875</v>
      </c>
      <c r="CY206" s="239">
        <v>577820</v>
      </c>
      <c r="CZ206" s="239">
        <v>0</v>
      </c>
      <c r="DA206" s="239">
        <v>11792</v>
      </c>
      <c r="DB206" s="239">
        <v>18250</v>
      </c>
      <c r="DC206" s="239">
        <v>0</v>
      </c>
      <c r="DD206" s="239">
        <v>373</v>
      </c>
      <c r="DE206" s="214">
        <v>0.5</v>
      </c>
      <c r="DF206" s="214">
        <v>0.49</v>
      </c>
      <c r="DG206" s="214">
        <v>0</v>
      </c>
      <c r="DH206" s="214">
        <v>0.01</v>
      </c>
      <c r="DI206" s="214" t="s">
        <v>748</v>
      </c>
    </row>
    <row r="207" spans="2:113" s="214" customFormat="1" x14ac:dyDescent="0.2">
      <c r="B207" s="610" t="s">
        <v>497</v>
      </c>
      <c r="C207" s="610" t="s">
        <v>496</v>
      </c>
      <c r="D207" s="239">
        <v>-129042</v>
      </c>
      <c r="E207" s="239">
        <v>0</v>
      </c>
      <c r="F207" s="239">
        <v>-129042</v>
      </c>
      <c r="G207" s="239">
        <v>0</v>
      </c>
      <c r="H207" s="239">
        <v>0</v>
      </c>
      <c r="I207" s="239">
        <v>0</v>
      </c>
      <c r="J207" s="239">
        <v>-129042</v>
      </c>
      <c r="K207" s="239">
        <v>0</v>
      </c>
      <c r="L207" s="239">
        <v>-129042</v>
      </c>
      <c r="M207" s="239">
        <v>237714</v>
      </c>
      <c r="N207" s="239">
        <v>237714</v>
      </c>
      <c r="O207" s="239">
        <v>0</v>
      </c>
      <c r="P207" s="239">
        <v>0</v>
      </c>
      <c r="Q207" s="239">
        <v>0</v>
      </c>
      <c r="R207" s="239">
        <v>0</v>
      </c>
      <c r="S207" s="239">
        <v>1988</v>
      </c>
      <c r="T207" s="239">
        <v>0</v>
      </c>
      <c r="U207" s="239">
        <v>0</v>
      </c>
      <c r="V207" s="239">
        <v>0</v>
      </c>
      <c r="W207" s="239">
        <v>1988</v>
      </c>
      <c r="X207" s="239">
        <v>0</v>
      </c>
      <c r="Y207" s="239">
        <v>0</v>
      </c>
      <c r="Z207" s="239">
        <v>0</v>
      </c>
      <c r="AA207" s="239">
        <v>0</v>
      </c>
      <c r="AB207" s="239">
        <v>0</v>
      </c>
      <c r="AC207" s="239">
        <v>0</v>
      </c>
      <c r="AD207" s="239">
        <v>0</v>
      </c>
      <c r="AE207" s="239">
        <v>0</v>
      </c>
      <c r="AF207" s="239">
        <v>0</v>
      </c>
      <c r="AG207" s="239">
        <v>0</v>
      </c>
      <c r="AH207" s="239">
        <v>0</v>
      </c>
      <c r="AI207" s="239">
        <v>0</v>
      </c>
      <c r="AJ207" s="239">
        <v>0</v>
      </c>
      <c r="AK207" s="239">
        <v>710793.34208333341</v>
      </c>
      <c r="AL207" s="239">
        <v>159928.50196875</v>
      </c>
      <c r="AM207" s="239">
        <v>17769.833552083335</v>
      </c>
      <c r="AN207" s="239">
        <v>695351</v>
      </c>
      <c r="AO207" s="239">
        <v>156454</v>
      </c>
      <c r="AP207" s="239">
        <v>17384</v>
      </c>
      <c r="AQ207" s="239">
        <v>15442</v>
      </c>
      <c r="AR207" s="239">
        <v>3475</v>
      </c>
      <c r="AS207" s="239">
        <v>386</v>
      </c>
      <c r="AT207" s="239">
        <v>4121.2375000000002</v>
      </c>
      <c r="AU207" s="239">
        <v>927.2784375</v>
      </c>
      <c r="AV207" s="239">
        <v>103.03093750000001</v>
      </c>
      <c r="AW207" s="239">
        <v>2270</v>
      </c>
      <c r="AX207" s="239">
        <v>510</v>
      </c>
      <c r="AY207" s="239">
        <v>56</v>
      </c>
      <c r="AZ207" s="239">
        <v>1851</v>
      </c>
      <c r="BA207" s="239">
        <v>417</v>
      </c>
      <c r="BB207" s="239">
        <v>47</v>
      </c>
      <c r="BC207" s="239">
        <v>1096.9675</v>
      </c>
      <c r="BD207" s="239">
        <v>246.81768749999998</v>
      </c>
      <c r="BE207" s="239">
        <v>27.424187499999999</v>
      </c>
      <c r="BF207" s="239">
        <v>0</v>
      </c>
      <c r="BG207" s="239">
        <v>0</v>
      </c>
      <c r="BH207" s="239">
        <v>0</v>
      </c>
      <c r="BI207" s="239">
        <v>1097</v>
      </c>
      <c r="BJ207" s="239">
        <v>247</v>
      </c>
      <c r="BK207" s="239">
        <v>27</v>
      </c>
      <c r="BL207" s="239">
        <v>115172.25333333334</v>
      </c>
      <c r="BM207" s="239">
        <v>25913.756999999998</v>
      </c>
      <c r="BN207" s="239">
        <v>2879.3063333333334</v>
      </c>
      <c r="BO207" s="239">
        <v>82484</v>
      </c>
      <c r="BP207" s="239">
        <v>18560</v>
      </c>
      <c r="BQ207" s="239">
        <v>2062</v>
      </c>
      <c r="BR207" s="239">
        <v>32688</v>
      </c>
      <c r="BS207" s="239">
        <v>7354</v>
      </c>
      <c r="BT207" s="239">
        <v>817</v>
      </c>
      <c r="BU207" s="239">
        <v>454228.95833333337</v>
      </c>
      <c r="BV207" s="239">
        <v>102201.515625</v>
      </c>
      <c r="BW207" s="239">
        <v>11355.723958333336</v>
      </c>
      <c r="BX207" s="239">
        <v>413302</v>
      </c>
      <c r="BY207" s="239">
        <v>92994</v>
      </c>
      <c r="BZ207" s="239">
        <v>10332</v>
      </c>
      <c r="CA207" s="239">
        <v>40927</v>
      </c>
      <c r="CB207" s="239">
        <v>9208</v>
      </c>
      <c r="CC207" s="239">
        <v>1024</v>
      </c>
      <c r="CD207" s="239">
        <v>905.82000000000016</v>
      </c>
      <c r="CE207" s="239">
        <v>203.80950000000001</v>
      </c>
      <c r="CF207" s="239">
        <v>22.645500000000002</v>
      </c>
      <c r="CG207" s="239">
        <v>2132</v>
      </c>
      <c r="CH207" s="239">
        <v>0</v>
      </c>
      <c r="CI207" s="239">
        <v>0</v>
      </c>
      <c r="CJ207" s="239">
        <v>-1226</v>
      </c>
      <c r="CK207" s="239">
        <v>204</v>
      </c>
      <c r="CL207" s="239">
        <v>23</v>
      </c>
      <c r="CM207" s="239">
        <v>6993.7258333333339</v>
      </c>
      <c r="CN207" s="239">
        <v>1573.5883124999998</v>
      </c>
      <c r="CO207" s="239">
        <v>174.84314583333332</v>
      </c>
      <c r="CP207" s="239">
        <v>0</v>
      </c>
      <c r="CQ207" s="239">
        <v>0</v>
      </c>
      <c r="CR207" s="239">
        <v>0</v>
      </c>
      <c r="CS207" s="239">
        <v>6994</v>
      </c>
      <c r="CT207" s="239">
        <v>1574</v>
      </c>
      <c r="CU207" s="239">
        <v>175</v>
      </c>
      <c r="CV207" s="239">
        <v>382116.5658333333</v>
      </c>
      <c r="CW207" s="239">
        <v>85969.7041875</v>
      </c>
      <c r="CX207" s="239">
        <v>9552.1893541666686</v>
      </c>
      <c r="CY207" s="239">
        <v>382038</v>
      </c>
      <c r="CZ207" s="239">
        <v>85959</v>
      </c>
      <c r="DA207" s="239">
        <v>9551</v>
      </c>
      <c r="DB207" s="239">
        <v>79</v>
      </c>
      <c r="DC207" s="239">
        <v>11</v>
      </c>
      <c r="DD207" s="239">
        <v>1</v>
      </c>
      <c r="DE207" s="214">
        <v>0.5</v>
      </c>
      <c r="DF207" s="214">
        <v>0.4</v>
      </c>
      <c r="DG207" s="214">
        <v>0.09</v>
      </c>
      <c r="DH207" s="214">
        <v>0.01</v>
      </c>
      <c r="DI207" s="214" t="s">
        <v>1294</v>
      </c>
    </row>
    <row r="208" spans="2:113" s="214" customFormat="1" x14ac:dyDescent="0.2">
      <c r="B208" s="610" t="s">
        <v>499</v>
      </c>
      <c r="C208" s="610" t="s">
        <v>498</v>
      </c>
      <c r="D208" s="239">
        <v>-7006</v>
      </c>
      <c r="E208" s="239">
        <v>0</v>
      </c>
      <c r="F208" s="239">
        <v>-7006</v>
      </c>
      <c r="G208" s="239">
        <v>0</v>
      </c>
      <c r="H208" s="239">
        <v>0</v>
      </c>
      <c r="I208" s="239">
        <v>0</v>
      </c>
      <c r="J208" s="239">
        <v>-7006</v>
      </c>
      <c r="K208" s="239">
        <v>0</v>
      </c>
      <c r="L208" s="239">
        <v>-7006</v>
      </c>
      <c r="M208" s="239">
        <v>96644</v>
      </c>
      <c r="N208" s="239">
        <v>96644</v>
      </c>
      <c r="O208" s="239">
        <v>0</v>
      </c>
      <c r="P208" s="239">
        <v>0</v>
      </c>
      <c r="Q208" s="239">
        <v>0</v>
      </c>
      <c r="R208" s="239">
        <v>0</v>
      </c>
      <c r="S208" s="239">
        <v>174481</v>
      </c>
      <c r="T208" s="239">
        <v>0</v>
      </c>
      <c r="U208" s="239">
        <v>118427</v>
      </c>
      <c r="V208" s="239">
        <v>0</v>
      </c>
      <c r="W208" s="239">
        <v>56054</v>
      </c>
      <c r="X208" s="239">
        <v>0</v>
      </c>
      <c r="Y208" s="239">
        <v>0</v>
      </c>
      <c r="Z208" s="239">
        <v>0</v>
      </c>
      <c r="AA208" s="239">
        <v>0</v>
      </c>
      <c r="AB208" s="239">
        <v>0</v>
      </c>
      <c r="AC208" s="239">
        <v>0</v>
      </c>
      <c r="AD208" s="239">
        <v>0</v>
      </c>
      <c r="AE208" s="239">
        <v>0</v>
      </c>
      <c r="AF208" s="239">
        <v>0</v>
      </c>
      <c r="AG208" s="239">
        <v>0</v>
      </c>
      <c r="AH208" s="239">
        <v>0</v>
      </c>
      <c r="AI208" s="239">
        <v>0</v>
      </c>
      <c r="AJ208" s="239">
        <v>0</v>
      </c>
      <c r="AK208" s="239">
        <v>392812.37375000003</v>
      </c>
      <c r="AL208" s="239">
        <v>88382.784093749986</v>
      </c>
      <c r="AM208" s="239">
        <v>9820.3093437499992</v>
      </c>
      <c r="AN208" s="239">
        <v>359376</v>
      </c>
      <c r="AO208" s="239">
        <v>80860</v>
      </c>
      <c r="AP208" s="239">
        <v>8984</v>
      </c>
      <c r="AQ208" s="239">
        <v>33436</v>
      </c>
      <c r="AR208" s="239">
        <v>7523</v>
      </c>
      <c r="AS208" s="239">
        <v>836</v>
      </c>
      <c r="AT208" s="239">
        <v>0</v>
      </c>
      <c r="AU208" s="239">
        <v>0</v>
      </c>
      <c r="AV208" s="239">
        <v>0</v>
      </c>
      <c r="AW208" s="239">
        <v>0</v>
      </c>
      <c r="AX208" s="239">
        <v>0</v>
      </c>
      <c r="AY208" s="239">
        <v>0</v>
      </c>
      <c r="AZ208" s="239">
        <v>0</v>
      </c>
      <c r="BA208" s="239">
        <v>0</v>
      </c>
      <c r="BB208" s="239">
        <v>0</v>
      </c>
      <c r="BC208" s="239">
        <v>300.31666666666666</v>
      </c>
      <c r="BD208" s="239">
        <v>67.571249999999992</v>
      </c>
      <c r="BE208" s="239">
        <v>7.5079166666666666</v>
      </c>
      <c r="BF208" s="239">
        <v>0</v>
      </c>
      <c r="BG208" s="239">
        <v>0</v>
      </c>
      <c r="BH208" s="239">
        <v>0</v>
      </c>
      <c r="BI208" s="239">
        <v>300</v>
      </c>
      <c r="BJ208" s="239">
        <v>68</v>
      </c>
      <c r="BK208" s="239">
        <v>8</v>
      </c>
      <c r="BL208" s="239">
        <v>1302.3191666666667</v>
      </c>
      <c r="BM208" s="239">
        <v>293.02181250000001</v>
      </c>
      <c r="BN208" s="239">
        <v>32.557979166666669</v>
      </c>
      <c r="BO208" s="239">
        <v>0</v>
      </c>
      <c r="BP208" s="239">
        <v>0</v>
      </c>
      <c r="BQ208" s="239">
        <v>0</v>
      </c>
      <c r="BR208" s="239">
        <v>1302</v>
      </c>
      <c r="BS208" s="239">
        <v>293</v>
      </c>
      <c r="BT208" s="239">
        <v>33</v>
      </c>
      <c r="BU208" s="239">
        <v>132792.31916666668</v>
      </c>
      <c r="BV208" s="239">
        <v>29878.271812499999</v>
      </c>
      <c r="BW208" s="239">
        <v>3319.8079791666669</v>
      </c>
      <c r="BX208" s="239">
        <v>133588</v>
      </c>
      <c r="BY208" s="239">
        <v>30058</v>
      </c>
      <c r="BZ208" s="239">
        <v>3340</v>
      </c>
      <c r="CA208" s="239">
        <v>-796</v>
      </c>
      <c r="CB208" s="239">
        <v>-180</v>
      </c>
      <c r="CC208" s="239">
        <v>-20</v>
      </c>
      <c r="CD208" s="239">
        <v>0</v>
      </c>
      <c r="CE208" s="239">
        <v>0</v>
      </c>
      <c r="CF208" s="239">
        <v>0</v>
      </c>
      <c r="CG208" s="239">
        <v>0</v>
      </c>
      <c r="CH208" s="239">
        <v>0</v>
      </c>
      <c r="CI208" s="239">
        <v>0</v>
      </c>
      <c r="CJ208" s="239">
        <v>0</v>
      </c>
      <c r="CK208" s="239">
        <v>0</v>
      </c>
      <c r="CL208" s="239">
        <v>0</v>
      </c>
      <c r="CM208" s="239">
        <v>1267.8233333333335</v>
      </c>
      <c r="CN208" s="239">
        <v>285.26024999999998</v>
      </c>
      <c r="CO208" s="239">
        <v>31.695583333333335</v>
      </c>
      <c r="CP208" s="239">
        <v>0</v>
      </c>
      <c r="CQ208" s="239">
        <v>0</v>
      </c>
      <c r="CR208" s="239">
        <v>0</v>
      </c>
      <c r="CS208" s="239">
        <v>1268</v>
      </c>
      <c r="CT208" s="239">
        <v>285</v>
      </c>
      <c r="CU208" s="239">
        <v>32</v>
      </c>
      <c r="CV208" s="239">
        <v>78777.12208333335</v>
      </c>
      <c r="CW208" s="239">
        <v>17152.336687499999</v>
      </c>
      <c r="CX208" s="239">
        <v>1905.8151875000001</v>
      </c>
      <c r="CY208" s="239">
        <v>100243</v>
      </c>
      <c r="CZ208" s="239">
        <v>22166</v>
      </c>
      <c r="DA208" s="239">
        <v>2463</v>
      </c>
      <c r="DB208" s="239">
        <v>-21466</v>
      </c>
      <c r="DC208" s="239">
        <v>-5014</v>
      </c>
      <c r="DD208" s="239">
        <v>-557</v>
      </c>
      <c r="DE208" s="214">
        <v>0.5</v>
      </c>
      <c r="DF208" s="214">
        <v>0.4</v>
      </c>
      <c r="DG208" s="214">
        <v>0.09</v>
      </c>
      <c r="DH208" s="214">
        <v>0.01</v>
      </c>
      <c r="DI208" s="214" t="s">
        <v>1294</v>
      </c>
    </row>
    <row r="209" spans="2:113" s="214" customFormat="1" x14ac:dyDescent="0.2">
      <c r="B209" s="610" t="s">
        <v>501</v>
      </c>
      <c r="C209" s="610" t="s">
        <v>500</v>
      </c>
      <c r="D209" s="239">
        <v>-123931</v>
      </c>
      <c r="E209" s="239">
        <v>0</v>
      </c>
      <c r="F209" s="239">
        <v>-123931</v>
      </c>
      <c r="G209" s="239">
        <v>0</v>
      </c>
      <c r="H209" s="239">
        <v>0</v>
      </c>
      <c r="I209" s="239">
        <v>0</v>
      </c>
      <c r="J209" s="239">
        <v>-123931</v>
      </c>
      <c r="K209" s="239">
        <v>0</v>
      </c>
      <c r="L209" s="239">
        <v>-123931</v>
      </c>
      <c r="M209" s="239">
        <v>270170</v>
      </c>
      <c r="N209" s="239">
        <v>270170</v>
      </c>
      <c r="O209" s="239">
        <v>0</v>
      </c>
      <c r="P209" s="239">
        <v>0</v>
      </c>
      <c r="Q209" s="239">
        <v>0</v>
      </c>
      <c r="R209" s="239">
        <v>0</v>
      </c>
      <c r="S209" s="239">
        <v>0</v>
      </c>
      <c r="T209" s="239">
        <v>0</v>
      </c>
      <c r="U209" s="239">
        <v>0</v>
      </c>
      <c r="V209" s="239">
        <v>0</v>
      </c>
      <c r="W209" s="239">
        <v>0</v>
      </c>
      <c r="X209" s="239">
        <v>0</v>
      </c>
      <c r="Y209" s="239">
        <v>0</v>
      </c>
      <c r="Z209" s="239">
        <v>0</v>
      </c>
      <c r="AA209" s="239">
        <v>0</v>
      </c>
      <c r="AB209" s="239">
        <v>0</v>
      </c>
      <c r="AC209" s="239">
        <v>0</v>
      </c>
      <c r="AD209" s="239">
        <v>0</v>
      </c>
      <c r="AE209" s="239">
        <v>0</v>
      </c>
      <c r="AF209" s="239">
        <v>0</v>
      </c>
      <c r="AG209" s="239">
        <v>0</v>
      </c>
      <c r="AH209" s="239">
        <v>0</v>
      </c>
      <c r="AI209" s="239">
        <v>0</v>
      </c>
      <c r="AJ209" s="239">
        <v>0</v>
      </c>
      <c r="AK209" s="239">
        <v>520763.49186458334</v>
      </c>
      <c r="AL209" s="239">
        <v>0</v>
      </c>
      <c r="AM209" s="239">
        <v>10627.826364583334</v>
      </c>
      <c r="AN209" s="239">
        <v>448060</v>
      </c>
      <c r="AO209" s="239">
        <v>0</v>
      </c>
      <c r="AP209" s="239">
        <v>9144</v>
      </c>
      <c r="AQ209" s="239">
        <v>72703</v>
      </c>
      <c r="AR209" s="239">
        <v>0</v>
      </c>
      <c r="AS209" s="239">
        <v>1484</v>
      </c>
      <c r="AT209" s="239">
        <v>1092.2293958333332</v>
      </c>
      <c r="AU209" s="239">
        <v>0</v>
      </c>
      <c r="AV209" s="239">
        <v>22.290395833333335</v>
      </c>
      <c r="AW209" s="239">
        <v>0</v>
      </c>
      <c r="AX209" s="239">
        <v>0</v>
      </c>
      <c r="AY209" s="239">
        <v>0</v>
      </c>
      <c r="AZ209" s="239">
        <v>1092</v>
      </c>
      <c r="BA209" s="239">
        <v>0</v>
      </c>
      <c r="BB209" s="239">
        <v>22</v>
      </c>
      <c r="BC209" s="239">
        <v>0</v>
      </c>
      <c r="BD209" s="239">
        <v>0</v>
      </c>
      <c r="BE209" s="239">
        <v>0</v>
      </c>
      <c r="BF209" s="239">
        <v>0</v>
      </c>
      <c r="BG209" s="239">
        <v>0</v>
      </c>
      <c r="BH209" s="239">
        <v>0</v>
      </c>
      <c r="BI209" s="239">
        <v>0</v>
      </c>
      <c r="BJ209" s="239">
        <v>0</v>
      </c>
      <c r="BK209" s="239">
        <v>0</v>
      </c>
      <c r="BL209" s="239">
        <v>53090.203541666669</v>
      </c>
      <c r="BM209" s="239">
        <v>0</v>
      </c>
      <c r="BN209" s="239">
        <v>1083.4735416666667</v>
      </c>
      <c r="BO209" s="239">
        <v>0</v>
      </c>
      <c r="BP209" s="239">
        <v>0</v>
      </c>
      <c r="BQ209" s="239">
        <v>0</v>
      </c>
      <c r="BR209" s="239">
        <v>53090</v>
      </c>
      <c r="BS209" s="239">
        <v>0</v>
      </c>
      <c r="BT209" s="239">
        <v>1083</v>
      </c>
      <c r="BU209" s="239">
        <v>313778.06702083332</v>
      </c>
      <c r="BV209" s="239">
        <v>0</v>
      </c>
      <c r="BW209" s="239">
        <v>6403.6340208333331</v>
      </c>
      <c r="BX209" s="239">
        <v>258327</v>
      </c>
      <c r="BY209" s="239">
        <v>0</v>
      </c>
      <c r="BZ209" s="239">
        <v>5272</v>
      </c>
      <c r="CA209" s="239">
        <v>55451</v>
      </c>
      <c r="CB209" s="239">
        <v>0</v>
      </c>
      <c r="CC209" s="239">
        <v>1132</v>
      </c>
      <c r="CD209" s="239">
        <v>-944.57708333333323</v>
      </c>
      <c r="CE209" s="239">
        <v>0</v>
      </c>
      <c r="CF209" s="239">
        <v>-19.277083333333334</v>
      </c>
      <c r="CG209" s="239">
        <v>0</v>
      </c>
      <c r="CH209" s="239">
        <v>0</v>
      </c>
      <c r="CI209" s="239">
        <v>0</v>
      </c>
      <c r="CJ209" s="239">
        <v>-945</v>
      </c>
      <c r="CK209" s="239">
        <v>0</v>
      </c>
      <c r="CL209" s="239">
        <v>-19</v>
      </c>
      <c r="CM209" s="239">
        <v>16737.408770833332</v>
      </c>
      <c r="CN209" s="239">
        <v>0</v>
      </c>
      <c r="CO209" s="239">
        <v>341.57977083333333</v>
      </c>
      <c r="CP209" s="239">
        <v>0</v>
      </c>
      <c r="CQ209" s="239">
        <v>0</v>
      </c>
      <c r="CR209" s="239">
        <v>0</v>
      </c>
      <c r="CS209" s="239">
        <v>16737</v>
      </c>
      <c r="CT209" s="239">
        <v>0</v>
      </c>
      <c r="CU209" s="239">
        <v>342</v>
      </c>
      <c r="CV209" s="239">
        <v>750557.81438604172</v>
      </c>
      <c r="CW209" s="239">
        <v>0</v>
      </c>
      <c r="CX209" s="239">
        <v>15317.506416041668</v>
      </c>
      <c r="CY209" s="239">
        <v>751851</v>
      </c>
      <c r="CZ209" s="239">
        <v>0</v>
      </c>
      <c r="DA209" s="239">
        <v>15344</v>
      </c>
      <c r="DB209" s="239">
        <v>-1293</v>
      </c>
      <c r="DC209" s="239">
        <v>0</v>
      </c>
      <c r="DD209" s="239">
        <v>-26</v>
      </c>
      <c r="DE209" s="214">
        <v>0.5</v>
      </c>
      <c r="DF209" s="214">
        <v>0.49</v>
      </c>
      <c r="DG209" s="214">
        <v>0</v>
      </c>
      <c r="DH209" s="214">
        <v>0.01</v>
      </c>
      <c r="DI209" s="214" t="s">
        <v>748</v>
      </c>
    </row>
    <row r="210" spans="2:113" s="214" customFormat="1" x14ac:dyDescent="0.2">
      <c r="B210" s="610" t="s">
        <v>503</v>
      </c>
      <c r="C210" s="610" t="s">
        <v>502</v>
      </c>
      <c r="D210" s="239">
        <v>-57876</v>
      </c>
      <c r="E210" s="239">
        <v>0</v>
      </c>
      <c r="F210" s="239">
        <v>-57876</v>
      </c>
      <c r="G210" s="239">
        <v>0</v>
      </c>
      <c r="H210" s="239">
        <v>0</v>
      </c>
      <c r="I210" s="239">
        <v>0</v>
      </c>
      <c r="J210" s="239">
        <v>-57876</v>
      </c>
      <c r="K210" s="239">
        <v>0</v>
      </c>
      <c r="L210" s="239">
        <v>-57876</v>
      </c>
      <c r="M210" s="239">
        <v>281315</v>
      </c>
      <c r="N210" s="239">
        <v>281315</v>
      </c>
      <c r="O210" s="239">
        <v>0</v>
      </c>
      <c r="P210" s="239">
        <v>0</v>
      </c>
      <c r="Q210" s="239">
        <v>0</v>
      </c>
      <c r="R210" s="239">
        <v>0</v>
      </c>
      <c r="S210" s="239">
        <v>0</v>
      </c>
      <c r="T210" s="239">
        <v>0</v>
      </c>
      <c r="U210" s="239">
        <v>0</v>
      </c>
      <c r="V210" s="239">
        <v>0</v>
      </c>
      <c r="W210" s="239">
        <v>0</v>
      </c>
      <c r="X210" s="239">
        <v>0</v>
      </c>
      <c r="Y210" s="239">
        <v>0</v>
      </c>
      <c r="Z210" s="239">
        <v>0</v>
      </c>
      <c r="AA210" s="239">
        <v>0</v>
      </c>
      <c r="AB210" s="239">
        <v>0</v>
      </c>
      <c r="AC210" s="239">
        <v>0</v>
      </c>
      <c r="AD210" s="239">
        <v>0</v>
      </c>
      <c r="AE210" s="239">
        <v>0</v>
      </c>
      <c r="AF210" s="239">
        <v>0</v>
      </c>
      <c r="AG210" s="239">
        <v>0</v>
      </c>
      <c r="AH210" s="239">
        <v>0</v>
      </c>
      <c r="AI210" s="239">
        <v>0</v>
      </c>
      <c r="AJ210" s="239">
        <v>0</v>
      </c>
      <c r="AK210" s="239">
        <v>622516.12031249993</v>
      </c>
      <c r="AL210" s="239">
        <v>415010.74687500001</v>
      </c>
      <c r="AM210" s="239">
        <v>0</v>
      </c>
      <c r="AN210" s="239">
        <v>557347</v>
      </c>
      <c r="AO210" s="239">
        <v>371564</v>
      </c>
      <c r="AP210" s="239">
        <v>0</v>
      </c>
      <c r="AQ210" s="239">
        <v>65169</v>
      </c>
      <c r="AR210" s="239">
        <v>43447</v>
      </c>
      <c r="AS210" s="239">
        <v>0</v>
      </c>
      <c r="AT210" s="239">
        <v>2960.6556249999999</v>
      </c>
      <c r="AU210" s="239">
        <v>1973.7704166666667</v>
      </c>
      <c r="AV210" s="239">
        <v>0</v>
      </c>
      <c r="AW210" s="239">
        <v>0</v>
      </c>
      <c r="AX210" s="239">
        <v>0</v>
      </c>
      <c r="AY210" s="239">
        <v>0</v>
      </c>
      <c r="AZ210" s="239">
        <v>2961</v>
      </c>
      <c r="BA210" s="239">
        <v>1974</v>
      </c>
      <c r="BB210" s="239">
        <v>0</v>
      </c>
      <c r="BC210" s="239">
        <v>2930.5224999999996</v>
      </c>
      <c r="BD210" s="239">
        <v>1953.6816666666666</v>
      </c>
      <c r="BE210" s="239">
        <v>0</v>
      </c>
      <c r="BF210" s="239">
        <v>0</v>
      </c>
      <c r="BG210" s="239">
        <v>0</v>
      </c>
      <c r="BH210" s="239">
        <v>0</v>
      </c>
      <c r="BI210" s="239">
        <v>2931</v>
      </c>
      <c r="BJ210" s="239">
        <v>1954</v>
      </c>
      <c r="BK210" s="239">
        <v>0</v>
      </c>
      <c r="BL210" s="239">
        <v>16863.288124999999</v>
      </c>
      <c r="BM210" s="239">
        <v>11242.192083333332</v>
      </c>
      <c r="BN210" s="239">
        <v>0</v>
      </c>
      <c r="BO210" s="239">
        <v>0</v>
      </c>
      <c r="BP210" s="239">
        <v>0</v>
      </c>
      <c r="BQ210" s="239">
        <v>0</v>
      </c>
      <c r="BR210" s="239">
        <v>16863</v>
      </c>
      <c r="BS210" s="239">
        <v>11242</v>
      </c>
      <c r="BT210" s="239">
        <v>0</v>
      </c>
      <c r="BU210" s="239">
        <v>589806.61312500003</v>
      </c>
      <c r="BV210" s="239">
        <v>393204.40875</v>
      </c>
      <c r="BW210" s="239">
        <v>0</v>
      </c>
      <c r="BX210" s="239">
        <v>588868</v>
      </c>
      <c r="BY210" s="239">
        <v>392578</v>
      </c>
      <c r="BZ210" s="239">
        <v>0</v>
      </c>
      <c r="CA210" s="239">
        <v>939</v>
      </c>
      <c r="CB210" s="239">
        <v>626</v>
      </c>
      <c r="CC210" s="239">
        <v>0</v>
      </c>
      <c r="CD210" s="239">
        <v>0</v>
      </c>
      <c r="CE210" s="239">
        <v>0</v>
      </c>
      <c r="CF210" s="239">
        <v>0</v>
      </c>
      <c r="CG210" s="239">
        <v>0</v>
      </c>
      <c r="CH210" s="239">
        <v>0</v>
      </c>
      <c r="CI210" s="239">
        <v>0</v>
      </c>
      <c r="CJ210" s="239">
        <v>0</v>
      </c>
      <c r="CK210" s="239">
        <v>0</v>
      </c>
      <c r="CL210" s="239">
        <v>0</v>
      </c>
      <c r="CM210" s="239">
        <v>7200.2950000000001</v>
      </c>
      <c r="CN210" s="239">
        <v>4800.1966666666667</v>
      </c>
      <c r="CO210" s="239">
        <v>0</v>
      </c>
      <c r="CP210" s="239">
        <v>0</v>
      </c>
      <c r="CQ210" s="239">
        <v>0</v>
      </c>
      <c r="CR210" s="239">
        <v>0</v>
      </c>
      <c r="CS210" s="239">
        <v>7200</v>
      </c>
      <c r="CT210" s="239">
        <v>4800</v>
      </c>
      <c r="CU210" s="239">
        <v>0</v>
      </c>
      <c r="CV210" s="239">
        <v>225462.3</v>
      </c>
      <c r="CW210" s="239">
        <v>150308.20000000001</v>
      </c>
      <c r="CX210" s="239">
        <v>0</v>
      </c>
      <c r="CY210" s="239">
        <v>229327</v>
      </c>
      <c r="CZ210" s="239">
        <v>152885</v>
      </c>
      <c r="DA210" s="239">
        <v>0</v>
      </c>
      <c r="DB210" s="239">
        <v>-3865</v>
      </c>
      <c r="DC210" s="239">
        <v>-2577</v>
      </c>
      <c r="DD210" s="239">
        <v>0</v>
      </c>
      <c r="DE210" s="214">
        <v>0.5</v>
      </c>
      <c r="DF210" s="214">
        <v>0.3</v>
      </c>
      <c r="DG210" s="214">
        <v>0.2</v>
      </c>
      <c r="DH210" s="214">
        <v>0</v>
      </c>
      <c r="DI210" s="214" t="s">
        <v>1295</v>
      </c>
    </row>
    <row r="211" spans="2:113" s="214" customFormat="1" x14ac:dyDescent="0.2">
      <c r="B211" s="610" t="s">
        <v>505</v>
      </c>
      <c r="C211" s="610" t="s">
        <v>504</v>
      </c>
      <c r="D211" s="239">
        <v>28624</v>
      </c>
      <c r="E211" s="239">
        <v>0</v>
      </c>
      <c r="F211" s="239">
        <v>28624</v>
      </c>
      <c r="G211" s="239">
        <v>0</v>
      </c>
      <c r="H211" s="239">
        <v>0</v>
      </c>
      <c r="I211" s="239">
        <v>0</v>
      </c>
      <c r="J211" s="239">
        <v>28624</v>
      </c>
      <c r="K211" s="239">
        <v>0</v>
      </c>
      <c r="L211" s="239">
        <v>28624</v>
      </c>
      <c r="M211" s="239">
        <v>169391</v>
      </c>
      <c r="N211" s="239">
        <v>169391</v>
      </c>
      <c r="O211" s="239">
        <v>0</v>
      </c>
      <c r="P211" s="239">
        <v>0</v>
      </c>
      <c r="Q211" s="239">
        <v>0</v>
      </c>
      <c r="R211" s="239">
        <v>0</v>
      </c>
      <c r="S211" s="239">
        <v>0</v>
      </c>
      <c r="T211" s="239">
        <v>0</v>
      </c>
      <c r="U211" s="239">
        <v>0</v>
      </c>
      <c r="V211" s="239">
        <v>0</v>
      </c>
      <c r="W211" s="239">
        <v>0</v>
      </c>
      <c r="X211" s="239">
        <v>0</v>
      </c>
      <c r="Y211" s="239">
        <v>0</v>
      </c>
      <c r="Z211" s="239">
        <v>0</v>
      </c>
      <c r="AA211" s="239">
        <v>0</v>
      </c>
      <c r="AB211" s="239">
        <v>0</v>
      </c>
      <c r="AC211" s="239">
        <v>0</v>
      </c>
      <c r="AD211" s="239">
        <v>0</v>
      </c>
      <c r="AE211" s="239">
        <v>0</v>
      </c>
      <c r="AF211" s="239">
        <v>0</v>
      </c>
      <c r="AG211" s="239">
        <v>0</v>
      </c>
      <c r="AH211" s="239">
        <v>0</v>
      </c>
      <c r="AI211" s="239">
        <v>0</v>
      </c>
      <c r="AJ211" s="239">
        <v>0</v>
      </c>
      <c r="AK211" s="239">
        <v>665792.61437499989</v>
      </c>
      <c r="AL211" s="239">
        <v>0</v>
      </c>
      <c r="AM211" s="239">
        <v>13587.604374999999</v>
      </c>
      <c r="AN211" s="239">
        <v>614986</v>
      </c>
      <c r="AO211" s="239">
        <v>0</v>
      </c>
      <c r="AP211" s="239">
        <v>12550</v>
      </c>
      <c r="AQ211" s="239">
        <v>50807</v>
      </c>
      <c r="AR211" s="239">
        <v>0</v>
      </c>
      <c r="AS211" s="239">
        <v>1038</v>
      </c>
      <c r="AT211" s="239">
        <v>0</v>
      </c>
      <c r="AU211" s="239">
        <v>0</v>
      </c>
      <c r="AV211" s="239">
        <v>0</v>
      </c>
      <c r="AW211" s="239">
        <v>0</v>
      </c>
      <c r="AX211" s="239">
        <v>0</v>
      </c>
      <c r="AY211" s="239">
        <v>0</v>
      </c>
      <c r="AZ211" s="239">
        <v>0</v>
      </c>
      <c r="BA211" s="239">
        <v>0</v>
      </c>
      <c r="BB211" s="239">
        <v>0</v>
      </c>
      <c r="BC211" s="239">
        <v>0</v>
      </c>
      <c r="BD211" s="239">
        <v>0</v>
      </c>
      <c r="BE211" s="239">
        <v>0</v>
      </c>
      <c r="BF211" s="239">
        <v>0</v>
      </c>
      <c r="BG211" s="239">
        <v>0</v>
      </c>
      <c r="BH211" s="239">
        <v>0</v>
      </c>
      <c r="BI211" s="239">
        <v>0</v>
      </c>
      <c r="BJ211" s="239">
        <v>0</v>
      </c>
      <c r="BK211" s="239">
        <v>0</v>
      </c>
      <c r="BL211" s="239">
        <v>956.50858333333326</v>
      </c>
      <c r="BM211" s="239">
        <v>0</v>
      </c>
      <c r="BN211" s="239">
        <v>19.520583333333335</v>
      </c>
      <c r="BO211" s="239">
        <v>425382</v>
      </c>
      <c r="BP211" s="239">
        <v>0</v>
      </c>
      <c r="BQ211" s="239">
        <v>8682</v>
      </c>
      <c r="BR211" s="239">
        <v>-424425</v>
      </c>
      <c r="BS211" s="239">
        <v>0</v>
      </c>
      <c r="BT211" s="239">
        <v>-8662</v>
      </c>
      <c r="BU211" s="239">
        <v>197023.86520833333</v>
      </c>
      <c r="BV211" s="239">
        <v>0</v>
      </c>
      <c r="BW211" s="239">
        <v>4020.8952083333334</v>
      </c>
      <c r="BX211" s="239">
        <v>186286</v>
      </c>
      <c r="BY211" s="239">
        <v>0</v>
      </c>
      <c r="BZ211" s="239">
        <v>3802</v>
      </c>
      <c r="CA211" s="239">
        <v>10738</v>
      </c>
      <c r="CB211" s="239">
        <v>0</v>
      </c>
      <c r="CC211" s="239">
        <v>219</v>
      </c>
      <c r="CD211" s="239">
        <v>0</v>
      </c>
      <c r="CE211" s="239">
        <v>0</v>
      </c>
      <c r="CF211" s="239">
        <v>0</v>
      </c>
      <c r="CG211" s="239">
        <v>0</v>
      </c>
      <c r="CH211" s="239">
        <v>0</v>
      </c>
      <c r="CI211" s="239">
        <v>0</v>
      </c>
      <c r="CJ211" s="239">
        <v>0</v>
      </c>
      <c r="CK211" s="239">
        <v>0</v>
      </c>
      <c r="CL211" s="239">
        <v>0</v>
      </c>
      <c r="CM211" s="239">
        <v>4240.6539583333333</v>
      </c>
      <c r="CN211" s="239">
        <v>0</v>
      </c>
      <c r="CO211" s="239">
        <v>86.543958333333336</v>
      </c>
      <c r="CP211" s="239">
        <v>0</v>
      </c>
      <c r="CQ211" s="239">
        <v>0</v>
      </c>
      <c r="CR211" s="239">
        <v>0</v>
      </c>
      <c r="CS211" s="239">
        <v>4241</v>
      </c>
      <c r="CT211" s="239">
        <v>0</v>
      </c>
      <c r="CU211" s="239">
        <v>87</v>
      </c>
      <c r="CV211" s="239">
        <v>266349.03968749999</v>
      </c>
      <c r="CW211" s="239">
        <v>0</v>
      </c>
      <c r="CX211" s="239">
        <v>5435.6946875000003</v>
      </c>
      <c r="CY211" s="239">
        <v>338666</v>
      </c>
      <c r="CZ211" s="239">
        <v>0</v>
      </c>
      <c r="DA211" s="239">
        <v>6912</v>
      </c>
      <c r="DB211" s="239">
        <v>-72317</v>
      </c>
      <c r="DC211" s="239">
        <v>0</v>
      </c>
      <c r="DD211" s="239">
        <v>-1476</v>
      </c>
      <c r="DE211" s="214">
        <v>0.5</v>
      </c>
      <c r="DF211" s="214">
        <v>0.49</v>
      </c>
      <c r="DG211" s="214">
        <v>0</v>
      </c>
      <c r="DH211" s="214">
        <v>0.01</v>
      </c>
      <c r="DI211" s="214" t="s">
        <v>748</v>
      </c>
    </row>
    <row r="212" spans="2:113" s="214" customFormat="1" x14ac:dyDescent="0.2">
      <c r="B212" s="610" t="s">
        <v>507</v>
      </c>
      <c r="C212" s="610" t="s">
        <v>506</v>
      </c>
      <c r="D212" s="239">
        <v>-46129</v>
      </c>
      <c r="E212" s="239">
        <v>0</v>
      </c>
      <c r="F212" s="239">
        <v>-46129</v>
      </c>
      <c r="G212" s="239">
        <v>0</v>
      </c>
      <c r="H212" s="239">
        <v>0</v>
      </c>
      <c r="I212" s="239">
        <v>0</v>
      </c>
      <c r="J212" s="239">
        <v>-46129</v>
      </c>
      <c r="K212" s="239">
        <v>0</v>
      </c>
      <c r="L212" s="239">
        <v>-46129</v>
      </c>
      <c r="M212" s="239">
        <v>109875</v>
      </c>
      <c r="N212" s="239">
        <v>109875</v>
      </c>
      <c r="O212" s="239">
        <v>0</v>
      </c>
      <c r="P212" s="239">
        <v>0</v>
      </c>
      <c r="Q212" s="239">
        <v>0</v>
      </c>
      <c r="R212" s="239">
        <v>0</v>
      </c>
      <c r="S212" s="239">
        <v>0</v>
      </c>
      <c r="T212" s="239">
        <v>0</v>
      </c>
      <c r="U212" s="239">
        <v>0</v>
      </c>
      <c r="V212" s="239">
        <v>0</v>
      </c>
      <c r="W212" s="239">
        <v>0</v>
      </c>
      <c r="X212" s="239">
        <v>0</v>
      </c>
      <c r="Y212" s="239">
        <v>0</v>
      </c>
      <c r="Z212" s="239">
        <v>0</v>
      </c>
      <c r="AA212" s="239">
        <v>0</v>
      </c>
      <c r="AB212" s="239">
        <v>0</v>
      </c>
      <c r="AC212" s="239">
        <v>0</v>
      </c>
      <c r="AD212" s="239">
        <v>0</v>
      </c>
      <c r="AE212" s="239">
        <v>0</v>
      </c>
      <c r="AF212" s="239">
        <v>0</v>
      </c>
      <c r="AG212" s="239">
        <v>0</v>
      </c>
      <c r="AH212" s="239">
        <v>0</v>
      </c>
      <c r="AI212" s="239">
        <v>0</v>
      </c>
      <c r="AJ212" s="239">
        <v>0</v>
      </c>
      <c r="AK212" s="239">
        <v>304559.65416666667</v>
      </c>
      <c r="AL212" s="239">
        <v>68525.922187499993</v>
      </c>
      <c r="AM212" s="239">
        <v>7613.9913541666674</v>
      </c>
      <c r="AN212" s="239">
        <v>272006</v>
      </c>
      <c r="AO212" s="239">
        <v>61202</v>
      </c>
      <c r="AP212" s="239">
        <v>6800</v>
      </c>
      <c r="AQ212" s="239">
        <v>32554</v>
      </c>
      <c r="AR212" s="239">
        <v>7324</v>
      </c>
      <c r="AS212" s="239">
        <v>814</v>
      </c>
      <c r="AT212" s="239">
        <v>649.33333333333337</v>
      </c>
      <c r="AU212" s="239">
        <v>146.1</v>
      </c>
      <c r="AV212" s="239">
        <v>16.233333333333334</v>
      </c>
      <c r="AW212" s="239">
        <v>1064</v>
      </c>
      <c r="AX212" s="239">
        <v>240</v>
      </c>
      <c r="AY212" s="239">
        <v>26</v>
      </c>
      <c r="AZ212" s="239">
        <v>-415</v>
      </c>
      <c r="BA212" s="239">
        <v>-94</v>
      </c>
      <c r="BB212" s="239">
        <v>-10</v>
      </c>
      <c r="BC212" s="239">
        <v>0</v>
      </c>
      <c r="BD212" s="239">
        <v>0</v>
      </c>
      <c r="BE212" s="239">
        <v>0</v>
      </c>
      <c r="BF212" s="239">
        <v>0</v>
      </c>
      <c r="BG212" s="239">
        <v>0</v>
      </c>
      <c r="BH212" s="239">
        <v>0</v>
      </c>
      <c r="BI212" s="239">
        <v>0</v>
      </c>
      <c r="BJ212" s="239">
        <v>0</v>
      </c>
      <c r="BK212" s="239">
        <v>0</v>
      </c>
      <c r="BL212" s="239">
        <v>12482.621666666668</v>
      </c>
      <c r="BM212" s="239">
        <v>2808.5898749999997</v>
      </c>
      <c r="BN212" s="239">
        <v>312.06554166666672</v>
      </c>
      <c r="BO212" s="239">
        <v>3351</v>
      </c>
      <c r="BP212" s="239">
        <v>754</v>
      </c>
      <c r="BQ212" s="239">
        <v>84</v>
      </c>
      <c r="BR212" s="239">
        <v>9132</v>
      </c>
      <c r="BS212" s="239">
        <v>2055</v>
      </c>
      <c r="BT212" s="239">
        <v>228</v>
      </c>
      <c r="BU212" s="239">
        <v>95116.781666666677</v>
      </c>
      <c r="BV212" s="239">
        <v>21401.275874999999</v>
      </c>
      <c r="BW212" s="239">
        <v>2377.9195416666666</v>
      </c>
      <c r="BX212" s="239">
        <v>55792</v>
      </c>
      <c r="BY212" s="239">
        <v>12554</v>
      </c>
      <c r="BZ212" s="239">
        <v>1394</v>
      </c>
      <c r="CA212" s="239">
        <v>39325</v>
      </c>
      <c r="CB212" s="239">
        <v>8847</v>
      </c>
      <c r="CC212" s="239">
        <v>984</v>
      </c>
      <c r="CD212" s="239">
        <v>0</v>
      </c>
      <c r="CE212" s="239">
        <v>0</v>
      </c>
      <c r="CF212" s="239">
        <v>0</v>
      </c>
      <c r="CG212" s="239">
        <v>0</v>
      </c>
      <c r="CH212" s="239">
        <v>0</v>
      </c>
      <c r="CI212" s="239">
        <v>0</v>
      </c>
      <c r="CJ212" s="239">
        <v>0</v>
      </c>
      <c r="CK212" s="239">
        <v>0</v>
      </c>
      <c r="CL212" s="239">
        <v>0</v>
      </c>
      <c r="CM212" s="239">
        <v>4588.3516666666674</v>
      </c>
      <c r="CN212" s="239">
        <v>1032.3791249999999</v>
      </c>
      <c r="CO212" s="239">
        <v>114.70879166666668</v>
      </c>
      <c r="CP212" s="239">
        <v>0</v>
      </c>
      <c r="CQ212" s="239">
        <v>0</v>
      </c>
      <c r="CR212" s="239">
        <v>0</v>
      </c>
      <c r="CS212" s="239">
        <v>4588</v>
      </c>
      <c r="CT212" s="239">
        <v>1032</v>
      </c>
      <c r="CU212" s="239">
        <v>115</v>
      </c>
      <c r="CV212" s="239">
        <v>215516.09333333332</v>
      </c>
      <c r="CW212" s="239">
        <v>48491.120999999999</v>
      </c>
      <c r="CX212" s="239">
        <v>5387.9023333333334</v>
      </c>
      <c r="CY212" s="239">
        <v>214220</v>
      </c>
      <c r="CZ212" s="239">
        <v>48200</v>
      </c>
      <c r="DA212" s="239">
        <v>5355</v>
      </c>
      <c r="DB212" s="239">
        <v>1296</v>
      </c>
      <c r="DC212" s="239">
        <v>291</v>
      </c>
      <c r="DD212" s="239">
        <v>33</v>
      </c>
      <c r="DE212" s="214">
        <v>0.5</v>
      </c>
      <c r="DF212" s="214">
        <v>0.4</v>
      </c>
      <c r="DG212" s="214">
        <v>0.09</v>
      </c>
      <c r="DH212" s="214">
        <v>0.01</v>
      </c>
      <c r="DI212" s="214" t="s">
        <v>1294</v>
      </c>
    </row>
    <row r="213" spans="2:113" s="214" customFormat="1" x14ac:dyDescent="0.2">
      <c r="B213" s="610" t="s">
        <v>509</v>
      </c>
      <c r="C213" s="610" t="s">
        <v>508</v>
      </c>
      <c r="D213" s="239">
        <v>139647</v>
      </c>
      <c r="E213" s="239">
        <v>0</v>
      </c>
      <c r="F213" s="239">
        <v>139647</v>
      </c>
      <c r="G213" s="239">
        <v>0</v>
      </c>
      <c r="H213" s="239">
        <v>0</v>
      </c>
      <c r="I213" s="239">
        <v>0</v>
      </c>
      <c r="J213" s="239">
        <v>139647</v>
      </c>
      <c r="K213" s="239">
        <v>0</v>
      </c>
      <c r="L213" s="239">
        <v>139647</v>
      </c>
      <c r="M213" s="239">
        <v>175241</v>
      </c>
      <c r="N213" s="239">
        <v>175241</v>
      </c>
      <c r="O213" s="239">
        <v>0</v>
      </c>
      <c r="P213" s="239">
        <v>0</v>
      </c>
      <c r="Q213" s="239">
        <v>0</v>
      </c>
      <c r="R213" s="239">
        <v>0</v>
      </c>
      <c r="S213" s="239">
        <v>0</v>
      </c>
      <c r="T213" s="239">
        <v>0</v>
      </c>
      <c r="U213" s="239">
        <v>0</v>
      </c>
      <c r="V213" s="239">
        <v>0</v>
      </c>
      <c r="W213" s="239">
        <v>0</v>
      </c>
      <c r="X213" s="239">
        <v>0</v>
      </c>
      <c r="Y213" s="239">
        <v>0</v>
      </c>
      <c r="Z213" s="239">
        <v>0</v>
      </c>
      <c r="AA213" s="239">
        <v>0</v>
      </c>
      <c r="AB213" s="239">
        <v>0</v>
      </c>
      <c r="AC213" s="239">
        <v>0</v>
      </c>
      <c r="AD213" s="239">
        <v>0</v>
      </c>
      <c r="AE213" s="239">
        <v>0</v>
      </c>
      <c r="AF213" s="239">
        <v>0</v>
      </c>
      <c r="AG213" s="239">
        <v>0</v>
      </c>
      <c r="AH213" s="239">
        <v>0</v>
      </c>
      <c r="AI213" s="239">
        <v>0</v>
      </c>
      <c r="AJ213" s="239">
        <v>0</v>
      </c>
      <c r="AK213" s="239">
        <v>403047.28750000003</v>
      </c>
      <c r="AL213" s="239">
        <v>100761.82187500001</v>
      </c>
      <c r="AM213" s="239">
        <v>0</v>
      </c>
      <c r="AN213" s="239">
        <v>399658</v>
      </c>
      <c r="AO213" s="239">
        <v>99914</v>
      </c>
      <c r="AP213" s="239">
        <v>0</v>
      </c>
      <c r="AQ213" s="239">
        <v>3389</v>
      </c>
      <c r="AR213" s="239">
        <v>848</v>
      </c>
      <c r="AS213" s="239">
        <v>0</v>
      </c>
      <c r="AT213" s="239">
        <v>4457.2675000000008</v>
      </c>
      <c r="AU213" s="239">
        <v>1114.3168750000002</v>
      </c>
      <c r="AV213" s="239">
        <v>0</v>
      </c>
      <c r="AW213" s="239">
        <v>0</v>
      </c>
      <c r="AX213" s="239">
        <v>0</v>
      </c>
      <c r="AY213" s="239">
        <v>0</v>
      </c>
      <c r="AZ213" s="239">
        <v>4457</v>
      </c>
      <c r="BA213" s="239">
        <v>1114</v>
      </c>
      <c r="BB213" s="239">
        <v>0</v>
      </c>
      <c r="BC213" s="239">
        <v>60105.945833333339</v>
      </c>
      <c r="BD213" s="239">
        <v>15026.486458333335</v>
      </c>
      <c r="BE213" s="239">
        <v>0</v>
      </c>
      <c r="BF213" s="239">
        <v>811</v>
      </c>
      <c r="BG213" s="239">
        <v>204</v>
      </c>
      <c r="BH213" s="239">
        <v>0</v>
      </c>
      <c r="BI213" s="239">
        <v>59295</v>
      </c>
      <c r="BJ213" s="239">
        <v>14822</v>
      </c>
      <c r="BK213" s="239">
        <v>0</v>
      </c>
      <c r="BL213" s="239">
        <v>1099.4024999999999</v>
      </c>
      <c r="BM213" s="239">
        <v>274.85062499999998</v>
      </c>
      <c r="BN213" s="239">
        <v>0</v>
      </c>
      <c r="BO213" s="239">
        <v>2028</v>
      </c>
      <c r="BP213" s="239">
        <v>508</v>
      </c>
      <c r="BQ213" s="239">
        <v>0</v>
      </c>
      <c r="BR213" s="239">
        <v>-929</v>
      </c>
      <c r="BS213" s="239">
        <v>-233</v>
      </c>
      <c r="BT213" s="239">
        <v>0</v>
      </c>
      <c r="BU213" s="239">
        <v>309992.13916666672</v>
      </c>
      <c r="BV213" s="239">
        <v>77498.03479166668</v>
      </c>
      <c r="BW213" s="239">
        <v>0</v>
      </c>
      <c r="BX213" s="239">
        <v>280491</v>
      </c>
      <c r="BY213" s="239">
        <v>70124</v>
      </c>
      <c r="BZ213" s="239">
        <v>0</v>
      </c>
      <c r="CA213" s="239">
        <v>29501</v>
      </c>
      <c r="CB213" s="239">
        <v>7374</v>
      </c>
      <c r="CC213" s="239">
        <v>0</v>
      </c>
      <c r="CD213" s="239">
        <v>0</v>
      </c>
      <c r="CE213" s="239">
        <v>0</v>
      </c>
      <c r="CF213" s="239">
        <v>0</v>
      </c>
      <c r="CG213" s="239">
        <v>0</v>
      </c>
      <c r="CH213" s="239">
        <v>0</v>
      </c>
      <c r="CI213" s="239">
        <v>0</v>
      </c>
      <c r="CJ213" s="239">
        <v>0</v>
      </c>
      <c r="CK213" s="239">
        <v>0</v>
      </c>
      <c r="CL213" s="239">
        <v>0</v>
      </c>
      <c r="CM213" s="239">
        <v>4527.8824999999997</v>
      </c>
      <c r="CN213" s="239">
        <v>1131.9706249999999</v>
      </c>
      <c r="CO213" s="239">
        <v>0</v>
      </c>
      <c r="CP213" s="239">
        <v>0</v>
      </c>
      <c r="CQ213" s="239">
        <v>0</v>
      </c>
      <c r="CR213" s="239">
        <v>0</v>
      </c>
      <c r="CS213" s="239">
        <v>4528</v>
      </c>
      <c r="CT213" s="239">
        <v>1132</v>
      </c>
      <c r="CU213" s="239">
        <v>0</v>
      </c>
      <c r="CV213" s="239">
        <v>280173.92083333334</v>
      </c>
      <c r="CW213" s="239">
        <v>70043.480208333334</v>
      </c>
      <c r="CX213" s="239">
        <v>0</v>
      </c>
      <c r="CY213" s="239">
        <v>284707</v>
      </c>
      <c r="CZ213" s="239">
        <v>71177</v>
      </c>
      <c r="DA213" s="239">
        <v>0</v>
      </c>
      <c r="DB213" s="239">
        <v>-4533</v>
      </c>
      <c r="DC213" s="239">
        <v>-1134</v>
      </c>
      <c r="DD213" s="239">
        <v>0</v>
      </c>
      <c r="DE213" s="214">
        <v>0.5</v>
      </c>
      <c r="DF213" s="214">
        <v>0.4</v>
      </c>
      <c r="DG213" s="214">
        <v>0.1</v>
      </c>
      <c r="DH213" s="214">
        <v>0</v>
      </c>
      <c r="DI213" s="214" t="s">
        <v>1294</v>
      </c>
    </row>
    <row r="214" spans="2:113" s="214" customFormat="1" x14ac:dyDescent="0.2">
      <c r="B214" s="610" t="s">
        <v>511</v>
      </c>
      <c r="C214" s="610" t="s">
        <v>510</v>
      </c>
      <c r="D214" s="239">
        <v>-13081</v>
      </c>
      <c r="E214" s="239">
        <v>0</v>
      </c>
      <c r="F214" s="239">
        <v>-13081</v>
      </c>
      <c r="G214" s="239">
        <v>0</v>
      </c>
      <c r="H214" s="239">
        <v>0</v>
      </c>
      <c r="I214" s="239">
        <v>0</v>
      </c>
      <c r="J214" s="239">
        <v>-13081</v>
      </c>
      <c r="K214" s="239">
        <v>0</v>
      </c>
      <c r="L214" s="239">
        <v>-13081</v>
      </c>
      <c r="M214" s="239">
        <v>90494</v>
      </c>
      <c r="N214" s="239">
        <v>90494</v>
      </c>
      <c r="O214" s="239">
        <v>0</v>
      </c>
      <c r="P214" s="239">
        <v>17772</v>
      </c>
      <c r="Q214" s="239">
        <v>17018</v>
      </c>
      <c r="R214" s="239">
        <v>754</v>
      </c>
      <c r="S214" s="239">
        <v>11595</v>
      </c>
      <c r="T214" s="239">
        <v>0</v>
      </c>
      <c r="U214" s="239">
        <v>10000</v>
      </c>
      <c r="V214" s="239">
        <v>0</v>
      </c>
      <c r="W214" s="239">
        <v>1595</v>
      </c>
      <c r="X214" s="239">
        <v>0</v>
      </c>
      <c r="Y214" s="239">
        <v>0</v>
      </c>
      <c r="Z214" s="239">
        <v>0</v>
      </c>
      <c r="AA214" s="239">
        <v>0</v>
      </c>
      <c r="AB214" s="239">
        <v>0</v>
      </c>
      <c r="AC214" s="239">
        <v>0</v>
      </c>
      <c r="AD214" s="239">
        <v>0</v>
      </c>
      <c r="AE214" s="239">
        <v>0</v>
      </c>
      <c r="AF214" s="239">
        <v>0</v>
      </c>
      <c r="AG214" s="239">
        <v>0</v>
      </c>
      <c r="AH214" s="239">
        <v>0</v>
      </c>
      <c r="AI214" s="239">
        <v>0</v>
      </c>
      <c r="AJ214" s="239">
        <v>0</v>
      </c>
      <c r="AK214" s="239">
        <v>410393.6825</v>
      </c>
      <c r="AL214" s="239">
        <v>92338.578562499999</v>
      </c>
      <c r="AM214" s="239">
        <v>10259.8420625</v>
      </c>
      <c r="AN214" s="239">
        <v>397787</v>
      </c>
      <c r="AO214" s="239">
        <v>89502</v>
      </c>
      <c r="AP214" s="239">
        <v>9944</v>
      </c>
      <c r="AQ214" s="239">
        <v>12607</v>
      </c>
      <c r="AR214" s="239">
        <v>2837</v>
      </c>
      <c r="AS214" s="239">
        <v>316</v>
      </c>
      <c r="AT214" s="239">
        <v>5570.4683333333332</v>
      </c>
      <c r="AU214" s="239">
        <v>1253.3553749999999</v>
      </c>
      <c r="AV214" s="239">
        <v>139.26170833333333</v>
      </c>
      <c r="AW214" s="239">
        <v>1839</v>
      </c>
      <c r="AX214" s="239">
        <v>414</v>
      </c>
      <c r="AY214" s="239">
        <v>46</v>
      </c>
      <c r="AZ214" s="239">
        <v>3731</v>
      </c>
      <c r="BA214" s="239">
        <v>839</v>
      </c>
      <c r="BB214" s="239">
        <v>93</v>
      </c>
      <c r="BC214" s="239">
        <v>1982.0900000000001</v>
      </c>
      <c r="BD214" s="239">
        <v>445.97025000000002</v>
      </c>
      <c r="BE214" s="239">
        <v>49.552250000000008</v>
      </c>
      <c r="BF214" s="239">
        <v>8118</v>
      </c>
      <c r="BG214" s="239">
        <v>1826</v>
      </c>
      <c r="BH214" s="239">
        <v>202</v>
      </c>
      <c r="BI214" s="239">
        <v>-6136</v>
      </c>
      <c r="BJ214" s="239">
        <v>-1380</v>
      </c>
      <c r="BK214" s="239">
        <v>-152</v>
      </c>
      <c r="BL214" s="239">
        <v>11968.025000000001</v>
      </c>
      <c r="BM214" s="239">
        <v>2692.805625</v>
      </c>
      <c r="BN214" s="239">
        <v>299.20062500000006</v>
      </c>
      <c r="BO214" s="239">
        <v>8118</v>
      </c>
      <c r="BP214" s="239">
        <v>1826</v>
      </c>
      <c r="BQ214" s="239">
        <v>202</v>
      </c>
      <c r="BR214" s="239">
        <v>3850</v>
      </c>
      <c r="BS214" s="239">
        <v>867</v>
      </c>
      <c r="BT214" s="239">
        <v>97</v>
      </c>
      <c r="BU214" s="239">
        <v>215375.34416666668</v>
      </c>
      <c r="BV214" s="239">
        <v>48459.452437499996</v>
      </c>
      <c r="BW214" s="239">
        <v>5384.3836041666664</v>
      </c>
      <c r="BX214" s="239">
        <v>178900</v>
      </c>
      <c r="BY214" s="239">
        <v>40252</v>
      </c>
      <c r="BZ214" s="239">
        <v>4472</v>
      </c>
      <c r="CA214" s="239">
        <v>36475</v>
      </c>
      <c r="CB214" s="239">
        <v>8207</v>
      </c>
      <c r="CC214" s="239">
        <v>912</v>
      </c>
      <c r="CD214" s="239">
        <v>22345.589166666668</v>
      </c>
      <c r="CE214" s="239">
        <v>5027.7575624999999</v>
      </c>
      <c r="CF214" s="239">
        <v>558.63972916666671</v>
      </c>
      <c r="CG214" s="239">
        <v>32245</v>
      </c>
      <c r="CH214" s="239">
        <v>0</v>
      </c>
      <c r="CI214" s="239">
        <v>0</v>
      </c>
      <c r="CJ214" s="239">
        <v>-9899</v>
      </c>
      <c r="CK214" s="239">
        <v>5028</v>
      </c>
      <c r="CL214" s="239">
        <v>559</v>
      </c>
      <c r="CM214" s="239">
        <v>7989.2350000000006</v>
      </c>
      <c r="CN214" s="239">
        <v>1797.5778750000002</v>
      </c>
      <c r="CO214" s="239">
        <v>199.73087500000003</v>
      </c>
      <c r="CP214" s="239">
        <v>0</v>
      </c>
      <c r="CQ214" s="239">
        <v>0</v>
      </c>
      <c r="CR214" s="239">
        <v>0</v>
      </c>
      <c r="CS214" s="239">
        <v>7989</v>
      </c>
      <c r="CT214" s="239">
        <v>1798</v>
      </c>
      <c r="CU214" s="239">
        <v>200</v>
      </c>
      <c r="CV214" s="239">
        <v>80324.94458333333</v>
      </c>
      <c r="CW214" s="239">
        <v>17976.7520625</v>
      </c>
      <c r="CX214" s="239">
        <v>1997.4168958333335</v>
      </c>
      <c r="CY214" s="239">
        <v>85033</v>
      </c>
      <c r="CZ214" s="239">
        <v>19044</v>
      </c>
      <c r="DA214" s="239">
        <v>2116</v>
      </c>
      <c r="DB214" s="239">
        <v>-4708</v>
      </c>
      <c r="DC214" s="239">
        <v>-1067</v>
      </c>
      <c r="DD214" s="239">
        <v>-119</v>
      </c>
      <c r="DE214" s="214">
        <v>0.5</v>
      </c>
      <c r="DF214" s="214">
        <v>0.4</v>
      </c>
      <c r="DG214" s="214">
        <v>0.09</v>
      </c>
      <c r="DH214" s="214">
        <v>0.01</v>
      </c>
      <c r="DI214" s="214" t="s">
        <v>1294</v>
      </c>
    </row>
    <row r="215" spans="2:113" s="214" customFormat="1" x14ac:dyDescent="0.2">
      <c r="B215" s="610" t="s">
        <v>513</v>
      </c>
      <c r="C215" s="610" t="s">
        <v>512</v>
      </c>
      <c r="D215" s="239">
        <v>0</v>
      </c>
      <c r="E215" s="239">
        <v>0</v>
      </c>
      <c r="F215" s="239">
        <v>0</v>
      </c>
      <c r="G215" s="239">
        <v>0</v>
      </c>
      <c r="H215" s="239">
        <v>0</v>
      </c>
      <c r="I215" s="239">
        <v>0</v>
      </c>
      <c r="J215" s="239">
        <v>0</v>
      </c>
      <c r="K215" s="239">
        <v>0</v>
      </c>
      <c r="L215" s="239">
        <v>0</v>
      </c>
      <c r="M215" s="239">
        <v>299392</v>
      </c>
      <c r="N215" s="239">
        <v>299392</v>
      </c>
      <c r="O215" s="239">
        <v>0</v>
      </c>
      <c r="P215" s="239">
        <v>0</v>
      </c>
      <c r="Q215" s="239">
        <v>0</v>
      </c>
      <c r="R215" s="239">
        <v>0</v>
      </c>
      <c r="S215" s="239">
        <v>0</v>
      </c>
      <c r="T215" s="239">
        <v>0</v>
      </c>
      <c r="U215" s="239">
        <v>0</v>
      </c>
      <c r="V215" s="239">
        <v>0</v>
      </c>
      <c r="W215" s="239">
        <v>0</v>
      </c>
      <c r="X215" s="239">
        <v>0</v>
      </c>
      <c r="Y215" s="239">
        <v>0</v>
      </c>
      <c r="Z215" s="239">
        <v>0</v>
      </c>
      <c r="AA215" s="239">
        <v>0</v>
      </c>
      <c r="AB215" s="239">
        <v>0</v>
      </c>
      <c r="AC215" s="239">
        <v>0</v>
      </c>
      <c r="AD215" s="239">
        <v>0</v>
      </c>
      <c r="AE215" s="239">
        <v>0</v>
      </c>
      <c r="AF215" s="239">
        <v>0</v>
      </c>
      <c r="AG215" s="239">
        <v>0</v>
      </c>
      <c r="AH215" s="239">
        <v>0</v>
      </c>
      <c r="AI215" s="239">
        <v>0</v>
      </c>
      <c r="AJ215" s="239">
        <v>0</v>
      </c>
      <c r="AK215" s="239">
        <v>352755.71062499995</v>
      </c>
      <c r="AL215" s="239">
        <v>235170.47375</v>
      </c>
      <c r="AM215" s="239">
        <v>0</v>
      </c>
      <c r="AN215" s="239">
        <v>353415</v>
      </c>
      <c r="AO215" s="239">
        <v>235610</v>
      </c>
      <c r="AP215" s="239">
        <v>0</v>
      </c>
      <c r="AQ215" s="239">
        <v>-659</v>
      </c>
      <c r="AR215" s="239">
        <v>-440</v>
      </c>
      <c r="AS215" s="239">
        <v>0</v>
      </c>
      <c r="AT215" s="239">
        <v>0</v>
      </c>
      <c r="AU215" s="239">
        <v>0</v>
      </c>
      <c r="AV215" s="239">
        <v>0</v>
      </c>
      <c r="AW215" s="239">
        <v>0</v>
      </c>
      <c r="AX215" s="239">
        <v>0</v>
      </c>
      <c r="AY215" s="239">
        <v>0</v>
      </c>
      <c r="AZ215" s="239">
        <v>0</v>
      </c>
      <c r="BA215" s="239">
        <v>0</v>
      </c>
      <c r="BB215" s="239">
        <v>0</v>
      </c>
      <c r="BC215" s="239">
        <v>0</v>
      </c>
      <c r="BD215" s="239">
        <v>0</v>
      </c>
      <c r="BE215" s="239">
        <v>0</v>
      </c>
      <c r="BF215" s="239">
        <v>0</v>
      </c>
      <c r="BG215" s="239">
        <v>0</v>
      </c>
      <c r="BH215" s="239">
        <v>0</v>
      </c>
      <c r="BI215" s="239">
        <v>0</v>
      </c>
      <c r="BJ215" s="239">
        <v>0</v>
      </c>
      <c r="BK215" s="239">
        <v>0</v>
      </c>
      <c r="BL215" s="239">
        <v>20120.100624999999</v>
      </c>
      <c r="BM215" s="239">
        <v>13413.400416666667</v>
      </c>
      <c r="BN215" s="239">
        <v>0</v>
      </c>
      <c r="BO215" s="239">
        <v>0</v>
      </c>
      <c r="BP215" s="239">
        <v>0</v>
      </c>
      <c r="BQ215" s="239">
        <v>0</v>
      </c>
      <c r="BR215" s="239">
        <v>20120</v>
      </c>
      <c r="BS215" s="239">
        <v>13413</v>
      </c>
      <c r="BT215" s="239">
        <v>0</v>
      </c>
      <c r="BU215" s="239">
        <v>550211.07812499988</v>
      </c>
      <c r="BV215" s="239">
        <v>366807.38541666669</v>
      </c>
      <c r="BW215" s="239">
        <v>0</v>
      </c>
      <c r="BX215" s="239">
        <v>320507</v>
      </c>
      <c r="BY215" s="239">
        <v>213670</v>
      </c>
      <c r="BZ215" s="239">
        <v>0</v>
      </c>
      <c r="CA215" s="239">
        <v>229704</v>
      </c>
      <c r="CB215" s="239">
        <v>153137</v>
      </c>
      <c r="CC215" s="239">
        <v>0</v>
      </c>
      <c r="CD215" s="239">
        <v>0</v>
      </c>
      <c r="CE215" s="239">
        <v>0</v>
      </c>
      <c r="CF215" s="239">
        <v>0</v>
      </c>
      <c r="CG215" s="239">
        <v>0</v>
      </c>
      <c r="CH215" s="239">
        <v>0</v>
      </c>
      <c r="CI215" s="239">
        <v>0</v>
      </c>
      <c r="CJ215" s="239">
        <v>0</v>
      </c>
      <c r="CK215" s="239">
        <v>0</v>
      </c>
      <c r="CL215" s="239">
        <v>0</v>
      </c>
      <c r="CM215" s="239">
        <v>4318.1681249999992</v>
      </c>
      <c r="CN215" s="239">
        <v>2878.7787499999999</v>
      </c>
      <c r="CO215" s="239">
        <v>0</v>
      </c>
      <c r="CP215" s="239">
        <v>0</v>
      </c>
      <c r="CQ215" s="239">
        <v>0</v>
      </c>
      <c r="CR215" s="239">
        <v>0</v>
      </c>
      <c r="CS215" s="239">
        <v>4318</v>
      </c>
      <c r="CT215" s="239">
        <v>2879</v>
      </c>
      <c r="CU215" s="239">
        <v>0</v>
      </c>
      <c r="CV215" s="239">
        <v>340596.62437499996</v>
      </c>
      <c r="CW215" s="239">
        <v>227064.41624999998</v>
      </c>
      <c r="CX215" s="239">
        <v>0</v>
      </c>
      <c r="CY215" s="239">
        <v>357037</v>
      </c>
      <c r="CZ215" s="239">
        <v>238025</v>
      </c>
      <c r="DA215" s="239">
        <v>0</v>
      </c>
      <c r="DB215" s="239">
        <v>-16440</v>
      </c>
      <c r="DC215" s="239">
        <v>-10961</v>
      </c>
      <c r="DD215" s="239">
        <v>0</v>
      </c>
      <c r="DE215" s="214">
        <v>0.5</v>
      </c>
      <c r="DF215" s="214">
        <v>0.3</v>
      </c>
      <c r="DG215" s="214">
        <v>0.2</v>
      </c>
      <c r="DH215" s="214">
        <v>0</v>
      </c>
      <c r="DI215" s="214" t="s">
        <v>1295</v>
      </c>
    </row>
    <row r="216" spans="2:113" s="214" customFormat="1" x14ac:dyDescent="0.2">
      <c r="B216" s="610" t="s">
        <v>515</v>
      </c>
      <c r="C216" s="610" t="s">
        <v>514</v>
      </c>
      <c r="D216" s="239">
        <v>-38189</v>
      </c>
      <c r="E216" s="239">
        <v>0</v>
      </c>
      <c r="F216" s="239">
        <v>-38189</v>
      </c>
      <c r="G216" s="239">
        <v>0</v>
      </c>
      <c r="H216" s="239">
        <v>0</v>
      </c>
      <c r="I216" s="239">
        <v>0</v>
      </c>
      <c r="J216" s="239">
        <v>-38189</v>
      </c>
      <c r="K216" s="239">
        <v>0</v>
      </c>
      <c r="L216" s="239">
        <v>-38189</v>
      </c>
      <c r="M216" s="239">
        <v>96555</v>
      </c>
      <c r="N216" s="239">
        <v>96555</v>
      </c>
      <c r="O216" s="239">
        <v>0</v>
      </c>
      <c r="P216" s="239">
        <v>0</v>
      </c>
      <c r="Q216" s="239">
        <v>0</v>
      </c>
      <c r="R216" s="239">
        <v>0</v>
      </c>
      <c r="S216" s="239">
        <v>0</v>
      </c>
      <c r="T216" s="239">
        <v>0</v>
      </c>
      <c r="U216" s="239">
        <v>0</v>
      </c>
      <c r="V216" s="239">
        <v>0</v>
      </c>
      <c r="W216" s="239">
        <v>0</v>
      </c>
      <c r="X216" s="239">
        <v>0</v>
      </c>
      <c r="Y216" s="239">
        <v>0</v>
      </c>
      <c r="Z216" s="239">
        <v>0</v>
      </c>
      <c r="AA216" s="239">
        <v>0</v>
      </c>
      <c r="AB216" s="239">
        <v>0</v>
      </c>
      <c r="AC216" s="239">
        <v>0</v>
      </c>
      <c r="AD216" s="239">
        <v>0</v>
      </c>
      <c r="AE216" s="239">
        <v>0</v>
      </c>
      <c r="AF216" s="239">
        <v>0</v>
      </c>
      <c r="AG216" s="239">
        <v>0</v>
      </c>
      <c r="AH216" s="239">
        <v>0</v>
      </c>
      <c r="AI216" s="239">
        <v>0</v>
      </c>
      <c r="AJ216" s="239">
        <v>0</v>
      </c>
      <c r="AK216" s="239">
        <v>415969.22375</v>
      </c>
      <c r="AL216" s="239">
        <v>93593.075343749995</v>
      </c>
      <c r="AM216" s="239">
        <v>10399.230593749999</v>
      </c>
      <c r="AN216" s="239">
        <v>368990</v>
      </c>
      <c r="AO216" s="239">
        <v>83022</v>
      </c>
      <c r="AP216" s="239">
        <v>9224</v>
      </c>
      <c r="AQ216" s="239">
        <v>46979</v>
      </c>
      <c r="AR216" s="239">
        <v>10571</v>
      </c>
      <c r="AS216" s="239">
        <v>1175</v>
      </c>
      <c r="AT216" s="239">
        <v>0</v>
      </c>
      <c r="AU216" s="239">
        <v>0</v>
      </c>
      <c r="AV216" s="239">
        <v>0</v>
      </c>
      <c r="AW216" s="239">
        <v>0</v>
      </c>
      <c r="AX216" s="239">
        <v>0</v>
      </c>
      <c r="AY216" s="239">
        <v>0</v>
      </c>
      <c r="AZ216" s="239">
        <v>0</v>
      </c>
      <c r="BA216" s="239">
        <v>0</v>
      </c>
      <c r="BB216" s="239">
        <v>0</v>
      </c>
      <c r="BC216" s="239">
        <v>1790.5366666666666</v>
      </c>
      <c r="BD216" s="239">
        <v>402.87074999999993</v>
      </c>
      <c r="BE216" s="239">
        <v>44.763416666666664</v>
      </c>
      <c r="BF216" s="239">
        <v>2532</v>
      </c>
      <c r="BG216" s="239">
        <v>570</v>
      </c>
      <c r="BH216" s="239">
        <v>64</v>
      </c>
      <c r="BI216" s="239">
        <v>-741</v>
      </c>
      <c r="BJ216" s="239">
        <v>-167</v>
      </c>
      <c r="BK216" s="239">
        <v>-19</v>
      </c>
      <c r="BL216" s="239">
        <v>0</v>
      </c>
      <c r="BM216" s="239">
        <v>0</v>
      </c>
      <c r="BN216" s="239">
        <v>0</v>
      </c>
      <c r="BO216" s="239">
        <v>0</v>
      </c>
      <c r="BP216" s="239">
        <v>0</v>
      </c>
      <c r="BQ216" s="239">
        <v>0</v>
      </c>
      <c r="BR216" s="239">
        <v>0</v>
      </c>
      <c r="BS216" s="239">
        <v>0</v>
      </c>
      <c r="BT216" s="239">
        <v>0</v>
      </c>
      <c r="BU216" s="239">
        <v>128838.285</v>
      </c>
      <c r="BV216" s="239">
        <v>28988.614124999996</v>
      </c>
      <c r="BW216" s="239">
        <v>3220.9571249999999</v>
      </c>
      <c r="BX216" s="239">
        <v>111416</v>
      </c>
      <c r="BY216" s="239">
        <v>25068</v>
      </c>
      <c r="BZ216" s="239">
        <v>2786</v>
      </c>
      <c r="CA216" s="239">
        <v>17422</v>
      </c>
      <c r="CB216" s="239">
        <v>3921</v>
      </c>
      <c r="CC216" s="239">
        <v>435</v>
      </c>
      <c r="CD216" s="239">
        <v>3681.314166666667</v>
      </c>
      <c r="CE216" s="239">
        <v>828.2956875000001</v>
      </c>
      <c r="CF216" s="239">
        <v>92.032854166666681</v>
      </c>
      <c r="CG216" s="239">
        <v>6960</v>
      </c>
      <c r="CH216" s="239">
        <v>0</v>
      </c>
      <c r="CI216" s="239">
        <v>0</v>
      </c>
      <c r="CJ216" s="239">
        <v>-3279</v>
      </c>
      <c r="CK216" s="239">
        <v>828</v>
      </c>
      <c r="CL216" s="239">
        <v>92</v>
      </c>
      <c r="CM216" s="239">
        <v>0</v>
      </c>
      <c r="CN216" s="239">
        <v>0</v>
      </c>
      <c r="CO216" s="239">
        <v>0</v>
      </c>
      <c r="CP216" s="239">
        <v>0</v>
      </c>
      <c r="CQ216" s="239">
        <v>0</v>
      </c>
      <c r="CR216" s="239">
        <v>0</v>
      </c>
      <c r="CS216" s="239">
        <v>0</v>
      </c>
      <c r="CT216" s="239">
        <v>0</v>
      </c>
      <c r="CU216" s="239">
        <v>0</v>
      </c>
      <c r="CV216" s="239">
        <v>69427.108333333337</v>
      </c>
      <c r="CW216" s="239">
        <v>15621.099374999998</v>
      </c>
      <c r="CX216" s="239">
        <v>1735.6777083333334</v>
      </c>
      <c r="CY216" s="239">
        <v>71900</v>
      </c>
      <c r="CZ216" s="239">
        <v>16177</v>
      </c>
      <c r="DA216" s="239">
        <v>1797</v>
      </c>
      <c r="DB216" s="239">
        <v>-2473</v>
      </c>
      <c r="DC216" s="239">
        <v>-556</v>
      </c>
      <c r="DD216" s="239">
        <v>-61</v>
      </c>
      <c r="DE216" s="214">
        <v>0.5</v>
      </c>
      <c r="DF216" s="214">
        <v>0.4</v>
      </c>
      <c r="DG216" s="214">
        <v>0.09</v>
      </c>
      <c r="DH216" s="214">
        <v>0.01</v>
      </c>
      <c r="DI216" s="214" t="s">
        <v>1294</v>
      </c>
    </row>
    <row r="217" spans="2:113" s="214" customFormat="1" x14ac:dyDescent="0.2">
      <c r="B217" s="610" t="s">
        <v>517</v>
      </c>
      <c r="C217" s="610" t="s">
        <v>516</v>
      </c>
      <c r="D217" s="239">
        <v>-55150</v>
      </c>
      <c r="E217" s="239">
        <v>0</v>
      </c>
      <c r="F217" s="239">
        <v>-55150</v>
      </c>
      <c r="G217" s="239">
        <v>0</v>
      </c>
      <c r="H217" s="239">
        <v>0</v>
      </c>
      <c r="I217" s="239">
        <v>0</v>
      </c>
      <c r="J217" s="239">
        <v>-55150</v>
      </c>
      <c r="K217" s="239">
        <v>0</v>
      </c>
      <c r="L217" s="239">
        <v>-55150</v>
      </c>
      <c r="M217" s="239">
        <v>285653</v>
      </c>
      <c r="N217" s="239">
        <v>285653</v>
      </c>
      <c r="O217" s="239">
        <v>0</v>
      </c>
      <c r="P217" s="239">
        <v>0</v>
      </c>
      <c r="Q217" s="239">
        <v>0</v>
      </c>
      <c r="R217" s="239">
        <v>0</v>
      </c>
      <c r="S217" s="239">
        <v>0</v>
      </c>
      <c r="T217" s="239">
        <v>0</v>
      </c>
      <c r="U217" s="239">
        <v>0</v>
      </c>
      <c r="V217" s="239">
        <v>0</v>
      </c>
      <c r="W217" s="239">
        <v>0</v>
      </c>
      <c r="X217" s="239">
        <v>0</v>
      </c>
      <c r="Y217" s="239">
        <v>0</v>
      </c>
      <c r="Z217" s="239">
        <v>0</v>
      </c>
      <c r="AA217" s="239">
        <v>0</v>
      </c>
      <c r="AB217" s="239">
        <v>0</v>
      </c>
      <c r="AC217" s="239">
        <v>0</v>
      </c>
      <c r="AD217" s="239">
        <v>0</v>
      </c>
      <c r="AE217" s="239">
        <v>0</v>
      </c>
      <c r="AF217" s="239">
        <v>0</v>
      </c>
      <c r="AG217" s="239">
        <v>0</v>
      </c>
      <c r="AH217" s="239">
        <v>0</v>
      </c>
      <c r="AI217" s="239">
        <v>0</v>
      </c>
      <c r="AJ217" s="239">
        <v>0</v>
      </c>
      <c r="AK217" s="239">
        <v>1345974.1206041665</v>
      </c>
      <c r="AL217" s="239">
        <v>0</v>
      </c>
      <c r="AM217" s="239">
        <v>27468.859604166664</v>
      </c>
      <c r="AN217" s="239">
        <v>1303017</v>
      </c>
      <c r="AO217" s="239">
        <v>0</v>
      </c>
      <c r="AP217" s="239">
        <v>26592</v>
      </c>
      <c r="AQ217" s="239">
        <v>42957</v>
      </c>
      <c r="AR217" s="239">
        <v>0</v>
      </c>
      <c r="AS217" s="239">
        <v>877</v>
      </c>
      <c r="AT217" s="239">
        <v>8905.8704583333329</v>
      </c>
      <c r="AU217" s="239">
        <v>0</v>
      </c>
      <c r="AV217" s="239">
        <v>181.75245833333335</v>
      </c>
      <c r="AW217" s="239">
        <v>3283</v>
      </c>
      <c r="AX217" s="239">
        <v>0</v>
      </c>
      <c r="AY217" s="239">
        <v>68</v>
      </c>
      <c r="AZ217" s="239">
        <v>5623</v>
      </c>
      <c r="BA217" s="239">
        <v>0</v>
      </c>
      <c r="BB217" s="239">
        <v>114</v>
      </c>
      <c r="BC217" s="239">
        <v>2630.8957500000001</v>
      </c>
      <c r="BD217" s="239">
        <v>0</v>
      </c>
      <c r="BE217" s="239">
        <v>53.691750000000006</v>
      </c>
      <c r="BF217" s="239">
        <v>8210</v>
      </c>
      <c r="BG217" s="239">
        <v>0</v>
      </c>
      <c r="BH217" s="239">
        <v>168</v>
      </c>
      <c r="BI217" s="239">
        <v>-5579</v>
      </c>
      <c r="BJ217" s="239">
        <v>0</v>
      </c>
      <c r="BK217" s="239">
        <v>-114</v>
      </c>
      <c r="BL217" s="239">
        <v>60899.370291666666</v>
      </c>
      <c r="BM217" s="239">
        <v>0</v>
      </c>
      <c r="BN217" s="239">
        <v>1242.8442916666665</v>
      </c>
      <c r="BO217" s="239">
        <v>34998</v>
      </c>
      <c r="BP217" s="239">
        <v>0</v>
      </c>
      <c r="BQ217" s="239">
        <v>714</v>
      </c>
      <c r="BR217" s="239">
        <v>25901</v>
      </c>
      <c r="BS217" s="239">
        <v>0</v>
      </c>
      <c r="BT217" s="239">
        <v>529</v>
      </c>
      <c r="BU217" s="239">
        <v>570736.83960416657</v>
      </c>
      <c r="BV217" s="239">
        <v>0</v>
      </c>
      <c r="BW217" s="239">
        <v>11647.690604166666</v>
      </c>
      <c r="BX217" s="239">
        <v>572649</v>
      </c>
      <c r="BY217" s="239">
        <v>0</v>
      </c>
      <c r="BZ217" s="239">
        <v>11686</v>
      </c>
      <c r="CA217" s="239">
        <v>-1912</v>
      </c>
      <c r="CB217" s="239">
        <v>0</v>
      </c>
      <c r="CC217" s="239">
        <v>-38</v>
      </c>
      <c r="CD217" s="239">
        <v>86780.78237500001</v>
      </c>
      <c r="CE217" s="239">
        <v>0</v>
      </c>
      <c r="CF217" s="239">
        <v>1771.0363750000001</v>
      </c>
      <c r="CG217" s="239">
        <v>155749</v>
      </c>
      <c r="CH217" s="239">
        <v>0</v>
      </c>
      <c r="CI217" s="239">
        <v>0</v>
      </c>
      <c r="CJ217" s="239">
        <v>-68968</v>
      </c>
      <c r="CK217" s="239">
        <v>0</v>
      </c>
      <c r="CL217" s="239">
        <v>1771</v>
      </c>
      <c r="CM217" s="239">
        <v>8461.4220833333329</v>
      </c>
      <c r="CN217" s="239">
        <v>0</v>
      </c>
      <c r="CO217" s="239">
        <v>172.68208333333334</v>
      </c>
      <c r="CP217" s="239">
        <v>0</v>
      </c>
      <c r="CQ217" s="239">
        <v>0</v>
      </c>
      <c r="CR217" s="239">
        <v>0</v>
      </c>
      <c r="CS217" s="239">
        <v>8461</v>
      </c>
      <c r="CT217" s="239">
        <v>0</v>
      </c>
      <c r="CU217" s="239">
        <v>173</v>
      </c>
      <c r="CV217" s="239">
        <v>452391.11064583337</v>
      </c>
      <c r="CW217" s="239">
        <v>0</v>
      </c>
      <c r="CX217" s="239">
        <v>9232.4716458333351</v>
      </c>
      <c r="CY217" s="239">
        <v>438950</v>
      </c>
      <c r="CZ217" s="239">
        <v>0</v>
      </c>
      <c r="DA217" s="239">
        <v>8958</v>
      </c>
      <c r="DB217" s="239">
        <v>13441</v>
      </c>
      <c r="DC217" s="239">
        <v>0</v>
      </c>
      <c r="DD217" s="239">
        <v>274</v>
      </c>
      <c r="DE217" s="214">
        <v>0.5</v>
      </c>
      <c r="DF217" s="214">
        <v>0.49</v>
      </c>
      <c r="DG217" s="214">
        <v>0</v>
      </c>
      <c r="DH217" s="214">
        <v>0.01</v>
      </c>
      <c r="DI217" s="214" t="s">
        <v>1296</v>
      </c>
    </row>
    <row r="218" spans="2:113" s="214" customFormat="1" x14ac:dyDescent="0.2">
      <c r="B218" s="610" t="s">
        <v>519</v>
      </c>
      <c r="C218" s="610" t="s">
        <v>518</v>
      </c>
      <c r="D218" s="239">
        <v>-9943</v>
      </c>
      <c r="E218" s="239">
        <v>0</v>
      </c>
      <c r="F218" s="239">
        <v>-9943</v>
      </c>
      <c r="G218" s="239">
        <v>0</v>
      </c>
      <c r="H218" s="239">
        <v>0</v>
      </c>
      <c r="I218" s="239">
        <v>0</v>
      </c>
      <c r="J218" s="239">
        <v>-9943</v>
      </c>
      <c r="K218" s="239">
        <v>0</v>
      </c>
      <c r="L218" s="239">
        <v>-9943</v>
      </c>
      <c r="M218" s="239">
        <v>85235</v>
      </c>
      <c r="N218" s="239">
        <v>85235</v>
      </c>
      <c r="O218" s="239">
        <v>0</v>
      </c>
      <c r="P218" s="239">
        <v>0</v>
      </c>
      <c r="Q218" s="239">
        <v>0</v>
      </c>
      <c r="R218" s="239">
        <v>0</v>
      </c>
      <c r="S218" s="239">
        <v>0</v>
      </c>
      <c r="T218" s="239">
        <v>0</v>
      </c>
      <c r="U218" s="239">
        <v>0</v>
      </c>
      <c r="V218" s="239">
        <v>0</v>
      </c>
      <c r="W218" s="239">
        <v>0</v>
      </c>
      <c r="X218" s="239">
        <v>0</v>
      </c>
      <c r="Y218" s="239">
        <v>0</v>
      </c>
      <c r="Z218" s="239">
        <v>0</v>
      </c>
      <c r="AA218" s="239">
        <v>0</v>
      </c>
      <c r="AB218" s="239">
        <v>0</v>
      </c>
      <c r="AC218" s="239">
        <v>0</v>
      </c>
      <c r="AD218" s="239">
        <v>0</v>
      </c>
      <c r="AE218" s="239">
        <v>0</v>
      </c>
      <c r="AF218" s="239">
        <v>0</v>
      </c>
      <c r="AG218" s="239">
        <v>0</v>
      </c>
      <c r="AH218" s="239">
        <v>0</v>
      </c>
      <c r="AI218" s="239">
        <v>0</v>
      </c>
      <c r="AJ218" s="239">
        <v>0</v>
      </c>
      <c r="AK218" s="239">
        <v>365387.17166666669</v>
      </c>
      <c r="AL218" s="239">
        <v>82212.113624999998</v>
      </c>
      <c r="AM218" s="239">
        <v>9134.6792916666673</v>
      </c>
      <c r="AN218" s="239">
        <v>325798</v>
      </c>
      <c r="AO218" s="239">
        <v>73304</v>
      </c>
      <c r="AP218" s="239">
        <v>8144</v>
      </c>
      <c r="AQ218" s="239">
        <v>39589</v>
      </c>
      <c r="AR218" s="239">
        <v>8908</v>
      </c>
      <c r="AS218" s="239">
        <v>991</v>
      </c>
      <c r="AT218" s="239">
        <v>0</v>
      </c>
      <c r="AU218" s="239">
        <v>0</v>
      </c>
      <c r="AV218" s="239">
        <v>0</v>
      </c>
      <c r="AW218" s="239">
        <v>0</v>
      </c>
      <c r="AX218" s="239">
        <v>0</v>
      </c>
      <c r="AY218" s="239">
        <v>0</v>
      </c>
      <c r="AZ218" s="239">
        <v>0</v>
      </c>
      <c r="BA218" s="239">
        <v>0</v>
      </c>
      <c r="BB218" s="239">
        <v>0</v>
      </c>
      <c r="BC218" s="239">
        <v>0</v>
      </c>
      <c r="BD218" s="239">
        <v>0</v>
      </c>
      <c r="BE218" s="239">
        <v>0</v>
      </c>
      <c r="BF218" s="239">
        <v>0</v>
      </c>
      <c r="BG218" s="239">
        <v>0</v>
      </c>
      <c r="BH218" s="239">
        <v>0</v>
      </c>
      <c r="BI218" s="239">
        <v>0</v>
      </c>
      <c r="BJ218" s="239">
        <v>0</v>
      </c>
      <c r="BK218" s="239">
        <v>0</v>
      </c>
      <c r="BL218" s="239">
        <v>0</v>
      </c>
      <c r="BM218" s="239">
        <v>0</v>
      </c>
      <c r="BN218" s="239">
        <v>0</v>
      </c>
      <c r="BO218" s="239">
        <v>0</v>
      </c>
      <c r="BP218" s="239">
        <v>0</v>
      </c>
      <c r="BQ218" s="239">
        <v>0</v>
      </c>
      <c r="BR218" s="239">
        <v>0</v>
      </c>
      <c r="BS218" s="239">
        <v>0</v>
      </c>
      <c r="BT218" s="239">
        <v>0</v>
      </c>
      <c r="BU218" s="239">
        <v>187652.86916666667</v>
      </c>
      <c r="BV218" s="239">
        <v>42221.895562500002</v>
      </c>
      <c r="BW218" s="239">
        <v>4691.321729166667</v>
      </c>
      <c r="BX218" s="239">
        <v>117507</v>
      </c>
      <c r="BY218" s="239">
        <v>26438</v>
      </c>
      <c r="BZ218" s="239">
        <v>2938</v>
      </c>
      <c r="CA218" s="239">
        <v>70146</v>
      </c>
      <c r="CB218" s="239">
        <v>15784</v>
      </c>
      <c r="CC218" s="239">
        <v>1753</v>
      </c>
      <c r="CD218" s="239">
        <v>86250.94666666667</v>
      </c>
      <c r="CE218" s="239">
        <v>19406.463</v>
      </c>
      <c r="CF218" s="239">
        <v>2156.2736666666669</v>
      </c>
      <c r="CG218" s="239">
        <v>0</v>
      </c>
      <c r="CH218" s="239">
        <v>0</v>
      </c>
      <c r="CI218" s="239">
        <v>0</v>
      </c>
      <c r="CJ218" s="239">
        <v>86251</v>
      </c>
      <c r="CK218" s="239">
        <v>19406</v>
      </c>
      <c r="CL218" s="239">
        <v>2156</v>
      </c>
      <c r="CM218" s="239">
        <v>2833.1224999999999</v>
      </c>
      <c r="CN218" s="239">
        <v>637.4525625</v>
      </c>
      <c r="CO218" s="239">
        <v>70.828062500000001</v>
      </c>
      <c r="CP218" s="239">
        <v>0</v>
      </c>
      <c r="CQ218" s="239">
        <v>0</v>
      </c>
      <c r="CR218" s="239">
        <v>0</v>
      </c>
      <c r="CS218" s="239">
        <v>2833</v>
      </c>
      <c r="CT218" s="239">
        <v>637</v>
      </c>
      <c r="CU218" s="239">
        <v>71</v>
      </c>
      <c r="CV218" s="239">
        <v>87228.19</v>
      </c>
      <c r="CW218" s="239">
        <v>19626.34275</v>
      </c>
      <c r="CX218" s="239">
        <v>2180.7047499999999</v>
      </c>
      <c r="CY218" s="239">
        <v>94899</v>
      </c>
      <c r="CZ218" s="239">
        <v>21352</v>
      </c>
      <c r="DA218" s="239">
        <v>2372</v>
      </c>
      <c r="DB218" s="239">
        <v>-7671</v>
      </c>
      <c r="DC218" s="239">
        <v>-1726</v>
      </c>
      <c r="DD218" s="239">
        <v>-191</v>
      </c>
      <c r="DE218" s="214">
        <v>0.5</v>
      </c>
      <c r="DF218" s="214">
        <v>0.4</v>
      </c>
      <c r="DG218" s="214">
        <v>0.09</v>
      </c>
      <c r="DH218" s="214">
        <v>0.01</v>
      </c>
      <c r="DI218" s="214" t="s">
        <v>1294</v>
      </c>
    </row>
    <row r="219" spans="2:113" s="214" customFormat="1" x14ac:dyDescent="0.2">
      <c r="B219" s="610" t="s">
        <v>521</v>
      </c>
      <c r="C219" s="610" t="s">
        <v>520</v>
      </c>
      <c r="D219" s="239">
        <v>-49710</v>
      </c>
      <c r="E219" s="239">
        <v>0</v>
      </c>
      <c r="F219" s="239">
        <v>-49710</v>
      </c>
      <c r="G219" s="239">
        <v>0</v>
      </c>
      <c r="H219" s="239">
        <v>0</v>
      </c>
      <c r="I219" s="239">
        <v>0</v>
      </c>
      <c r="J219" s="239">
        <v>-49710</v>
      </c>
      <c r="K219" s="239">
        <v>0</v>
      </c>
      <c r="L219" s="239">
        <v>-49710</v>
      </c>
      <c r="M219" s="239">
        <v>99985</v>
      </c>
      <c r="N219" s="239">
        <v>99985</v>
      </c>
      <c r="O219" s="239">
        <v>0</v>
      </c>
      <c r="P219" s="239">
        <v>0</v>
      </c>
      <c r="Q219" s="239">
        <v>0</v>
      </c>
      <c r="R219" s="239">
        <v>0</v>
      </c>
      <c r="S219" s="239">
        <v>0</v>
      </c>
      <c r="T219" s="239">
        <v>0</v>
      </c>
      <c r="U219" s="239">
        <v>0</v>
      </c>
      <c r="V219" s="239">
        <v>0</v>
      </c>
      <c r="W219" s="239">
        <v>0</v>
      </c>
      <c r="X219" s="239">
        <v>0</v>
      </c>
      <c r="Y219" s="239">
        <v>0</v>
      </c>
      <c r="Z219" s="239">
        <v>0</v>
      </c>
      <c r="AA219" s="239">
        <v>0</v>
      </c>
      <c r="AB219" s="239">
        <v>0</v>
      </c>
      <c r="AC219" s="239">
        <v>0</v>
      </c>
      <c r="AD219" s="239">
        <v>0</v>
      </c>
      <c r="AE219" s="239">
        <v>0</v>
      </c>
      <c r="AF219" s="239">
        <v>0</v>
      </c>
      <c r="AG219" s="239">
        <v>0</v>
      </c>
      <c r="AH219" s="239">
        <v>0</v>
      </c>
      <c r="AI219" s="239">
        <v>0</v>
      </c>
      <c r="AJ219" s="239">
        <v>0</v>
      </c>
      <c r="AK219" s="239">
        <v>421195.1395833334</v>
      </c>
      <c r="AL219" s="239">
        <v>94768.906406250011</v>
      </c>
      <c r="AM219" s="239">
        <v>10529.878489583336</v>
      </c>
      <c r="AN219" s="239">
        <v>423729</v>
      </c>
      <c r="AO219" s="239">
        <v>95340</v>
      </c>
      <c r="AP219" s="239">
        <v>10594</v>
      </c>
      <c r="AQ219" s="239">
        <v>-2534</v>
      </c>
      <c r="AR219" s="239">
        <v>-571</v>
      </c>
      <c r="AS219" s="239">
        <v>-64</v>
      </c>
      <c r="AT219" s="239">
        <v>5421.1216666666669</v>
      </c>
      <c r="AU219" s="239">
        <v>1219.752375</v>
      </c>
      <c r="AV219" s="239">
        <v>135.52804166666667</v>
      </c>
      <c r="AW219" s="239">
        <v>2030</v>
      </c>
      <c r="AX219" s="239">
        <v>456</v>
      </c>
      <c r="AY219" s="239">
        <v>50</v>
      </c>
      <c r="AZ219" s="239">
        <v>3391</v>
      </c>
      <c r="BA219" s="239">
        <v>764</v>
      </c>
      <c r="BB219" s="239">
        <v>86</v>
      </c>
      <c r="BC219" s="239">
        <v>97218.998333333337</v>
      </c>
      <c r="BD219" s="239">
        <v>21874.274624999998</v>
      </c>
      <c r="BE219" s="239">
        <v>2430.4749583333332</v>
      </c>
      <c r="BF219" s="239">
        <v>4057</v>
      </c>
      <c r="BG219" s="239">
        <v>914</v>
      </c>
      <c r="BH219" s="239">
        <v>102</v>
      </c>
      <c r="BI219" s="239">
        <v>93162</v>
      </c>
      <c r="BJ219" s="239">
        <v>20960</v>
      </c>
      <c r="BK219" s="239">
        <v>2328</v>
      </c>
      <c r="BL219" s="239">
        <v>11862.914166666667</v>
      </c>
      <c r="BM219" s="239">
        <v>2669.1556874999997</v>
      </c>
      <c r="BN219" s="239">
        <v>296.57285416666667</v>
      </c>
      <c r="BO219" s="239">
        <v>1218</v>
      </c>
      <c r="BP219" s="239">
        <v>274</v>
      </c>
      <c r="BQ219" s="239">
        <v>30</v>
      </c>
      <c r="BR219" s="239">
        <v>10645</v>
      </c>
      <c r="BS219" s="239">
        <v>2395</v>
      </c>
      <c r="BT219" s="239">
        <v>267</v>
      </c>
      <c r="BU219" s="239">
        <v>122934.62750000002</v>
      </c>
      <c r="BV219" s="239">
        <v>27660.291187500003</v>
      </c>
      <c r="BW219" s="239">
        <v>3073.3656875000001</v>
      </c>
      <c r="BX219" s="239">
        <v>128244</v>
      </c>
      <c r="BY219" s="239">
        <v>28854</v>
      </c>
      <c r="BZ219" s="239">
        <v>3206</v>
      </c>
      <c r="CA219" s="239">
        <v>-5309</v>
      </c>
      <c r="CB219" s="239">
        <v>-1194</v>
      </c>
      <c r="CC219" s="239">
        <v>-133</v>
      </c>
      <c r="CD219" s="239">
        <v>10899.465833333335</v>
      </c>
      <c r="CE219" s="239">
        <v>2452.3798124999998</v>
      </c>
      <c r="CF219" s="239">
        <v>272.48664583333334</v>
      </c>
      <c r="CG219" s="239">
        <v>34888</v>
      </c>
      <c r="CH219" s="239">
        <v>0</v>
      </c>
      <c r="CI219" s="239">
        <v>0</v>
      </c>
      <c r="CJ219" s="239">
        <v>-23989</v>
      </c>
      <c r="CK219" s="239">
        <v>2452</v>
      </c>
      <c r="CL219" s="239">
        <v>272</v>
      </c>
      <c r="CM219" s="239">
        <v>2243.4466666666667</v>
      </c>
      <c r="CN219" s="239">
        <v>504.77549999999997</v>
      </c>
      <c r="CO219" s="239">
        <v>56.086166666666671</v>
      </c>
      <c r="CP219" s="239">
        <v>0</v>
      </c>
      <c r="CQ219" s="239">
        <v>0</v>
      </c>
      <c r="CR219" s="239">
        <v>0</v>
      </c>
      <c r="CS219" s="239">
        <v>2243</v>
      </c>
      <c r="CT219" s="239">
        <v>505</v>
      </c>
      <c r="CU219" s="239">
        <v>56</v>
      </c>
      <c r="CV219" s="239">
        <v>67284.145833333328</v>
      </c>
      <c r="CW219" s="239">
        <v>15138.932812499999</v>
      </c>
      <c r="CX219" s="239">
        <v>1682.1036458333333</v>
      </c>
      <c r="CY219" s="239">
        <v>80395</v>
      </c>
      <c r="CZ219" s="239">
        <v>18089</v>
      </c>
      <c r="DA219" s="239">
        <v>2010</v>
      </c>
      <c r="DB219" s="239">
        <v>-13111</v>
      </c>
      <c r="DC219" s="239">
        <v>-2950</v>
      </c>
      <c r="DD219" s="239">
        <v>-328</v>
      </c>
      <c r="DE219" s="214">
        <v>0.5</v>
      </c>
      <c r="DF219" s="214">
        <v>0.4</v>
      </c>
      <c r="DG219" s="214">
        <v>0.09</v>
      </c>
      <c r="DH219" s="214">
        <v>0.01</v>
      </c>
      <c r="DI219" s="214" t="s">
        <v>1294</v>
      </c>
    </row>
    <row r="220" spans="2:113" s="214" customFormat="1" x14ac:dyDescent="0.2">
      <c r="B220" s="610" t="s">
        <v>523</v>
      </c>
      <c r="C220" s="610" t="s">
        <v>522</v>
      </c>
      <c r="D220" s="239">
        <v>-27442</v>
      </c>
      <c r="E220" s="239">
        <v>0</v>
      </c>
      <c r="F220" s="239">
        <v>-27442</v>
      </c>
      <c r="G220" s="239">
        <v>0</v>
      </c>
      <c r="H220" s="239">
        <v>0</v>
      </c>
      <c r="I220" s="239">
        <v>0</v>
      </c>
      <c r="J220" s="239">
        <v>-27442</v>
      </c>
      <c r="K220" s="239">
        <v>0</v>
      </c>
      <c r="L220" s="239">
        <v>-27442</v>
      </c>
      <c r="M220" s="239">
        <v>146945</v>
      </c>
      <c r="N220" s="239">
        <v>146945</v>
      </c>
      <c r="O220" s="239">
        <v>0</v>
      </c>
      <c r="P220" s="239">
        <v>0</v>
      </c>
      <c r="Q220" s="239">
        <v>0</v>
      </c>
      <c r="R220" s="239">
        <v>0</v>
      </c>
      <c r="S220" s="239">
        <v>0</v>
      </c>
      <c r="T220" s="239">
        <v>0</v>
      </c>
      <c r="U220" s="239">
        <v>0</v>
      </c>
      <c r="V220" s="239">
        <v>0</v>
      </c>
      <c r="W220" s="239">
        <v>0</v>
      </c>
      <c r="X220" s="239">
        <v>0</v>
      </c>
      <c r="Y220" s="239">
        <v>0</v>
      </c>
      <c r="Z220" s="239">
        <v>0</v>
      </c>
      <c r="AA220" s="239">
        <v>0</v>
      </c>
      <c r="AB220" s="239">
        <v>0</v>
      </c>
      <c r="AC220" s="239">
        <v>0</v>
      </c>
      <c r="AD220" s="239">
        <v>0</v>
      </c>
      <c r="AE220" s="239">
        <v>0</v>
      </c>
      <c r="AF220" s="239">
        <v>0</v>
      </c>
      <c r="AG220" s="239">
        <v>0</v>
      </c>
      <c r="AH220" s="239">
        <v>0</v>
      </c>
      <c r="AI220" s="239">
        <v>0</v>
      </c>
      <c r="AJ220" s="239">
        <v>0</v>
      </c>
      <c r="AK220" s="239">
        <v>617079.32333333336</v>
      </c>
      <c r="AL220" s="239">
        <v>138842.84774999999</v>
      </c>
      <c r="AM220" s="239">
        <v>15426.983083333333</v>
      </c>
      <c r="AN220" s="239">
        <v>582360</v>
      </c>
      <c r="AO220" s="239">
        <v>131030</v>
      </c>
      <c r="AP220" s="239">
        <v>14558</v>
      </c>
      <c r="AQ220" s="239">
        <v>34719</v>
      </c>
      <c r="AR220" s="239">
        <v>7813</v>
      </c>
      <c r="AS220" s="239">
        <v>869</v>
      </c>
      <c r="AT220" s="239">
        <v>1153.7841666666668</v>
      </c>
      <c r="AU220" s="239">
        <v>259.60143749999997</v>
      </c>
      <c r="AV220" s="239">
        <v>28.844604166666667</v>
      </c>
      <c r="AW220" s="239">
        <v>0</v>
      </c>
      <c r="AX220" s="239">
        <v>0</v>
      </c>
      <c r="AY220" s="239">
        <v>0</v>
      </c>
      <c r="AZ220" s="239">
        <v>1154</v>
      </c>
      <c r="BA220" s="239">
        <v>260</v>
      </c>
      <c r="BB220" s="239">
        <v>29</v>
      </c>
      <c r="BC220" s="239">
        <v>0</v>
      </c>
      <c r="BD220" s="239">
        <v>0</v>
      </c>
      <c r="BE220" s="239">
        <v>0</v>
      </c>
      <c r="BF220" s="239">
        <v>0</v>
      </c>
      <c r="BG220" s="239">
        <v>0</v>
      </c>
      <c r="BH220" s="239">
        <v>0</v>
      </c>
      <c r="BI220" s="239">
        <v>0</v>
      </c>
      <c r="BJ220" s="239">
        <v>0</v>
      </c>
      <c r="BK220" s="239">
        <v>0</v>
      </c>
      <c r="BL220" s="239">
        <v>7927.5483333333341</v>
      </c>
      <c r="BM220" s="239">
        <v>1783.6983749999999</v>
      </c>
      <c r="BN220" s="239">
        <v>198.18870833333335</v>
      </c>
      <c r="BO220" s="239">
        <v>3070</v>
      </c>
      <c r="BP220" s="239">
        <v>690</v>
      </c>
      <c r="BQ220" s="239">
        <v>76</v>
      </c>
      <c r="BR220" s="239">
        <v>4858</v>
      </c>
      <c r="BS220" s="239">
        <v>1094</v>
      </c>
      <c r="BT220" s="239">
        <v>122</v>
      </c>
      <c r="BU220" s="239">
        <v>257673.72916666669</v>
      </c>
      <c r="BV220" s="239">
        <v>57976.589062500003</v>
      </c>
      <c r="BW220" s="239">
        <v>6441.8432291666668</v>
      </c>
      <c r="BX220" s="239">
        <v>237812</v>
      </c>
      <c r="BY220" s="239">
        <v>53508</v>
      </c>
      <c r="BZ220" s="239">
        <v>5946</v>
      </c>
      <c r="CA220" s="239">
        <v>19862</v>
      </c>
      <c r="CB220" s="239">
        <v>4469</v>
      </c>
      <c r="CC220" s="239">
        <v>496</v>
      </c>
      <c r="CD220" s="239">
        <v>0</v>
      </c>
      <c r="CE220" s="239">
        <v>0</v>
      </c>
      <c r="CF220" s="239">
        <v>0</v>
      </c>
      <c r="CG220" s="239">
        <v>0</v>
      </c>
      <c r="CH220" s="239">
        <v>0</v>
      </c>
      <c r="CI220" s="239">
        <v>0</v>
      </c>
      <c r="CJ220" s="239">
        <v>0</v>
      </c>
      <c r="CK220" s="239">
        <v>0</v>
      </c>
      <c r="CL220" s="239">
        <v>0</v>
      </c>
      <c r="CM220" s="239">
        <v>5951.14</v>
      </c>
      <c r="CN220" s="239">
        <v>1339.0065</v>
      </c>
      <c r="CO220" s="239">
        <v>148.77850000000001</v>
      </c>
      <c r="CP220" s="239">
        <v>0</v>
      </c>
      <c r="CQ220" s="239">
        <v>0</v>
      </c>
      <c r="CR220" s="239">
        <v>0</v>
      </c>
      <c r="CS220" s="239">
        <v>5951</v>
      </c>
      <c r="CT220" s="239">
        <v>1339</v>
      </c>
      <c r="CU220" s="239">
        <v>149</v>
      </c>
      <c r="CV220" s="239">
        <v>93975.35</v>
      </c>
      <c r="CW220" s="239">
        <v>21144.453749999997</v>
      </c>
      <c r="CX220" s="239">
        <v>2349.38375</v>
      </c>
      <c r="CY220" s="239">
        <v>97870</v>
      </c>
      <c r="CZ220" s="239">
        <v>22021</v>
      </c>
      <c r="DA220" s="239">
        <v>2447</v>
      </c>
      <c r="DB220" s="239">
        <v>-3895</v>
      </c>
      <c r="DC220" s="239">
        <v>-877</v>
      </c>
      <c r="DD220" s="239">
        <v>-98</v>
      </c>
      <c r="DE220" s="214">
        <v>0.5</v>
      </c>
      <c r="DF220" s="214">
        <v>0.4</v>
      </c>
      <c r="DG220" s="214">
        <v>0.09</v>
      </c>
      <c r="DH220" s="214">
        <v>0.01</v>
      </c>
      <c r="DI220" s="214" t="s">
        <v>1294</v>
      </c>
    </row>
    <row r="221" spans="2:113" s="214" customFormat="1" x14ac:dyDescent="0.2">
      <c r="B221" s="610" t="s">
        <v>525</v>
      </c>
      <c r="C221" s="610" t="s">
        <v>524</v>
      </c>
      <c r="D221" s="239">
        <v>-96839</v>
      </c>
      <c r="E221" s="239">
        <v>0</v>
      </c>
      <c r="F221" s="239">
        <v>-96839</v>
      </c>
      <c r="G221" s="239">
        <v>0</v>
      </c>
      <c r="H221" s="239">
        <v>0</v>
      </c>
      <c r="I221" s="239">
        <v>0</v>
      </c>
      <c r="J221" s="239">
        <v>-96839</v>
      </c>
      <c r="K221" s="239">
        <v>0</v>
      </c>
      <c r="L221" s="239">
        <v>-96839</v>
      </c>
      <c r="M221" s="239">
        <v>311612</v>
      </c>
      <c r="N221" s="239">
        <v>311612</v>
      </c>
      <c r="O221" s="239">
        <v>0</v>
      </c>
      <c r="P221" s="239">
        <v>0</v>
      </c>
      <c r="Q221" s="239">
        <v>0</v>
      </c>
      <c r="R221" s="239">
        <v>0</v>
      </c>
      <c r="S221" s="239">
        <v>162039</v>
      </c>
      <c r="T221" s="239">
        <v>0</v>
      </c>
      <c r="U221" s="239">
        <v>155295</v>
      </c>
      <c r="V221" s="239">
        <v>0</v>
      </c>
      <c r="W221" s="239">
        <v>6744</v>
      </c>
      <c r="X221" s="239">
        <v>0</v>
      </c>
      <c r="Y221" s="239">
        <v>357450.8979166667</v>
      </c>
      <c r="Z221" s="239">
        <v>357450.8979166667</v>
      </c>
      <c r="AA221" s="239">
        <v>0</v>
      </c>
      <c r="AB221" s="239">
        <v>0</v>
      </c>
      <c r="AC221" s="239">
        <v>298702</v>
      </c>
      <c r="AD221" s="239">
        <v>298702</v>
      </c>
      <c r="AE221" s="239">
        <v>0</v>
      </c>
      <c r="AF221" s="239">
        <v>0</v>
      </c>
      <c r="AG221" s="239">
        <v>58749</v>
      </c>
      <c r="AH221" s="239">
        <v>58749</v>
      </c>
      <c r="AI221" s="239">
        <v>0</v>
      </c>
      <c r="AJ221" s="239">
        <v>0</v>
      </c>
      <c r="AK221" s="239">
        <v>1322240.9923437501</v>
      </c>
      <c r="AL221" s="239">
        <v>0</v>
      </c>
      <c r="AM221" s="239">
        <v>26892.824843750001</v>
      </c>
      <c r="AN221" s="239">
        <v>1269140</v>
      </c>
      <c r="AO221" s="239">
        <v>0</v>
      </c>
      <c r="AP221" s="239">
        <v>25900</v>
      </c>
      <c r="AQ221" s="239">
        <v>53101</v>
      </c>
      <c r="AR221" s="239">
        <v>0</v>
      </c>
      <c r="AS221" s="239">
        <v>993</v>
      </c>
      <c r="AT221" s="239">
        <v>8242.6779166666656</v>
      </c>
      <c r="AU221" s="239">
        <v>0</v>
      </c>
      <c r="AV221" s="239">
        <v>168.21791666666667</v>
      </c>
      <c r="AW221" s="239">
        <v>1225</v>
      </c>
      <c r="AX221" s="239">
        <v>0</v>
      </c>
      <c r="AY221" s="239">
        <v>24</v>
      </c>
      <c r="AZ221" s="239">
        <v>7018</v>
      </c>
      <c r="BA221" s="239">
        <v>0</v>
      </c>
      <c r="BB221" s="239">
        <v>144</v>
      </c>
      <c r="BC221" s="239">
        <v>9342.8616458333327</v>
      </c>
      <c r="BD221" s="239">
        <v>0</v>
      </c>
      <c r="BE221" s="239">
        <v>190.67064583333334</v>
      </c>
      <c r="BF221" s="239">
        <v>0</v>
      </c>
      <c r="BG221" s="239">
        <v>0</v>
      </c>
      <c r="BH221" s="239">
        <v>0</v>
      </c>
      <c r="BI221" s="239">
        <v>9343</v>
      </c>
      <c r="BJ221" s="239">
        <v>0</v>
      </c>
      <c r="BK221" s="239">
        <v>191</v>
      </c>
      <c r="BL221" s="239">
        <v>79549.796229166677</v>
      </c>
      <c r="BM221" s="239">
        <v>0</v>
      </c>
      <c r="BN221" s="239">
        <v>1623.4652291666669</v>
      </c>
      <c r="BO221" s="239">
        <v>50404</v>
      </c>
      <c r="BP221" s="239">
        <v>0</v>
      </c>
      <c r="BQ221" s="239">
        <v>1028</v>
      </c>
      <c r="BR221" s="239">
        <v>29146</v>
      </c>
      <c r="BS221" s="239">
        <v>0</v>
      </c>
      <c r="BT221" s="239">
        <v>595</v>
      </c>
      <c r="BU221" s="239">
        <v>494254.4331666666</v>
      </c>
      <c r="BV221" s="239">
        <v>0</v>
      </c>
      <c r="BW221" s="239">
        <v>10086.825166666667</v>
      </c>
      <c r="BX221" s="239">
        <v>277988</v>
      </c>
      <c r="BY221" s="239">
        <v>0</v>
      </c>
      <c r="BZ221" s="239">
        <v>5674</v>
      </c>
      <c r="CA221" s="239">
        <v>216266</v>
      </c>
      <c r="CB221" s="239">
        <v>0</v>
      </c>
      <c r="CC221" s="239">
        <v>4413</v>
      </c>
      <c r="CD221" s="239">
        <v>0</v>
      </c>
      <c r="CE221" s="239">
        <v>0</v>
      </c>
      <c r="CF221" s="239">
        <v>0</v>
      </c>
      <c r="CG221" s="239">
        <v>0</v>
      </c>
      <c r="CH221" s="239">
        <v>0</v>
      </c>
      <c r="CI221" s="239">
        <v>0</v>
      </c>
      <c r="CJ221" s="239">
        <v>0</v>
      </c>
      <c r="CK221" s="239">
        <v>0</v>
      </c>
      <c r="CL221" s="239">
        <v>0</v>
      </c>
      <c r="CM221" s="239">
        <v>2896.3716249999998</v>
      </c>
      <c r="CN221" s="239">
        <v>0</v>
      </c>
      <c r="CO221" s="239">
        <v>59.109624999999994</v>
      </c>
      <c r="CP221" s="239">
        <v>0</v>
      </c>
      <c r="CQ221" s="239">
        <v>0</v>
      </c>
      <c r="CR221" s="239">
        <v>0</v>
      </c>
      <c r="CS221" s="239">
        <v>2896</v>
      </c>
      <c r="CT221" s="239">
        <v>0</v>
      </c>
      <c r="CU221" s="239">
        <v>59</v>
      </c>
      <c r="CV221" s="239">
        <v>522944.51591666666</v>
      </c>
      <c r="CW221" s="239">
        <v>0</v>
      </c>
      <c r="CX221" s="239">
        <v>10624.111166666666</v>
      </c>
      <c r="CY221" s="239">
        <v>534694</v>
      </c>
      <c r="CZ221" s="239">
        <v>0</v>
      </c>
      <c r="DA221" s="239">
        <v>10777</v>
      </c>
      <c r="DB221" s="239">
        <v>-11749</v>
      </c>
      <c r="DC221" s="239">
        <v>0</v>
      </c>
      <c r="DD221" s="239">
        <v>-153</v>
      </c>
      <c r="DE221" s="214">
        <v>0.5</v>
      </c>
      <c r="DF221" s="214">
        <v>0.49</v>
      </c>
      <c r="DG221" s="214">
        <v>0</v>
      </c>
      <c r="DH221" s="214">
        <v>0.01</v>
      </c>
      <c r="DI221" s="214" t="s">
        <v>1296</v>
      </c>
    </row>
    <row r="222" spans="2:113" s="214" customFormat="1" x14ac:dyDescent="0.2">
      <c r="B222" s="610" t="s">
        <v>527</v>
      </c>
      <c r="C222" s="610" t="s">
        <v>526</v>
      </c>
      <c r="D222" s="239">
        <v>-224231</v>
      </c>
      <c r="E222" s="239">
        <v>0</v>
      </c>
      <c r="F222" s="239">
        <v>-224231</v>
      </c>
      <c r="G222" s="239">
        <v>0</v>
      </c>
      <c r="H222" s="239">
        <v>0</v>
      </c>
      <c r="I222" s="239">
        <v>0</v>
      </c>
      <c r="J222" s="239">
        <v>-224231</v>
      </c>
      <c r="K222" s="239">
        <v>0</v>
      </c>
      <c r="L222" s="239">
        <v>-224231</v>
      </c>
      <c r="M222" s="239">
        <v>137030</v>
      </c>
      <c r="N222" s="239">
        <v>137030</v>
      </c>
      <c r="O222" s="239">
        <v>0</v>
      </c>
      <c r="P222" s="239">
        <v>0</v>
      </c>
      <c r="Q222" s="239">
        <v>0</v>
      </c>
      <c r="R222" s="239">
        <v>0</v>
      </c>
      <c r="S222" s="239">
        <v>0</v>
      </c>
      <c r="T222" s="239">
        <v>0</v>
      </c>
      <c r="U222" s="239">
        <v>0</v>
      </c>
      <c r="V222" s="239">
        <v>0</v>
      </c>
      <c r="W222" s="239">
        <v>0</v>
      </c>
      <c r="X222" s="239">
        <v>0</v>
      </c>
      <c r="Y222" s="239">
        <v>0</v>
      </c>
      <c r="Z222" s="239">
        <v>0</v>
      </c>
      <c r="AA222" s="239">
        <v>0</v>
      </c>
      <c r="AB222" s="239">
        <v>0</v>
      </c>
      <c r="AC222" s="239">
        <v>0</v>
      </c>
      <c r="AD222" s="239">
        <v>0</v>
      </c>
      <c r="AE222" s="239">
        <v>0</v>
      </c>
      <c r="AF222" s="239">
        <v>0</v>
      </c>
      <c r="AG222" s="239">
        <v>0</v>
      </c>
      <c r="AH222" s="239">
        <v>0</v>
      </c>
      <c r="AI222" s="239">
        <v>0</v>
      </c>
      <c r="AJ222" s="239">
        <v>0</v>
      </c>
      <c r="AK222" s="239">
        <v>381251.60250000004</v>
      </c>
      <c r="AL222" s="239">
        <v>95312.900625000009</v>
      </c>
      <c r="AM222" s="239">
        <v>0</v>
      </c>
      <c r="AN222" s="239">
        <v>367692</v>
      </c>
      <c r="AO222" s="239">
        <v>91922</v>
      </c>
      <c r="AP222" s="239">
        <v>0</v>
      </c>
      <c r="AQ222" s="239">
        <v>13560</v>
      </c>
      <c r="AR222" s="239">
        <v>3391</v>
      </c>
      <c r="AS222" s="239">
        <v>0</v>
      </c>
      <c r="AT222" s="239">
        <v>0</v>
      </c>
      <c r="AU222" s="239">
        <v>0</v>
      </c>
      <c r="AV222" s="239">
        <v>0</v>
      </c>
      <c r="AW222" s="239">
        <v>0</v>
      </c>
      <c r="AX222" s="239">
        <v>0</v>
      </c>
      <c r="AY222" s="239">
        <v>0</v>
      </c>
      <c r="AZ222" s="239">
        <v>0</v>
      </c>
      <c r="BA222" s="239">
        <v>0</v>
      </c>
      <c r="BB222" s="239">
        <v>0</v>
      </c>
      <c r="BC222" s="239">
        <v>69809.015000000014</v>
      </c>
      <c r="BD222" s="239">
        <v>17452.253750000003</v>
      </c>
      <c r="BE222" s="239">
        <v>0</v>
      </c>
      <c r="BF222" s="239">
        <v>41123</v>
      </c>
      <c r="BG222" s="239">
        <v>10282</v>
      </c>
      <c r="BH222" s="239">
        <v>0</v>
      </c>
      <c r="BI222" s="239">
        <v>28686</v>
      </c>
      <c r="BJ222" s="239">
        <v>7170</v>
      </c>
      <c r="BK222" s="239">
        <v>0</v>
      </c>
      <c r="BL222" s="239">
        <v>10026.112500000001</v>
      </c>
      <c r="BM222" s="239">
        <v>2506.5281250000003</v>
      </c>
      <c r="BN222" s="239">
        <v>0</v>
      </c>
      <c r="BO222" s="239">
        <v>0</v>
      </c>
      <c r="BP222" s="239">
        <v>0</v>
      </c>
      <c r="BQ222" s="239">
        <v>0</v>
      </c>
      <c r="BR222" s="239">
        <v>10026</v>
      </c>
      <c r="BS222" s="239">
        <v>2507</v>
      </c>
      <c r="BT222" s="239">
        <v>0</v>
      </c>
      <c r="BU222" s="239">
        <v>190713.66416666668</v>
      </c>
      <c r="BV222" s="239">
        <v>47678.416041666671</v>
      </c>
      <c r="BW222" s="239">
        <v>0</v>
      </c>
      <c r="BX222" s="239">
        <v>149491</v>
      </c>
      <c r="BY222" s="239">
        <v>37374</v>
      </c>
      <c r="BZ222" s="239">
        <v>0</v>
      </c>
      <c r="CA222" s="239">
        <v>41223</v>
      </c>
      <c r="CB222" s="239">
        <v>10304</v>
      </c>
      <c r="CC222" s="239">
        <v>0</v>
      </c>
      <c r="CD222" s="239">
        <v>0</v>
      </c>
      <c r="CE222" s="239">
        <v>0</v>
      </c>
      <c r="CF222" s="239">
        <v>0</v>
      </c>
      <c r="CG222" s="239">
        <v>0</v>
      </c>
      <c r="CH222" s="239">
        <v>0</v>
      </c>
      <c r="CI222" s="239">
        <v>0</v>
      </c>
      <c r="CJ222" s="239">
        <v>0</v>
      </c>
      <c r="CK222" s="239">
        <v>0</v>
      </c>
      <c r="CL222" s="239">
        <v>0</v>
      </c>
      <c r="CM222" s="239">
        <v>527.58333333333337</v>
      </c>
      <c r="CN222" s="239">
        <v>131.89583333333334</v>
      </c>
      <c r="CO222" s="239">
        <v>0</v>
      </c>
      <c r="CP222" s="239">
        <v>0</v>
      </c>
      <c r="CQ222" s="239">
        <v>0</v>
      </c>
      <c r="CR222" s="239">
        <v>0</v>
      </c>
      <c r="CS222" s="239">
        <v>528</v>
      </c>
      <c r="CT222" s="239">
        <v>132</v>
      </c>
      <c r="CU222" s="239">
        <v>0</v>
      </c>
      <c r="CV222" s="239">
        <v>252874.25916666666</v>
      </c>
      <c r="CW222" s="239">
        <v>63218.564791666664</v>
      </c>
      <c r="CX222" s="239">
        <v>0</v>
      </c>
      <c r="CY222" s="239">
        <v>270585</v>
      </c>
      <c r="CZ222" s="239">
        <v>67646</v>
      </c>
      <c r="DA222" s="239">
        <v>0</v>
      </c>
      <c r="DB222" s="239">
        <v>-17711</v>
      </c>
      <c r="DC222" s="239">
        <v>-4427</v>
      </c>
      <c r="DD222" s="239">
        <v>0</v>
      </c>
      <c r="DE222" s="214">
        <v>0.5</v>
      </c>
      <c r="DF222" s="214">
        <v>0.4</v>
      </c>
      <c r="DG222" s="214">
        <v>0.1</v>
      </c>
      <c r="DH222" s="214">
        <v>0</v>
      </c>
      <c r="DI222" s="214" t="s">
        <v>1294</v>
      </c>
    </row>
    <row r="223" spans="2:113" s="214" customFormat="1" x14ac:dyDescent="0.2">
      <c r="B223" s="610" t="s">
        <v>529</v>
      </c>
      <c r="C223" s="610" t="s">
        <v>528</v>
      </c>
      <c r="D223" s="239">
        <v>3033</v>
      </c>
      <c r="E223" s="239">
        <v>0</v>
      </c>
      <c r="F223" s="239">
        <v>3033</v>
      </c>
      <c r="G223" s="239">
        <v>0</v>
      </c>
      <c r="H223" s="239">
        <v>0</v>
      </c>
      <c r="I223" s="239">
        <v>0</v>
      </c>
      <c r="J223" s="239">
        <v>3033</v>
      </c>
      <c r="K223" s="239">
        <v>0</v>
      </c>
      <c r="L223" s="239">
        <v>3033</v>
      </c>
      <c r="M223" s="239">
        <v>126689</v>
      </c>
      <c r="N223" s="239">
        <v>126689</v>
      </c>
      <c r="O223" s="239">
        <v>0</v>
      </c>
      <c r="P223" s="239">
        <v>0</v>
      </c>
      <c r="Q223" s="239">
        <v>0</v>
      </c>
      <c r="R223" s="239">
        <v>0</v>
      </c>
      <c r="S223" s="239">
        <v>0</v>
      </c>
      <c r="T223" s="239">
        <v>0</v>
      </c>
      <c r="U223" s="239">
        <v>0</v>
      </c>
      <c r="V223" s="239">
        <v>0</v>
      </c>
      <c r="W223" s="239">
        <v>0</v>
      </c>
      <c r="X223" s="239">
        <v>0</v>
      </c>
      <c r="Y223" s="239">
        <v>0</v>
      </c>
      <c r="Z223" s="239">
        <v>0</v>
      </c>
      <c r="AA223" s="239">
        <v>0</v>
      </c>
      <c r="AB223" s="239">
        <v>0</v>
      </c>
      <c r="AC223" s="239">
        <v>0</v>
      </c>
      <c r="AD223" s="239">
        <v>0</v>
      </c>
      <c r="AE223" s="239">
        <v>0</v>
      </c>
      <c r="AF223" s="239">
        <v>0</v>
      </c>
      <c r="AG223" s="239">
        <v>0</v>
      </c>
      <c r="AH223" s="239">
        <v>0</v>
      </c>
      <c r="AI223" s="239">
        <v>0</v>
      </c>
      <c r="AJ223" s="239">
        <v>0</v>
      </c>
      <c r="AK223" s="239">
        <v>267323.0254166667</v>
      </c>
      <c r="AL223" s="239">
        <v>66830.756354166675</v>
      </c>
      <c r="AM223" s="239">
        <v>0</v>
      </c>
      <c r="AN223" s="239">
        <v>251732</v>
      </c>
      <c r="AO223" s="239">
        <v>62934</v>
      </c>
      <c r="AP223" s="239">
        <v>0</v>
      </c>
      <c r="AQ223" s="239">
        <v>15591</v>
      </c>
      <c r="AR223" s="239">
        <v>3897</v>
      </c>
      <c r="AS223" s="239">
        <v>0</v>
      </c>
      <c r="AT223" s="239">
        <v>0</v>
      </c>
      <c r="AU223" s="239">
        <v>0</v>
      </c>
      <c r="AV223" s="239">
        <v>0</v>
      </c>
      <c r="AW223" s="239">
        <v>0</v>
      </c>
      <c r="AX223" s="239">
        <v>0</v>
      </c>
      <c r="AY223" s="239">
        <v>0</v>
      </c>
      <c r="AZ223" s="239">
        <v>0</v>
      </c>
      <c r="BA223" s="239">
        <v>0</v>
      </c>
      <c r="BB223" s="239">
        <v>0</v>
      </c>
      <c r="BC223" s="239">
        <v>0</v>
      </c>
      <c r="BD223" s="239">
        <v>0</v>
      </c>
      <c r="BE223" s="239">
        <v>0</v>
      </c>
      <c r="BF223" s="239">
        <v>0</v>
      </c>
      <c r="BG223" s="239">
        <v>0</v>
      </c>
      <c r="BH223" s="239">
        <v>0</v>
      </c>
      <c r="BI223" s="239">
        <v>0</v>
      </c>
      <c r="BJ223" s="239">
        <v>0</v>
      </c>
      <c r="BK223" s="239">
        <v>0</v>
      </c>
      <c r="BL223" s="239">
        <v>620.11333333333334</v>
      </c>
      <c r="BM223" s="239">
        <v>155.02833333333334</v>
      </c>
      <c r="BN223" s="239">
        <v>0</v>
      </c>
      <c r="BO223" s="239">
        <v>1312</v>
      </c>
      <c r="BP223" s="239">
        <v>328</v>
      </c>
      <c r="BQ223" s="239">
        <v>0</v>
      </c>
      <c r="BR223" s="239">
        <v>-692</v>
      </c>
      <c r="BS223" s="239">
        <v>-173</v>
      </c>
      <c r="BT223" s="239">
        <v>0</v>
      </c>
      <c r="BU223" s="239">
        <v>199633.79560833354</v>
      </c>
      <c r="BV223" s="239">
        <v>49908.448902083386</v>
      </c>
      <c r="BW223" s="239">
        <v>0</v>
      </c>
      <c r="BX223" s="239">
        <v>178452</v>
      </c>
      <c r="BY223" s="239">
        <v>44614</v>
      </c>
      <c r="BZ223" s="239">
        <v>0</v>
      </c>
      <c r="CA223" s="239">
        <v>21182</v>
      </c>
      <c r="CB223" s="239">
        <v>5294</v>
      </c>
      <c r="CC223" s="239">
        <v>0</v>
      </c>
      <c r="CD223" s="239">
        <v>-3132.2013750000046</v>
      </c>
      <c r="CE223" s="239">
        <v>-783.05034375000116</v>
      </c>
      <c r="CF223" s="239">
        <v>0</v>
      </c>
      <c r="CG223" s="239">
        <v>0</v>
      </c>
      <c r="CH223" s="239">
        <v>0</v>
      </c>
      <c r="CI223" s="239">
        <v>0</v>
      </c>
      <c r="CJ223" s="239">
        <v>-3132</v>
      </c>
      <c r="CK223" s="239">
        <v>-783</v>
      </c>
      <c r="CL223" s="239">
        <v>0</v>
      </c>
      <c r="CM223" s="239">
        <v>0</v>
      </c>
      <c r="CN223" s="239">
        <v>0</v>
      </c>
      <c r="CO223" s="239">
        <v>0</v>
      </c>
      <c r="CP223" s="239">
        <v>0</v>
      </c>
      <c r="CQ223" s="239">
        <v>0</v>
      </c>
      <c r="CR223" s="239">
        <v>0</v>
      </c>
      <c r="CS223" s="239">
        <v>0</v>
      </c>
      <c r="CT223" s="239">
        <v>0</v>
      </c>
      <c r="CU223" s="239">
        <v>0</v>
      </c>
      <c r="CV223" s="239">
        <v>258786.23878333333</v>
      </c>
      <c r="CW223" s="239">
        <v>64696.559695833334</v>
      </c>
      <c r="CX223" s="239">
        <v>0</v>
      </c>
      <c r="CY223" s="239">
        <v>261014</v>
      </c>
      <c r="CZ223" s="239">
        <v>65254</v>
      </c>
      <c r="DA223" s="239">
        <v>0</v>
      </c>
      <c r="DB223" s="239">
        <v>-2228</v>
      </c>
      <c r="DC223" s="239">
        <v>-557</v>
      </c>
      <c r="DD223" s="239">
        <v>0</v>
      </c>
      <c r="DE223" s="214">
        <v>0.5</v>
      </c>
      <c r="DF223" s="214">
        <v>0.4</v>
      </c>
      <c r="DG223" s="214">
        <v>0.1</v>
      </c>
      <c r="DH223" s="214">
        <v>0</v>
      </c>
      <c r="DI223" s="214" t="s">
        <v>1294</v>
      </c>
    </row>
    <row r="224" spans="2:113" s="214" customFormat="1" x14ac:dyDescent="0.2">
      <c r="B224" s="610" t="s">
        <v>531</v>
      </c>
      <c r="C224" s="610" t="s">
        <v>530</v>
      </c>
      <c r="D224" s="239">
        <v>-114094</v>
      </c>
      <c r="E224" s="239">
        <v>0</v>
      </c>
      <c r="F224" s="239">
        <v>-114094</v>
      </c>
      <c r="G224" s="239">
        <v>0</v>
      </c>
      <c r="H224" s="239">
        <v>0</v>
      </c>
      <c r="I224" s="239">
        <v>0</v>
      </c>
      <c r="J224" s="239">
        <v>-114094</v>
      </c>
      <c r="K224" s="239">
        <v>0</v>
      </c>
      <c r="L224" s="239">
        <v>-114094</v>
      </c>
      <c r="M224" s="239">
        <v>109293</v>
      </c>
      <c r="N224" s="239">
        <v>109293</v>
      </c>
      <c r="O224" s="239">
        <v>0</v>
      </c>
      <c r="P224" s="239">
        <v>0</v>
      </c>
      <c r="Q224" s="239">
        <v>0</v>
      </c>
      <c r="R224" s="239">
        <v>0</v>
      </c>
      <c r="S224" s="239">
        <v>62504</v>
      </c>
      <c r="T224" s="239">
        <v>0</v>
      </c>
      <c r="U224" s="239">
        <v>58851</v>
      </c>
      <c r="V224" s="239">
        <v>0</v>
      </c>
      <c r="W224" s="239">
        <v>3653</v>
      </c>
      <c r="X224" s="239">
        <v>0</v>
      </c>
      <c r="Y224" s="239">
        <v>0</v>
      </c>
      <c r="Z224" s="239">
        <v>0</v>
      </c>
      <c r="AA224" s="239">
        <v>0</v>
      </c>
      <c r="AB224" s="239">
        <v>0</v>
      </c>
      <c r="AC224" s="239">
        <v>0</v>
      </c>
      <c r="AD224" s="239">
        <v>0</v>
      </c>
      <c r="AE224" s="239">
        <v>0</v>
      </c>
      <c r="AF224" s="239">
        <v>0</v>
      </c>
      <c r="AG224" s="239">
        <v>0</v>
      </c>
      <c r="AH224" s="239">
        <v>0</v>
      </c>
      <c r="AI224" s="239">
        <v>0</v>
      </c>
      <c r="AJ224" s="239">
        <v>0</v>
      </c>
      <c r="AK224" s="239">
        <v>413590.63458333333</v>
      </c>
      <c r="AL224" s="239">
        <v>93057.892781250004</v>
      </c>
      <c r="AM224" s="239">
        <v>10339.765864583334</v>
      </c>
      <c r="AN224" s="239">
        <v>377799</v>
      </c>
      <c r="AO224" s="239">
        <v>85004</v>
      </c>
      <c r="AP224" s="239">
        <v>9444</v>
      </c>
      <c r="AQ224" s="239">
        <v>35792</v>
      </c>
      <c r="AR224" s="239">
        <v>8054</v>
      </c>
      <c r="AS224" s="239">
        <v>896</v>
      </c>
      <c r="AT224" s="239">
        <v>2511.7024999999999</v>
      </c>
      <c r="AU224" s="239">
        <v>565.13306249999994</v>
      </c>
      <c r="AV224" s="239">
        <v>62.792562500000003</v>
      </c>
      <c r="AW224" s="239">
        <v>10117</v>
      </c>
      <c r="AX224" s="239">
        <v>2276</v>
      </c>
      <c r="AY224" s="239">
        <v>252</v>
      </c>
      <c r="AZ224" s="239">
        <v>-7605</v>
      </c>
      <c r="BA224" s="239">
        <v>-1711</v>
      </c>
      <c r="BB224" s="239">
        <v>-189</v>
      </c>
      <c r="BC224" s="239">
        <v>0</v>
      </c>
      <c r="BD224" s="239">
        <v>0</v>
      </c>
      <c r="BE224" s="239">
        <v>0</v>
      </c>
      <c r="BF224" s="239">
        <v>4250</v>
      </c>
      <c r="BG224" s="239">
        <v>956</v>
      </c>
      <c r="BH224" s="239">
        <v>106</v>
      </c>
      <c r="BI224" s="239">
        <v>-4250</v>
      </c>
      <c r="BJ224" s="239">
        <v>-956</v>
      </c>
      <c r="BK224" s="239">
        <v>-106</v>
      </c>
      <c r="BL224" s="239">
        <v>6696.6558333333332</v>
      </c>
      <c r="BM224" s="239">
        <v>1506.7475624999997</v>
      </c>
      <c r="BN224" s="239">
        <v>167.41639583333333</v>
      </c>
      <c r="BO224" s="239">
        <v>4057</v>
      </c>
      <c r="BP224" s="239">
        <v>914</v>
      </c>
      <c r="BQ224" s="239">
        <v>102</v>
      </c>
      <c r="BR224" s="239">
        <v>2640</v>
      </c>
      <c r="BS224" s="239">
        <v>593</v>
      </c>
      <c r="BT224" s="239">
        <v>65</v>
      </c>
      <c r="BU224" s="239">
        <v>153903.36333333334</v>
      </c>
      <c r="BV224" s="239">
        <v>34628.25675</v>
      </c>
      <c r="BW224" s="239">
        <v>3847.5840833333336</v>
      </c>
      <c r="BX224" s="239">
        <v>172155</v>
      </c>
      <c r="BY224" s="239">
        <v>38734</v>
      </c>
      <c r="BZ224" s="239">
        <v>4304</v>
      </c>
      <c r="CA224" s="239">
        <v>-18252</v>
      </c>
      <c r="CB224" s="239">
        <v>-4106</v>
      </c>
      <c r="CC224" s="239">
        <v>-456</v>
      </c>
      <c r="CD224" s="239">
        <v>0</v>
      </c>
      <c r="CE224" s="239">
        <v>0</v>
      </c>
      <c r="CF224" s="239">
        <v>0</v>
      </c>
      <c r="CG224" s="239">
        <v>0</v>
      </c>
      <c r="CH224" s="239">
        <v>0</v>
      </c>
      <c r="CI224" s="239">
        <v>0</v>
      </c>
      <c r="CJ224" s="239">
        <v>0</v>
      </c>
      <c r="CK224" s="239">
        <v>0</v>
      </c>
      <c r="CL224" s="239">
        <v>0</v>
      </c>
      <c r="CM224" s="239">
        <v>2852.6025000000004</v>
      </c>
      <c r="CN224" s="239">
        <v>641.83556250000004</v>
      </c>
      <c r="CO224" s="239">
        <v>71.31506250000001</v>
      </c>
      <c r="CP224" s="239">
        <v>0</v>
      </c>
      <c r="CQ224" s="239">
        <v>0</v>
      </c>
      <c r="CR224" s="239">
        <v>0</v>
      </c>
      <c r="CS224" s="239">
        <v>2853</v>
      </c>
      <c r="CT224" s="239">
        <v>642</v>
      </c>
      <c r="CU224" s="239">
        <v>71</v>
      </c>
      <c r="CV224" s="239">
        <v>158142.11583333334</v>
      </c>
      <c r="CW224" s="239">
        <v>35376.884812499993</v>
      </c>
      <c r="CX224" s="239">
        <v>3930.7649791666668</v>
      </c>
      <c r="CY224" s="239">
        <v>156258</v>
      </c>
      <c r="CZ224" s="239">
        <v>34965</v>
      </c>
      <c r="DA224" s="239">
        <v>3885</v>
      </c>
      <c r="DB224" s="239">
        <v>1884</v>
      </c>
      <c r="DC224" s="239">
        <v>412</v>
      </c>
      <c r="DD224" s="239">
        <v>46</v>
      </c>
      <c r="DE224" s="214">
        <v>0.5</v>
      </c>
      <c r="DF224" s="214">
        <v>0.4</v>
      </c>
      <c r="DG224" s="214">
        <v>0.09</v>
      </c>
      <c r="DH224" s="214">
        <v>0.01</v>
      </c>
      <c r="DI224" s="214" t="s">
        <v>1294</v>
      </c>
    </row>
    <row r="225" spans="2:113" s="214" customFormat="1" x14ac:dyDescent="0.2">
      <c r="B225" s="610" t="s">
        <v>533</v>
      </c>
      <c r="C225" s="610" t="s">
        <v>532</v>
      </c>
      <c r="D225" s="239">
        <v>2928</v>
      </c>
      <c r="E225" s="239">
        <v>0</v>
      </c>
      <c r="F225" s="239">
        <v>2928</v>
      </c>
      <c r="G225" s="239">
        <v>0</v>
      </c>
      <c r="H225" s="239">
        <v>0</v>
      </c>
      <c r="I225" s="239">
        <v>0</v>
      </c>
      <c r="J225" s="239">
        <v>2928</v>
      </c>
      <c r="K225" s="239">
        <v>0</v>
      </c>
      <c r="L225" s="239">
        <v>2928</v>
      </c>
      <c r="M225" s="239">
        <v>123644</v>
      </c>
      <c r="N225" s="239">
        <v>123644</v>
      </c>
      <c r="O225" s="239">
        <v>0</v>
      </c>
      <c r="P225" s="239">
        <v>0</v>
      </c>
      <c r="Q225" s="239">
        <v>0</v>
      </c>
      <c r="R225" s="239">
        <v>0</v>
      </c>
      <c r="S225" s="239">
        <v>0</v>
      </c>
      <c r="T225" s="239">
        <v>0</v>
      </c>
      <c r="U225" s="239">
        <v>0</v>
      </c>
      <c r="V225" s="239">
        <v>0</v>
      </c>
      <c r="W225" s="239">
        <v>0</v>
      </c>
      <c r="X225" s="239">
        <v>0</v>
      </c>
      <c r="Y225" s="239">
        <v>0</v>
      </c>
      <c r="Z225" s="239">
        <v>0</v>
      </c>
      <c r="AA225" s="239">
        <v>0</v>
      </c>
      <c r="AB225" s="239">
        <v>0</v>
      </c>
      <c r="AC225" s="239">
        <v>0</v>
      </c>
      <c r="AD225" s="239">
        <v>0</v>
      </c>
      <c r="AE225" s="239">
        <v>0</v>
      </c>
      <c r="AF225" s="239">
        <v>0</v>
      </c>
      <c r="AG225" s="239">
        <v>0</v>
      </c>
      <c r="AH225" s="239">
        <v>0</v>
      </c>
      <c r="AI225" s="239">
        <v>0</v>
      </c>
      <c r="AJ225" s="239">
        <v>0</v>
      </c>
      <c r="AK225" s="239">
        <v>258678.36958333332</v>
      </c>
      <c r="AL225" s="239">
        <v>58202.633156249998</v>
      </c>
      <c r="AM225" s="239">
        <v>6466.9592395833333</v>
      </c>
      <c r="AN225" s="239">
        <v>247045</v>
      </c>
      <c r="AO225" s="239">
        <v>55584</v>
      </c>
      <c r="AP225" s="239">
        <v>6176</v>
      </c>
      <c r="AQ225" s="239">
        <v>11633</v>
      </c>
      <c r="AR225" s="239">
        <v>2619</v>
      </c>
      <c r="AS225" s="239">
        <v>291</v>
      </c>
      <c r="AT225" s="239">
        <v>981.71083333333377</v>
      </c>
      <c r="AU225" s="239">
        <v>220.88493750000004</v>
      </c>
      <c r="AV225" s="239">
        <v>24.542770833333339</v>
      </c>
      <c r="AW225" s="239">
        <v>325</v>
      </c>
      <c r="AX225" s="239">
        <v>74</v>
      </c>
      <c r="AY225" s="239">
        <v>8</v>
      </c>
      <c r="AZ225" s="239">
        <v>657</v>
      </c>
      <c r="BA225" s="239">
        <v>147</v>
      </c>
      <c r="BB225" s="239">
        <v>17</v>
      </c>
      <c r="BC225" s="239">
        <v>0</v>
      </c>
      <c r="BD225" s="239">
        <v>0</v>
      </c>
      <c r="BE225" s="239">
        <v>0</v>
      </c>
      <c r="BF225" s="239">
        <v>0</v>
      </c>
      <c r="BG225" s="239">
        <v>0</v>
      </c>
      <c r="BH225" s="239">
        <v>0</v>
      </c>
      <c r="BI225" s="239">
        <v>0</v>
      </c>
      <c r="BJ225" s="239">
        <v>0</v>
      </c>
      <c r="BK225" s="239">
        <v>0</v>
      </c>
      <c r="BL225" s="239">
        <v>26148.247500000001</v>
      </c>
      <c r="BM225" s="239">
        <v>5883.3556874999995</v>
      </c>
      <c r="BN225" s="239">
        <v>653.70618749999994</v>
      </c>
      <c r="BO225" s="239">
        <v>13398</v>
      </c>
      <c r="BP225" s="239">
        <v>3014</v>
      </c>
      <c r="BQ225" s="239">
        <v>334</v>
      </c>
      <c r="BR225" s="239">
        <v>12750</v>
      </c>
      <c r="BS225" s="239">
        <v>2869</v>
      </c>
      <c r="BT225" s="239">
        <v>320</v>
      </c>
      <c r="BU225" s="239">
        <v>196194.03750000003</v>
      </c>
      <c r="BV225" s="239">
        <v>44143.658437499995</v>
      </c>
      <c r="BW225" s="239">
        <v>4904.8509375000003</v>
      </c>
      <c r="BX225" s="239">
        <v>159861</v>
      </c>
      <c r="BY225" s="239">
        <v>35968</v>
      </c>
      <c r="BZ225" s="239">
        <v>3996</v>
      </c>
      <c r="CA225" s="239">
        <v>36333</v>
      </c>
      <c r="CB225" s="239">
        <v>8176</v>
      </c>
      <c r="CC225" s="239">
        <v>909</v>
      </c>
      <c r="CD225" s="239">
        <v>-200.48166666666668</v>
      </c>
      <c r="CE225" s="239">
        <v>-45.108374999999995</v>
      </c>
      <c r="CF225" s="239">
        <v>-5.0120416666666667</v>
      </c>
      <c r="CG225" s="239">
        <v>0</v>
      </c>
      <c r="CH225" s="239">
        <v>0</v>
      </c>
      <c r="CI225" s="239">
        <v>0</v>
      </c>
      <c r="CJ225" s="239">
        <v>-200</v>
      </c>
      <c r="CK225" s="239">
        <v>-45</v>
      </c>
      <c r="CL225" s="239">
        <v>-5</v>
      </c>
      <c r="CM225" s="239">
        <v>981.30499999999995</v>
      </c>
      <c r="CN225" s="239">
        <v>220.79362499999996</v>
      </c>
      <c r="CO225" s="239">
        <v>24.532624999999999</v>
      </c>
      <c r="CP225" s="239">
        <v>0</v>
      </c>
      <c r="CQ225" s="239">
        <v>0</v>
      </c>
      <c r="CR225" s="239">
        <v>0</v>
      </c>
      <c r="CS225" s="239">
        <v>981</v>
      </c>
      <c r="CT225" s="239">
        <v>221</v>
      </c>
      <c r="CU225" s="239">
        <v>25</v>
      </c>
      <c r="CV225" s="239">
        <v>256595.01000000004</v>
      </c>
      <c r="CW225" s="239">
        <v>57733.877249999998</v>
      </c>
      <c r="CX225" s="239">
        <v>6414.8752500000001</v>
      </c>
      <c r="CY225" s="239">
        <v>271547</v>
      </c>
      <c r="CZ225" s="239">
        <v>61098</v>
      </c>
      <c r="DA225" s="239">
        <v>6789</v>
      </c>
      <c r="DB225" s="239">
        <v>-14952</v>
      </c>
      <c r="DC225" s="239">
        <v>-3364</v>
      </c>
      <c r="DD225" s="239">
        <v>-374</v>
      </c>
      <c r="DE225" s="214">
        <v>0.5</v>
      </c>
      <c r="DF225" s="214">
        <v>0.4</v>
      </c>
      <c r="DG225" s="214">
        <v>0.09</v>
      </c>
      <c r="DH225" s="214">
        <v>0.01</v>
      </c>
      <c r="DI225" s="214" t="s">
        <v>1294</v>
      </c>
    </row>
    <row r="226" spans="2:113" s="214" customFormat="1" x14ac:dyDescent="0.2">
      <c r="B226" s="610" t="s">
        <v>535</v>
      </c>
      <c r="C226" s="610" t="s">
        <v>534</v>
      </c>
      <c r="D226" s="239">
        <v>-11018</v>
      </c>
      <c r="E226" s="239">
        <v>0</v>
      </c>
      <c r="F226" s="239">
        <v>-11018</v>
      </c>
      <c r="G226" s="239">
        <v>0</v>
      </c>
      <c r="H226" s="239">
        <v>0</v>
      </c>
      <c r="I226" s="239">
        <v>0</v>
      </c>
      <c r="J226" s="239">
        <v>-11018</v>
      </c>
      <c r="K226" s="239">
        <v>0</v>
      </c>
      <c r="L226" s="239">
        <v>-11018</v>
      </c>
      <c r="M226" s="239">
        <v>54620</v>
      </c>
      <c r="N226" s="239">
        <v>54620</v>
      </c>
      <c r="O226" s="239">
        <v>0</v>
      </c>
      <c r="P226" s="239">
        <v>0</v>
      </c>
      <c r="Q226" s="239">
        <v>0</v>
      </c>
      <c r="R226" s="239">
        <v>0</v>
      </c>
      <c r="S226" s="239">
        <v>35619</v>
      </c>
      <c r="T226" s="239">
        <v>0</v>
      </c>
      <c r="U226" s="239">
        <v>0</v>
      </c>
      <c r="V226" s="239">
        <v>0</v>
      </c>
      <c r="W226" s="239">
        <v>35619</v>
      </c>
      <c r="X226" s="239">
        <v>0</v>
      </c>
      <c r="Y226" s="239">
        <v>0</v>
      </c>
      <c r="Z226" s="239">
        <v>0</v>
      </c>
      <c r="AA226" s="239">
        <v>0</v>
      </c>
      <c r="AB226" s="239">
        <v>0</v>
      </c>
      <c r="AC226" s="239">
        <v>0</v>
      </c>
      <c r="AD226" s="239">
        <v>0</v>
      </c>
      <c r="AE226" s="239">
        <v>0</v>
      </c>
      <c r="AF226" s="239">
        <v>0</v>
      </c>
      <c r="AG226" s="239">
        <v>0</v>
      </c>
      <c r="AH226" s="239">
        <v>0</v>
      </c>
      <c r="AI226" s="239">
        <v>0</v>
      </c>
      <c r="AJ226" s="239">
        <v>0</v>
      </c>
      <c r="AK226" s="239">
        <v>254595.34129166667</v>
      </c>
      <c r="AL226" s="239">
        <v>0</v>
      </c>
      <c r="AM226" s="239">
        <v>5195.8232916666666</v>
      </c>
      <c r="AN226" s="239">
        <v>229614</v>
      </c>
      <c r="AO226" s="239">
        <v>0</v>
      </c>
      <c r="AP226" s="239">
        <v>4686</v>
      </c>
      <c r="AQ226" s="239">
        <v>24981</v>
      </c>
      <c r="AR226" s="239">
        <v>0</v>
      </c>
      <c r="AS226" s="239">
        <v>510</v>
      </c>
      <c r="AT226" s="239">
        <v>0</v>
      </c>
      <c r="AU226" s="239">
        <v>0</v>
      </c>
      <c r="AV226" s="239">
        <v>0</v>
      </c>
      <c r="AW226" s="239">
        <v>0</v>
      </c>
      <c r="AX226" s="239">
        <v>0</v>
      </c>
      <c r="AY226" s="239">
        <v>0</v>
      </c>
      <c r="AZ226" s="239">
        <v>0</v>
      </c>
      <c r="BA226" s="239">
        <v>0</v>
      </c>
      <c r="BB226" s="239">
        <v>0</v>
      </c>
      <c r="BC226" s="239">
        <v>0</v>
      </c>
      <c r="BD226" s="239">
        <v>0</v>
      </c>
      <c r="BE226" s="239">
        <v>0</v>
      </c>
      <c r="BF226" s="239">
        <v>2237</v>
      </c>
      <c r="BG226" s="239">
        <v>0</v>
      </c>
      <c r="BH226" s="239">
        <v>46</v>
      </c>
      <c r="BI226" s="239">
        <v>-2237</v>
      </c>
      <c r="BJ226" s="239">
        <v>0</v>
      </c>
      <c r="BK226" s="239">
        <v>-46</v>
      </c>
      <c r="BL226" s="239">
        <v>3679.873458333333</v>
      </c>
      <c r="BM226" s="239">
        <v>0</v>
      </c>
      <c r="BN226" s="239">
        <v>75.099458333333331</v>
      </c>
      <c r="BO226" s="239">
        <v>6117</v>
      </c>
      <c r="BP226" s="239">
        <v>0</v>
      </c>
      <c r="BQ226" s="239">
        <v>124</v>
      </c>
      <c r="BR226" s="239">
        <v>-2437</v>
      </c>
      <c r="BS226" s="239">
        <v>0</v>
      </c>
      <c r="BT226" s="239">
        <v>-49</v>
      </c>
      <c r="BU226" s="239">
        <v>113108.63141666666</v>
      </c>
      <c r="BV226" s="239">
        <v>0</v>
      </c>
      <c r="BW226" s="239">
        <v>2308.3394166666667</v>
      </c>
      <c r="BX226" s="239">
        <v>82481</v>
      </c>
      <c r="BY226" s="239">
        <v>0</v>
      </c>
      <c r="BZ226" s="239">
        <v>1684</v>
      </c>
      <c r="CA226" s="239">
        <v>30628</v>
      </c>
      <c r="CB226" s="239">
        <v>0</v>
      </c>
      <c r="CC226" s="239">
        <v>624</v>
      </c>
      <c r="CD226" s="239">
        <v>0</v>
      </c>
      <c r="CE226" s="239">
        <v>0</v>
      </c>
      <c r="CF226" s="239">
        <v>0</v>
      </c>
      <c r="CG226" s="239">
        <v>0</v>
      </c>
      <c r="CH226" s="239">
        <v>0</v>
      </c>
      <c r="CI226" s="239">
        <v>0</v>
      </c>
      <c r="CJ226" s="239">
        <v>0</v>
      </c>
      <c r="CK226" s="239">
        <v>0</v>
      </c>
      <c r="CL226" s="239">
        <v>0</v>
      </c>
      <c r="CM226" s="239">
        <v>2088.0124999999998</v>
      </c>
      <c r="CN226" s="239">
        <v>0</v>
      </c>
      <c r="CO226" s="239">
        <v>42.612500000000004</v>
      </c>
      <c r="CP226" s="239">
        <v>0</v>
      </c>
      <c r="CQ226" s="239">
        <v>0</v>
      </c>
      <c r="CR226" s="239">
        <v>0</v>
      </c>
      <c r="CS226" s="239">
        <v>2088</v>
      </c>
      <c r="CT226" s="239">
        <v>0</v>
      </c>
      <c r="CU226" s="239">
        <v>43</v>
      </c>
      <c r="CV226" s="239">
        <v>74096.573833333328</v>
      </c>
      <c r="CW226" s="239">
        <v>0</v>
      </c>
      <c r="CX226" s="239">
        <v>1501.5740833333334</v>
      </c>
      <c r="CY226" s="239">
        <v>73273</v>
      </c>
      <c r="CZ226" s="239">
        <v>0</v>
      </c>
      <c r="DA226" s="239">
        <v>1495</v>
      </c>
      <c r="DB226" s="239">
        <v>824</v>
      </c>
      <c r="DC226" s="239">
        <v>0</v>
      </c>
      <c r="DD226" s="239">
        <v>7</v>
      </c>
      <c r="DE226" s="214">
        <v>0.5</v>
      </c>
      <c r="DF226" s="214">
        <v>0.49</v>
      </c>
      <c r="DG226" s="214">
        <v>0</v>
      </c>
      <c r="DH226" s="214">
        <v>0.01</v>
      </c>
      <c r="DI226" s="214" t="s">
        <v>748</v>
      </c>
    </row>
    <row r="227" spans="2:113" s="214" customFormat="1" x14ac:dyDescent="0.2">
      <c r="B227" s="610" t="s">
        <v>537</v>
      </c>
      <c r="C227" s="610" t="s">
        <v>536</v>
      </c>
      <c r="D227" s="239">
        <v>-246617</v>
      </c>
      <c r="E227" s="239">
        <v>0</v>
      </c>
      <c r="F227" s="239">
        <v>-246617</v>
      </c>
      <c r="G227" s="239">
        <v>0</v>
      </c>
      <c r="H227" s="239">
        <v>0</v>
      </c>
      <c r="I227" s="239">
        <v>0</v>
      </c>
      <c r="J227" s="239">
        <v>-246617</v>
      </c>
      <c r="K227" s="239">
        <v>0</v>
      </c>
      <c r="L227" s="239">
        <v>-246617</v>
      </c>
      <c r="M227" s="239">
        <v>111400</v>
      </c>
      <c r="N227" s="239">
        <v>111400</v>
      </c>
      <c r="O227" s="239">
        <v>0</v>
      </c>
      <c r="P227" s="239">
        <v>0</v>
      </c>
      <c r="Q227" s="239">
        <v>0</v>
      </c>
      <c r="R227" s="239">
        <v>0</v>
      </c>
      <c r="S227" s="239">
        <v>5711</v>
      </c>
      <c r="T227" s="239">
        <v>0</v>
      </c>
      <c r="U227" s="239">
        <v>0</v>
      </c>
      <c r="V227" s="239">
        <v>0</v>
      </c>
      <c r="W227" s="239">
        <v>5711</v>
      </c>
      <c r="X227" s="239">
        <v>0</v>
      </c>
      <c r="Y227" s="239">
        <v>0</v>
      </c>
      <c r="Z227" s="239">
        <v>0</v>
      </c>
      <c r="AA227" s="239">
        <v>0</v>
      </c>
      <c r="AB227" s="239">
        <v>0</v>
      </c>
      <c r="AC227" s="239">
        <v>0</v>
      </c>
      <c r="AD227" s="239">
        <v>0</v>
      </c>
      <c r="AE227" s="239">
        <v>0</v>
      </c>
      <c r="AF227" s="239">
        <v>0</v>
      </c>
      <c r="AG227" s="239">
        <v>0</v>
      </c>
      <c r="AH227" s="239">
        <v>0</v>
      </c>
      <c r="AI227" s="239">
        <v>0</v>
      </c>
      <c r="AJ227" s="239">
        <v>0</v>
      </c>
      <c r="AK227" s="239">
        <v>415354.58916666673</v>
      </c>
      <c r="AL227" s="239">
        <v>93454.782562499997</v>
      </c>
      <c r="AM227" s="239">
        <v>10383.864729166668</v>
      </c>
      <c r="AN227" s="239">
        <v>446618</v>
      </c>
      <c r="AO227" s="239">
        <v>100490</v>
      </c>
      <c r="AP227" s="239">
        <v>11166</v>
      </c>
      <c r="AQ227" s="239">
        <v>-31263</v>
      </c>
      <c r="AR227" s="239">
        <v>-7035</v>
      </c>
      <c r="AS227" s="239">
        <v>-782</v>
      </c>
      <c r="AT227" s="239">
        <v>4521.7949999999992</v>
      </c>
      <c r="AU227" s="239">
        <v>1017.403875</v>
      </c>
      <c r="AV227" s="239">
        <v>113.04487499999999</v>
      </c>
      <c r="AW227" s="239">
        <v>10146</v>
      </c>
      <c r="AX227" s="239">
        <v>2282</v>
      </c>
      <c r="AY227" s="239">
        <v>254</v>
      </c>
      <c r="AZ227" s="239">
        <v>-5624</v>
      </c>
      <c r="BA227" s="239">
        <v>-1265</v>
      </c>
      <c r="BB227" s="239">
        <v>-141</v>
      </c>
      <c r="BC227" s="239">
        <v>0</v>
      </c>
      <c r="BD227" s="239">
        <v>0</v>
      </c>
      <c r="BE227" s="239">
        <v>0</v>
      </c>
      <c r="BF227" s="239">
        <v>0</v>
      </c>
      <c r="BG227" s="239">
        <v>0</v>
      </c>
      <c r="BH227" s="239">
        <v>0</v>
      </c>
      <c r="BI227" s="239">
        <v>0</v>
      </c>
      <c r="BJ227" s="239">
        <v>0</v>
      </c>
      <c r="BK227" s="239">
        <v>0</v>
      </c>
      <c r="BL227" s="239">
        <v>4139.9058333333332</v>
      </c>
      <c r="BM227" s="239">
        <v>931.4788125</v>
      </c>
      <c r="BN227" s="239">
        <v>103.49764583333334</v>
      </c>
      <c r="BO227" s="239">
        <v>10146</v>
      </c>
      <c r="BP227" s="239">
        <v>2282</v>
      </c>
      <c r="BQ227" s="239">
        <v>254</v>
      </c>
      <c r="BR227" s="239">
        <v>-6006</v>
      </c>
      <c r="BS227" s="239">
        <v>-1351</v>
      </c>
      <c r="BT227" s="239">
        <v>-151</v>
      </c>
      <c r="BU227" s="239">
        <v>193960.33083333334</v>
      </c>
      <c r="BV227" s="239">
        <v>43641.074437499999</v>
      </c>
      <c r="BW227" s="239">
        <v>4849.008270833333</v>
      </c>
      <c r="BX227" s="239">
        <v>196830</v>
      </c>
      <c r="BY227" s="239">
        <v>44286</v>
      </c>
      <c r="BZ227" s="239">
        <v>4920</v>
      </c>
      <c r="CA227" s="239">
        <v>-2870</v>
      </c>
      <c r="CB227" s="239">
        <v>-645</v>
      </c>
      <c r="CC227" s="239">
        <v>-71</v>
      </c>
      <c r="CD227" s="239">
        <v>10541.926666666666</v>
      </c>
      <c r="CE227" s="239">
        <v>2371.9334999999996</v>
      </c>
      <c r="CF227" s="239">
        <v>263.54816666666665</v>
      </c>
      <c r="CG227" s="239">
        <v>4984</v>
      </c>
      <c r="CH227" s="239">
        <v>0</v>
      </c>
      <c r="CI227" s="239">
        <v>0</v>
      </c>
      <c r="CJ227" s="239">
        <v>5558</v>
      </c>
      <c r="CK227" s="239">
        <v>2372</v>
      </c>
      <c r="CL227" s="239">
        <v>264</v>
      </c>
      <c r="CM227" s="239">
        <v>0</v>
      </c>
      <c r="CN227" s="239">
        <v>0</v>
      </c>
      <c r="CO227" s="239">
        <v>0</v>
      </c>
      <c r="CP227" s="239">
        <v>0</v>
      </c>
      <c r="CQ227" s="239">
        <v>0</v>
      </c>
      <c r="CR227" s="239">
        <v>0</v>
      </c>
      <c r="CS227" s="239">
        <v>0</v>
      </c>
      <c r="CT227" s="239">
        <v>0</v>
      </c>
      <c r="CU227" s="239">
        <v>0</v>
      </c>
      <c r="CV227" s="239">
        <v>93498.460416666669</v>
      </c>
      <c r="CW227" s="239">
        <v>21018.414375</v>
      </c>
      <c r="CX227" s="239">
        <v>2335.379375</v>
      </c>
      <c r="CY227" s="239">
        <v>95621</v>
      </c>
      <c r="CZ227" s="239">
        <v>21515</v>
      </c>
      <c r="DA227" s="239">
        <v>2391</v>
      </c>
      <c r="DB227" s="239">
        <v>-2123</v>
      </c>
      <c r="DC227" s="239">
        <v>-497</v>
      </c>
      <c r="DD227" s="239">
        <v>-56</v>
      </c>
      <c r="DE227" s="214">
        <v>0.5</v>
      </c>
      <c r="DF227" s="214">
        <v>0.4</v>
      </c>
      <c r="DG227" s="214">
        <v>0.09</v>
      </c>
      <c r="DH227" s="214">
        <v>0.01</v>
      </c>
      <c r="DI227" s="214" t="s">
        <v>1294</v>
      </c>
    </row>
    <row r="228" spans="2:113" s="214" customFormat="1" x14ac:dyDescent="0.2">
      <c r="B228" s="610" t="s">
        <v>539</v>
      </c>
      <c r="C228" s="610" t="s">
        <v>538</v>
      </c>
      <c r="D228" s="239">
        <v>18176</v>
      </c>
      <c r="E228" s="239">
        <v>0</v>
      </c>
      <c r="F228" s="239">
        <v>18176</v>
      </c>
      <c r="G228" s="239">
        <v>0</v>
      </c>
      <c r="H228" s="239">
        <v>0</v>
      </c>
      <c r="I228" s="239">
        <v>0</v>
      </c>
      <c r="J228" s="239">
        <v>18176</v>
      </c>
      <c r="K228" s="239">
        <v>0</v>
      </c>
      <c r="L228" s="239">
        <v>18176</v>
      </c>
      <c r="M228" s="239">
        <v>445996</v>
      </c>
      <c r="N228" s="239">
        <v>445996</v>
      </c>
      <c r="O228" s="239">
        <v>0</v>
      </c>
      <c r="P228" s="239">
        <v>0</v>
      </c>
      <c r="Q228" s="239">
        <v>0</v>
      </c>
      <c r="R228" s="239">
        <v>0</v>
      </c>
      <c r="S228" s="239">
        <v>0</v>
      </c>
      <c r="T228" s="239">
        <v>0</v>
      </c>
      <c r="U228" s="239">
        <v>0</v>
      </c>
      <c r="V228" s="239">
        <v>0</v>
      </c>
      <c r="W228" s="239">
        <v>0</v>
      </c>
      <c r="X228" s="239">
        <v>0</v>
      </c>
      <c r="Y228" s="239">
        <v>0</v>
      </c>
      <c r="Z228" s="239">
        <v>0</v>
      </c>
      <c r="AA228" s="239">
        <v>0</v>
      </c>
      <c r="AB228" s="239">
        <v>0</v>
      </c>
      <c r="AC228" s="239">
        <v>0</v>
      </c>
      <c r="AD228" s="239">
        <v>0</v>
      </c>
      <c r="AE228" s="239">
        <v>0</v>
      </c>
      <c r="AF228" s="239">
        <v>0</v>
      </c>
      <c r="AG228" s="239">
        <v>0</v>
      </c>
      <c r="AH228" s="239">
        <v>0</v>
      </c>
      <c r="AI228" s="239">
        <v>0</v>
      </c>
      <c r="AJ228" s="239">
        <v>0</v>
      </c>
      <c r="AK228" s="239">
        <v>1179530.6898958334</v>
      </c>
      <c r="AL228" s="239">
        <v>0</v>
      </c>
      <c r="AM228" s="239">
        <v>24072.054895833335</v>
      </c>
      <c r="AN228" s="239">
        <v>1122502</v>
      </c>
      <c r="AO228" s="239">
        <v>0</v>
      </c>
      <c r="AP228" s="239">
        <v>22908</v>
      </c>
      <c r="AQ228" s="239">
        <v>57029</v>
      </c>
      <c r="AR228" s="239">
        <v>0</v>
      </c>
      <c r="AS228" s="239">
        <v>1164</v>
      </c>
      <c r="AT228" s="239">
        <v>3734.5595000000003</v>
      </c>
      <c r="AU228" s="239">
        <v>0</v>
      </c>
      <c r="AV228" s="239">
        <v>76.215500000000006</v>
      </c>
      <c r="AW228" s="239">
        <v>0</v>
      </c>
      <c r="AX228" s="239">
        <v>0</v>
      </c>
      <c r="AY228" s="239">
        <v>0</v>
      </c>
      <c r="AZ228" s="239">
        <v>3735</v>
      </c>
      <c r="BA228" s="239">
        <v>0</v>
      </c>
      <c r="BB228" s="239">
        <v>76</v>
      </c>
      <c r="BC228" s="239">
        <v>6345.0722708333333</v>
      </c>
      <c r="BD228" s="239">
        <v>0</v>
      </c>
      <c r="BE228" s="239">
        <v>129.49127083333335</v>
      </c>
      <c r="BF228" s="239">
        <v>0</v>
      </c>
      <c r="BG228" s="239">
        <v>0</v>
      </c>
      <c r="BH228" s="239">
        <v>0</v>
      </c>
      <c r="BI228" s="239">
        <v>6345</v>
      </c>
      <c r="BJ228" s="239">
        <v>0</v>
      </c>
      <c r="BK228" s="239">
        <v>129</v>
      </c>
      <c r="BL228" s="239">
        <v>11740.596</v>
      </c>
      <c r="BM228" s="239">
        <v>0</v>
      </c>
      <c r="BN228" s="239">
        <v>239.60400000000001</v>
      </c>
      <c r="BO228" s="239">
        <v>0</v>
      </c>
      <c r="BP228" s="239">
        <v>0</v>
      </c>
      <c r="BQ228" s="239">
        <v>0</v>
      </c>
      <c r="BR228" s="239">
        <v>11741</v>
      </c>
      <c r="BS228" s="239">
        <v>0</v>
      </c>
      <c r="BT228" s="239">
        <v>240</v>
      </c>
      <c r="BU228" s="239">
        <v>495649.92152083339</v>
      </c>
      <c r="BV228" s="239">
        <v>0</v>
      </c>
      <c r="BW228" s="239">
        <v>10115.304520833335</v>
      </c>
      <c r="BX228" s="239">
        <v>555893</v>
      </c>
      <c r="BY228" s="239">
        <v>0</v>
      </c>
      <c r="BZ228" s="239">
        <v>11344</v>
      </c>
      <c r="CA228" s="239">
        <v>-60243</v>
      </c>
      <c r="CB228" s="239">
        <v>0</v>
      </c>
      <c r="CC228" s="239">
        <v>-1229</v>
      </c>
      <c r="CD228" s="239">
        <v>0</v>
      </c>
      <c r="CE228" s="239">
        <v>0</v>
      </c>
      <c r="CF228" s="239">
        <v>0</v>
      </c>
      <c r="CG228" s="239">
        <v>244215</v>
      </c>
      <c r="CH228" s="239">
        <v>0</v>
      </c>
      <c r="CI228" s="239">
        <v>0</v>
      </c>
      <c r="CJ228" s="239">
        <v>-244215</v>
      </c>
      <c r="CK228" s="239">
        <v>0</v>
      </c>
      <c r="CL228" s="239">
        <v>0</v>
      </c>
      <c r="CM228" s="239">
        <v>8759.2124374999985</v>
      </c>
      <c r="CN228" s="239">
        <v>0</v>
      </c>
      <c r="CO228" s="239">
        <v>178.75943749999999</v>
      </c>
      <c r="CP228" s="239">
        <v>0</v>
      </c>
      <c r="CQ228" s="239">
        <v>0</v>
      </c>
      <c r="CR228" s="239">
        <v>0</v>
      </c>
      <c r="CS228" s="239">
        <v>8759</v>
      </c>
      <c r="CT228" s="239">
        <v>0</v>
      </c>
      <c r="CU228" s="239">
        <v>179</v>
      </c>
      <c r="CV228" s="239">
        <v>637575.55297916674</v>
      </c>
      <c r="CW228" s="239">
        <v>0</v>
      </c>
      <c r="CX228" s="239">
        <v>13011.745979166668</v>
      </c>
      <c r="CY228" s="239">
        <v>690143</v>
      </c>
      <c r="CZ228" s="239">
        <v>0</v>
      </c>
      <c r="DA228" s="239">
        <v>14085</v>
      </c>
      <c r="DB228" s="239">
        <v>-52567</v>
      </c>
      <c r="DC228" s="239">
        <v>0</v>
      </c>
      <c r="DD228" s="239">
        <v>-1073</v>
      </c>
      <c r="DE228" s="214">
        <v>0.5</v>
      </c>
      <c r="DF228" s="214">
        <v>0.49</v>
      </c>
      <c r="DG228" s="214">
        <v>0</v>
      </c>
      <c r="DH228" s="214">
        <v>0.01</v>
      </c>
      <c r="DI228" s="214" t="s">
        <v>1296</v>
      </c>
    </row>
    <row r="229" spans="2:113" s="214" customFormat="1" x14ac:dyDescent="0.2">
      <c r="B229" s="610" t="s">
        <v>541</v>
      </c>
      <c r="C229" s="610" t="s">
        <v>540</v>
      </c>
      <c r="D229" s="239">
        <v>-410491</v>
      </c>
      <c r="E229" s="239">
        <v>0</v>
      </c>
      <c r="F229" s="239">
        <v>-410491</v>
      </c>
      <c r="G229" s="239">
        <v>0</v>
      </c>
      <c r="H229" s="239">
        <v>0</v>
      </c>
      <c r="I229" s="239">
        <v>0</v>
      </c>
      <c r="J229" s="239">
        <v>-410491</v>
      </c>
      <c r="K229" s="239">
        <v>0</v>
      </c>
      <c r="L229" s="239">
        <v>-410491</v>
      </c>
      <c r="M229" s="239">
        <v>451968</v>
      </c>
      <c r="N229" s="239">
        <v>451968</v>
      </c>
      <c r="O229" s="239">
        <v>0</v>
      </c>
      <c r="P229" s="239">
        <v>0</v>
      </c>
      <c r="Q229" s="239">
        <v>0</v>
      </c>
      <c r="R229" s="239">
        <v>0</v>
      </c>
      <c r="S229" s="239">
        <v>0</v>
      </c>
      <c r="T229" s="239">
        <v>0</v>
      </c>
      <c r="U229" s="239">
        <v>0</v>
      </c>
      <c r="V229" s="239">
        <v>0</v>
      </c>
      <c r="W229" s="239">
        <v>0</v>
      </c>
      <c r="X229" s="239">
        <v>0</v>
      </c>
      <c r="Y229" s="239">
        <v>0</v>
      </c>
      <c r="Z229" s="239">
        <v>0</v>
      </c>
      <c r="AA229" s="239">
        <v>0</v>
      </c>
      <c r="AB229" s="239">
        <v>0</v>
      </c>
      <c r="AC229" s="239">
        <v>0</v>
      </c>
      <c r="AD229" s="239">
        <v>0</v>
      </c>
      <c r="AE229" s="239">
        <v>0</v>
      </c>
      <c r="AF229" s="239">
        <v>0</v>
      </c>
      <c r="AG229" s="239">
        <v>0</v>
      </c>
      <c r="AH229" s="239">
        <v>0</v>
      </c>
      <c r="AI229" s="239">
        <v>0</v>
      </c>
      <c r="AJ229" s="239">
        <v>0</v>
      </c>
      <c r="AK229" s="239">
        <v>2069280.7907187499</v>
      </c>
      <c r="AL229" s="239">
        <v>0</v>
      </c>
      <c r="AM229" s="239">
        <v>42230.220218750001</v>
      </c>
      <c r="AN229" s="239">
        <v>1914649</v>
      </c>
      <c r="AO229" s="239">
        <v>0</v>
      </c>
      <c r="AP229" s="239">
        <v>39074</v>
      </c>
      <c r="AQ229" s="239">
        <v>154632</v>
      </c>
      <c r="AR229" s="239">
        <v>0</v>
      </c>
      <c r="AS229" s="239">
        <v>3156</v>
      </c>
      <c r="AT229" s="239">
        <v>14943.209458333335</v>
      </c>
      <c r="AU229" s="239">
        <v>0</v>
      </c>
      <c r="AV229" s="239">
        <v>304.96345833333334</v>
      </c>
      <c r="AW229" s="239">
        <v>5966</v>
      </c>
      <c r="AX229" s="239">
        <v>0</v>
      </c>
      <c r="AY229" s="239">
        <v>122</v>
      </c>
      <c r="AZ229" s="239">
        <v>8977</v>
      </c>
      <c r="BA229" s="239">
        <v>0</v>
      </c>
      <c r="BB229" s="239">
        <v>183</v>
      </c>
      <c r="BC229" s="239">
        <v>5427.8382083333336</v>
      </c>
      <c r="BD229" s="239">
        <v>0</v>
      </c>
      <c r="BE229" s="239">
        <v>110.77220833333334</v>
      </c>
      <c r="BF229" s="239">
        <v>19790</v>
      </c>
      <c r="BG229" s="239">
        <v>0</v>
      </c>
      <c r="BH229" s="239">
        <v>404</v>
      </c>
      <c r="BI229" s="239">
        <v>-14362</v>
      </c>
      <c r="BJ229" s="239">
        <v>0</v>
      </c>
      <c r="BK229" s="239">
        <v>-293</v>
      </c>
      <c r="BL229" s="239">
        <v>59599.3339375</v>
      </c>
      <c r="BM229" s="239">
        <v>0</v>
      </c>
      <c r="BN229" s="239">
        <v>1216.3129375000001</v>
      </c>
      <c r="BO229" s="239">
        <v>9393</v>
      </c>
      <c r="BP229" s="239">
        <v>0</v>
      </c>
      <c r="BQ229" s="239">
        <v>192</v>
      </c>
      <c r="BR229" s="239">
        <v>50206</v>
      </c>
      <c r="BS229" s="239">
        <v>0</v>
      </c>
      <c r="BT229" s="239">
        <v>1024</v>
      </c>
      <c r="BU229" s="239">
        <v>738022.43535416666</v>
      </c>
      <c r="BV229" s="239">
        <v>0</v>
      </c>
      <c r="BW229" s="239">
        <v>15061.682354166667</v>
      </c>
      <c r="BX229" s="239">
        <v>912237</v>
      </c>
      <c r="BY229" s="239">
        <v>0</v>
      </c>
      <c r="BZ229" s="239">
        <v>18618</v>
      </c>
      <c r="CA229" s="239">
        <v>-174215</v>
      </c>
      <c r="CB229" s="239">
        <v>0</v>
      </c>
      <c r="CC229" s="239">
        <v>-3556</v>
      </c>
      <c r="CD229" s="239">
        <v>0</v>
      </c>
      <c r="CE229" s="239">
        <v>0</v>
      </c>
      <c r="CF229" s="239">
        <v>0</v>
      </c>
      <c r="CG229" s="239">
        <v>0</v>
      </c>
      <c r="CH229" s="239">
        <v>0</v>
      </c>
      <c r="CI229" s="239">
        <v>0</v>
      </c>
      <c r="CJ229" s="239">
        <v>0</v>
      </c>
      <c r="CK229" s="239">
        <v>0</v>
      </c>
      <c r="CL229" s="239">
        <v>0</v>
      </c>
      <c r="CM229" s="239">
        <v>11844.002333333334</v>
      </c>
      <c r="CN229" s="239">
        <v>0</v>
      </c>
      <c r="CO229" s="239">
        <v>241.71433333333334</v>
      </c>
      <c r="CP229" s="239">
        <v>0</v>
      </c>
      <c r="CQ229" s="239">
        <v>0</v>
      </c>
      <c r="CR229" s="239">
        <v>0</v>
      </c>
      <c r="CS229" s="239">
        <v>11844</v>
      </c>
      <c r="CT229" s="239">
        <v>0</v>
      </c>
      <c r="CU229" s="239">
        <v>242</v>
      </c>
      <c r="CV229" s="239">
        <v>711083.96872916666</v>
      </c>
      <c r="CW229" s="239">
        <v>0</v>
      </c>
      <c r="CX229" s="239">
        <v>14511.917729166667</v>
      </c>
      <c r="CY229" s="239">
        <v>735011</v>
      </c>
      <c r="CZ229" s="239">
        <v>0</v>
      </c>
      <c r="DA229" s="239">
        <v>15000</v>
      </c>
      <c r="DB229" s="239">
        <v>-23927</v>
      </c>
      <c r="DC229" s="239">
        <v>0</v>
      </c>
      <c r="DD229" s="239">
        <v>-488</v>
      </c>
      <c r="DE229" s="214">
        <v>0.5</v>
      </c>
      <c r="DF229" s="214">
        <v>0.49</v>
      </c>
      <c r="DG229" s="214">
        <v>0</v>
      </c>
      <c r="DH229" s="214">
        <v>0.01</v>
      </c>
      <c r="DI229" s="214" t="s">
        <v>1296</v>
      </c>
    </row>
    <row r="230" spans="2:113" s="214" customFormat="1" x14ac:dyDescent="0.2">
      <c r="B230" s="610" t="s">
        <v>543</v>
      </c>
      <c r="C230" s="610" t="s">
        <v>542</v>
      </c>
      <c r="D230" s="239">
        <v>-63552</v>
      </c>
      <c r="E230" s="239">
        <v>0</v>
      </c>
      <c r="F230" s="239">
        <v>-63552</v>
      </c>
      <c r="G230" s="239">
        <v>0</v>
      </c>
      <c r="H230" s="239">
        <v>0</v>
      </c>
      <c r="I230" s="239">
        <v>0</v>
      </c>
      <c r="J230" s="239">
        <v>-63552</v>
      </c>
      <c r="K230" s="239">
        <v>0</v>
      </c>
      <c r="L230" s="239">
        <v>-63552</v>
      </c>
      <c r="M230" s="239">
        <v>254871</v>
      </c>
      <c r="N230" s="239">
        <v>254871</v>
      </c>
      <c r="O230" s="239">
        <v>0</v>
      </c>
      <c r="P230" s="239">
        <v>0</v>
      </c>
      <c r="Q230" s="239">
        <v>0</v>
      </c>
      <c r="R230" s="239">
        <v>0</v>
      </c>
      <c r="S230" s="239">
        <v>0</v>
      </c>
      <c r="T230" s="239">
        <v>0</v>
      </c>
      <c r="U230" s="239">
        <v>0</v>
      </c>
      <c r="V230" s="239">
        <v>0</v>
      </c>
      <c r="W230" s="239">
        <v>0</v>
      </c>
      <c r="X230" s="239">
        <v>0</v>
      </c>
      <c r="Y230" s="239">
        <v>0</v>
      </c>
      <c r="Z230" s="239">
        <v>0</v>
      </c>
      <c r="AA230" s="239">
        <v>0</v>
      </c>
      <c r="AB230" s="239">
        <v>0</v>
      </c>
      <c r="AC230" s="239">
        <v>0</v>
      </c>
      <c r="AD230" s="239">
        <v>0</v>
      </c>
      <c r="AE230" s="239">
        <v>0</v>
      </c>
      <c r="AF230" s="239">
        <v>0</v>
      </c>
      <c r="AG230" s="239">
        <v>0</v>
      </c>
      <c r="AH230" s="239">
        <v>0</v>
      </c>
      <c r="AI230" s="239">
        <v>0</v>
      </c>
      <c r="AJ230" s="239">
        <v>0</v>
      </c>
      <c r="AK230" s="239">
        <v>1123670.1158333335</v>
      </c>
      <c r="AL230" s="239">
        <v>252825.77606249999</v>
      </c>
      <c r="AM230" s="239">
        <v>28091.752895833335</v>
      </c>
      <c r="AN230" s="239">
        <v>1144147</v>
      </c>
      <c r="AO230" s="239">
        <v>257432</v>
      </c>
      <c r="AP230" s="239">
        <v>28604</v>
      </c>
      <c r="AQ230" s="239">
        <v>-20477</v>
      </c>
      <c r="AR230" s="239">
        <v>-4606</v>
      </c>
      <c r="AS230" s="239">
        <v>-512</v>
      </c>
      <c r="AT230" s="239">
        <v>8685.2391666666663</v>
      </c>
      <c r="AU230" s="239">
        <v>1954.1788124999998</v>
      </c>
      <c r="AV230" s="239">
        <v>217.13097916666666</v>
      </c>
      <c r="AW230" s="239">
        <v>8118</v>
      </c>
      <c r="AX230" s="239">
        <v>1826</v>
      </c>
      <c r="AY230" s="239">
        <v>202</v>
      </c>
      <c r="AZ230" s="239">
        <v>567</v>
      </c>
      <c r="BA230" s="239">
        <v>128</v>
      </c>
      <c r="BB230" s="239">
        <v>15</v>
      </c>
      <c r="BC230" s="239">
        <v>8648.3083333333325</v>
      </c>
      <c r="BD230" s="239">
        <v>1945.8693749999998</v>
      </c>
      <c r="BE230" s="239">
        <v>216.20770833333333</v>
      </c>
      <c r="BF230" s="239">
        <v>32467</v>
      </c>
      <c r="BG230" s="239">
        <v>7304</v>
      </c>
      <c r="BH230" s="239">
        <v>812</v>
      </c>
      <c r="BI230" s="239">
        <v>-23819</v>
      </c>
      <c r="BJ230" s="239">
        <v>-5358</v>
      </c>
      <c r="BK230" s="239">
        <v>-596</v>
      </c>
      <c r="BL230" s="239">
        <v>9946.9750000000004</v>
      </c>
      <c r="BM230" s="239">
        <v>2238.069375</v>
      </c>
      <c r="BN230" s="239">
        <v>248.67437500000003</v>
      </c>
      <c r="BO230" s="239">
        <v>4057</v>
      </c>
      <c r="BP230" s="239">
        <v>914</v>
      </c>
      <c r="BQ230" s="239">
        <v>102</v>
      </c>
      <c r="BR230" s="239">
        <v>5890</v>
      </c>
      <c r="BS230" s="239">
        <v>1324</v>
      </c>
      <c r="BT230" s="239">
        <v>147</v>
      </c>
      <c r="BU230" s="239">
        <v>445991.35333333345</v>
      </c>
      <c r="BV230" s="239">
        <v>100348.0545</v>
      </c>
      <c r="BW230" s="239">
        <v>11149.783833333335</v>
      </c>
      <c r="BX230" s="239">
        <v>449436</v>
      </c>
      <c r="BY230" s="239">
        <v>101124</v>
      </c>
      <c r="BZ230" s="239">
        <v>11236</v>
      </c>
      <c r="CA230" s="239">
        <v>-3445</v>
      </c>
      <c r="CB230" s="239">
        <v>-776</v>
      </c>
      <c r="CC230" s="239">
        <v>-86</v>
      </c>
      <c r="CD230" s="239">
        <v>34508.008333333331</v>
      </c>
      <c r="CE230" s="239">
        <v>7764.3018749999992</v>
      </c>
      <c r="CF230" s="239">
        <v>862.70020833333331</v>
      </c>
      <c r="CG230" s="239">
        <v>4984</v>
      </c>
      <c r="CH230" s="239">
        <v>0</v>
      </c>
      <c r="CI230" s="239">
        <v>0</v>
      </c>
      <c r="CJ230" s="239">
        <v>29524</v>
      </c>
      <c r="CK230" s="239">
        <v>7764</v>
      </c>
      <c r="CL230" s="239">
        <v>863</v>
      </c>
      <c r="CM230" s="239">
        <v>11573.149166666668</v>
      </c>
      <c r="CN230" s="239">
        <v>2603.9585625</v>
      </c>
      <c r="CO230" s="239">
        <v>289.32872916666668</v>
      </c>
      <c r="CP230" s="239">
        <v>0</v>
      </c>
      <c r="CQ230" s="239">
        <v>0</v>
      </c>
      <c r="CR230" s="239">
        <v>0</v>
      </c>
      <c r="CS230" s="239">
        <v>11573</v>
      </c>
      <c r="CT230" s="239">
        <v>2604</v>
      </c>
      <c r="CU230" s="239">
        <v>289</v>
      </c>
      <c r="CV230" s="239">
        <v>188691.10166666665</v>
      </c>
      <c r="CW230" s="239">
        <v>42455.497874999994</v>
      </c>
      <c r="CX230" s="239">
        <v>4717.2775416666673</v>
      </c>
      <c r="CY230" s="239">
        <v>189854</v>
      </c>
      <c r="CZ230" s="239">
        <v>42717</v>
      </c>
      <c r="DA230" s="239">
        <v>4746</v>
      </c>
      <c r="DB230" s="239">
        <v>-1163</v>
      </c>
      <c r="DC230" s="239">
        <v>-262</v>
      </c>
      <c r="DD230" s="239">
        <v>-29</v>
      </c>
      <c r="DE230" s="214">
        <v>0.5</v>
      </c>
      <c r="DF230" s="214">
        <v>0.4</v>
      </c>
      <c r="DG230" s="214">
        <v>0.09</v>
      </c>
      <c r="DH230" s="214">
        <v>0.01</v>
      </c>
      <c r="DI230" s="214" t="s">
        <v>1294</v>
      </c>
    </row>
    <row r="231" spans="2:113" s="214" customFormat="1" x14ac:dyDescent="0.2">
      <c r="B231" s="610" t="s">
        <v>545</v>
      </c>
      <c r="C231" s="610" t="s">
        <v>544</v>
      </c>
      <c r="D231" s="239">
        <v>336189</v>
      </c>
      <c r="E231" s="239">
        <v>0</v>
      </c>
      <c r="F231" s="239">
        <v>336189</v>
      </c>
      <c r="G231" s="239">
        <v>0</v>
      </c>
      <c r="H231" s="239">
        <v>0</v>
      </c>
      <c r="I231" s="239">
        <v>0</v>
      </c>
      <c r="J231" s="239">
        <v>336189</v>
      </c>
      <c r="K231" s="239">
        <v>0</v>
      </c>
      <c r="L231" s="239">
        <v>336189</v>
      </c>
      <c r="M231" s="239">
        <v>162577</v>
      </c>
      <c r="N231" s="239">
        <v>162577</v>
      </c>
      <c r="O231" s="239">
        <v>0</v>
      </c>
      <c r="P231" s="239">
        <v>0</v>
      </c>
      <c r="Q231" s="239">
        <v>0</v>
      </c>
      <c r="R231" s="239">
        <v>0</v>
      </c>
      <c r="S231" s="239">
        <v>154030</v>
      </c>
      <c r="T231" s="239">
        <v>0</v>
      </c>
      <c r="U231" s="239">
        <v>84378</v>
      </c>
      <c r="V231" s="239">
        <v>0</v>
      </c>
      <c r="W231" s="239">
        <v>69652</v>
      </c>
      <c r="X231" s="239">
        <v>0</v>
      </c>
      <c r="Y231" s="239">
        <v>0</v>
      </c>
      <c r="Z231" s="239">
        <v>0</v>
      </c>
      <c r="AA231" s="239">
        <v>0</v>
      </c>
      <c r="AB231" s="239">
        <v>0</v>
      </c>
      <c r="AC231" s="239">
        <v>0</v>
      </c>
      <c r="AD231" s="239">
        <v>0</v>
      </c>
      <c r="AE231" s="239">
        <v>0</v>
      </c>
      <c r="AF231" s="239">
        <v>0</v>
      </c>
      <c r="AG231" s="239">
        <v>0</v>
      </c>
      <c r="AH231" s="239">
        <v>0</v>
      </c>
      <c r="AI231" s="239">
        <v>0</v>
      </c>
      <c r="AJ231" s="239">
        <v>0</v>
      </c>
      <c r="AK231" s="239">
        <v>596376.54749999999</v>
      </c>
      <c r="AL231" s="239">
        <v>134184.72318749997</v>
      </c>
      <c r="AM231" s="239">
        <v>14909.4136875</v>
      </c>
      <c r="AN231" s="239">
        <v>568125</v>
      </c>
      <c r="AO231" s="239">
        <v>127828</v>
      </c>
      <c r="AP231" s="239">
        <v>14204</v>
      </c>
      <c r="AQ231" s="239">
        <v>28252</v>
      </c>
      <c r="AR231" s="239">
        <v>6357</v>
      </c>
      <c r="AS231" s="239">
        <v>705</v>
      </c>
      <c r="AT231" s="239">
        <v>1368.8758333333335</v>
      </c>
      <c r="AU231" s="239">
        <v>307.99706249999997</v>
      </c>
      <c r="AV231" s="239">
        <v>34.221895833333335</v>
      </c>
      <c r="AW231" s="239">
        <v>1383</v>
      </c>
      <c r="AX231" s="239">
        <v>312</v>
      </c>
      <c r="AY231" s="239">
        <v>34</v>
      </c>
      <c r="AZ231" s="239">
        <v>-14</v>
      </c>
      <c r="BA231" s="239">
        <v>-4</v>
      </c>
      <c r="BB231" s="239">
        <v>0</v>
      </c>
      <c r="BC231" s="239">
        <v>-8330.9466666666667</v>
      </c>
      <c r="BD231" s="239">
        <v>-1874.463</v>
      </c>
      <c r="BE231" s="239">
        <v>-208.27366666666666</v>
      </c>
      <c r="BF231" s="239">
        <v>13061</v>
      </c>
      <c r="BG231" s="239">
        <v>2938</v>
      </c>
      <c r="BH231" s="239">
        <v>326</v>
      </c>
      <c r="BI231" s="239">
        <v>-21392</v>
      </c>
      <c r="BJ231" s="239">
        <v>-4812</v>
      </c>
      <c r="BK231" s="239">
        <v>-534</v>
      </c>
      <c r="BL231" s="239">
        <v>7658.4808333333331</v>
      </c>
      <c r="BM231" s="239">
        <v>1723.1581874999999</v>
      </c>
      <c r="BN231" s="239">
        <v>191.46202083333333</v>
      </c>
      <c r="BO231" s="239">
        <v>6278</v>
      </c>
      <c r="BP231" s="239">
        <v>1414</v>
      </c>
      <c r="BQ231" s="239">
        <v>158</v>
      </c>
      <c r="BR231" s="239">
        <v>1380</v>
      </c>
      <c r="BS231" s="239">
        <v>309</v>
      </c>
      <c r="BT231" s="239">
        <v>33</v>
      </c>
      <c r="BU231" s="239">
        <v>253566.28999999998</v>
      </c>
      <c r="BV231" s="239">
        <v>57052.415249999991</v>
      </c>
      <c r="BW231" s="239">
        <v>6339.1572500000002</v>
      </c>
      <c r="BX231" s="239">
        <v>241160</v>
      </c>
      <c r="BY231" s="239">
        <v>54260</v>
      </c>
      <c r="BZ231" s="239">
        <v>6028</v>
      </c>
      <c r="CA231" s="239">
        <v>12406</v>
      </c>
      <c r="CB231" s="239">
        <v>2792</v>
      </c>
      <c r="CC231" s="239">
        <v>311</v>
      </c>
      <c r="CD231" s="239">
        <v>829.92916666666667</v>
      </c>
      <c r="CE231" s="239">
        <v>186.73406249999999</v>
      </c>
      <c r="CF231" s="239">
        <v>20.748229166666665</v>
      </c>
      <c r="CG231" s="239">
        <v>0</v>
      </c>
      <c r="CH231" s="239">
        <v>0</v>
      </c>
      <c r="CI231" s="239">
        <v>0</v>
      </c>
      <c r="CJ231" s="239">
        <v>830</v>
      </c>
      <c r="CK231" s="239">
        <v>187</v>
      </c>
      <c r="CL231" s="239">
        <v>21</v>
      </c>
      <c r="CM231" s="239">
        <v>13936.722500000002</v>
      </c>
      <c r="CN231" s="239">
        <v>3135.7625625000001</v>
      </c>
      <c r="CO231" s="239">
        <v>348.41806250000002</v>
      </c>
      <c r="CP231" s="239">
        <v>0</v>
      </c>
      <c r="CQ231" s="239">
        <v>0</v>
      </c>
      <c r="CR231" s="239">
        <v>0</v>
      </c>
      <c r="CS231" s="239">
        <v>13937</v>
      </c>
      <c r="CT231" s="239">
        <v>3136</v>
      </c>
      <c r="CU231" s="239">
        <v>348</v>
      </c>
      <c r="CV231" s="239">
        <v>215737.29333333333</v>
      </c>
      <c r="CW231" s="239">
        <v>48035.480062499999</v>
      </c>
      <c r="CX231" s="239">
        <v>5337.2755625</v>
      </c>
      <c r="CY231" s="239">
        <v>215020</v>
      </c>
      <c r="CZ231" s="239">
        <v>48103</v>
      </c>
      <c r="DA231" s="239">
        <v>5345</v>
      </c>
      <c r="DB231" s="239">
        <v>717</v>
      </c>
      <c r="DC231" s="239">
        <v>-68</v>
      </c>
      <c r="DD231" s="239">
        <v>-8</v>
      </c>
      <c r="DE231" s="214">
        <v>0.5</v>
      </c>
      <c r="DF231" s="214">
        <v>0.4</v>
      </c>
      <c r="DG231" s="214">
        <v>0.09</v>
      </c>
      <c r="DH231" s="214">
        <v>0.01</v>
      </c>
      <c r="DI231" s="214" t="s">
        <v>1294</v>
      </c>
    </row>
    <row r="232" spans="2:113" s="214" customFormat="1" x14ac:dyDescent="0.2">
      <c r="B232" s="610" t="s">
        <v>547</v>
      </c>
      <c r="C232" s="610" t="s">
        <v>546</v>
      </c>
      <c r="D232" s="239">
        <v>-608554</v>
      </c>
      <c r="E232" s="239">
        <v>0</v>
      </c>
      <c r="F232" s="239">
        <v>-608554</v>
      </c>
      <c r="G232" s="239">
        <v>0</v>
      </c>
      <c r="H232" s="239">
        <v>0</v>
      </c>
      <c r="I232" s="239">
        <v>0</v>
      </c>
      <c r="J232" s="239">
        <v>-608554</v>
      </c>
      <c r="K232" s="239">
        <v>0</v>
      </c>
      <c r="L232" s="239">
        <v>-608554</v>
      </c>
      <c r="M232" s="239">
        <v>326802</v>
      </c>
      <c r="N232" s="239">
        <v>326802</v>
      </c>
      <c r="O232" s="239">
        <v>0</v>
      </c>
      <c r="P232" s="239">
        <v>0</v>
      </c>
      <c r="Q232" s="239">
        <v>0</v>
      </c>
      <c r="R232" s="239">
        <v>0</v>
      </c>
      <c r="S232" s="239">
        <v>0</v>
      </c>
      <c r="T232" s="239">
        <v>0</v>
      </c>
      <c r="U232" s="239">
        <v>0</v>
      </c>
      <c r="V232" s="239">
        <v>0</v>
      </c>
      <c r="W232" s="239">
        <v>0</v>
      </c>
      <c r="X232" s="239">
        <v>0</v>
      </c>
      <c r="Y232" s="239">
        <v>0</v>
      </c>
      <c r="Z232" s="239">
        <v>0</v>
      </c>
      <c r="AA232" s="239">
        <v>0</v>
      </c>
      <c r="AB232" s="239">
        <v>0</v>
      </c>
      <c r="AC232" s="239">
        <v>0</v>
      </c>
      <c r="AD232" s="239">
        <v>0</v>
      </c>
      <c r="AE232" s="239">
        <v>0</v>
      </c>
      <c r="AF232" s="239">
        <v>0</v>
      </c>
      <c r="AG232" s="239">
        <v>0</v>
      </c>
      <c r="AH232" s="239">
        <v>0</v>
      </c>
      <c r="AI232" s="239">
        <v>0</v>
      </c>
      <c r="AJ232" s="239">
        <v>0</v>
      </c>
      <c r="AK232" s="239">
        <v>1523615.7612083333</v>
      </c>
      <c r="AL232" s="239">
        <v>0</v>
      </c>
      <c r="AM232" s="239">
        <v>31094.199208333335</v>
      </c>
      <c r="AN232" s="239">
        <v>1405056</v>
      </c>
      <c r="AO232" s="239">
        <v>0</v>
      </c>
      <c r="AP232" s="239">
        <v>28674</v>
      </c>
      <c r="AQ232" s="239">
        <v>118560</v>
      </c>
      <c r="AR232" s="239">
        <v>0</v>
      </c>
      <c r="AS232" s="239">
        <v>2420</v>
      </c>
      <c r="AT232" s="239">
        <v>3877.7374999999993</v>
      </c>
      <c r="AU232" s="239">
        <v>0</v>
      </c>
      <c r="AV232" s="239">
        <v>79.137499999999989</v>
      </c>
      <c r="AW232" s="239">
        <v>0</v>
      </c>
      <c r="AX232" s="239">
        <v>0</v>
      </c>
      <c r="AY232" s="239">
        <v>0</v>
      </c>
      <c r="AZ232" s="239">
        <v>3878</v>
      </c>
      <c r="BA232" s="239">
        <v>0</v>
      </c>
      <c r="BB232" s="239">
        <v>79</v>
      </c>
      <c r="BC232" s="239">
        <v>48564.187874999996</v>
      </c>
      <c r="BD232" s="239">
        <v>0</v>
      </c>
      <c r="BE232" s="239">
        <v>991.10587499999997</v>
      </c>
      <c r="BF232" s="239">
        <v>0</v>
      </c>
      <c r="BG232" s="239">
        <v>0</v>
      </c>
      <c r="BH232" s="239">
        <v>0</v>
      </c>
      <c r="BI232" s="239">
        <v>48564</v>
      </c>
      <c r="BJ232" s="239">
        <v>0</v>
      </c>
      <c r="BK232" s="239">
        <v>991</v>
      </c>
      <c r="BL232" s="239">
        <v>40763.472604166665</v>
      </c>
      <c r="BM232" s="239">
        <v>0</v>
      </c>
      <c r="BN232" s="239">
        <v>831.90760416666672</v>
      </c>
      <c r="BO232" s="239">
        <v>0</v>
      </c>
      <c r="BP232" s="239">
        <v>0</v>
      </c>
      <c r="BQ232" s="239">
        <v>0</v>
      </c>
      <c r="BR232" s="239">
        <v>40763</v>
      </c>
      <c r="BS232" s="239">
        <v>0</v>
      </c>
      <c r="BT232" s="239">
        <v>832</v>
      </c>
      <c r="BU232" s="239">
        <v>518569.33872916666</v>
      </c>
      <c r="BV232" s="239">
        <v>0</v>
      </c>
      <c r="BW232" s="239">
        <v>10583.047729166667</v>
      </c>
      <c r="BX232" s="239">
        <v>395919</v>
      </c>
      <c r="BY232" s="239">
        <v>0</v>
      </c>
      <c r="BZ232" s="239">
        <v>8080</v>
      </c>
      <c r="CA232" s="239">
        <v>122650</v>
      </c>
      <c r="CB232" s="239">
        <v>0</v>
      </c>
      <c r="CC232" s="239">
        <v>2503</v>
      </c>
      <c r="CD232" s="239">
        <v>0</v>
      </c>
      <c r="CE232" s="239">
        <v>0</v>
      </c>
      <c r="CF232" s="239">
        <v>0</v>
      </c>
      <c r="CG232" s="239">
        <v>0</v>
      </c>
      <c r="CH232" s="239">
        <v>0</v>
      </c>
      <c r="CI232" s="239">
        <v>0</v>
      </c>
      <c r="CJ232" s="239">
        <v>0</v>
      </c>
      <c r="CK232" s="239">
        <v>0</v>
      </c>
      <c r="CL232" s="239">
        <v>0</v>
      </c>
      <c r="CM232" s="239">
        <v>5693.8112291666666</v>
      </c>
      <c r="CN232" s="239">
        <v>0</v>
      </c>
      <c r="CO232" s="239">
        <v>116.20022916666667</v>
      </c>
      <c r="CP232" s="239">
        <v>0</v>
      </c>
      <c r="CQ232" s="239">
        <v>0</v>
      </c>
      <c r="CR232" s="239">
        <v>0</v>
      </c>
      <c r="CS232" s="239">
        <v>5694</v>
      </c>
      <c r="CT232" s="239">
        <v>0</v>
      </c>
      <c r="CU232" s="239">
        <v>116</v>
      </c>
      <c r="CV232" s="239">
        <v>460426.47160416667</v>
      </c>
      <c r="CW232" s="239">
        <v>0</v>
      </c>
      <c r="CX232" s="239">
        <v>9396.4586041666662</v>
      </c>
      <c r="CY232" s="239">
        <v>468627</v>
      </c>
      <c r="CZ232" s="239">
        <v>0</v>
      </c>
      <c r="DA232" s="239">
        <v>9564</v>
      </c>
      <c r="DB232" s="239">
        <v>-8201</v>
      </c>
      <c r="DC232" s="239">
        <v>0</v>
      </c>
      <c r="DD232" s="239">
        <v>-168</v>
      </c>
      <c r="DE232" s="214">
        <v>0.5</v>
      </c>
      <c r="DF232" s="214">
        <v>0.49</v>
      </c>
      <c r="DG232" s="214">
        <v>0</v>
      </c>
      <c r="DH232" s="214">
        <v>0.01</v>
      </c>
      <c r="DI232" s="214" t="s">
        <v>1296</v>
      </c>
    </row>
    <row r="233" spans="2:113" s="214" customFormat="1" x14ac:dyDescent="0.2">
      <c r="B233" s="610" t="s">
        <v>549</v>
      </c>
      <c r="C233" s="610" t="s">
        <v>548</v>
      </c>
      <c r="D233" s="239">
        <v>-222194</v>
      </c>
      <c r="E233" s="239">
        <v>0</v>
      </c>
      <c r="F233" s="239">
        <v>-222194</v>
      </c>
      <c r="G233" s="239">
        <v>0</v>
      </c>
      <c r="H233" s="239">
        <v>0</v>
      </c>
      <c r="I233" s="239">
        <v>0</v>
      </c>
      <c r="J233" s="239">
        <v>-222194</v>
      </c>
      <c r="K233" s="239">
        <v>0</v>
      </c>
      <c r="L233" s="239">
        <v>-222194</v>
      </c>
      <c r="M233" s="239">
        <v>117679</v>
      </c>
      <c r="N233" s="239">
        <v>117679</v>
      </c>
      <c r="O233" s="239">
        <v>0</v>
      </c>
      <c r="P233" s="239">
        <v>0</v>
      </c>
      <c r="Q233" s="239">
        <v>0</v>
      </c>
      <c r="R233" s="239">
        <v>0</v>
      </c>
      <c r="S233" s="239">
        <v>5367070</v>
      </c>
      <c r="T233" s="239">
        <v>0</v>
      </c>
      <c r="U233" s="239">
        <v>7889</v>
      </c>
      <c r="V233" s="239">
        <v>0</v>
      </c>
      <c r="W233" s="239">
        <v>5359181</v>
      </c>
      <c r="X233" s="239">
        <v>0</v>
      </c>
      <c r="Y233" s="239">
        <v>0</v>
      </c>
      <c r="Z233" s="239">
        <v>0</v>
      </c>
      <c r="AA233" s="239">
        <v>0</v>
      </c>
      <c r="AB233" s="239">
        <v>0</v>
      </c>
      <c r="AC233" s="239">
        <v>0</v>
      </c>
      <c r="AD233" s="239">
        <v>0</v>
      </c>
      <c r="AE233" s="239">
        <v>0</v>
      </c>
      <c r="AF233" s="239">
        <v>0</v>
      </c>
      <c r="AG233" s="239">
        <v>0</v>
      </c>
      <c r="AH233" s="239">
        <v>0</v>
      </c>
      <c r="AI233" s="239">
        <v>0</v>
      </c>
      <c r="AJ233" s="239">
        <v>0</v>
      </c>
      <c r="AK233" s="239">
        <v>348265.26624999999</v>
      </c>
      <c r="AL233" s="239">
        <v>78359.684906249997</v>
      </c>
      <c r="AM233" s="239">
        <v>8706.6316562499997</v>
      </c>
      <c r="AN233" s="239">
        <v>323096</v>
      </c>
      <c r="AO233" s="239">
        <v>72696</v>
      </c>
      <c r="AP233" s="239">
        <v>8078</v>
      </c>
      <c r="AQ233" s="239">
        <v>25169</v>
      </c>
      <c r="AR233" s="239">
        <v>5664</v>
      </c>
      <c r="AS233" s="239">
        <v>629</v>
      </c>
      <c r="AT233" s="239">
        <v>3772.2208333333338</v>
      </c>
      <c r="AU233" s="239">
        <v>848.74968750000005</v>
      </c>
      <c r="AV233" s="239">
        <v>94.305520833333347</v>
      </c>
      <c r="AW233" s="239">
        <v>866</v>
      </c>
      <c r="AX233" s="239">
        <v>194</v>
      </c>
      <c r="AY233" s="239">
        <v>22</v>
      </c>
      <c r="AZ233" s="239">
        <v>2906</v>
      </c>
      <c r="BA233" s="239">
        <v>655</v>
      </c>
      <c r="BB233" s="239">
        <v>72</v>
      </c>
      <c r="BC233" s="239">
        <v>2185.4125000000004</v>
      </c>
      <c r="BD233" s="239">
        <v>491.71781250000004</v>
      </c>
      <c r="BE233" s="239">
        <v>54.635312500000005</v>
      </c>
      <c r="BF233" s="239">
        <v>1053</v>
      </c>
      <c r="BG233" s="239">
        <v>236</v>
      </c>
      <c r="BH233" s="239">
        <v>26</v>
      </c>
      <c r="BI233" s="239">
        <v>1132</v>
      </c>
      <c r="BJ233" s="239">
        <v>256</v>
      </c>
      <c r="BK233" s="239">
        <v>29</v>
      </c>
      <c r="BL233" s="239">
        <v>6627.2583333333341</v>
      </c>
      <c r="BM233" s="239">
        <v>1491.1331250000001</v>
      </c>
      <c r="BN233" s="239">
        <v>165.68145833333335</v>
      </c>
      <c r="BO233" s="239">
        <v>1296</v>
      </c>
      <c r="BP233" s="239">
        <v>292</v>
      </c>
      <c r="BQ233" s="239">
        <v>32</v>
      </c>
      <c r="BR233" s="239">
        <v>5331</v>
      </c>
      <c r="BS233" s="239">
        <v>1199</v>
      </c>
      <c r="BT233" s="239">
        <v>134</v>
      </c>
      <c r="BU233" s="239">
        <v>121993.90583333335</v>
      </c>
      <c r="BV233" s="239">
        <v>27448.628812499999</v>
      </c>
      <c r="BW233" s="239">
        <v>3049.8476458333334</v>
      </c>
      <c r="BX233" s="239">
        <v>93732</v>
      </c>
      <c r="BY233" s="239">
        <v>21090</v>
      </c>
      <c r="BZ233" s="239">
        <v>2344</v>
      </c>
      <c r="CA233" s="239">
        <v>28262</v>
      </c>
      <c r="CB233" s="239">
        <v>6359</v>
      </c>
      <c r="CC233" s="239">
        <v>706</v>
      </c>
      <c r="CD233" s="239">
        <v>16163.935833333335</v>
      </c>
      <c r="CE233" s="239">
        <v>3636.8855625000001</v>
      </c>
      <c r="CF233" s="239">
        <v>404.09839583333337</v>
      </c>
      <c r="CG233" s="239">
        <v>58927</v>
      </c>
      <c r="CH233" s="239">
        <v>0</v>
      </c>
      <c r="CI233" s="239">
        <v>0</v>
      </c>
      <c r="CJ233" s="239">
        <v>-42763</v>
      </c>
      <c r="CK233" s="239">
        <v>3637</v>
      </c>
      <c r="CL233" s="239">
        <v>404</v>
      </c>
      <c r="CM233" s="239">
        <v>78.325833333333335</v>
      </c>
      <c r="CN233" s="239">
        <v>17.623312500000001</v>
      </c>
      <c r="CO233" s="239">
        <v>1.9581458333333333</v>
      </c>
      <c r="CP233" s="239">
        <v>0</v>
      </c>
      <c r="CQ233" s="239">
        <v>0</v>
      </c>
      <c r="CR233" s="239">
        <v>0</v>
      </c>
      <c r="CS233" s="239">
        <v>78</v>
      </c>
      <c r="CT233" s="239">
        <v>18</v>
      </c>
      <c r="CU233" s="239">
        <v>2</v>
      </c>
      <c r="CV233" s="239">
        <v>287274.07916666666</v>
      </c>
      <c r="CW233" s="239">
        <v>47025.969375000001</v>
      </c>
      <c r="CX233" s="239">
        <v>5225.1077083333339</v>
      </c>
      <c r="CY233" s="239">
        <v>246679</v>
      </c>
      <c r="CZ233" s="239">
        <v>55477</v>
      </c>
      <c r="DA233" s="239">
        <v>6164</v>
      </c>
      <c r="DB233" s="239">
        <v>40595</v>
      </c>
      <c r="DC233" s="239">
        <v>-8451</v>
      </c>
      <c r="DD233" s="239">
        <v>-939</v>
      </c>
      <c r="DE233" s="214">
        <v>0.5</v>
      </c>
      <c r="DF233" s="214">
        <v>0.4</v>
      </c>
      <c r="DG233" s="214">
        <v>0.09</v>
      </c>
      <c r="DH233" s="214">
        <v>0.01</v>
      </c>
      <c r="DI233" s="214" t="s">
        <v>1294</v>
      </c>
    </row>
    <row r="234" spans="2:113" s="214" customFormat="1" x14ac:dyDescent="0.2">
      <c r="B234" s="610" t="s">
        <v>551</v>
      </c>
      <c r="C234" s="610" t="s">
        <v>550</v>
      </c>
      <c r="D234" s="239">
        <v>-137758</v>
      </c>
      <c r="E234" s="239">
        <v>0</v>
      </c>
      <c r="F234" s="239">
        <v>-137758</v>
      </c>
      <c r="G234" s="239">
        <v>0</v>
      </c>
      <c r="H234" s="239">
        <v>0</v>
      </c>
      <c r="I234" s="239">
        <v>0</v>
      </c>
      <c r="J234" s="239">
        <v>-137758</v>
      </c>
      <c r="K234" s="239">
        <v>0</v>
      </c>
      <c r="L234" s="239">
        <v>-137758</v>
      </c>
      <c r="M234" s="239">
        <v>167320</v>
      </c>
      <c r="N234" s="239">
        <v>167320</v>
      </c>
      <c r="O234" s="239">
        <v>0</v>
      </c>
      <c r="P234" s="239">
        <v>0</v>
      </c>
      <c r="Q234" s="239">
        <v>0</v>
      </c>
      <c r="R234" s="239">
        <v>0</v>
      </c>
      <c r="S234" s="239">
        <v>0</v>
      </c>
      <c r="T234" s="239">
        <v>0</v>
      </c>
      <c r="U234" s="239">
        <v>0</v>
      </c>
      <c r="V234" s="239">
        <v>0</v>
      </c>
      <c r="W234" s="239">
        <v>0</v>
      </c>
      <c r="X234" s="239">
        <v>0</v>
      </c>
      <c r="Y234" s="239">
        <v>0</v>
      </c>
      <c r="Z234" s="239">
        <v>0</v>
      </c>
      <c r="AA234" s="239">
        <v>0</v>
      </c>
      <c r="AB234" s="239">
        <v>0</v>
      </c>
      <c r="AC234" s="239">
        <v>0</v>
      </c>
      <c r="AD234" s="239">
        <v>0</v>
      </c>
      <c r="AE234" s="239">
        <v>0</v>
      </c>
      <c r="AF234" s="239">
        <v>0</v>
      </c>
      <c r="AG234" s="239">
        <v>0</v>
      </c>
      <c r="AH234" s="239">
        <v>0</v>
      </c>
      <c r="AI234" s="239">
        <v>0</v>
      </c>
      <c r="AJ234" s="239">
        <v>0</v>
      </c>
      <c r="AK234" s="239">
        <v>489063.66250000003</v>
      </c>
      <c r="AL234" s="239">
        <v>110039.3240625</v>
      </c>
      <c r="AM234" s="239">
        <v>12226.5915625</v>
      </c>
      <c r="AN234" s="239">
        <v>476395</v>
      </c>
      <c r="AO234" s="239">
        <v>107188</v>
      </c>
      <c r="AP234" s="239">
        <v>11910</v>
      </c>
      <c r="AQ234" s="239">
        <v>12669</v>
      </c>
      <c r="AR234" s="239">
        <v>2851</v>
      </c>
      <c r="AS234" s="239">
        <v>317</v>
      </c>
      <c r="AT234" s="239">
        <v>4545.7391666666663</v>
      </c>
      <c r="AU234" s="239">
        <v>1022.7913124999999</v>
      </c>
      <c r="AV234" s="239">
        <v>113.64347916666667</v>
      </c>
      <c r="AW234" s="239">
        <v>0</v>
      </c>
      <c r="AX234" s="239">
        <v>0</v>
      </c>
      <c r="AY234" s="239">
        <v>0</v>
      </c>
      <c r="AZ234" s="239">
        <v>4546</v>
      </c>
      <c r="BA234" s="239">
        <v>1023</v>
      </c>
      <c r="BB234" s="239">
        <v>114</v>
      </c>
      <c r="BC234" s="239">
        <v>0</v>
      </c>
      <c r="BD234" s="239">
        <v>0</v>
      </c>
      <c r="BE234" s="239">
        <v>0</v>
      </c>
      <c r="BF234" s="239">
        <v>0</v>
      </c>
      <c r="BG234" s="239">
        <v>0</v>
      </c>
      <c r="BH234" s="239">
        <v>0</v>
      </c>
      <c r="BI234" s="239">
        <v>0</v>
      </c>
      <c r="BJ234" s="239">
        <v>0</v>
      </c>
      <c r="BK234" s="239">
        <v>0</v>
      </c>
      <c r="BL234" s="239">
        <v>0</v>
      </c>
      <c r="BM234" s="239">
        <v>0</v>
      </c>
      <c r="BN234" s="239">
        <v>0</v>
      </c>
      <c r="BO234" s="239">
        <v>0</v>
      </c>
      <c r="BP234" s="239">
        <v>0</v>
      </c>
      <c r="BQ234" s="239">
        <v>0</v>
      </c>
      <c r="BR234" s="239">
        <v>0</v>
      </c>
      <c r="BS234" s="239">
        <v>0</v>
      </c>
      <c r="BT234" s="239">
        <v>0</v>
      </c>
      <c r="BU234" s="239">
        <v>213190.74333333338</v>
      </c>
      <c r="BV234" s="239">
        <v>47967.917250000006</v>
      </c>
      <c r="BW234" s="239">
        <v>5329.7685833333335</v>
      </c>
      <c r="BX234" s="239">
        <v>199563</v>
      </c>
      <c r="BY234" s="239">
        <v>44902</v>
      </c>
      <c r="BZ234" s="239">
        <v>4990</v>
      </c>
      <c r="CA234" s="239">
        <v>13628</v>
      </c>
      <c r="CB234" s="239">
        <v>3066</v>
      </c>
      <c r="CC234" s="239">
        <v>340</v>
      </c>
      <c r="CD234" s="239">
        <v>0</v>
      </c>
      <c r="CE234" s="239">
        <v>0</v>
      </c>
      <c r="CF234" s="239">
        <v>0</v>
      </c>
      <c r="CG234" s="239">
        <v>0</v>
      </c>
      <c r="CH234" s="239">
        <v>0</v>
      </c>
      <c r="CI234" s="239">
        <v>0</v>
      </c>
      <c r="CJ234" s="239">
        <v>0</v>
      </c>
      <c r="CK234" s="239">
        <v>0</v>
      </c>
      <c r="CL234" s="239">
        <v>0</v>
      </c>
      <c r="CM234" s="239">
        <v>3623.685833333333</v>
      </c>
      <c r="CN234" s="239">
        <v>815.3293124999999</v>
      </c>
      <c r="CO234" s="239">
        <v>90.592145833333333</v>
      </c>
      <c r="CP234" s="239">
        <v>0</v>
      </c>
      <c r="CQ234" s="239">
        <v>0</v>
      </c>
      <c r="CR234" s="239">
        <v>0</v>
      </c>
      <c r="CS234" s="239">
        <v>3624</v>
      </c>
      <c r="CT234" s="239">
        <v>815</v>
      </c>
      <c r="CU234" s="239">
        <v>91</v>
      </c>
      <c r="CV234" s="239">
        <v>198913.19583333333</v>
      </c>
      <c r="CW234" s="239">
        <v>44755.4690625</v>
      </c>
      <c r="CX234" s="239">
        <v>4972.8298958333335</v>
      </c>
      <c r="CY234" s="239">
        <v>206248</v>
      </c>
      <c r="CZ234" s="239">
        <v>46406</v>
      </c>
      <c r="DA234" s="239">
        <v>5156</v>
      </c>
      <c r="DB234" s="239">
        <v>-7335</v>
      </c>
      <c r="DC234" s="239">
        <v>-1651</v>
      </c>
      <c r="DD234" s="239">
        <v>-183</v>
      </c>
      <c r="DE234" s="214">
        <v>0.5</v>
      </c>
      <c r="DF234" s="214">
        <v>0.4</v>
      </c>
      <c r="DG234" s="214">
        <v>0.09</v>
      </c>
      <c r="DH234" s="214">
        <v>0.01</v>
      </c>
      <c r="DI234" s="214" t="s">
        <v>1294</v>
      </c>
    </row>
    <row r="235" spans="2:113" s="214" customFormat="1" x14ac:dyDescent="0.2">
      <c r="B235" s="610" t="s">
        <v>553</v>
      </c>
      <c r="C235" s="610" t="s">
        <v>552</v>
      </c>
      <c r="D235" s="239">
        <v>-666606</v>
      </c>
      <c r="E235" s="239">
        <v>1107</v>
      </c>
      <c r="F235" s="239">
        <v>-665499</v>
      </c>
      <c r="G235" s="239">
        <v>0</v>
      </c>
      <c r="H235" s="239">
        <v>0</v>
      </c>
      <c r="I235" s="239">
        <v>0</v>
      </c>
      <c r="J235" s="239">
        <v>-666606</v>
      </c>
      <c r="K235" s="239">
        <v>1107</v>
      </c>
      <c r="L235" s="239">
        <v>-665499</v>
      </c>
      <c r="M235" s="239">
        <v>787885</v>
      </c>
      <c r="N235" s="239">
        <v>787885</v>
      </c>
      <c r="O235" s="239">
        <v>0</v>
      </c>
      <c r="P235" s="239">
        <v>839133</v>
      </c>
      <c r="Q235" s="239">
        <v>292027</v>
      </c>
      <c r="R235" s="239">
        <v>547106</v>
      </c>
      <c r="S235" s="239">
        <v>1314476</v>
      </c>
      <c r="T235" s="239">
        <v>0</v>
      </c>
      <c r="U235" s="239">
        <v>1000000</v>
      </c>
      <c r="V235" s="239">
        <v>0</v>
      </c>
      <c r="W235" s="239">
        <v>314476</v>
      </c>
      <c r="X235" s="239">
        <v>0</v>
      </c>
      <c r="Y235" s="239">
        <v>55804.112500000003</v>
      </c>
      <c r="Z235" s="239">
        <v>55804.112500000003</v>
      </c>
      <c r="AA235" s="239">
        <v>0</v>
      </c>
      <c r="AB235" s="239">
        <v>0</v>
      </c>
      <c r="AC235" s="239">
        <v>55000</v>
      </c>
      <c r="AD235" s="239">
        <v>55000</v>
      </c>
      <c r="AE235" s="239">
        <v>0</v>
      </c>
      <c r="AF235" s="239">
        <v>0</v>
      </c>
      <c r="AG235" s="239">
        <v>804</v>
      </c>
      <c r="AH235" s="239">
        <v>804</v>
      </c>
      <c r="AI235" s="239">
        <v>0</v>
      </c>
      <c r="AJ235" s="239">
        <v>0</v>
      </c>
      <c r="AK235" s="239">
        <v>2832573.3872083332</v>
      </c>
      <c r="AL235" s="239">
        <v>0</v>
      </c>
      <c r="AM235" s="239">
        <v>57569.710708333339</v>
      </c>
      <c r="AN235" s="239">
        <v>2786550</v>
      </c>
      <c r="AO235" s="239">
        <v>0</v>
      </c>
      <c r="AP235" s="239">
        <v>56868</v>
      </c>
      <c r="AQ235" s="239">
        <v>46023</v>
      </c>
      <c r="AR235" s="239">
        <v>0</v>
      </c>
      <c r="AS235" s="239">
        <v>702</v>
      </c>
      <c r="AT235" s="239">
        <v>26874.709458333331</v>
      </c>
      <c r="AU235" s="239">
        <v>0</v>
      </c>
      <c r="AV235" s="239">
        <v>548.46345833333339</v>
      </c>
      <c r="AW235" s="239">
        <v>0</v>
      </c>
      <c r="AX235" s="239">
        <v>0</v>
      </c>
      <c r="AY235" s="239">
        <v>0</v>
      </c>
      <c r="AZ235" s="239">
        <v>26875</v>
      </c>
      <c r="BA235" s="239">
        <v>0</v>
      </c>
      <c r="BB235" s="239">
        <v>548</v>
      </c>
      <c r="BC235" s="239">
        <v>0</v>
      </c>
      <c r="BD235" s="239">
        <v>0</v>
      </c>
      <c r="BE235" s="239">
        <v>0</v>
      </c>
      <c r="BF235" s="239">
        <v>0</v>
      </c>
      <c r="BG235" s="239">
        <v>0</v>
      </c>
      <c r="BH235" s="239">
        <v>0</v>
      </c>
      <c r="BI235" s="239">
        <v>0</v>
      </c>
      <c r="BJ235" s="239">
        <v>0</v>
      </c>
      <c r="BK235" s="239">
        <v>0</v>
      </c>
      <c r="BL235" s="239">
        <v>72808.549458333335</v>
      </c>
      <c r="BM235" s="239">
        <v>0</v>
      </c>
      <c r="BN235" s="239">
        <v>1393.0026250000001</v>
      </c>
      <c r="BO235" s="239">
        <v>8136</v>
      </c>
      <c r="BP235" s="239">
        <v>0</v>
      </c>
      <c r="BQ235" s="239">
        <v>166</v>
      </c>
      <c r="BR235" s="239">
        <v>64673</v>
      </c>
      <c r="BS235" s="239">
        <v>0</v>
      </c>
      <c r="BT235" s="239">
        <v>1227</v>
      </c>
      <c r="BU235" s="239">
        <v>1127213.7206041666</v>
      </c>
      <c r="BV235" s="239">
        <v>0</v>
      </c>
      <c r="BW235" s="239">
        <v>22623.209604166666</v>
      </c>
      <c r="BX235" s="239">
        <v>673242</v>
      </c>
      <c r="BY235" s="239">
        <v>0</v>
      </c>
      <c r="BZ235" s="239">
        <v>13740</v>
      </c>
      <c r="CA235" s="239">
        <v>453972</v>
      </c>
      <c r="CB235" s="239">
        <v>0</v>
      </c>
      <c r="CC235" s="239">
        <v>8883</v>
      </c>
      <c r="CD235" s="239">
        <v>0</v>
      </c>
      <c r="CE235" s="239">
        <v>0</v>
      </c>
      <c r="CF235" s="239">
        <v>0</v>
      </c>
      <c r="CG235" s="239">
        <v>0</v>
      </c>
      <c r="CH235" s="239">
        <v>0</v>
      </c>
      <c r="CI235" s="239">
        <v>0</v>
      </c>
      <c r="CJ235" s="239">
        <v>0</v>
      </c>
      <c r="CK235" s="239">
        <v>0</v>
      </c>
      <c r="CL235" s="239">
        <v>0</v>
      </c>
      <c r="CM235" s="239">
        <v>0</v>
      </c>
      <c r="CN235" s="239">
        <v>0</v>
      </c>
      <c r="CO235" s="239">
        <v>0</v>
      </c>
      <c r="CP235" s="239">
        <v>0</v>
      </c>
      <c r="CQ235" s="239">
        <v>0</v>
      </c>
      <c r="CR235" s="239">
        <v>0</v>
      </c>
      <c r="CS235" s="239">
        <v>0</v>
      </c>
      <c r="CT235" s="239">
        <v>0</v>
      </c>
      <c r="CU235" s="239">
        <v>0</v>
      </c>
      <c r="CV235" s="239">
        <v>1451070.2994375001</v>
      </c>
      <c r="CW235" s="239">
        <v>0</v>
      </c>
      <c r="CX235" s="239">
        <v>28972.724520833337</v>
      </c>
      <c r="CY235" s="239">
        <v>1545945</v>
      </c>
      <c r="CZ235" s="239">
        <v>0</v>
      </c>
      <c r="DA235" s="239">
        <v>31149</v>
      </c>
      <c r="DB235" s="239">
        <v>-94875</v>
      </c>
      <c r="DC235" s="239">
        <v>0</v>
      </c>
      <c r="DD235" s="239">
        <v>-2176</v>
      </c>
      <c r="DE235" s="214">
        <v>0.5</v>
      </c>
      <c r="DF235" s="214">
        <v>0.49</v>
      </c>
      <c r="DG235" s="214">
        <v>0</v>
      </c>
      <c r="DH235" s="214">
        <v>0.01</v>
      </c>
      <c r="DI235" s="214" t="s">
        <v>1296</v>
      </c>
    </row>
    <row r="236" spans="2:113" s="214" customFormat="1" x14ac:dyDescent="0.2">
      <c r="B236" s="610" t="s">
        <v>555</v>
      </c>
      <c r="C236" s="610" t="s">
        <v>554</v>
      </c>
      <c r="D236" s="239">
        <v>252369</v>
      </c>
      <c r="E236" s="239">
        <v>0</v>
      </c>
      <c r="F236" s="239">
        <v>252369</v>
      </c>
      <c r="G236" s="239">
        <v>0</v>
      </c>
      <c r="H236" s="239">
        <v>0</v>
      </c>
      <c r="I236" s="239">
        <v>0</v>
      </c>
      <c r="J236" s="239">
        <v>252369</v>
      </c>
      <c r="K236" s="239">
        <v>0</v>
      </c>
      <c r="L236" s="239">
        <v>252369</v>
      </c>
      <c r="M236" s="239">
        <v>151180</v>
      </c>
      <c r="N236" s="239">
        <v>151180</v>
      </c>
      <c r="O236" s="239">
        <v>0</v>
      </c>
      <c r="P236" s="239">
        <v>0</v>
      </c>
      <c r="Q236" s="239">
        <v>0</v>
      </c>
      <c r="R236" s="239">
        <v>0</v>
      </c>
      <c r="S236" s="239">
        <v>0</v>
      </c>
      <c r="T236" s="239">
        <v>0</v>
      </c>
      <c r="U236" s="239">
        <v>0</v>
      </c>
      <c r="V236" s="239">
        <v>0</v>
      </c>
      <c r="W236" s="239">
        <v>0</v>
      </c>
      <c r="X236" s="239">
        <v>0</v>
      </c>
      <c r="Y236" s="239">
        <v>0</v>
      </c>
      <c r="Z236" s="239">
        <v>0</v>
      </c>
      <c r="AA236" s="239">
        <v>0</v>
      </c>
      <c r="AB236" s="239">
        <v>0</v>
      </c>
      <c r="AC236" s="239">
        <v>0</v>
      </c>
      <c r="AD236" s="239">
        <v>0</v>
      </c>
      <c r="AE236" s="239">
        <v>0</v>
      </c>
      <c r="AF236" s="239">
        <v>0</v>
      </c>
      <c r="AG236" s="239">
        <v>0</v>
      </c>
      <c r="AH236" s="239">
        <v>0</v>
      </c>
      <c r="AI236" s="239">
        <v>0</v>
      </c>
      <c r="AJ236" s="239">
        <v>0</v>
      </c>
      <c r="AK236" s="239">
        <v>569680.83083333331</v>
      </c>
      <c r="AL236" s="239">
        <v>128178.1869375</v>
      </c>
      <c r="AM236" s="239">
        <v>14242.020770833333</v>
      </c>
      <c r="AN236" s="239">
        <v>537821</v>
      </c>
      <c r="AO236" s="239">
        <v>121010</v>
      </c>
      <c r="AP236" s="239">
        <v>13446</v>
      </c>
      <c r="AQ236" s="239">
        <v>31860</v>
      </c>
      <c r="AR236" s="239">
        <v>7168</v>
      </c>
      <c r="AS236" s="239">
        <v>796</v>
      </c>
      <c r="AT236" s="239">
        <v>5727.525833333334</v>
      </c>
      <c r="AU236" s="239">
        <v>1288.6933125</v>
      </c>
      <c r="AV236" s="239">
        <v>143.18814583333335</v>
      </c>
      <c r="AW236" s="239">
        <v>16379</v>
      </c>
      <c r="AX236" s="239">
        <v>3686</v>
      </c>
      <c r="AY236" s="239">
        <v>410</v>
      </c>
      <c r="AZ236" s="239">
        <v>-10651</v>
      </c>
      <c r="BA236" s="239">
        <v>-2397</v>
      </c>
      <c r="BB236" s="239">
        <v>-267</v>
      </c>
      <c r="BC236" s="239">
        <v>164.76833333333335</v>
      </c>
      <c r="BD236" s="239">
        <v>37.072875000000003</v>
      </c>
      <c r="BE236" s="239">
        <v>4.1192083333333338</v>
      </c>
      <c r="BF236" s="239">
        <v>3815</v>
      </c>
      <c r="BG236" s="239">
        <v>858</v>
      </c>
      <c r="BH236" s="239">
        <v>96</v>
      </c>
      <c r="BI236" s="239">
        <v>-3650</v>
      </c>
      <c r="BJ236" s="239">
        <v>-821</v>
      </c>
      <c r="BK236" s="239">
        <v>-92</v>
      </c>
      <c r="BL236" s="239">
        <v>16886.724999999999</v>
      </c>
      <c r="BM236" s="239">
        <v>3799.5131249999995</v>
      </c>
      <c r="BN236" s="239">
        <v>422.16812499999997</v>
      </c>
      <c r="BO236" s="239">
        <v>4899</v>
      </c>
      <c r="BP236" s="239">
        <v>1102</v>
      </c>
      <c r="BQ236" s="239">
        <v>122</v>
      </c>
      <c r="BR236" s="239">
        <v>11988</v>
      </c>
      <c r="BS236" s="239">
        <v>2698</v>
      </c>
      <c r="BT236" s="239">
        <v>300</v>
      </c>
      <c r="BU236" s="239">
        <v>273048.72500000003</v>
      </c>
      <c r="BV236" s="239">
        <v>61435.963125000002</v>
      </c>
      <c r="BW236" s="239">
        <v>6826.2181250000003</v>
      </c>
      <c r="BX236" s="239">
        <v>260518</v>
      </c>
      <c r="BY236" s="239">
        <v>58618</v>
      </c>
      <c r="BZ236" s="239">
        <v>6514</v>
      </c>
      <c r="CA236" s="239">
        <v>12531</v>
      </c>
      <c r="CB236" s="239">
        <v>2818</v>
      </c>
      <c r="CC236" s="239">
        <v>312</v>
      </c>
      <c r="CD236" s="239">
        <v>0</v>
      </c>
      <c r="CE236" s="239">
        <v>0</v>
      </c>
      <c r="CF236" s="239">
        <v>0</v>
      </c>
      <c r="CG236" s="239">
        <v>0</v>
      </c>
      <c r="CH236" s="239">
        <v>0</v>
      </c>
      <c r="CI236" s="239">
        <v>0</v>
      </c>
      <c r="CJ236" s="239">
        <v>0</v>
      </c>
      <c r="CK236" s="239">
        <v>0</v>
      </c>
      <c r="CL236" s="239">
        <v>0</v>
      </c>
      <c r="CM236" s="239">
        <v>5134.1975000000002</v>
      </c>
      <c r="CN236" s="239">
        <v>1155.1944374999998</v>
      </c>
      <c r="CO236" s="239">
        <v>128.35493750000001</v>
      </c>
      <c r="CP236" s="239">
        <v>0</v>
      </c>
      <c r="CQ236" s="239">
        <v>0</v>
      </c>
      <c r="CR236" s="239">
        <v>0</v>
      </c>
      <c r="CS236" s="239">
        <v>5134</v>
      </c>
      <c r="CT236" s="239">
        <v>1155</v>
      </c>
      <c r="CU236" s="239">
        <v>128</v>
      </c>
      <c r="CV236" s="239">
        <v>153958.35</v>
      </c>
      <c r="CW236" s="239">
        <v>34640.628749999996</v>
      </c>
      <c r="CX236" s="239">
        <v>3848.9587499999993</v>
      </c>
      <c r="CY236" s="239">
        <v>158421</v>
      </c>
      <c r="CZ236" s="239">
        <v>35645</v>
      </c>
      <c r="DA236" s="239">
        <v>3961</v>
      </c>
      <c r="DB236" s="239">
        <v>-4463</v>
      </c>
      <c r="DC236" s="239">
        <v>-1004</v>
      </c>
      <c r="DD236" s="239">
        <v>-112</v>
      </c>
      <c r="DE236" s="214">
        <v>0.5</v>
      </c>
      <c r="DF236" s="214">
        <v>0.4</v>
      </c>
      <c r="DG236" s="214">
        <v>0.09</v>
      </c>
      <c r="DH236" s="214">
        <v>0.01</v>
      </c>
      <c r="DI236" s="214" t="s">
        <v>1294</v>
      </c>
    </row>
    <row r="237" spans="2:113" s="214" customFormat="1" x14ac:dyDescent="0.2">
      <c r="B237" s="610" t="s">
        <v>557</v>
      </c>
      <c r="C237" s="610" t="s">
        <v>556</v>
      </c>
      <c r="D237" s="239">
        <v>335482</v>
      </c>
      <c r="E237" s="239">
        <v>0</v>
      </c>
      <c r="F237" s="239">
        <v>335482</v>
      </c>
      <c r="G237" s="239">
        <v>0</v>
      </c>
      <c r="H237" s="239">
        <v>0</v>
      </c>
      <c r="I237" s="239">
        <v>0</v>
      </c>
      <c r="J237" s="239">
        <v>335482</v>
      </c>
      <c r="K237" s="239">
        <v>0</v>
      </c>
      <c r="L237" s="239">
        <v>335482</v>
      </c>
      <c r="M237" s="239">
        <v>463056</v>
      </c>
      <c r="N237" s="239">
        <v>463056</v>
      </c>
      <c r="O237" s="239">
        <v>0</v>
      </c>
      <c r="P237" s="239">
        <v>0</v>
      </c>
      <c r="Q237" s="239">
        <v>0</v>
      </c>
      <c r="R237" s="239">
        <v>0</v>
      </c>
      <c r="S237" s="239">
        <v>1376647</v>
      </c>
      <c r="T237" s="239">
        <v>0</v>
      </c>
      <c r="U237" s="239">
        <v>0</v>
      </c>
      <c r="V237" s="239">
        <v>0</v>
      </c>
      <c r="W237" s="239">
        <v>1376647</v>
      </c>
      <c r="X237" s="239">
        <v>0</v>
      </c>
      <c r="Y237" s="239">
        <v>0</v>
      </c>
      <c r="Z237" s="239">
        <v>0</v>
      </c>
      <c r="AA237" s="239">
        <v>0</v>
      </c>
      <c r="AB237" s="239">
        <v>0</v>
      </c>
      <c r="AC237" s="239">
        <v>0</v>
      </c>
      <c r="AD237" s="239">
        <v>0</v>
      </c>
      <c r="AE237" s="239">
        <v>0</v>
      </c>
      <c r="AF237" s="239">
        <v>0</v>
      </c>
      <c r="AG237" s="239">
        <v>0</v>
      </c>
      <c r="AH237" s="239">
        <v>0</v>
      </c>
      <c r="AI237" s="239">
        <v>0</v>
      </c>
      <c r="AJ237" s="239">
        <v>0</v>
      </c>
      <c r="AK237" s="239">
        <v>2125087.6476666667</v>
      </c>
      <c r="AL237" s="239">
        <v>0</v>
      </c>
      <c r="AM237" s="239">
        <v>43369.135666666662</v>
      </c>
      <c r="AN237" s="239">
        <v>2024030</v>
      </c>
      <c r="AO237" s="239">
        <v>0</v>
      </c>
      <c r="AP237" s="239">
        <v>41306</v>
      </c>
      <c r="AQ237" s="239">
        <v>101058</v>
      </c>
      <c r="AR237" s="239">
        <v>0</v>
      </c>
      <c r="AS237" s="239">
        <v>2063</v>
      </c>
      <c r="AT237" s="239">
        <v>11404.028270833334</v>
      </c>
      <c r="AU237" s="239">
        <v>0</v>
      </c>
      <c r="AV237" s="239">
        <v>232.73527083333335</v>
      </c>
      <c r="AW237" s="239">
        <v>9944</v>
      </c>
      <c r="AX237" s="239">
        <v>0</v>
      </c>
      <c r="AY237" s="239">
        <v>202</v>
      </c>
      <c r="AZ237" s="239">
        <v>1460</v>
      </c>
      <c r="BA237" s="239">
        <v>0</v>
      </c>
      <c r="BB237" s="239">
        <v>31</v>
      </c>
      <c r="BC237" s="239">
        <v>81443.921854166663</v>
      </c>
      <c r="BD237" s="239">
        <v>0</v>
      </c>
      <c r="BE237" s="239">
        <v>1662.1208541666665</v>
      </c>
      <c r="BF237" s="239">
        <v>30817</v>
      </c>
      <c r="BG237" s="239">
        <v>0</v>
      </c>
      <c r="BH237" s="239">
        <v>628</v>
      </c>
      <c r="BI237" s="239">
        <v>50627</v>
      </c>
      <c r="BJ237" s="239">
        <v>0</v>
      </c>
      <c r="BK237" s="239">
        <v>1034</v>
      </c>
      <c r="BL237" s="239">
        <v>46788.382958333335</v>
      </c>
      <c r="BM237" s="239">
        <v>0</v>
      </c>
      <c r="BN237" s="239">
        <v>954.86495833333333</v>
      </c>
      <c r="BO237" s="239">
        <v>21067</v>
      </c>
      <c r="BP237" s="239">
        <v>0</v>
      </c>
      <c r="BQ237" s="239">
        <v>430</v>
      </c>
      <c r="BR237" s="239">
        <v>25721</v>
      </c>
      <c r="BS237" s="239">
        <v>0</v>
      </c>
      <c r="BT237" s="239">
        <v>525</v>
      </c>
      <c r="BU237" s="239">
        <v>783270.66052083333</v>
      </c>
      <c r="BV237" s="239">
        <v>0</v>
      </c>
      <c r="BW237" s="239">
        <v>15985.115520833335</v>
      </c>
      <c r="BX237" s="239">
        <v>646424</v>
      </c>
      <c r="BY237" s="239">
        <v>0</v>
      </c>
      <c r="BZ237" s="239">
        <v>13192</v>
      </c>
      <c r="CA237" s="239">
        <v>136847</v>
      </c>
      <c r="CB237" s="239">
        <v>0</v>
      </c>
      <c r="CC237" s="239">
        <v>2793</v>
      </c>
      <c r="CD237" s="239">
        <v>0</v>
      </c>
      <c r="CE237" s="239">
        <v>0</v>
      </c>
      <c r="CF237" s="239">
        <v>0</v>
      </c>
      <c r="CG237" s="239">
        <v>0</v>
      </c>
      <c r="CH237" s="239">
        <v>0</v>
      </c>
      <c r="CI237" s="239">
        <v>0</v>
      </c>
      <c r="CJ237" s="239">
        <v>0</v>
      </c>
      <c r="CK237" s="239">
        <v>0</v>
      </c>
      <c r="CL237" s="239">
        <v>0</v>
      </c>
      <c r="CM237" s="239">
        <v>11152.969625</v>
      </c>
      <c r="CN237" s="239">
        <v>0</v>
      </c>
      <c r="CO237" s="239">
        <v>227.611625</v>
      </c>
      <c r="CP237" s="239">
        <v>0</v>
      </c>
      <c r="CQ237" s="239">
        <v>0</v>
      </c>
      <c r="CR237" s="239">
        <v>0</v>
      </c>
      <c r="CS237" s="239">
        <v>11153</v>
      </c>
      <c r="CT237" s="239">
        <v>0</v>
      </c>
      <c r="CU237" s="239">
        <v>228</v>
      </c>
      <c r="CV237" s="239">
        <v>536028.72852083331</v>
      </c>
      <c r="CW237" s="239">
        <v>0</v>
      </c>
      <c r="CX237" s="239">
        <v>10529.645437499999</v>
      </c>
      <c r="CY237" s="239">
        <v>571173</v>
      </c>
      <c r="CZ237" s="239">
        <v>0</v>
      </c>
      <c r="DA237" s="239">
        <v>11657</v>
      </c>
      <c r="DB237" s="239">
        <v>-35144</v>
      </c>
      <c r="DC237" s="239">
        <v>0</v>
      </c>
      <c r="DD237" s="239">
        <v>-1127</v>
      </c>
      <c r="DE237" s="214">
        <v>0.5</v>
      </c>
      <c r="DF237" s="214">
        <v>0.49</v>
      </c>
      <c r="DG237" s="214">
        <v>0</v>
      </c>
      <c r="DH237" s="214">
        <v>0.01</v>
      </c>
      <c r="DI237" s="214" t="s">
        <v>748</v>
      </c>
    </row>
    <row r="238" spans="2:113" s="214" customFormat="1" x14ac:dyDescent="0.2">
      <c r="B238" s="610" t="s">
        <v>559</v>
      </c>
      <c r="C238" s="610" t="s">
        <v>558</v>
      </c>
      <c r="D238" s="239">
        <v>-227844</v>
      </c>
      <c r="E238" s="239">
        <v>0</v>
      </c>
      <c r="F238" s="239">
        <v>-227844</v>
      </c>
      <c r="G238" s="239">
        <v>0</v>
      </c>
      <c r="H238" s="239">
        <v>0</v>
      </c>
      <c r="I238" s="239">
        <v>0</v>
      </c>
      <c r="J238" s="239">
        <v>-227844</v>
      </c>
      <c r="K238" s="239">
        <v>0</v>
      </c>
      <c r="L238" s="239">
        <v>-227844</v>
      </c>
      <c r="M238" s="239">
        <v>204561</v>
      </c>
      <c r="N238" s="239">
        <v>204561</v>
      </c>
      <c r="O238" s="239">
        <v>0</v>
      </c>
      <c r="P238" s="239">
        <v>0</v>
      </c>
      <c r="Q238" s="239">
        <v>0</v>
      </c>
      <c r="R238" s="239">
        <v>0</v>
      </c>
      <c r="S238" s="239">
        <v>0</v>
      </c>
      <c r="T238" s="239">
        <v>0</v>
      </c>
      <c r="U238" s="239">
        <v>0</v>
      </c>
      <c r="V238" s="239">
        <v>0</v>
      </c>
      <c r="W238" s="239">
        <v>0</v>
      </c>
      <c r="X238" s="239">
        <v>0</v>
      </c>
      <c r="Y238" s="239">
        <v>0</v>
      </c>
      <c r="Z238" s="239">
        <v>0</v>
      </c>
      <c r="AA238" s="239">
        <v>0</v>
      </c>
      <c r="AB238" s="239">
        <v>0</v>
      </c>
      <c r="AC238" s="239">
        <v>0</v>
      </c>
      <c r="AD238" s="239">
        <v>0</v>
      </c>
      <c r="AE238" s="239">
        <v>0</v>
      </c>
      <c r="AF238" s="239">
        <v>0</v>
      </c>
      <c r="AG238" s="239">
        <v>0</v>
      </c>
      <c r="AH238" s="239">
        <v>0</v>
      </c>
      <c r="AI238" s="239">
        <v>0</v>
      </c>
      <c r="AJ238" s="239">
        <v>0</v>
      </c>
      <c r="AK238" s="239">
        <v>358935.06592708337</v>
      </c>
      <c r="AL238" s="239">
        <v>0</v>
      </c>
      <c r="AM238" s="239">
        <v>7325.2054270833341</v>
      </c>
      <c r="AN238" s="239">
        <v>301155</v>
      </c>
      <c r="AO238" s="239">
        <v>0</v>
      </c>
      <c r="AP238" s="239">
        <v>6146</v>
      </c>
      <c r="AQ238" s="239">
        <v>57780</v>
      </c>
      <c r="AR238" s="239">
        <v>0</v>
      </c>
      <c r="AS238" s="239">
        <v>1179</v>
      </c>
      <c r="AT238" s="239">
        <v>3596.8501041666668</v>
      </c>
      <c r="AU238" s="239">
        <v>0</v>
      </c>
      <c r="AV238" s="239">
        <v>73.405104166666675</v>
      </c>
      <c r="AW238" s="239">
        <v>0</v>
      </c>
      <c r="AX238" s="239">
        <v>0</v>
      </c>
      <c r="AY238" s="239">
        <v>0</v>
      </c>
      <c r="AZ238" s="239">
        <v>3597</v>
      </c>
      <c r="BA238" s="239">
        <v>0</v>
      </c>
      <c r="BB238" s="239">
        <v>73</v>
      </c>
      <c r="BC238" s="239">
        <v>98051.078416666671</v>
      </c>
      <c r="BD238" s="239">
        <v>0</v>
      </c>
      <c r="BE238" s="239">
        <v>2001.0424166666667</v>
      </c>
      <c r="BF238" s="239">
        <v>0</v>
      </c>
      <c r="BG238" s="239">
        <v>0</v>
      </c>
      <c r="BH238" s="239">
        <v>0</v>
      </c>
      <c r="BI238" s="239">
        <v>98051</v>
      </c>
      <c r="BJ238" s="239">
        <v>0</v>
      </c>
      <c r="BK238" s="239">
        <v>2001</v>
      </c>
      <c r="BL238" s="239">
        <v>13345.879895833332</v>
      </c>
      <c r="BM238" s="239">
        <v>0</v>
      </c>
      <c r="BN238" s="239">
        <v>272.36489583333332</v>
      </c>
      <c r="BO238" s="239">
        <v>1999</v>
      </c>
      <c r="BP238" s="239">
        <v>0</v>
      </c>
      <c r="BQ238" s="239">
        <v>40</v>
      </c>
      <c r="BR238" s="239">
        <v>11347</v>
      </c>
      <c r="BS238" s="239">
        <v>0</v>
      </c>
      <c r="BT238" s="239">
        <v>232</v>
      </c>
      <c r="BU238" s="239">
        <v>282011.93970833329</v>
      </c>
      <c r="BV238" s="239">
        <v>0</v>
      </c>
      <c r="BW238" s="239">
        <v>5755.3457083333333</v>
      </c>
      <c r="BX238" s="239">
        <v>367287</v>
      </c>
      <c r="BY238" s="239">
        <v>0</v>
      </c>
      <c r="BZ238" s="239">
        <v>7496</v>
      </c>
      <c r="CA238" s="239">
        <v>-85275</v>
      </c>
      <c r="CB238" s="239">
        <v>0</v>
      </c>
      <c r="CC238" s="239">
        <v>-1741</v>
      </c>
      <c r="CD238" s="239">
        <v>0</v>
      </c>
      <c r="CE238" s="239">
        <v>0</v>
      </c>
      <c r="CF238" s="239">
        <v>0</v>
      </c>
      <c r="CG238" s="239">
        <v>0</v>
      </c>
      <c r="CH238" s="239">
        <v>0</v>
      </c>
      <c r="CI238" s="239">
        <v>0</v>
      </c>
      <c r="CJ238" s="239">
        <v>0</v>
      </c>
      <c r="CK238" s="239">
        <v>0</v>
      </c>
      <c r="CL238" s="239">
        <v>0</v>
      </c>
      <c r="CM238" s="239">
        <v>382.80229166666663</v>
      </c>
      <c r="CN238" s="239">
        <v>0</v>
      </c>
      <c r="CO238" s="239">
        <v>7.8122916666666669</v>
      </c>
      <c r="CP238" s="239">
        <v>0</v>
      </c>
      <c r="CQ238" s="239">
        <v>0</v>
      </c>
      <c r="CR238" s="239">
        <v>0</v>
      </c>
      <c r="CS238" s="239">
        <v>383</v>
      </c>
      <c r="CT238" s="239">
        <v>0</v>
      </c>
      <c r="CU238" s="239">
        <v>8</v>
      </c>
      <c r="CV238" s="239">
        <v>701396.56970833347</v>
      </c>
      <c r="CW238" s="239">
        <v>0</v>
      </c>
      <c r="CX238" s="239">
        <v>14314.215708333333</v>
      </c>
      <c r="CY238" s="239">
        <v>697378</v>
      </c>
      <c r="CZ238" s="239">
        <v>0</v>
      </c>
      <c r="DA238" s="239">
        <v>14232</v>
      </c>
      <c r="DB238" s="239">
        <v>4019</v>
      </c>
      <c r="DC238" s="239">
        <v>0</v>
      </c>
      <c r="DD238" s="239">
        <v>82</v>
      </c>
      <c r="DE238" s="214">
        <v>0.5</v>
      </c>
      <c r="DF238" s="214">
        <v>0.49</v>
      </c>
      <c r="DG238" s="214">
        <v>0</v>
      </c>
      <c r="DH238" s="214">
        <v>0.01</v>
      </c>
      <c r="DI238" s="214" t="s">
        <v>748</v>
      </c>
    </row>
    <row r="239" spans="2:113" s="214" customFormat="1" x14ac:dyDescent="0.2">
      <c r="B239" s="610" t="s">
        <v>561</v>
      </c>
      <c r="C239" s="610" t="s">
        <v>560</v>
      </c>
      <c r="D239" s="239">
        <v>-154678</v>
      </c>
      <c r="E239" s="239">
        <v>0</v>
      </c>
      <c r="F239" s="239">
        <v>-154678</v>
      </c>
      <c r="G239" s="239">
        <v>0</v>
      </c>
      <c r="H239" s="239">
        <v>0</v>
      </c>
      <c r="I239" s="239">
        <v>0</v>
      </c>
      <c r="J239" s="239">
        <v>-154678</v>
      </c>
      <c r="K239" s="239">
        <v>0</v>
      </c>
      <c r="L239" s="239">
        <v>-154678</v>
      </c>
      <c r="M239" s="239">
        <v>247739</v>
      </c>
      <c r="N239" s="239">
        <v>247739</v>
      </c>
      <c r="O239" s="239">
        <v>0</v>
      </c>
      <c r="P239" s="239">
        <v>0</v>
      </c>
      <c r="Q239" s="239">
        <v>0</v>
      </c>
      <c r="R239" s="239">
        <v>0</v>
      </c>
      <c r="S239" s="239">
        <v>0</v>
      </c>
      <c r="T239" s="239">
        <v>0</v>
      </c>
      <c r="U239" s="239">
        <v>0</v>
      </c>
      <c r="V239" s="239">
        <v>0</v>
      </c>
      <c r="W239" s="239">
        <v>0</v>
      </c>
      <c r="X239" s="239">
        <v>0</v>
      </c>
      <c r="Y239" s="239">
        <v>0</v>
      </c>
      <c r="Z239" s="239">
        <v>0</v>
      </c>
      <c r="AA239" s="239">
        <v>0</v>
      </c>
      <c r="AB239" s="239">
        <v>0</v>
      </c>
      <c r="AC239" s="239">
        <v>0</v>
      </c>
      <c r="AD239" s="239">
        <v>0</v>
      </c>
      <c r="AE239" s="239">
        <v>0</v>
      </c>
      <c r="AF239" s="239">
        <v>0</v>
      </c>
      <c r="AG239" s="239">
        <v>0</v>
      </c>
      <c r="AH239" s="239">
        <v>0</v>
      </c>
      <c r="AI239" s="239">
        <v>0</v>
      </c>
      <c r="AJ239" s="239">
        <v>0</v>
      </c>
      <c r="AK239" s="239">
        <v>583209.23427083332</v>
      </c>
      <c r="AL239" s="239">
        <v>0</v>
      </c>
      <c r="AM239" s="239">
        <v>11902.229270833335</v>
      </c>
      <c r="AN239" s="239">
        <v>540402</v>
      </c>
      <c r="AO239" s="239">
        <v>0</v>
      </c>
      <c r="AP239" s="239">
        <v>11028</v>
      </c>
      <c r="AQ239" s="239">
        <v>42807</v>
      </c>
      <c r="AR239" s="239">
        <v>0</v>
      </c>
      <c r="AS239" s="239">
        <v>874</v>
      </c>
      <c r="AT239" s="239">
        <v>1539.1635000000001</v>
      </c>
      <c r="AU239" s="239">
        <v>0</v>
      </c>
      <c r="AV239" s="239">
        <v>31.4115</v>
      </c>
      <c r="AW239" s="239">
        <v>4971</v>
      </c>
      <c r="AX239" s="239">
        <v>0</v>
      </c>
      <c r="AY239" s="239">
        <v>102</v>
      </c>
      <c r="AZ239" s="239">
        <v>-3432</v>
      </c>
      <c r="BA239" s="239">
        <v>0</v>
      </c>
      <c r="BB239" s="239">
        <v>-71</v>
      </c>
      <c r="BC239" s="239">
        <v>246040.45579166664</v>
      </c>
      <c r="BD239" s="239">
        <v>0</v>
      </c>
      <c r="BE239" s="239">
        <v>5021.2337916666665</v>
      </c>
      <c r="BF239" s="239">
        <v>134229</v>
      </c>
      <c r="BG239" s="239">
        <v>0</v>
      </c>
      <c r="BH239" s="239">
        <v>2740</v>
      </c>
      <c r="BI239" s="239">
        <v>111811</v>
      </c>
      <c r="BJ239" s="239">
        <v>0</v>
      </c>
      <c r="BK239" s="239">
        <v>2281</v>
      </c>
      <c r="BL239" s="239">
        <v>10296.8845</v>
      </c>
      <c r="BM239" s="239">
        <v>0</v>
      </c>
      <c r="BN239" s="239">
        <v>210.1405</v>
      </c>
      <c r="BO239" s="239">
        <v>19886</v>
      </c>
      <c r="BP239" s="239">
        <v>0</v>
      </c>
      <c r="BQ239" s="239">
        <v>406</v>
      </c>
      <c r="BR239" s="239">
        <v>-9589</v>
      </c>
      <c r="BS239" s="239">
        <v>0</v>
      </c>
      <c r="BT239" s="239">
        <v>-196</v>
      </c>
      <c r="BU239" s="239">
        <v>503719.5926875</v>
      </c>
      <c r="BV239" s="239">
        <v>0</v>
      </c>
      <c r="BW239" s="239">
        <v>10279.9916875</v>
      </c>
      <c r="BX239" s="239">
        <v>568691</v>
      </c>
      <c r="BY239" s="239">
        <v>0</v>
      </c>
      <c r="BZ239" s="239">
        <v>11606</v>
      </c>
      <c r="CA239" s="239">
        <v>-64971</v>
      </c>
      <c r="CB239" s="239">
        <v>0</v>
      </c>
      <c r="CC239" s="239">
        <v>-1326</v>
      </c>
      <c r="CD239" s="239">
        <v>0</v>
      </c>
      <c r="CE239" s="239">
        <v>0</v>
      </c>
      <c r="CF239" s="239">
        <v>0</v>
      </c>
      <c r="CG239" s="239">
        <v>0</v>
      </c>
      <c r="CH239" s="239">
        <v>0</v>
      </c>
      <c r="CI239" s="239">
        <v>0</v>
      </c>
      <c r="CJ239" s="239">
        <v>0</v>
      </c>
      <c r="CK239" s="239">
        <v>0</v>
      </c>
      <c r="CL239" s="239">
        <v>0</v>
      </c>
      <c r="CM239" s="239">
        <v>767.59316666666666</v>
      </c>
      <c r="CN239" s="239">
        <v>0</v>
      </c>
      <c r="CO239" s="239">
        <v>15.665166666666666</v>
      </c>
      <c r="CP239" s="239">
        <v>0</v>
      </c>
      <c r="CQ239" s="239">
        <v>0</v>
      </c>
      <c r="CR239" s="239">
        <v>0</v>
      </c>
      <c r="CS239" s="239">
        <v>768</v>
      </c>
      <c r="CT239" s="239">
        <v>0</v>
      </c>
      <c r="CU239" s="239">
        <v>16</v>
      </c>
      <c r="CV239" s="239">
        <v>839571.0612916667</v>
      </c>
      <c r="CW239" s="239">
        <v>0</v>
      </c>
      <c r="CX239" s="239">
        <v>17134.103291666666</v>
      </c>
      <c r="CY239" s="239">
        <v>840365</v>
      </c>
      <c r="CZ239" s="239">
        <v>0</v>
      </c>
      <c r="DA239" s="239">
        <v>17150</v>
      </c>
      <c r="DB239" s="239">
        <v>-794</v>
      </c>
      <c r="DC239" s="239">
        <v>0</v>
      </c>
      <c r="DD239" s="239">
        <v>-16</v>
      </c>
      <c r="DE239" s="214">
        <v>0.5</v>
      </c>
      <c r="DF239" s="214">
        <v>0.49</v>
      </c>
      <c r="DG239" s="214">
        <v>0</v>
      </c>
      <c r="DH239" s="214">
        <v>0.01</v>
      </c>
      <c r="DI239" s="214" t="s">
        <v>1296</v>
      </c>
    </row>
    <row r="240" spans="2:113" s="214" customFormat="1" x14ac:dyDescent="0.2">
      <c r="B240" s="610" t="s">
        <v>563</v>
      </c>
      <c r="C240" s="610" t="s">
        <v>562</v>
      </c>
      <c r="D240" s="239">
        <v>-243855</v>
      </c>
      <c r="E240" s="239">
        <v>0</v>
      </c>
      <c r="F240" s="239">
        <v>-243855</v>
      </c>
      <c r="G240" s="239">
        <v>0</v>
      </c>
      <c r="H240" s="239">
        <v>0</v>
      </c>
      <c r="I240" s="239">
        <v>0</v>
      </c>
      <c r="J240" s="239">
        <v>-243855</v>
      </c>
      <c r="K240" s="239">
        <v>0</v>
      </c>
      <c r="L240" s="239">
        <v>-243855</v>
      </c>
      <c r="M240" s="239">
        <v>97084</v>
      </c>
      <c r="N240" s="239">
        <v>97084</v>
      </c>
      <c r="O240" s="239">
        <v>0</v>
      </c>
      <c r="P240" s="239">
        <v>0</v>
      </c>
      <c r="Q240" s="239">
        <v>0</v>
      </c>
      <c r="R240" s="239">
        <v>0</v>
      </c>
      <c r="S240" s="239">
        <v>0</v>
      </c>
      <c r="T240" s="239">
        <v>0</v>
      </c>
      <c r="U240" s="239">
        <v>0</v>
      </c>
      <c r="V240" s="239">
        <v>0</v>
      </c>
      <c r="W240" s="239">
        <v>0</v>
      </c>
      <c r="X240" s="239">
        <v>0</v>
      </c>
      <c r="Y240" s="239">
        <v>0</v>
      </c>
      <c r="Z240" s="239">
        <v>0</v>
      </c>
      <c r="AA240" s="239">
        <v>0</v>
      </c>
      <c r="AB240" s="239">
        <v>0</v>
      </c>
      <c r="AC240" s="239">
        <v>0</v>
      </c>
      <c r="AD240" s="239">
        <v>0</v>
      </c>
      <c r="AE240" s="239">
        <v>0</v>
      </c>
      <c r="AF240" s="239">
        <v>0</v>
      </c>
      <c r="AG240" s="239">
        <v>0</v>
      </c>
      <c r="AH240" s="239">
        <v>0</v>
      </c>
      <c r="AI240" s="239">
        <v>0</v>
      </c>
      <c r="AJ240" s="239">
        <v>0</v>
      </c>
      <c r="AK240" s="239">
        <v>183053.96583333335</v>
      </c>
      <c r="AL240" s="239">
        <v>41187.1423125</v>
      </c>
      <c r="AM240" s="239">
        <v>4576.3491458333338</v>
      </c>
      <c r="AN240" s="239">
        <v>180410</v>
      </c>
      <c r="AO240" s="239">
        <v>40592</v>
      </c>
      <c r="AP240" s="239">
        <v>4510</v>
      </c>
      <c r="AQ240" s="239">
        <v>2644</v>
      </c>
      <c r="AR240" s="239">
        <v>595</v>
      </c>
      <c r="AS240" s="239">
        <v>66</v>
      </c>
      <c r="AT240" s="239">
        <v>0</v>
      </c>
      <c r="AU240" s="239">
        <v>0</v>
      </c>
      <c r="AV240" s="239">
        <v>0</v>
      </c>
      <c r="AW240" s="239">
        <v>0</v>
      </c>
      <c r="AX240" s="239">
        <v>0</v>
      </c>
      <c r="AY240" s="239">
        <v>0</v>
      </c>
      <c r="AZ240" s="239">
        <v>0</v>
      </c>
      <c r="BA240" s="239">
        <v>0</v>
      </c>
      <c r="BB240" s="239">
        <v>0</v>
      </c>
      <c r="BC240" s="239">
        <v>1287.7091666666668</v>
      </c>
      <c r="BD240" s="239">
        <v>289.73456249999998</v>
      </c>
      <c r="BE240" s="239">
        <v>32.192729166666666</v>
      </c>
      <c r="BF240" s="239">
        <v>0</v>
      </c>
      <c r="BG240" s="239">
        <v>0</v>
      </c>
      <c r="BH240" s="239">
        <v>0</v>
      </c>
      <c r="BI240" s="239">
        <v>1288</v>
      </c>
      <c r="BJ240" s="239">
        <v>290</v>
      </c>
      <c r="BK240" s="239">
        <v>32</v>
      </c>
      <c r="BL240" s="239">
        <v>0</v>
      </c>
      <c r="BM240" s="239">
        <v>0</v>
      </c>
      <c r="BN240" s="239">
        <v>0</v>
      </c>
      <c r="BO240" s="239">
        <v>0</v>
      </c>
      <c r="BP240" s="239">
        <v>0</v>
      </c>
      <c r="BQ240" s="239">
        <v>0</v>
      </c>
      <c r="BR240" s="239">
        <v>0</v>
      </c>
      <c r="BS240" s="239">
        <v>0</v>
      </c>
      <c r="BT240" s="239">
        <v>0</v>
      </c>
      <c r="BU240" s="239">
        <v>137502.42083333334</v>
      </c>
      <c r="BV240" s="239">
        <v>30938.044687500002</v>
      </c>
      <c r="BW240" s="239">
        <v>3437.5605208333336</v>
      </c>
      <c r="BX240" s="239">
        <v>91794</v>
      </c>
      <c r="BY240" s="239">
        <v>20654</v>
      </c>
      <c r="BZ240" s="239">
        <v>2294</v>
      </c>
      <c r="CA240" s="239">
        <v>45708</v>
      </c>
      <c r="CB240" s="239">
        <v>10284</v>
      </c>
      <c r="CC240" s="239">
        <v>1144</v>
      </c>
      <c r="CD240" s="239">
        <v>0</v>
      </c>
      <c r="CE240" s="239">
        <v>0</v>
      </c>
      <c r="CF240" s="239">
        <v>0</v>
      </c>
      <c r="CG240" s="239">
        <v>0</v>
      </c>
      <c r="CH240" s="239">
        <v>0</v>
      </c>
      <c r="CI240" s="239">
        <v>0</v>
      </c>
      <c r="CJ240" s="239">
        <v>0</v>
      </c>
      <c r="CK240" s="239">
        <v>0</v>
      </c>
      <c r="CL240" s="239">
        <v>0</v>
      </c>
      <c r="CM240" s="239">
        <v>0</v>
      </c>
      <c r="CN240" s="239">
        <v>0</v>
      </c>
      <c r="CO240" s="239">
        <v>0</v>
      </c>
      <c r="CP240" s="239">
        <v>0</v>
      </c>
      <c r="CQ240" s="239">
        <v>0</v>
      </c>
      <c r="CR240" s="239">
        <v>0</v>
      </c>
      <c r="CS240" s="239">
        <v>0</v>
      </c>
      <c r="CT240" s="239">
        <v>0</v>
      </c>
      <c r="CU240" s="239">
        <v>0</v>
      </c>
      <c r="CV240" s="239">
        <v>181141.88166666671</v>
      </c>
      <c r="CW240" s="239">
        <v>40756.923374999998</v>
      </c>
      <c r="CX240" s="239">
        <v>4528.5470416666667</v>
      </c>
      <c r="CY240" s="239">
        <v>183967</v>
      </c>
      <c r="CZ240" s="239">
        <v>41393</v>
      </c>
      <c r="DA240" s="239">
        <v>4599</v>
      </c>
      <c r="DB240" s="239">
        <v>-2825</v>
      </c>
      <c r="DC240" s="239">
        <v>-636</v>
      </c>
      <c r="DD240" s="239">
        <v>-70</v>
      </c>
      <c r="DE240" s="214">
        <v>0.5</v>
      </c>
      <c r="DF240" s="214">
        <v>0.4</v>
      </c>
      <c r="DG240" s="214">
        <v>0.09</v>
      </c>
      <c r="DH240" s="214">
        <v>0.01</v>
      </c>
      <c r="DI240" s="214" t="s">
        <v>1294</v>
      </c>
    </row>
    <row r="241" spans="2:113" s="214" customFormat="1" x14ac:dyDescent="0.2">
      <c r="B241" s="610" t="s">
        <v>565</v>
      </c>
      <c r="C241" s="610" t="s">
        <v>564</v>
      </c>
      <c r="D241" s="239">
        <v>-127030</v>
      </c>
      <c r="E241" s="239">
        <v>0</v>
      </c>
      <c r="F241" s="239">
        <v>-127030</v>
      </c>
      <c r="G241" s="239">
        <v>0</v>
      </c>
      <c r="H241" s="239">
        <v>0</v>
      </c>
      <c r="I241" s="239">
        <v>0</v>
      </c>
      <c r="J241" s="239">
        <v>-127030</v>
      </c>
      <c r="K241" s="239">
        <v>0</v>
      </c>
      <c r="L241" s="239">
        <v>-127030</v>
      </c>
      <c r="M241" s="239">
        <v>221079</v>
      </c>
      <c r="N241" s="239">
        <v>221079</v>
      </c>
      <c r="O241" s="239">
        <v>0</v>
      </c>
      <c r="P241" s="239">
        <v>0</v>
      </c>
      <c r="Q241" s="239">
        <v>0</v>
      </c>
      <c r="R241" s="239">
        <v>0</v>
      </c>
      <c r="S241" s="239">
        <v>675017</v>
      </c>
      <c r="T241" s="239">
        <v>0</v>
      </c>
      <c r="U241" s="239">
        <v>0</v>
      </c>
      <c r="V241" s="239">
        <v>0</v>
      </c>
      <c r="W241" s="239">
        <v>675017</v>
      </c>
      <c r="X241" s="239">
        <v>0</v>
      </c>
      <c r="Y241" s="239">
        <v>0</v>
      </c>
      <c r="Z241" s="239">
        <v>0</v>
      </c>
      <c r="AA241" s="239">
        <v>0</v>
      </c>
      <c r="AB241" s="239">
        <v>0</v>
      </c>
      <c r="AC241" s="239">
        <v>0</v>
      </c>
      <c r="AD241" s="239">
        <v>0</v>
      </c>
      <c r="AE241" s="239">
        <v>0</v>
      </c>
      <c r="AF241" s="239">
        <v>0</v>
      </c>
      <c r="AG241" s="239">
        <v>0</v>
      </c>
      <c r="AH241" s="239">
        <v>0</v>
      </c>
      <c r="AI241" s="239">
        <v>0</v>
      </c>
      <c r="AJ241" s="239">
        <v>0</v>
      </c>
      <c r="AK241" s="239">
        <v>551212.77625</v>
      </c>
      <c r="AL241" s="239">
        <v>124022.87465624999</v>
      </c>
      <c r="AM241" s="239">
        <v>13780.319406249999</v>
      </c>
      <c r="AN241" s="239">
        <v>479160</v>
      </c>
      <c r="AO241" s="239">
        <v>107810</v>
      </c>
      <c r="AP241" s="239">
        <v>11978</v>
      </c>
      <c r="AQ241" s="239">
        <v>72053</v>
      </c>
      <c r="AR241" s="239">
        <v>16213</v>
      </c>
      <c r="AS241" s="239">
        <v>1802</v>
      </c>
      <c r="AT241" s="239">
        <v>-4191.0408333333335</v>
      </c>
      <c r="AU241" s="239">
        <v>-942.98418749999996</v>
      </c>
      <c r="AV241" s="239">
        <v>-104.77602083333332</v>
      </c>
      <c r="AW241" s="239">
        <v>39994</v>
      </c>
      <c r="AX241" s="239">
        <v>8998</v>
      </c>
      <c r="AY241" s="239">
        <v>1000</v>
      </c>
      <c r="AZ241" s="239">
        <v>-44185</v>
      </c>
      <c r="BA241" s="239">
        <v>-9941</v>
      </c>
      <c r="BB241" s="239">
        <v>-1105</v>
      </c>
      <c r="BC241" s="239">
        <v>11909.990833333333</v>
      </c>
      <c r="BD241" s="239">
        <v>2679.7479374999998</v>
      </c>
      <c r="BE241" s="239">
        <v>297.74977083333334</v>
      </c>
      <c r="BF241" s="239">
        <v>0</v>
      </c>
      <c r="BG241" s="239">
        <v>0</v>
      </c>
      <c r="BH241" s="239">
        <v>0</v>
      </c>
      <c r="BI241" s="239">
        <v>11910</v>
      </c>
      <c r="BJ241" s="239">
        <v>2680</v>
      </c>
      <c r="BK241" s="239">
        <v>298</v>
      </c>
      <c r="BL241" s="239">
        <v>4349.7216666666664</v>
      </c>
      <c r="BM241" s="239">
        <v>978.68737499999997</v>
      </c>
      <c r="BN241" s="239">
        <v>108.74304166666667</v>
      </c>
      <c r="BO241" s="239">
        <v>2094</v>
      </c>
      <c r="BP241" s="239">
        <v>472</v>
      </c>
      <c r="BQ241" s="239">
        <v>52</v>
      </c>
      <c r="BR241" s="239">
        <v>2256</v>
      </c>
      <c r="BS241" s="239">
        <v>507</v>
      </c>
      <c r="BT241" s="239">
        <v>57</v>
      </c>
      <c r="BU241" s="239">
        <v>169842.46750000003</v>
      </c>
      <c r="BV241" s="239">
        <v>38214.555187500002</v>
      </c>
      <c r="BW241" s="239">
        <v>4246.0616875000005</v>
      </c>
      <c r="BX241" s="239">
        <v>134378</v>
      </c>
      <c r="BY241" s="239">
        <v>30234</v>
      </c>
      <c r="BZ241" s="239">
        <v>3360</v>
      </c>
      <c r="CA241" s="239">
        <v>35464</v>
      </c>
      <c r="CB241" s="239">
        <v>7981</v>
      </c>
      <c r="CC241" s="239">
        <v>886</v>
      </c>
      <c r="CD241" s="239">
        <v>0</v>
      </c>
      <c r="CE241" s="239">
        <v>0</v>
      </c>
      <c r="CF241" s="239">
        <v>0</v>
      </c>
      <c r="CG241" s="239">
        <v>0</v>
      </c>
      <c r="CH241" s="239">
        <v>0</v>
      </c>
      <c r="CI241" s="239">
        <v>0</v>
      </c>
      <c r="CJ241" s="239">
        <v>0</v>
      </c>
      <c r="CK241" s="239">
        <v>0</v>
      </c>
      <c r="CL241" s="239">
        <v>0</v>
      </c>
      <c r="CM241" s="239">
        <v>7341.1191666666673</v>
      </c>
      <c r="CN241" s="239">
        <v>1651.7518124999999</v>
      </c>
      <c r="CO241" s="239">
        <v>183.52797916666665</v>
      </c>
      <c r="CP241" s="239">
        <v>0</v>
      </c>
      <c r="CQ241" s="239">
        <v>0</v>
      </c>
      <c r="CR241" s="239">
        <v>0</v>
      </c>
      <c r="CS241" s="239">
        <v>7341</v>
      </c>
      <c r="CT241" s="239">
        <v>1652</v>
      </c>
      <c r="CU241" s="239">
        <v>184</v>
      </c>
      <c r="CV241" s="239">
        <v>400875.79291666666</v>
      </c>
      <c r="CW241" s="239">
        <v>87982.153875000004</v>
      </c>
      <c r="CX241" s="239">
        <v>9775.7948749999996</v>
      </c>
      <c r="CY241" s="239">
        <v>408093</v>
      </c>
      <c r="CZ241" s="239">
        <v>91821</v>
      </c>
      <c r="DA241" s="239">
        <v>10202</v>
      </c>
      <c r="DB241" s="239">
        <v>-7217</v>
      </c>
      <c r="DC241" s="239">
        <v>-3839</v>
      </c>
      <c r="DD241" s="239">
        <v>-426</v>
      </c>
      <c r="DE241" s="214">
        <v>0.5</v>
      </c>
      <c r="DF241" s="214">
        <v>0.4</v>
      </c>
      <c r="DG241" s="214">
        <v>0.09</v>
      </c>
      <c r="DH241" s="214">
        <v>0.01</v>
      </c>
      <c r="DI241" s="214" t="s">
        <v>1294</v>
      </c>
    </row>
    <row r="242" spans="2:113" s="214" customFormat="1" x14ac:dyDescent="0.2">
      <c r="B242" s="610" t="s">
        <v>567</v>
      </c>
      <c r="C242" s="610" t="s">
        <v>566</v>
      </c>
      <c r="D242" s="239">
        <v>-26218</v>
      </c>
      <c r="E242" s="239">
        <v>0</v>
      </c>
      <c r="F242" s="239">
        <v>-26218</v>
      </c>
      <c r="G242" s="239">
        <v>0</v>
      </c>
      <c r="H242" s="239">
        <v>0</v>
      </c>
      <c r="I242" s="239">
        <v>0</v>
      </c>
      <c r="J242" s="239">
        <v>-26218</v>
      </c>
      <c r="K242" s="239">
        <v>0</v>
      </c>
      <c r="L242" s="239">
        <v>-26218</v>
      </c>
      <c r="M242" s="239">
        <v>91614</v>
      </c>
      <c r="N242" s="239">
        <v>91614</v>
      </c>
      <c r="O242" s="239">
        <v>0</v>
      </c>
      <c r="P242" s="239">
        <v>0</v>
      </c>
      <c r="Q242" s="239">
        <v>0</v>
      </c>
      <c r="R242" s="239">
        <v>0</v>
      </c>
      <c r="S242" s="239">
        <v>0</v>
      </c>
      <c r="T242" s="239">
        <v>0</v>
      </c>
      <c r="U242" s="239">
        <v>0</v>
      </c>
      <c r="V242" s="239">
        <v>0</v>
      </c>
      <c r="W242" s="239">
        <v>0</v>
      </c>
      <c r="X242" s="239">
        <v>0</v>
      </c>
      <c r="Y242" s="239">
        <v>0</v>
      </c>
      <c r="Z242" s="239">
        <v>0</v>
      </c>
      <c r="AA242" s="239">
        <v>0</v>
      </c>
      <c r="AB242" s="239">
        <v>0</v>
      </c>
      <c r="AC242" s="239">
        <v>0</v>
      </c>
      <c r="AD242" s="239">
        <v>0</v>
      </c>
      <c r="AE242" s="239">
        <v>0</v>
      </c>
      <c r="AF242" s="239">
        <v>0</v>
      </c>
      <c r="AG242" s="239">
        <v>0</v>
      </c>
      <c r="AH242" s="239">
        <v>0</v>
      </c>
      <c r="AI242" s="239">
        <v>0</v>
      </c>
      <c r="AJ242" s="239">
        <v>0</v>
      </c>
      <c r="AK242" s="239">
        <v>312455.34458333335</v>
      </c>
      <c r="AL242" s="239">
        <v>70302.45253124999</v>
      </c>
      <c r="AM242" s="239">
        <v>7811.3836145833338</v>
      </c>
      <c r="AN242" s="239">
        <v>287262</v>
      </c>
      <c r="AO242" s="239">
        <v>64634</v>
      </c>
      <c r="AP242" s="239">
        <v>7182</v>
      </c>
      <c r="AQ242" s="239">
        <v>25193</v>
      </c>
      <c r="AR242" s="239">
        <v>5668</v>
      </c>
      <c r="AS242" s="239">
        <v>629</v>
      </c>
      <c r="AT242" s="239">
        <v>2021.05</v>
      </c>
      <c r="AU242" s="239">
        <v>454.73624999999993</v>
      </c>
      <c r="AV242" s="239">
        <v>50.526249999999997</v>
      </c>
      <c r="AW242" s="239">
        <v>965</v>
      </c>
      <c r="AX242" s="239">
        <v>218</v>
      </c>
      <c r="AY242" s="239">
        <v>24</v>
      </c>
      <c r="AZ242" s="239">
        <v>1056</v>
      </c>
      <c r="BA242" s="239">
        <v>237</v>
      </c>
      <c r="BB242" s="239">
        <v>27</v>
      </c>
      <c r="BC242" s="239">
        <v>0</v>
      </c>
      <c r="BD242" s="239">
        <v>0</v>
      </c>
      <c r="BE242" s="239">
        <v>0</v>
      </c>
      <c r="BF242" s="239">
        <v>6493</v>
      </c>
      <c r="BG242" s="239">
        <v>1462</v>
      </c>
      <c r="BH242" s="239">
        <v>162</v>
      </c>
      <c r="BI242" s="239">
        <v>-6493</v>
      </c>
      <c r="BJ242" s="239">
        <v>-1462</v>
      </c>
      <c r="BK242" s="239">
        <v>-162</v>
      </c>
      <c r="BL242" s="239">
        <v>0</v>
      </c>
      <c r="BM242" s="239">
        <v>0</v>
      </c>
      <c r="BN242" s="239">
        <v>0</v>
      </c>
      <c r="BO242" s="239">
        <v>12906</v>
      </c>
      <c r="BP242" s="239">
        <v>2904</v>
      </c>
      <c r="BQ242" s="239">
        <v>322</v>
      </c>
      <c r="BR242" s="239">
        <v>-12906</v>
      </c>
      <c r="BS242" s="239">
        <v>-2904</v>
      </c>
      <c r="BT242" s="239">
        <v>-322</v>
      </c>
      <c r="BU242" s="239">
        <v>97312.340000000011</v>
      </c>
      <c r="BV242" s="239">
        <v>21895.2765</v>
      </c>
      <c r="BW242" s="239">
        <v>2432.8085000000001</v>
      </c>
      <c r="BX242" s="239">
        <v>67398</v>
      </c>
      <c r="BY242" s="239">
        <v>15164</v>
      </c>
      <c r="BZ242" s="239">
        <v>1684</v>
      </c>
      <c r="CA242" s="239">
        <v>29914</v>
      </c>
      <c r="CB242" s="239">
        <v>6731</v>
      </c>
      <c r="CC242" s="239">
        <v>749</v>
      </c>
      <c r="CD242" s="239">
        <v>0</v>
      </c>
      <c r="CE242" s="239">
        <v>0</v>
      </c>
      <c r="CF242" s="239">
        <v>0</v>
      </c>
      <c r="CG242" s="239">
        <v>0</v>
      </c>
      <c r="CH242" s="239">
        <v>0</v>
      </c>
      <c r="CI242" s="239">
        <v>0</v>
      </c>
      <c r="CJ242" s="239">
        <v>0</v>
      </c>
      <c r="CK242" s="239">
        <v>0</v>
      </c>
      <c r="CL242" s="239">
        <v>0</v>
      </c>
      <c r="CM242" s="239">
        <v>5559.916666666667</v>
      </c>
      <c r="CN242" s="239">
        <v>1250.9812499999998</v>
      </c>
      <c r="CO242" s="239">
        <v>138.99791666666667</v>
      </c>
      <c r="CP242" s="239">
        <v>0</v>
      </c>
      <c r="CQ242" s="239">
        <v>0</v>
      </c>
      <c r="CR242" s="239">
        <v>0</v>
      </c>
      <c r="CS242" s="239">
        <v>5560</v>
      </c>
      <c r="CT242" s="239">
        <v>1251</v>
      </c>
      <c r="CU242" s="239">
        <v>139</v>
      </c>
      <c r="CV242" s="239">
        <v>126313.54750000002</v>
      </c>
      <c r="CW242" s="239">
        <v>28420.548187499997</v>
      </c>
      <c r="CX242" s="239">
        <v>3157.8386875000001</v>
      </c>
      <c r="CY242" s="239">
        <v>128216</v>
      </c>
      <c r="CZ242" s="239">
        <v>28849</v>
      </c>
      <c r="DA242" s="239">
        <v>3205</v>
      </c>
      <c r="DB242" s="239">
        <v>-1902</v>
      </c>
      <c r="DC242" s="239">
        <v>-428</v>
      </c>
      <c r="DD242" s="239">
        <v>-47</v>
      </c>
      <c r="DE242" s="214">
        <v>0.5</v>
      </c>
      <c r="DF242" s="214">
        <v>0.4</v>
      </c>
      <c r="DG242" s="214">
        <v>0.09</v>
      </c>
      <c r="DH242" s="214">
        <v>0.01</v>
      </c>
      <c r="DI242" s="214" t="s">
        <v>1294</v>
      </c>
    </row>
    <row r="243" spans="2:113" s="214" customFormat="1" x14ac:dyDescent="0.2">
      <c r="B243" s="610" t="s">
        <v>569</v>
      </c>
      <c r="C243" s="610" t="s">
        <v>568</v>
      </c>
      <c r="D243" s="239">
        <v>-655382</v>
      </c>
      <c r="E243" s="239">
        <v>0</v>
      </c>
      <c r="F243" s="239">
        <v>-655382</v>
      </c>
      <c r="G243" s="239">
        <v>0</v>
      </c>
      <c r="H243" s="239">
        <v>0</v>
      </c>
      <c r="I243" s="239">
        <v>0</v>
      </c>
      <c r="J243" s="239">
        <v>-655382</v>
      </c>
      <c r="K243" s="239">
        <v>0</v>
      </c>
      <c r="L243" s="239">
        <v>-655382</v>
      </c>
      <c r="M243" s="239">
        <v>334208</v>
      </c>
      <c r="N243" s="239">
        <v>334208</v>
      </c>
      <c r="O243" s="239">
        <v>0</v>
      </c>
      <c r="P243" s="239">
        <v>4947034</v>
      </c>
      <c r="Q243" s="239">
        <v>3390996</v>
      </c>
      <c r="R243" s="239">
        <v>1556038</v>
      </c>
      <c r="S243" s="239">
        <v>195484</v>
      </c>
      <c r="T243" s="239">
        <v>0</v>
      </c>
      <c r="U243" s="239">
        <v>0</v>
      </c>
      <c r="V243" s="239">
        <v>0</v>
      </c>
      <c r="W243" s="239">
        <v>195484</v>
      </c>
      <c r="X243" s="239">
        <v>0</v>
      </c>
      <c r="Y243" s="239">
        <v>0</v>
      </c>
      <c r="Z243" s="239">
        <v>0</v>
      </c>
      <c r="AA243" s="239">
        <v>0</v>
      </c>
      <c r="AB243" s="239">
        <v>0</v>
      </c>
      <c r="AC243" s="239">
        <v>0</v>
      </c>
      <c r="AD243" s="239">
        <v>0</v>
      </c>
      <c r="AE243" s="239">
        <v>0</v>
      </c>
      <c r="AF243" s="239">
        <v>0</v>
      </c>
      <c r="AG243" s="239">
        <v>0</v>
      </c>
      <c r="AH243" s="239">
        <v>0</v>
      </c>
      <c r="AI243" s="239">
        <v>0</v>
      </c>
      <c r="AJ243" s="239">
        <v>0</v>
      </c>
      <c r="AK243" s="239">
        <v>934284.62748958333</v>
      </c>
      <c r="AL243" s="239">
        <v>0</v>
      </c>
      <c r="AM243" s="239">
        <v>19020.662614583336</v>
      </c>
      <c r="AN243" s="239">
        <v>888448</v>
      </c>
      <c r="AO243" s="239">
        <v>0</v>
      </c>
      <c r="AP243" s="239">
        <v>18132</v>
      </c>
      <c r="AQ243" s="239">
        <v>45837</v>
      </c>
      <c r="AR243" s="239">
        <v>0</v>
      </c>
      <c r="AS243" s="239">
        <v>889</v>
      </c>
      <c r="AT243" s="239">
        <v>10102.003333333332</v>
      </c>
      <c r="AU243" s="239">
        <v>0</v>
      </c>
      <c r="AV243" s="239">
        <v>206.16333333333336</v>
      </c>
      <c r="AW243" s="239">
        <v>0</v>
      </c>
      <c r="AX243" s="239">
        <v>0</v>
      </c>
      <c r="AY243" s="239">
        <v>0</v>
      </c>
      <c r="AZ243" s="239">
        <v>10102</v>
      </c>
      <c r="BA243" s="239">
        <v>0</v>
      </c>
      <c r="BB243" s="239">
        <v>206</v>
      </c>
      <c r="BC243" s="239">
        <v>0</v>
      </c>
      <c r="BD243" s="239">
        <v>0</v>
      </c>
      <c r="BE243" s="239">
        <v>0</v>
      </c>
      <c r="BF243" s="239">
        <v>0</v>
      </c>
      <c r="BG243" s="239">
        <v>0</v>
      </c>
      <c r="BH243" s="239">
        <v>0</v>
      </c>
      <c r="BI243" s="239">
        <v>0</v>
      </c>
      <c r="BJ243" s="239">
        <v>0</v>
      </c>
      <c r="BK243" s="239">
        <v>0</v>
      </c>
      <c r="BL243" s="239">
        <v>8214.3406041666658</v>
      </c>
      <c r="BM243" s="239">
        <v>0</v>
      </c>
      <c r="BN243" s="239">
        <v>167.63960416666666</v>
      </c>
      <c r="BO243" s="239">
        <v>13082</v>
      </c>
      <c r="BP243" s="239">
        <v>0</v>
      </c>
      <c r="BQ243" s="239">
        <v>266</v>
      </c>
      <c r="BR243" s="239">
        <v>-4868</v>
      </c>
      <c r="BS243" s="239">
        <v>0</v>
      </c>
      <c r="BT243" s="239">
        <v>-98</v>
      </c>
      <c r="BU243" s="239">
        <v>396996.79950000002</v>
      </c>
      <c r="BV243" s="239">
        <v>0</v>
      </c>
      <c r="BW243" s="239">
        <v>8101.9755000000005</v>
      </c>
      <c r="BX243" s="239">
        <v>375609</v>
      </c>
      <c r="BY243" s="239">
        <v>0</v>
      </c>
      <c r="BZ243" s="239">
        <v>7666</v>
      </c>
      <c r="CA243" s="239">
        <v>21388</v>
      </c>
      <c r="CB243" s="239">
        <v>0</v>
      </c>
      <c r="CC243" s="239">
        <v>436</v>
      </c>
      <c r="CD243" s="239">
        <v>0</v>
      </c>
      <c r="CE243" s="239">
        <v>0</v>
      </c>
      <c r="CF243" s="239">
        <v>0</v>
      </c>
      <c r="CG243" s="239">
        <v>0</v>
      </c>
      <c r="CH243" s="239">
        <v>0</v>
      </c>
      <c r="CI243" s="239">
        <v>0</v>
      </c>
      <c r="CJ243" s="239">
        <v>0</v>
      </c>
      <c r="CK243" s="239">
        <v>0</v>
      </c>
      <c r="CL243" s="239">
        <v>0</v>
      </c>
      <c r="CM243" s="239">
        <v>18113.011291666669</v>
      </c>
      <c r="CN243" s="239">
        <v>0</v>
      </c>
      <c r="CO243" s="239">
        <v>369.65329166666669</v>
      </c>
      <c r="CP243" s="239">
        <v>0</v>
      </c>
      <c r="CQ243" s="239">
        <v>0</v>
      </c>
      <c r="CR243" s="239">
        <v>0</v>
      </c>
      <c r="CS243" s="239">
        <v>18113</v>
      </c>
      <c r="CT243" s="239">
        <v>0</v>
      </c>
      <c r="CU243" s="239">
        <v>370</v>
      </c>
      <c r="CV243" s="239">
        <v>1030978.6147499999</v>
      </c>
      <c r="CW243" s="239">
        <v>0</v>
      </c>
      <c r="CX243" s="239">
        <v>19509.868583333333</v>
      </c>
      <c r="CY243" s="239">
        <v>1026435</v>
      </c>
      <c r="CZ243" s="239">
        <v>0</v>
      </c>
      <c r="DA243" s="239">
        <v>19938</v>
      </c>
      <c r="DB243" s="239">
        <v>4544</v>
      </c>
      <c r="DC243" s="239">
        <v>0</v>
      </c>
      <c r="DD243" s="239">
        <v>-428</v>
      </c>
      <c r="DE243" s="214">
        <v>0.5</v>
      </c>
      <c r="DF243" s="214">
        <v>0.49</v>
      </c>
      <c r="DG243" s="214">
        <v>0</v>
      </c>
      <c r="DH243" s="214">
        <v>0.01</v>
      </c>
      <c r="DI243" s="214" t="s">
        <v>748</v>
      </c>
    </row>
    <row r="244" spans="2:113" s="214" customFormat="1" x14ac:dyDescent="0.2">
      <c r="B244" s="610" t="s">
        <v>571</v>
      </c>
      <c r="C244" s="610" t="s">
        <v>570</v>
      </c>
      <c r="D244" s="239">
        <v>-45040</v>
      </c>
      <c r="E244" s="239">
        <v>0</v>
      </c>
      <c r="F244" s="239">
        <v>-45040</v>
      </c>
      <c r="G244" s="239">
        <v>0</v>
      </c>
      <c r="H244" s="239">
        <v>0</v>
      </c>
      <c r="I244" s="239">
        <v>0</v>
      </c>
      <c r="J244" s="239">
        <v>-45040</v>
      </c>
      <c r="K244" s="239">
        <v>0</v>
      </c>
      <c r="L244" s="239">
        <v>-45040</v>
      </c>
      <c r="M244" s="239">
        <v>206372</v>
      </c>
      <c r="N244" s="239">
        <v>206372</v>
      </c>
      <c r="O244" s="239">
        <v>0</v>
      </c>
      <c r="P244" s="239">
        <v>0</v>
      </c>
      <c r="Q244" s="239">
        <v>0</v>
      </c>
      <c r="R244" s="239">
        <v>0</v>
      </c>
      <c r="S244" s="239">
        <v>0</v>
      </c>
      <c r="T244" s="239">
        <v>0</v>
      </c>
      <c r="U244" s="239">
        <v>0</v>
      </c>
      <c r="V244" s="239">
        <v>0</v>
      </c>
      <c r="W244" s="239">
        <v>0</v>
      </c>
      <c r="X244" s="239">
        <v>0</v>
      </c>
      <c r="Y244" s="239">
        <v>0</v>
      </c>
      <c r="Z244" s="239">
        <v>0</v>
      </c>
      <c r="AA244" s="239">
        <v>0</v>
      </c>
      <c r="AB244" s="239">
        <v>0</v>
      </c>
      <c r="AC244" s="239">
        <v>0</v>
      </c>
      <c r="AD244" s="239">
        <v>0</v>
      </c>
      <c r="AE244" s="239">
        <v>0</v>
      </c>
      <c r="AF244" s="239">
        <v>0</v>
      </c>
      <c r="AG244" s="239">
        <v>0</v>
      </c>
      <c r="AH244" s="239">
        <v>0</v>
      </c>
      <c r="AI244" s="239">
        <v>0</v>
      </c>
      <c r="AJ244" s="239">
        <v>0</v>
      </c>
      <c r="AK244" s="239">
        <v>913878.22666666668</v>
      </c>
      <c r="AL244" s="239">
        <v>205622.60099999997</v>
      </c>
      <c r="AM244" s="239">
        <v>22846.955666666665</v>
      </c>
      <c r="AN244" s="239">
        <v>893993</v>
      </c>
      <c r="AO244" s="239">
        <v>201148</v>
      </c>
      <c r="AP244" s="239">
        <v>22350</v>
      </c>
      <c r="AQ244" s="239">
        <v>19885</v>
      </c>
      <c r="AR244" s="239">
        <v>4475</v>
      </c>
      <c r="AS244" s="239">
        <v>497</v>
      </c>
      <c r="AT244" s="239">
        <v>0</v>
      </c>
      <c r="AU244" s="239">
        <v>0</v>
      </c>
      <c r="AV244" s="239">
        <v>0</v>
      </c>
      <c r="AW244" s="239">
        <v>8118</v>
      </c>
      <c r="AX244" s="239">
        <v>1826</v>
      </c>
      <c r="AY244" s="239">
        <v>202</v>
      </c>
      <c r="AZ244" s="239">
        <v>-8118</v>
      </c>
      <c r="BA244" s="239">
        <v>-1826</v>
      </c>
      <c r="BB244" s="239">
        <v>-202</v>
      </c>
      <c r="BC244" s="239">
        <v>1164.7416666666666</v>
      </c>
      <c r="BD244" s="239">
        <v>262.06687499999998</v>
      </c>
      <c r="BE244" s="239">
        <v>29.118541666666665</v>
      </c>
      <c r="BF244" s="239">
        <v>8118</v>
      </c>
      <c r="BG244" s="239">
        <v>1826</v>
      </c>
      <c r="BH244" s="239">
        <v>202</v>
      </c>
      <c r="BI244" s="239">
        <v>-6953</v>
      </c>
      <c r="BJ244" s="239">
        <v>-1564</v>
      </c>
      <c r="BK244" s="239">
        <v>-173</v>
      </c>
      <c r="BL244" s="239">
        <v>1782.42</v>
      </c>
      <c r="BM244" s="239">
        <v>401.04450000000003</v>
      </c>
      <c r="BN244" s="239">
        <v>44.560500000000005</v>
      </c>
      <c r="BO244" s="239">
        <v>2842</v>
      </c>
      <c r="BP244" s="239">
        <v>640</v>
      </c>
      <c r="BQ244" s="239">
        <v>72</v>
      </c>
      <c r="BR244" s="239">
        <v>-1060</v>
      </c>
      <c r="BS244" s="239">
        <v>-239</v>
      </c>
      <c r="BT244" s="239">
        <v>-27</v>
      </c>
      <c r="BU244" s="239">
        <v>376453.84083333332</v>
      </c>
      <c r="BV244" s="239">
        <v>84702.114187500003</v>
      </c>
      <c r="BW244" s="239">
        <v>9411.3460208333345</v>
      </c>
      <c r="BX244" s="239">
        <v>420253</v>
      </c>
      <c r="BY244" s="239">
        <v>94558</v>
      </c>
      <c r="BZ244" s="239">
        <v>10506</v>
      </c>
      <c r="CA244" s="239">
        <v>-43799</v>
      </c>
      <c r="CB244" s="239">
        <v>-9856</v>
      </c>
      <c r="CC244" s="239">
        <v>-1095</v>
      </c>
      <c r="CD244" s="239">
        <v>0</v>
      </c>
      <c r="CE244" s="239">
        <v>0</v>
      </c>
      <c r="CF244" s="239">
        <v>0</v>
      </c>
      <c r="CG244" s="239">
        <v>0</v>
      </c>
      <c r="CH244" s="239">
        <v>0</v>
      </c>
      <c r="CI244" s="239">
        <v>0</v>
      </c>
      <c r="CJ244" s="239">
        <v>0</v>
      </c>
      <c r="CK244" s="239">
        <v>0</v>
      </c>
      <c r="CL244" s="239">
        <v>0</v>
      </c>
      <c r="CM244" s="239">
        <v>22031.068333333333</v>
      </c>
      <c r="CN244" s="239">
        <v>4956.9903749999994</v>
      </c>
      <c r="CO244" s="239">
        <v>550.77670833333332</v>
      </c>
      <c r="CP244" s="239">
        <v>0</v>
      </c>
      <c r="CQ244" s="239">
        <v>0</v>
      </c>
      <c r="CR244" s="239">
        <v>0</v>
      </c>
      <c r="CS244" s="239">
        <v>22031</v>
      </c>
      <c r="CT244" s="239">
        <v>4957</v>
      </c>
      <c r="CU244" s="239">
        <v>551</v>
      </c>
      <c r="CV244" s="239">
        <v>25033.569166666668</v>
      </c>
      <c r="CW244" s="239">
        <v>5632.5530624999992</v>
      </c>
      <c r="CX244" s="239">
        <v>625.83922916666666</v>
      </c>
      <c r="CY244" s="239">
        <v>176182</v>
      </c>
      <c r="CZ244" s="239">
        <v>39641</v>
      </c>
      <c r="DA244" s="239">
        <v>4405</v>
      </c>
      <c r="DB244" s="239">
        <v>-151148</v>
      </c>
      <c r="DC244" s="239">
        <v>-34008</v>
      </c>
      <c r="DD244" s="239">
        <v>-3779</v>
      </c>
      <c r="DE244" s="214">
        <v>0.5</v>
      </c>
      <c r="DF244" s="214">
        <v>0.4</v>
      </c>
      <c r="DG244" s="214">
        <v>0.09</v>
      </c>
      <c r="DH244" s="214">
        <v>0.01</v>
      </c>
      <c r="DI244" s="214" t="s">
        <v>1294</v>
      </c>
    </row>
    <row r="245" spans="2:113" s="214" customFormat="1" x14ac:dyDescent="0.2">
      <c r="B245" s="610" t="s">
        <v>573</v>
      </c>
      <c r="C245" s="610" t="s">
        <v>572</v>
      </c>
      <c r="D245" s="239">
        <v>477754</v>
      </c>
      <c r="E245" s="239">
        <v>0</v>
      </c>
      <c r="F245" s="239">
        <v>477754</v>
      </c>
      <c r="G245" s="239">
        <v>0</v>
      </c>
      <c r="H245" s="239">
        <v>0</v>
      </c>
      <c r="I245" s="239">
        <v>0</v>
      </c>
      <c r="J245" s="239">
        <v>477754</v>
      </c>
      <c r="K245" s="239">
        <v>0</v>
      </c>
      <c r="L245" s="239">
        <v>477754</v>
      </c>
      <c r="M245" s="239">
        <v>112559</v>
      </c>
      <c r="N245" s="239">
        <v>112559</v>
      </c>
      <c r="O245" s="239">
        <v>0</v>
      </c>
      <c r="P245" s="239">
        <v>0</v>
      </c>
      <c r="Q245" s="239">
        <v>0</v>
      </c>
      <c r="R245" s="239">
        <v>0</v>
      </c>
      <c r="S245" s="239">
        <v>207060</v>
      </c>
      <c r="T245" s="239">
        <v>0</v>
      </c>
      <c r="U245" s="239">
        <v>211990</v>
      </c>
      <c r="V245" s="239">
        <v>0</v>
      </c>
      <c r="W245" s="239">
        <v>-4930</v>
      </c>
      <c r="X245" s="239">
        <v>0</v>
      </c>
      <c r="Y245" s="239">
        <v>0</v>
      </c>
      <c r="Z245" s="239">
        <v>0</v>
      </c>
      <c r="AA245" s="239">
        <v>0</v>
      </c>
      <c r="AB245" s="239">
        <v>0</v>
      </c>
      <c r="AC245" s="239">
        <v>0</v>
      </c>
      <c r="AD245" s="239">
        <v>0</v>
      </c>
      <c r="AE245" s="239">
        <v>0</v>
      </c>
      <c r="AF245" s="239">
        <v>0</v>
      </c>
      <c r="AG245" s="239">
        <v>0</v>
      </c>
      <c r="AH245" s="239">
        <v>0</v>
      </c>
      <c r="AI245" s="239">
        <v>0</v>
      </c>
      <c r="AJ245" s="239">
        <v>0</v>
      </c>
      <c r="AK245" s="239">
        <v>365438.10375000001</v>
      </c>
      <c r="AL245" s="239">
        <v>91359.525937500002</v>
      </c>
      <c r="AM245" s="239">
        <v>0</v>
      </c>
      <c r="AN245" s="239">
        <v>363141</v>
      </c>
      <c r="AO245" s="239">
        <v>90786</v>
      </c>
      <c r="AP245" s="239">
        <v>0</v>
      </c>
      <c r="AQ245" s="239">
        <v>2297</v>
      </c>
      <c r="AR245" s="239">
        <v>574</v>
      </c>
      <c r="AS245" s="239">
        <v>0</v>
      </c>
      <c r="AT245" s="239">
        <v>1230.0808333333334</v>
      </c>
      <c r="AU245" s="239">
        <v>307.52020833333336</v>
      </c>
      <c r="AV245" s="239">
        <v>0</v>
      </c>
      <c r="AW245" s="239">
        <v>0</v>
      </c>
      <c r="AX245" s="239">
        <v>0</v>
      </c>
      <c r="AY245" s="239">
        <v>0</v>
      </c>
      <c r="AZ245" s="239">
        <v>1230</v>
      </c>
      <c r="BA245" s="239">
        <v>308</v>
      </c>
      <c r="BB245" s="239">
        <v>0</v>
      </c>
      <c r="BC245" s="239">
        <v>0</v>
      </c>
      <c r="BD245" s="239">
        <v>0</v>
      </c>
      <c r="BE245" s="239">
        <v>0</v>
      </c>
      <c r="BF245" s="239">
        <v>0</v>
      </c>
      <c r="BG245" s="239">
        <v>0</v>
      </c>
      <c r="BH245" s="239">
        <v>0</v>
      </c>
      <c r="BI245" s="239">
        <v>0</v>
      </c>
      <c r="BJ245" s="239">
        <v>0</v>
      </c>
      <c r="BK245" s="239">
        <v>0</v>
      </c>
      <c r="BL245" s="239">
        <v>0</v>
      </c>
      <c r="BM245" s="239">
        <v>0</v>
      </c>
      <c r="BN245" s="239">
        <v>0</v>
      </c>
      <c r="BO245" s="239">
        <v>0</v>
      </c>
      <c r="BP245" s="239">
        <v>0</v>
      </c>
      <c r="BQ245" s="239">
        <v>0</v>
      </c>
      <c r="BR245" s="239">
        <v>0</v>
      </c>
      <c r="BS245" s="239">
        <v>0</v>
      </c>
      <c r="BT245" s="239">
        <v>0</v>
      </c>
      <c r="BU245" s="239">
        <v>113854.10666666669</v>
      </c>
      <c r="BV245" s="239">
        <v>28463.526666666672</v>
      </c>
      <c r="BW245" s="239">
        <v>0</v>
      </c>
      <c r="BX245" s="239">
        <v>114299</v>
      </c>
      <c r="BY245" s="239">
        <v>28576</v>
      </c>
      <c r="BZ245" s="239">
        <v>0</v>
      </c>
      <c r="CA245" s="239">
        <v>-445</v>
      </c>
      <c r="CB245" s="239">
        <v>-112</v>
      </c>
      <c r="CC245" s="239">
        <v>0</v>
      </c>
      <c r="CD245" s="239">
        <v>0</v>
      </c>
      <c r="CE245" s="239">
        <v>0</v>
      </c>
      <c r="CF245" s="239">
        <v>0</v>
      </c>
      <c r="CG245" s="239">
        <v>0</v>
      </c>
      <c r="CH245" s="239">
        <v>0</v>
      </c>
      <c r="CI245" s="239">
        <v>0</v>
      </c>
      <c r="CJ245" s="239">
        <v>0</v>
      </c>
      <c r="CK245" s="239">
        <v>0</v>
      </c>
      <c r="CL245" s="239">
        <v>0</v>
      </c>
      <c r="CM245" s="239">
        <v>3476.774166666667</v>
      </c>
      <c r="CN245" s="239">
        <v>869.19354166666676</v>
      </c>
      <c r="CO245" s="239">
        <v>0</v>
      </c>
      <c r="CP245" s="239">
        <v>0</v>
      </c>
      <c r="CQ245" s="239">
        <v>0</v>
      </c>
      <c r="CR245" s="239">
        <v>0</v>
      </c>
      <c r="CS245" s="239">
        <v>3477</v>
      </c>
      <c r="CT245" s="239">
        <v>869</v>
      </c>
      <c r="CU245" s="239">
        <v>0</v>
      </c>
      <c r="CV245" s="239">
        <v>153251.72333333336</v>
      </c>
      <c r="CW245" s="239">
        <v>37558.024583333339</v>
      </c>
      <c r="CX245" s="239">
        <v>0</v>
      </c>
      <c r="CY245" s="239">
        <v>157210</v>
      </c>
      <c r="CZ245" s="239">
        <v>38530</v>
      </c>
      <c r="DA245" s="239">
        <v>0</v>
      </c>
      <c r="DB245" s="239">
        <v>-3958</v>
      </c>
      <c r="DC245" s="239">
        <v>-972</v>
      </c>
      <c r="DD245" s="239">
        <v>0</v>
      </c>
      <c r="DE245" s="214">
        <v>0.5</v>
      </c>
      <c r="DF245" s="214">
        <v>0.4</v>
      </c>
      <c r="DG245" s="214">
        <v>0.1</v>
      </c>
      <c r="DH245" s="214">
        <v>0</v>
      </c>
      <c r="DI245" s="214" t="s">
        <v>1294</v>
      </c>
    </row>
    <row r="246" spans="2:113" s="214" customFormat="1" x14ac:dyDescent="0.2">
      <c r="B246" s="610" t="s">
        <v>575</v>
      </c>
      <c r="C246" s="610" t="s">
        <v>574</v>
      </c>
      <c r="D246" s="239">
        <v>-179398</v>
      </c>
      <c r="E246" s="239">
        <v>0</v>
      </c>
      <c r="F246" s="239">
        <v>-179398</v>
      </c>
      <c r="G246" s="239">
        <v>0</v>
      </c>
      <c r="H246" s="239">
        <v>0</v>
      </c>
      <c r="I246" s="239">
        <v>0</v>
      </c>
      <c r="J246" s="239">
        <v>-179398</v>
      </c>
      <c r="K246" s="239">
        <v>0</v>
      </c>
      <c r="L246" s="239">
        <v>-179398</v>
      </c>
      <c r="M246" s="239">
        <v>195558</v>
      </c>
      <c r="N246" s="239">
        <v>180718</v>
      </c>
      <c r="O246" s="239">
        <v>14840</v>
      </c>
      <c r="P246" s="239">
        <v>0</v>
      </c>
      <c r="Q246" s="239">
        <v>0</v>
      </c>
      <c r="R246" s="239">
        <v>0</v>
      </c>
      <c r="S246" s="239">
        <v>43334</v>
      </c>
      <c r="T246" s="239">
        <v>0</v>
      </c>
      <c r="U246" s="239">
        <v>0</v>
      </c>
      <c r="V246" s="239">
        <v>0</v>
      </c>
      <c r="W246" s="239">
        <v>43334</v>
      </c>
      <c r="X246" s="239">
        <v>0</v>
      </c>
      <c r="Y246" s="239">
        <v>0</v>
      </c>
      <c r="Z246" s="239">
        <v>0</v>
      </c>
      <c r="AA246" s="239">
        <v>0</v>
      </c>
      <c r="AB246" s="239">
        <v>0</v>
      </c>
      <c r="AC246" s="239">
        <v>0</v>
      </c>
      <c r="AD246" s="239">
        <v>0</v>
      </c>
      <c r="AE246" s="239">
        <v>0</v>
      </c>
      <c r="AF246" s="239">
        <v>0</v>
      </c>
      <c r="AG246" s="239">
        <v>0</v>
      </c>
      <c r="AH246" s="239">
        <v>0</v>
      </c>
      <c r="AI246" s="239">
        <v>0</v>
      </c>
      <c r="AJ246" s="239">
        <v>0</v>
      </c>
      <c r="AK246" s="239">
        <v>588173.84416666673</v>
      </c>
      <c r="AL246" s="239">
        <v>147043.46104166668</v>
      </c>
      <c r="AM246" s="239">
        <v>0</v>
      </c>
      <c r="AN246" s="239">
        <v>566138</v>
      </c>
      <c r="AO246" s="239">
        <v>141534</v>
      </c>
      <c r="AP246" s="239">
        <v>0</v>
      </c>
      <c r="AQ246" s="239">
        <v>22036</v>
      </c>
      <c r="AR246" s="239">
        <v>5509</v>
      </c>
      <c r="AS246" s="239">
        <v>0</v>
      </c>
      <c r="AT246" s="239">
        <v>-1156.625</v>
      </c>
      <c r="AU246" s="239">
        <v>-289.15625</v>
      </c>
      <c r="AV246" s="239">
        <v>0</v>
      </c>
      <c r="AW246" s="239">
        <v>4059</v>
      </c>
      <c r="AX246" s="239">
        <v>1014</v>
      </c>
      <c r="AY246" s="239">
        <v>0</v>
      </c>
      <c r="AZ246" s="239">
        <v>-5216</v>
      </c>
      <c r="BA246" s="239">
        <v>-1303</v>
      </c>
      <c r="BB246" s="239">
        <v>0</v>
      </c>
      <c r="BC246" s="239">
        <v>17262.932499999999</v>
      </c>
      <c r="BD246" s="239">
        <v>4315.7331249999997</v>
      </c>
      <c r="BE246" s="239">
        <v>0</v>
      </c>
      <c r="BF246" s="239">
        <v>35308</v>
      </c>
      <c r="BG246" s="239">
        <v>8826</v>
      </c>
      <c r="BH246" s="239">
        <v>0</v>
      </c>
      <c r="BI246" s="239">
        <v>-18045</v>
      </c>
      <c r="BJ246" s="239">
        <v>-4510</v>
      </c>
      <c r="BK246" s="239">
        <v>0</v>
      </c>
      <c r="BL246" s="239">
        <v>28959.860833333336</v>
      </c>
      <c r="BM246" s="239">
        <v>7239.965208333334</v>
      </c>
      <c r="BN246" s="239">
        <v>0</v>
      </c>
      <c r="BO246" s="239">
        <v>15828</v>
      </c>
      <c r="BP246" s="239">
        <v>3956</v>
      </c>
      <c r="BQ246" s="239">
        <v>0</v>
      </c>
      <c r="BR246" s="239">
        <v>13132</v>
      </c>
      <c r="BS246" s="239">
        <v>3284</v>
      </c>
      <c r="BT246" s="239">
        <v>0</v>
      </c>
      <c r="BU246" s="239">
        <v>390498.92083333334</v>
      </c>
      <c r="BV246" s="239">
        <v>97624.730208333334</v>
      </c>
      <c r="BW246" s="239">
        <v>0</v>
      </c>
      <c r="BX246" s="239">
        <v>397716</v>
      </c>
      <c r="BY246" s="239">
        <v>99430</v>
      </c>
      <c r="BZ246" s="239">
        <v>0</v>
      </c>
      <c r="CA246" s="239">
        <v>-7217</v>
      </c>
      <c r="CB246" s="239">
        <v>-1805</v>
      </c>
      <c r="CC246" s="239">
        <v>0</v>
      </c>
      <c r="CD246" s="239">
        <v>0</v>
      </c>
      <c r="CE246" s="239">
        <v>0</v>
      </c>
      <c r="CF246" s="239">
        <v>0</v>
      </c>
      <c r="CG246" s="239">
        <v>0</v>
      </c>
      <c r="CH246" s="239">
        <v>0</v>
      </c>
      <c r="CI246" s="239">
        <v>0</v>
      </c>
      <c r="CJ246" s="239">
        <v>0</v>
      </c>
      <c r="CK246" s="239">
        <v>0</v>
      </c>
      <c r="CL246" s="239">
        <v>0</v>
      </c>
      <c r="CM246" s="239">
        <v>3334.3266666666673</v>
      </c>
      <c r="CN246" s="239">
        <v>833.58166666666682</v>
      </c>
      <c r="CO246" s="239">
        <v>0</v>
      </c>
      <c r="CP246" s="239">
        <v>0</v>
      </c>
      <c r="CQ246" s="239">
        <v>0</v>
      </c>
      <c r="CR246" s="239">
        <v>0</v>
      </c>
      <c r="CS246" s="239">
        <v>3334</v>
      </c>
      <c r="CT246" s="239">
        <v>834</v>
      </c>
      <c r="CU246" s="239">
        <v>0</v>
      </c>
      <c r="CV246" s="239">
        <v>217083.90083333335</v>
      </c>
      <c r="CW246" s="239">
        <v>54112.986666666671</v>
      </c>
      <c r="CX246" s="239">
        <v>0</v>
      </c>
      <c r="CY246" s="239">
        <v>232177</v>
      </c>
      <c r="CZ246" s="239">
        <v>58044</v>
      </c>
      <c r="DA246" s="239">
        <v>0</v>
      </c>
      <c r="DB246" s="239">
        <v>-15093</v>
      </c>
      <c r="DC246" s="239">
        <v>-3931</v>
      </c>
      <c r="DD246" s="239">
        <v>0</v>
      </c>
      <c r="DE246" s="214">
        <v>0.5</v>
      </c>
      <c r="DF246" s="214">
        <v>0.4</v>
      </c>
      <c r="DG246" s="214">
        <v>0.1</v>
      </c>
      <c r="DH246" s="214">
        <v>0</v>
      </c>
      <c r="DI246" s="214" t="s">
        <v>1294</v>
      </c>
    </row>
    <row r="247" spans="2:113" s="214" customFormat="1" x14ac:dyDescent="0.2">
      <c r="B247" s="610" t="s">
        <v>577</v>
      </c>
      <c r="C247" s="610" t="s">
        <v>576</v>
      </c>
      <c r="D247" s="239">
        <v>-77942</v>
      </c>
      <c r="E247" s="239">
        <v>0</v>
      </c>
      <c r="F247" s="239">
        <v>-77942</v>
      </c>
      <c r="G247" s="239">
        <v>0</v>
      </c>
      <c r="H247" s="239">
        <v>0</v>
      </c>
      <c r="I247" s="239">
        <v>0</v>
      </c>
      <c r="J247" s="239">
        <v>-77942</v>
      </c>
      <c r="K247" s="239">
        <v>0</v>
      </c>
      <c r="L247" s="239">
        <v>-77942</v>
      </c>
      <c r="M247" s="239">
        <v>299546</v>
      </c>
      <c r="N247" s="239">
        <v>299546</v>
      </c>
      <c r="O247" s="239">
        <v>0</v>
      </c>
      <c r="P247" s="239">
        <v>0</v>
      </c>
      <c r="Q247" s="239">
        <v>0</v>
      </c>
      <c r="R247" s="239">
        <v>0</v>
      </c>
      <c r="S247" s="239">
        <v>0</v>
      </c>
      <c r="T247" s="239">
        <v>0</v>
      </c>
      <c r="U247" s="239">
        <v>0</v>
      </c>
      <c r="V247" s="239">
        <v>0</v>
      </c>
      <c r="W247" s="239">
        <v>0</v>
      </c>
      <c r="X247" s="239">
        <v>0</v>
      </c>
      <c r="Y247" s="239">
        <v>0</v>
      </c>
      <c r="Z247" s="239">
        <v>0</v>
      </c>
      <c r="AA247" s="239">
        <v>0</v>
      </c>
      <c r="AB247" s="239">
        <v>0</v>
      </c>
      <c r="AC247" s="239">
        <v>0</v>
      </c>
      <c r="AD247" s="239">
        <v>0</v>
      </c>
      <c r="AE247" s="239">
        <v>0</v>
      </c>
      <c r="AF247" s="239">
        <v>0</v>
      </c>
      <c r="AG247" s="239">
        <v>0</v>
      </c>
      <c r="AH247" s="239">
        <v>0</v>
      </c>
      <c r="AI247" s="239">
        <v>0</v>
      </c>
      <c r="AJ247" s="239">
        <v>0</v>
      </c>
      <c r="AK247" s="239">
        <v>1309727.4512500002</v>
      </c>
      <c r="AL247" s="239">
        <v>327431.86281250004</v>
      </c>
      <c r="AM247" s="239">
        <v>0</v>
      </c>
      <c r="AN247" s="239">
        <v>1188340</v>
      </c>
      <c r="AO247" s="239">
        <v>297084</v>
      </c>
      <c r="AP247" s="239">
        <v>0</v>
      </c>
      <c r="AQ247" s="239">
        <v>121387</v>
      </c>
      <c r="AR247" s="239">
        <v>30348</v>
      </c>
      <c r="AS247" s="239">
        <v>0</v>
      </c>
      <c r="AT247" s="239">
        <v>15015.4275</v>
      </c>
      <c r="AU247" s="239">
        <v>3753.8568749999999</v>
      </c>
      <c r="AV247" s="239">
        <v>0</v>
      </c>
      <c r="AW247" s="239">
        <v>7012</v>
      </c>
      <c r="AX247" s="239">
        <v>1752</v>
      </c>
      <c r="AY247" s="239">
        <v>0</v>
      </c>
      <c r="AZ247" s="239">
        <v>8003</v>
      </c>
      <c r="BA247" s="239">
        <v>2002</v>
      </c>
      <c r="BB247" s="239">
        <v>0</v>
      </c>
      <c r="BC247" s="239">
        <v>2144.4233333333332</v>
      </c>
      <c r="BD247" s="239">
        <v>536.10583333333329</v>
      </c>
      <c r="BE247" s="239">
        <v>0</v>
      </c>
      <c r="BF247" s="239">
        <v>2460</v>
      </c>
      <c r="BG247" s="239">
        <v>616</v>
      </c>
      <c r="BH247" s="239">
        <v>0</v>
      </c>
      <c r="BI247" s="239">
        <v>-316</v>
      </c>
      <c r="BJ247" s="239">
        <v>-80</v>
      </c>
      <c r="BK247" s="239">
        <v>0</v>
      </c>
      <c r="BL247" s="239">
        <v>15036.125</v>
      </c>
      <c r="BM247" s="239">
        <v>3759.03125</v>
      </c>
      <c r="BN247" s="239">
        <v>0</v>
      </c>
      <c r="BO247" s="239">
        <v>6983</v>
      </c>
      <c r="BP247" s="239">
        <v>1746</v>
      </c>
      <c r="BQ247" s="239">
        <v>0</v>
      </c>
      <c r="BR247" s="239">
        <v>8053</v>
      </c>
      <c r="BS247" s="239">
        <v>2013</v>
      </c>
      <c r="BT247" s="239">
        <v>0</v>
      </c>
      <c r="BU247" s="239">
        <v>499874.25083333335</v>
      </c>
      <c r="BV247" s="239">
        <v>124968.56270833334</v>
      </c>
      <c r="BW247" s="239">
        <v>0</v>
      </c>
      <c r="BX247" s="239">
        <v>455514</v>
      </c>
      <c r="BY247" s="239">
        <v>113878</v>
      </c>
      <c r="BZ247" s="239">
        <v>0</v>
      </c>
      <c r="CA247" s="239">
        <v>44360</v>
      </c>
      <c r="CB247" s="239">
        <v>11091</v>
      </c>
      <c r="CC247" s="239">
        <v>0</v>
      </c>
      <c r="CD247" s="239">
        <v>354693.8691666667</v>
      </c>
      <c r="CE247" s="239">
        <v>88673.467291666675</v>
      </c>
      <c r="CF247" s="239">
        <v>0</v>
      </c>
      <c r="CG247" s="239">
        <v>746102</v>
      </c>
      <c r="CH247" s="239">
        <v>0</v>
      </c>
      <c r="CI247" s="239">
        <v>0</v>
      </c>
      <c r="CJ247" s="239">
        <v>-391408</v>
      </c>
      <c r="CK247" s="239">
        <v>88673</v>
      </c>
      <c r="CL247" s="239">
        <v>0</v>
      </c>
      <c r="CM247" s="239">
        <v>7179.5975000000008</v>
      </c>
      <c r="CN247" s="239">
        <v>1794.8993750000002</v>
      </c>
      <c r="CO247" s="239">
        <v>0</v>
      </c>
      <c r="CP247" s="239">
        <v>0</v>
      </c>
      <c r="CQ247" s="239">
        <v>0</v>
      </c>
      <c r="CR247" s="239">
        <v>0</v>
      </c>
      <c r="CS247" s="239">
        <v>7180</v>
      </c>
      <c r="CT247" s="239">
        <v>1795</v>
      </c>
      <c r="CU247" s="239">
        <v>0</v>
      </c>
      <c r="CV247" s="239">
        <v>231249.55583333332</v>
      </c>
      <c r="CW247" s="239">
        <v>57812.388958333329</v>
      </c>
      <c r="CX247" s="239">
        <v>0</v>
      </c>
      <c r="CY247" s="239">
        <v>236545</v>
      </c>
      <c r="CZ247" s="239">
        <v>59136</v>
      </c>
      <c r="DA247" s="239">
        <v>0</v>
      </c>
      <c r="DB247" s="239">
        <v>-5295</v>
      </c>
      <c r="DC247" s="239">
        <v>-1324</v>
      </c>
      <c r="DD247" s="239">
        <v>0</v>
      </c>
      <c r="DE247" s="214">
        <v>0.5</v>
      </c>
      <c r="DF247" s="214">
        <v>0.4</v>
      </c>
      <c r="DG247" s="214">
        <v>0.1</v>
      </c>
      <c r="DH247" s="214">
        <v>0</v>
      </c>
      <c r="DI247" s="214" t="s">
        <v>1294</v>
      </c>
    </row>
    <row r="248" spans="2:113" s="214" customFormat="1" x14ac:dyDescent="0.2">
      <c r="B248" s="610" t="s">
        <v>579</v>
      </c>
      <c r="C248" s="610" t="s">
        <v>578</v>
      </c>
      <c r="D248" s="239">
        <v>22460</v>
      </c>
      <c r="E248" s="239">
        <v>0</v>
      </c>
      <c r="F248" s="239">
        <v>22460</v>
      </c>
      <c r="G248" s="239">
        <v>0</v>
      </c>
      <c r="H248" s="239">
        <v>0</v>
      </c>
      <c r="I248" s="239">
        <v>0</v>
      </c>
      <c r="J248" s="239">
        <v>22460</v>
      </c>
      <c r="K248" s="239">
        <v>0</v>
      </c>
      <c r="L248" s="239">
        <v>22460</v>
      </c>
      <c r="M248" s="239">
        <v>159148</v>
      </c>
      <c r="N248" s="239">
        <v>159148</v>
      </c>
      <c r="O248" s="239">
        <v>0</v>
      </c>
      <c r="P248" s="239">
        <v>0</v>
      </c>
      <c r="Q248" s="239">
        <v>0</v>
      </c>
      <c r="R248" s="239">
        <v>0</v>
      </c>
      <c r="S248" s="239">
        <v>90480</v>
      </c>
      <c r="T248" s="239">
        <v>0</v>
      </c>
      <c r="U248" s="239">
        <v>32000</v>
      </c>
      <c r="V248" s="239">
        <v>0</v>
      </c>
      <c r="W248" s="239">
        <v>58480</v>
      </c>
      <c r="X248" s="239">
        <v>0</v>
      </c>
      <c r="Y248" s="239">
        <v>0</v>
      </c>
      <c r="Z248" s="239">
        <v>0</v>
      </c>
      <c r="AA248" s="239">
        <v>0</v>
      </c>
      <c r="AB248" s="239">
        <v>0</v>
      </c>
      <c r="AC248" s="239">
        <v>0</v>
      </c>
      <c r="AD248" s="239">
        <v>0</v>
      </c>
      <c r="AE248" s="239">
        <v>0</v>
      </c>
      <c r="AF248" s="239">
        <v>0</v>
      </c>
      <c r="AG248" s="239">
        <v>0</v>
      </c>
      <c r="AH248" s="239">
        <v>0</v>
      </c>
      <c r="AI248" s="239">
        <v>0</v>
      </c>
      <c r="AJ248" s="239">
        <v>0</v>
      </c>
      <c r="AK248" s="239">
        <v>579349.06123750005</v>
      </c>
      <c r="AL248" s="239">
        <v>144837.26530937501</v>
      </c>
      <c r="AM248" s="239">
        <v>0</v>
      </c>
      <c r="AN248" s="239">
        <v>574219</v>
      </c>
      <c r="AO248" s="239">
        <v>143554</v>
      </c>
      <c r="AP248" s="239">
        <v>0</v>
      </c>
      <c r="AQ248" s="239">
        <v>5130</v>
      </c>
      <c r="AR248" s="239">
        <v>1283</v>
      </c>
      <c r="AS248" s="239">
        <v>0</v>
      </c>
      <c r="AT248" s="239">
        <v>0</v>
      </c>
      <c r="AU248" s="239">
        <v>0</v>
      </c>
      <c r="AV248" s="239">
        <v>0</v>
      </c>
      <c r="AW248" s="239">
        <v>0</v>
      </c>
      <c r="AX248" s="239">
        <v>0</v>
      </c>
      <c r="AY248" s="239">
        <v>0</v>
      </c>
      <c r="AZ248" s="239">
        <v>0</v>
      </c>
      <c r="BA248" s="239">
        <v>0</v>
      </c>
      <c r="BB248" s="239">
        <v>0</v>
      </c>
      <c r="BC248" s="239">
        <v>7289.1724999999997</v>
      </c>
      <c r="BD248" s="239">
        <v>1822.2931249999999</v>
      </c>
      <c r="BE248" s="239">
        <v>0</v>
      </c>
      <c r="BF248" s="239">
        <v>91313</v>
      </c>
      <c r="BG248" s="239">
        <v>22828</v>
      </c>
      <c r="BH248" s="239">
        <v>0</v>
      </c>
      <c r="BI248" s="239">
        <v>-84024</v>
      </c>
      <c r="BJ248" s="239">
        <v>-21006</v>
      </c>
      <c r="BK248" s="239">
        <v>0</v>
      </c>
      <c r="BL248" s="239">
        <v>7021.3225000000011</v>
      </c>
      <c r="BM248" s="239">
        <v>1755.3306250000003</v>
      </c>
      <c r="BN248" s="239">
        <v>0</v>
      </c>
      <c r="BO248" s="239">
        <v>1895</v>
      </c>
      <c r="BP248" s="239">
        <v>474</v>
      </c>
      <c r="BQ248" s="239">
        <v>0</v>
      </c>
      <c r="BR248" s="239">
        <v>5126</v>
      </c>
      <c r="BS248" s="239">
        <v>1281</v>
      </c>
      <c r="BT248" s="239">
        <v>0</v>
      </c>
      <c r="BU248" s="239">
        <v>228039.37333333332</v>
      </c>
      <c r="BV248" s="239">
        <v>57009.843333333331</v>
      </c>
      <c r="BW248" s="239">
        <v>0</v>
      </c>
      <c r="BX248" s="239">
        <v>169796</v>
      </c>
      <c r="BY248" s="239">
        <v>42448</v>
      </c>
      <c r="BZ248" s="239">
        <v>0</v>
      </c>
      <c r="CA248" s="239">
        <v>58243</v>
      </c>
      <c r="CB248" s="239">
        <v>14562</v>
      </c>
      <c r="CC248" s="239">
        <v>0</v>
      </c>
      <c r="CD248" s="239">
        <v>0</v>
      </c>
      <c r="CE248" s="239">
        <v>0</v>
      </c>
      <c r="CF248" s="239">
        <v>0</v>
      </c>
      <c r="CG248" s="239">
        <v>0</v>
      </c>
      <c r="CH248" s="239">
        <v>0</v>
      </c>
      <c r="CI248" s="239">
        <v>0</v>
      </c>
      <c r="CJ248" s="239">
        <v>0</v>
      </c>
      <c r="CK248" s="239">
        <v>0</v>
      </c>
      <c r="CL248" s="239">
        <v>0</v>
      </c>
      <c r="CM248" s="239">
        <v>6225.8891666666677</v>
      </c>
      <c r="CN248" s="239">
        <v>1556.4722916666669</v>
      </c>
      <c r="CO248" s="239">
        <v>0</v>
      </c>
      <c r="CP248" s="239">
        <v>0</v>
      </c>
      <c r="CQ248" s="239">
        <v>0</v>
      </c>
      <c r="CR248" s="239">
        <v>0</v>
      </c>
      <c r="CS248" s="239">
        <v>6226</v>
      </c>
      <c r="CT248" s="239">
        <v>1556</v>
      </c>
      <c r="CU248" s="239">
        <v>0</v>
      </c>
      <c r="CV248" s="239">
        <v>163002.65333333335</v>
      </c>
      <c r="CW248" s="239">
        <v>40420.788333333338</v>
      </c>
      <c r="CX248" s="239">
        <v>0</v>
      </c>
      <c r="CY248" s="239">
        <v>174688</v>
      </c>
      <c r="CZ248" s="239">
        <v>43555</v>
      </c>
      <c r="DA248" s="239">
        <v>0</v>
      </c>
      <c r="DB248" s="239">
        <v>-11685</v>
      </c>
      <c r="DC248" s="239">
        <v>-3134</v>
      </c>
      <c r="DD248" s="239">
        <v>0</v>
      </c>
      <c r="DE248" s="214">
        <v>0.5</v>
      </c>
      <c r="DF248" s="214">
        <v>0.4</v>
      </c>
      <c r="DG248" s="214">
        <v>0.1</v>
      </c>
      <c r="DH248" s="214">
        <v>0</v>
      </c>
      <c r="DI248" s="214" t="s">
        <v>1294</v>
      </c>
    </row>
    <row r="249" spans="2:113" s="214" customFormat="1" x14ac:dyDescent="0.2">
      <c r="B249" s="610" t="s">
        <v>581</v>
      </c>
      <c r="C249" s="610" t="s">
        <v>580</v>
      </c>
      <c r="D249" s="239">
        <v>-76177</v>
      </c>
      <c r="E249" s="239">
        <v>0</v>
      </c>
      <c r="F249" s="239">
        <v>-76177</v>
      </c>
      <c r="G249" s="239">
        <v>0</v>
      </c>
      <c r="H249" s="239">
        <v>0</v>
      </c>
      <c r="I249" s="239">
        <v>0</v>
      </c>
      <c r="J249" s="239">
        <v>-76177</v>
      </c>
      <c r="K249" s="239">
        <v>0</v>
      </c>
      <c r="L249" s="239">
        <v>-76177</v>
      </c>
      <c r="M249" s="239">
        <v>107607</v>
      </c>
      <c r="N249" s="239">
        <v>107607</v>
      </c>
      <c r="O249" s="239">
        <v>0</v>
      </c>
      <c r="P249" s="239">
        <v>0</v>
      </c>
      <c r="Q249" s="239">
        <v>0</v>
      </c>
      <c r="R249" s="239">
        <v>0</v>
      </c>
      <c r="S249" s="239">
        <v>259511</v>
      </c>
      <c r="T249" s="239">
        <v>0</v>
      </c>
      <c r="U249" s="239">
        <v>117600</v>
      </c>
      <c r="V249" s="239">
        <v>0</v>
      </c>
      <c r="W249" s="239">
        <v>141911</v>
      </c>
      <c r="X249" s="239">
        <v>0</v>
      </c>
      <c r="Y249" s="239">
        <v>0</v>
      </c>
      <c r="Z249" s="239">
        <v>0</v>
      </c>
      <c r="AA249" s="239">
        <v>0</v>
      </c>
      <c r="AB249" s="239">
        <v>0</v>
      </c>
      <c r="AC249" s="239">
        <v>0</v>
      </c>
      <c r="AD249" s="239">
        <v>0</v>
      </c>
      <c r="AE249" s="239">
        <v>0</v>
      </c>
      <c r="AF249" s="239">
        <v>0</v>
      </c>
      <c r="AG249" s="239">
        <v>0</v>
      </c>
      <c r="AH249" s="239">
        <v>0</v>
      </c>
      <c r="AI249" s="239">
        <v>0</v>
      </c>
      <c r="AJ249" s="239">
        <v>0</v>
      </c>
      <c r="AK249" s="239">
        <v>406665.69750000001</v>
      </c>
      <c r="AL249" s="239">
        <v>101666.424375</v>
      </c>
      <c r="AM249" s="239">
        <v>0</v>
      </c>
      <c r="AN249" s="239">
        <v>369028</v>
      </c>
      <c r="AO249" s="239">
        <v>92258</v>
      </c>
      <c r="AP249" s="239">
        <v>0</v>
      </c>
      <c r="AQ249" s="239">
        <v>37638</v>
      </c>
      <c r="AR249" s="239">
        <v>9408</v>
      </c>
      <c r="AS249" s="239">
        <v>0</v>
      </c>
      <c r="AT249" s="239">
        <v>1956.5225000000003</v>
      </c>
      <c r="AU249" s="239">
        <v>489.13062500000007</v>
      </c>
      <c r="AV249" s="239">
        <v>0</v>
      </c>
      <c r="AW249" s="239">
        <v>0</v>
      </c>
      <c r="AX249" s="239">
        <v>0</v>
      </c>
      <c r="AY249" s="239">
        <v>0</v>
      </c>
      <c r="AZ249" s="239">
        <v>1957</v>
      </c>
      <c r="BA249" s="239">
        <v>489</v>
      </c>
      <c r="BB249" s="239">
        <v>0</v>
      </c>
      <c r="BC249" s="239">
        <v>0</v>
      </c>
      <c r="BD249" s="239">
        <v>0</v>
      </c>
      <c r="BE249" s="239">
        <v>0</v>
      </c>
      <c r="BF249" s="239">
        <v>0</v>
      </c>
      <c r="BG249" s="239">
        <v>0</v>
      </c>
      <c r="BH249" s="239">
        <v>0</v>
      </c>
      <c r="BI249" s="239">
        <v>0</v>
      </c>
      <c r="BJ249" s="239">
        <v>0</v>
      </c>
      <c r="BK249" s="239">
        <v>0</v>
      </c>
      <c r="BL249" s="239">
        <v>120.93833333333333</v>
      </c>
      <c r="BM249" s="239">
        <v>30.234583333333333</v>
      </c>
      <c r="BN249" s="239">
        <v>0</v>
      </c>
      <c r="BO249" s="239">
        <v>3833</v>
      </c>
      <c r="BP249" s="239">
        <v>958</v>
      </c>
      <c r="BQ249" s="239">
        <v>0</v>
      </c>
      <c r="BR249" s="239">
        <v>-3712</v>
      </c>
      <c r="BS249" s="239">
        <v>-928</v>
      </c>
      <c r="BT249" s="239">
        <v>0</v>
      </c>
      <c r="BU249" s="239">
        <v>144165.39249999999</v>
      </c>
      <c r="BV249" s="239">
        <v>36041.348124999997</v>
      </c>
      <c r="BW249" s="239">
        <v>0</v>
      </c>
      <c r="BX249" s="239">
        <v>140092</v>
      </c>
      <c r="BY249" s="239">
        <v>35022</v>
      </c>
      <c r="BZ249" s="239">
        <v>0</v>
      </c>
      <c r="CA249" s="239">
        <v>4073</v>
      </c>
      <c r="CB249" s="239">
        <v>1019</v>
      </c>
      <c r="CC249" s="239">
        <v>0</v>
      </c>
      <c r="CD249" s="239">
        <v>0</v>
      </c>
      <c r="CE249" s="239">
        <v>0</v>
      </c>
      <c r="CF249" s="239">
        <v>0</v>
      </c>
      <c r="CG249" s="239">
        <v>0</v>
      </c>
      <c r="CH249" s="239">
        <v>0</v>
      </c>
      <c r="CI249" s="239">
        <v>0</v>
      </c>
      <c r="CJ249" s="239">
        <v>0</v>
      </c>
      <c r="CK249" s="239">
        <v>0</v>
      </c>
      <c r="CL249" s="239">
        <v>0</v>
      </c>
      <c r="CM249" s="239">
        <v>262.98</v>
      </c>
      <c r="CN249" s="239">
        <v>65.745000000000005</v>
      </c>
      <c r="CO249" s="239">
        <v>0</v>
      </c>
      <c r="CP249" s="239">
        <v>0</v>
      </c>
      <c r="CQ249" s="239">
        <v>0</v>
      </c>
      <c r="CR249" s="239">
        <v>0</v>
      </c>
      <c r="CS249" s="239">
        <v>263</v>
      </c>
      <c r="CT249" s="239">
        <v>66</v>
      </c>
      <c r="CU249" s="239">
        <v>0</v>
      </c>
      <c r="CV249" s="239">
        <v>124087.34625000002</v>
      </c>
      <c r="CW249" s="239">
        <v>30075.702708333334</v>
      </c>
      <c r="CX249" s="239">
        <v>0</v>
      </c>
      <c r="CY249" s="239">
        <v>123052</v>
      </c>
      <c r="CZ249" s="239">
        <v>30334</v>
      </c>
      <c r="DA249" s="239">
        <v>0</v>
      </c>
      <c r="DB249" s="239">
        <v>1035</v>
      </c>
      <c r="DC249" s="239">
        <v>-258</v>
      </c>
      <c r="DD249" s="239">
        <v>0</v>
      </c>
      <c r="DE249" s="214">
        <v>0.5</v>
      </c>
      <c r="DF249" s="214">
        <v>0.4</v>
      </c>
      <c r="DG249" s="214">
        <v>0.1</v>
      </c>
      <c r="DH249" s="214">
        <v>0</v>
      </c>
      <c r="DI249" s="214" t="s">
        <v>1294</v>
      </c>
    </row>
    <row r="250" spans="2:113" s="214" customFormat="1" x14ac:dyDescent="0.2">
      <c r="B250" s="610" t="s">
        <v>583</v>
      </c>
      <c r="C250" s="610" t="s">
        <v>582</v>
      </c>
      <c r="D250" s="239">
        <v>-54193</v>
      </c>
      <c r="E250" s="239">
        <v>0</v>
      </c>
      <c r="F250" s="239">
        <v>-54193</v>
      </c>
      <c r="G250" s="239">
        <v>0</v>
      </c>
      <c r="H250" s="239">
        <v>0</v>
      </c>
      <c r="I250" s="239">
        <v>0</v>
      </c>
      <c r="J250" s="239">
        <v>-54193</v>
      </c>
      <c r="K250" s="239">
        <v>0</v>
      </c>
      <c r="L250" s="239">
        <v>-54193</v>
      </c>
      <c r="M250" s="239">
        <v>186946</v>
      </c>
      <c r="N250" s="239">
        <v>186946</v>
      </c>
      <c r="O250" s="239">
        <v>0</v>
      </c>
      <c r="P250" s="239">
        <v>0</v>
      </c>
      <c r="Q250" s="239">
        <v>0</v>
      </c>
      <c r="R250" s="239">
        <v>0</v>
      </c>
      <c r="S250" s="239">
        <v>0</v>
      </c>
      <c r="T250" s="239">
        <v>0</v>
      </c>
      <c r="U250" s="239">
        <v>0</v>
      </c>
      <c r="V250" s="239">
        <v>0</v>
      </c>
      <c r="W250" s="239">
        <v>0</v>
      </c>
      <c r="X250" s="239">
        <v>0</v>
      </c>
      <c r="Y250" s="239">
        <v>0</v>
      </c>
      <c r="Z250" s="239">
        <v>0</v>
      </c>
      <c r="AA250" s="239">
        <v>0</v>
      </c>
      <c r="AB250" s="239">
        <v>0</v>
      </c>
      <c r="AC250" s="239">
        <v>0</v>
      </c>
      <c r="AD250" s="239">
        <v>0</v>
      </c>
      <c r="AE250" s="239">
        <v>0</v>
      </c>
      <c r="AF250" s="239">
        <v>0</v>
      </c>
      <c r="AG250" s="239">
        <v>0</v>
      </c>
      <c r="AH250" s="239">
        <v>0</v>
      </c>
      <c r="AI250" s="239">
        <v>0</v>
      </c>
      <c r="AJ250" s="239">
        <v>0</v>
      </c>
      <c r="AK250" s="239">
        <v>518813.27500000002</v>
      </c>
      <c r="AL250" s="239">
        <v>129703.31875000001</v>
      </c>
      <c r="AM250" s="239">
        <v>0</v>
      </c>
      <c r="AN250" s="239">
        <v>497035</v>
      </c>
      <c r="AO250" s="239">
        <v>124260</v>
      </c>
      <c r="AP250" s="239">
        <v>0</v>
      </c>
      <c r="AQ250" s="239">
        <v>21778</v>
      </c>
      <c r="AR250" s="239">
        <v>5443</v>
      </c>
      <c r="AS250" s="239">
        <v>0</v>
      </c>
      <c r="AT250" s="239">
        <v>0</v>
      </c>
      <c r="AU250" s="239">
        <v>0</v>
      </c>
      <c r="AV250" s="239">
        <v>0</v>
      </c>
      <c r="AW250" s="239">
        <v>0</v>
      </c>
      <c r="AX250" s="239">
        <v>0</v>
      </c>
      <c r="AY250" s="239">
        <v>0</v>
      </c>
      <c r="AZ250" s="239">
        <v>0</v>
      </c>
      <c r="BA250" s="239">
        <v>0</v>
      </c>
      <c r="BB250" s="239">
        <v>0</v>
      </c>
      <c r="BC250" s="239">
        <v>0</v>
      </c>
      <c r="BD250" s="239">
        <v>0</v>
      </c>
      <c r="BE250" s="239">
        <v>0</v>
      </c>
      <c r="BF250" s="239">
        <v>0</v>
      </c>
      <c r="BG250" s="239">
        <v>0</v>
      </c>
      <c r="BH250" s="239">
        <v>0</v>
      </c>
      <c r="BI250" s="239">
        <v>0</v>
      </c>
      <c r="BJ250" s="239">
        <v>0</v>
      </c>
      <c r="BK250" s="239">
        <v>0</v>
      </c>
      <c r="BL250" s="239">
        <v>8484.7575000000015</v>
      </c>
      <c r="BM250" s="239">
        <v>2121.1893750000004</v>
      </c>
      <c r="BN250" s="239">
        <v>0</v>
      </c>
      <c r="BO250" s="239">
        <v>5952</v>
      </c>
      <c r="BP250" s="239">
        <v>1488</v>
      </c>
      <c r="BQ250" s="239">
        <v>0</v>
      </c>
      <c r="BR250" s="239">
        <v>2533</v>
      </c>
      <c r="BS250" s="239">
        <v>633</v>
      </c>
      <c r="BT250" s="239">
        <v>0</v>
      </c>
      <c r="BU250" s="239">
        <v>326086.67749999999</v>
      </c>
      <c r="BV250" s="239">
        <v>81521.669374999998</v>
      </c>
      <c r="BW250" s="239">
        <v>0</v>
      </c>
      <c r="BX250" s="239">
        <v>286781</v>
      </c>
      <c r="BY250" s="239">
        <v>71696</v>
      </c>
      <c r="BZ250" s="239">
        <v>0</v>
      </c>
      <c r="CA250" s="239">
        <v>39306</v>
      </c>
      <c r="CB250" s="239">
        <v>9826</v>
      </c>
      <c r="CC250" s="239">
        <v>0</v>
      </c>
      <c r="CD250" s="239">
        <v>0</v>
      </c>
      <c r="CE250" s="239">
        <v>0</v>
      </c>
      <c r="CF250" s="239">
        <v>0</v>
      </c>
      <c r="CG250" s="239">
        <v>0</v>
      </c>
      <c r="CH250" s="239">
        <v>0</v>
      </c>
      <c r="CI250" s="239">
        <v>0</v>
      </c>
      <c r="CJ250" s="239">
        <v>0</v>
      </c>
      <c r="CK250" s="239">
        <v>0</v>
      </c>
      <c r="CL250" s="239">
        <v>0</v>
      </c>
      <c r="CM250" s="239">
        <v>1044.2091666666668</v>
      </c>
      <c r="CN250" s="239">
        <v>261.05229166666669</v>
      </c>
      <c r="CO250" s="239">
        <v>0</v>
      </c>
      <c r="CP250" s="239">
        <v>0</v>
      </c>
      <c r="CQ250" s="239">
        <v>0</v>
      </c>
      <c r="CR250" s="239">
        <v>0</v>
      </c>
      <c r="CS250" s="239">
        <v>1044</v>
      </c>
      <c r="CT250" s="239">
        <v>261</v>
      </c>
      <c r="CU250" s="239">
        <v>0</v>
      </c>
      <c r="CV250" s="239">
        <v>242140.37750000003</v>
      </c>
      <c r="CW250" s="239">
        <v>60535.094375000008</v>
      </c>
      <c r="CX250" s="239">
        <v>0</v>
      </c>
      <c r="CY250" s="239">
        <v>250183</v>
      </c>
      <c r="CZ250" s="239">
        <v>62546</v>
      </c>
      <c r="DA250" s="239">
        <v>0</v>
      </c>
      <c r="DB250" s="239">
        <v>-8043</v>
      </c>
      <c r="DC250" s="239">
        <v>-2011</v>
      </c>
      <c r="DD250" s="239">
        <v>0</v>
      </c>
      <c r="DE250" s="214">
        <v>0.5</v>
      </c>
      <c r="DF250" s="214">
        <v>0.4</v>
      </c>
      <c r="DG250" s="214">
        <v>0.1</v>
      </c>
      <c r="DH250" s="214">
        <v>0</v>
      </c>
      <c r="DI250" s="214" t="s">
        <v>1294</v>
      </c>
    </row>
    <row r="251" spans="2:113" s="214" customFormat="1" x14ac:dyDescent="0.2">
      <c r="B251" s="610" t="s">
        <v>585</v>
      </c>
      <c r="C251" s="610" t="s">
        <v>584</v>
      </c>
      <c r="D251" s="239">
        <v>54021</v>
      </c>
      <c r="E251" s="239">
        <v>0</v>
      </c>
      <c r="F251" s="239">
        <v>54021</v>
      </c>
      <c r="G251" s="239">
        <v>0</v>
      </c>
      <c r="H251" s="239">
        <v>0</v>
      </c>
      <c r="I251" s="239">
        <v>0</v>
      </c>
      <c r="J251" s="239">
        <v>54021</v>
      </c>
      <c r="K251" s="239">
        <v>0</v>
      </c>
      <c r="L251" s="239">
        <v>54021</v>
      </c>
      <c r="M251" s="239">
        <v>127026</v>
      </c>
      <c r="N251" s="239">
        <v>127026</v>
      </c>
      <c r="O251" s="239">
        <v>0</v>
      </c>
      <c r="P251" s="239">
        <v>0</v>
      </c>
      <c r="Q251" s="239">
        <v>0</v>
      </c>
      <c r="R251" s="239">
        <v>0</v>
      </c>
      <c r="S251" s="239">
        <v>0</v>
      </c>
      <c r="T251" s="239">
        <v>0</v>
      </c>
      <c r="U251" s="239">
        <v>20000</v>
      </c>
      <c r="V251" s="239">
        <v>0</v>
      </c>
      <c r="W251" s="239">
        <v>-20000</v>
      </c>
      <c r="X251" s="239">
        <v>0</v>
      </c>
      <c r="Y251" s="239">
        <v>0</v>
      </c>
      <c r="Z251" s="239">
        <v>0</v>
      </c>
      <c r="AA251" s="239">
        <v>0</v>
      </c>
      <c r="AB251" s="239">
        <v>0</v>
      </c>
      <c r="AC251" s="239">
        <v>0</v>
      </c>
      <c r="AD251" s="239">
        <v>0</v>
      </c>
      <c r="AE251" s="239">
        <v>0</v>
      </c>
      <c r="AF251" s="239">
        <v>0</v>
      </c>
      <c r="AG251" s="239">
        <v>0</v>
      </c>
      <c r="AH251" s="239">
        <v>0</v>
      </c>
      <c r="AI251" s="239">
        <v>0</v>
      </c>
      <c r="AJ251" s="239">
        <v>0</v>
      </c>
      <c r="AK251" s="239">
        <v>451609.10125000001</v>
      </c>
      <c r="AL251" s="239">
        <v>101612.04778125</v>
      </c>
      <c r="AM251" s="239">
        <v>11290.227531250001</v>
      </c>
      <c r="AN251" s="239">
        <v>436186</v>
      </c>
      <c r="AO251" s="239">
        <v>98142</v>
      </c>
      <c r="AP251" s="239">
        <v>10904</v>
      </c>
      <c r="AQ251" s="239">
        <v>15423</v>
      </c>
      <c r="AR251" s="239">
        <v>3470</v>
      </c>
      <c r="AS251" s="239">
        <v>386</v>
      </c>
      <c r="AT251" s="239">
        <v>3582.6966666666672</v>
      </c>
      <c r="AU251" s="239">
        <v>806.10674999999992</v>
      </c>
      <c r="AV251" s="239">
        <v>89.567416666666674</v>
      </c>
      <c r="AW251" s="239">
        <v>4057</v>
      </c>
      <c r="AX251" s="239">
        <v>914</v>
      </c>
      <c r="AY251" s="239">
        <v>102</v>
      </c>
      <c r="AZ251" s="239">
        <v>-474</v>
      </c>
      <c r="BA251" s="239">
        <v>-108</v>
      </c>
      <c r="BB251" s="239">
        <v>-12</v>
      </c>
      <c r="BC251" s="239">
        <v>7701.0933333333342</v>
      </c>
      <c r="BD251" s="239">
        <v>1732.7459999999999</v>
      </c>
      <c r="BE251" s="239">
        <v>192.52733333333333</v>
      </c>
      <c r="BF251" s="239">
        <v>20291</v>
      </c>
      <c r="BG251" s="239">
        <v>4566</v>
      </c>
      <c r="BH251" s="239">
        <v>508</v>
      </c>
      <c r="BI251" s="239">
        <v>-12590</v>
      </c>
      <c r="BJ251" s="239">
        <v>-2833</v>
      </c>
      <c r="BK251" s="239">
        <v>-315</v>
      </c>
      <c r="BL251" s="239">
        <v>2880.1991666666668</v>
      </c>
      <c r="BM251" s="239">
        <v>648.04481249999992</v>
      </c>
      <c r="BN251" s="239">
        <v>72.004979166666658</v>
      </c>
      <c r="BO251" s="239">
        <v>4870</v>
      </c>
      <c r="BP251" s="239">
        <v>1096</v>
      </c>
      <c r="BQ251" s="239">
        <v>122</v>
      </c>
      <c r="BR251" s="239">
        <v>-1990</v>
      </c>
      <c r="BS251" s="239">
        <v>-448</v>
      </c>
      <c r="BT251" s="239">
        <v>-50</v>
      </c>
      <c r="BU251" s="239">
        <v>216502.34333333335</v>
      </c>
      <c r="BV251" s="239">
        <v>48713.027249999999</v>
      </c>
      <c r="BW251" s="239">
        <v>5412.5585833333334</v>
      </c>
      <c r="BX251" s="239">
        <v>156744</v>
      </c>
      <c r="BY251" s="239">
        <v>35268</v>
      </c>
      <c r="BZ251" s="239">
        <v>3918</v>
      </c>
      <c r="CA251" s="239">
        <v>59758</v>
      </c>
      <c r="CB251" s="239">
        <v>13445</v>
      </c>
      <c r="CC251" s="239">
        <v>1495</v>
      </c>
      <c r="CD251" s="239">
        <v>9991.2108333333344</v>
      </c>
      <c r="CE251" s="239">
        <v>2248.0224374999998</v>
      </c>
      <c r="CF251" s="239">
        <v>249.78027083333336</v>
      </c>
      <c r="CG251" s="239">
        <v>6230</v>
      </c>
      <c r="CH251" s="239">
        <v>0</v>
      </c>
      <c r="CI251" s="239">
        <v>0</v>
      </c>
      <c r="CJ251" s="239">
        <v>3761</v>
      </c>
      <c r="CK251" s="239">
        <v>2248</v>
      </c>
      <c r="CL251" s="239">
        <v>250</v>
      </c>
      <c r="CM251" s="239">
        <v>2347.34</v>
      </c>
      <c r="CN251" s="239">
        <v>528.15150000000006</v>
      </c>
      <c r="CO251" s="239">
        <v>58.683500000000002</v>
      </c>
      <c r="CP251" s="239">
        <v>0</v>
      </c>
      <c r="CQ251" s="239">
        <v>0</v>
      </c>
      <c r="CR251" s="239">
        <v>0</v>
      </c>
      <c r="CS251" s="239">
        <v>2347</v>
      </c>
      <c r="CT251" s="239">
        <v>528</v>
      </c>
      <c r="CU251" s="239">
        <v>59</v>
      </c>
      <c r="CV251" s="239">
        <v>215507.12166666667</v>
      </c>
      <c r="CW251" s="239">
        <v>48489.102375000002</v>
      </c>
      <c r="CX251" s="239">
        <v>5387.678041666667</v>
      </c>
      <c r="CY251" s="239">
        <v>218875</v>
      </c>
      <c r="CZ251" s="239">
        <v>49181</v>
      </c>
      <c r="DA251" s="239">
        <v>5465</v>
      </c>
      <c r="DB251" s="239">
        <v>-3368</v>
      </c>
      <c r="DC251" s="239">
        <v>-692</v>
      </c>
      <c r="DD251" s="239">
        <v>-77</v>
      </c>
      <c r="DE251" s="214">
        <v>0.5</v>
      </c>
      <c r="DF251" s="214">
        <v>0.4</v>
      </c>
      <c r="DG251" s="214">
        <v>0.09</v>
      </c>
      <c r="DH251" s="214">
        <v>0.01</v>
      </c>
      <c r="DI251" s="214" t="s">
        <v>1294</v>
      </c>
    </row>
    <row r="252" spans="2:113" s="214" customFormat="1" x14ac:dyDescent="0.2">
      <c r="B252" s="610" t="s">
        <v>587</v>
      </c>
      <c r="C252" s="610" t="s">
        <v>586</v>
      </c>
      <c r="D252" s="239">
        <v>395771</v>
      </c>
      <c r="E252" s="239">
        <v>0</v>
      </c>
      <c r="F252" s="239">
        <v>395771</v>
      </c>
      <c r="G252" s="239">
        <v>0</v>
      </c>
      <c r="H252" s="239">
        <v>0</v>
      </c>
      <c r="I252" s="239">
        <v>0</v>
      </c>
      <c r="J252" s="239">
        <v>395771</v>
      </c>
      <c r="K252" s="239">
        <v>0</v>
      </c>
      <c r="L252" s="239">
        <v>395771</v>
      </c>
      <c r="M252" s="239">
        <v>224868</v>
      </c>
      <c r="N252" s="239">
        <v>224868</v>
      </c>
      <c r="O252" s="239">
        <v>0</v>
      </c>
      <c r="P252" s="239">
        <v>0</v>
      </c>
      <c r="Q252" s="239">
        <v>0</v>
      </c>
      <c r="R252" s="239">
        <v>0</v>
      </c>
      <c r="S252" s="239">
        <v>229340</v>
      </c>
      <c r="T252" s="239">
        <v>0</v>
      </c>
      <c r="U252" s="239">
        <v>181263</v>
      </c>
      <c r="V252" s="239">
        <v>0</v>
      </c>
      <c r="W252" s="239">
        <v>48077</v>
      </c>
      <c r="X252" s="239">
        <v>0</v>
      </c>
      <c r="Y252" s="239">
        <v>0</v>
      </c>
      <c r="Z252" s="239">
        <v>0</v>
      </c>
      <c r="AA252" s="239">
        <v>0</v>
      </c>
      <c r="AB252" s="239">
        <v>0</v>
      </c>
      <c r="AC252" s="239">
        <v>0</v>
      </c>
      <c r="AD252" s="239">
        <v>0</v>
      </c>
      <c r="AE252" s="239">
        <v>0</v>
      </c>
      <c r="AF252" s="239">
        <v>0</v>
      </c>
      <c r="AG252" s="239">
        <v>0</v>
      </c>
      <c r="AH252" s="239">
        <v>0</v>
      </c>
      <c r="AI252" s="239">
        <v>0</v>
      </c>
      <c r="AJ252" s="239">
        <v>0</v>
      </c>
      <c r="AK252" s="239">
        <v>822726.23375000013</v>
      </c>
      <c r="AL252" s="239">
        <v>185113.40259374998</v>
      </c>
      <c r="AM252" s="239">
        <v>20568.155843749999</v>
      </c>
      <c r="AN252" s="239">
        <v>749212</v>
      </c>
      <c r="AO252" s="239">
        <v>168572</v>
      </c>
      <c r="AP252" s="239">
        <v>18730</v>
      </c>
      <c r="AQ252" s="239">
        <v>73514</v>
      </c>
      <c r="AR252" s="239">
        <v>16541</v>
      </c>
      <c r="AS252" s="239">
        <v>1838</v>
      </c>
      <c r="AT252" s="239">
        <v>11056.1175</v>
      </c>
      <c r="AU252" s="239">
        <v>2487.6264375000001</v>
      </c>
      <c r="AV252" s="239">
        <v>276.40293750000001</v>
      </c>
      <c r="AW252" s="239">
        <v>0</v>
      </c>
      <c r="AX252" s="239">
        <v>0</v>
      </c>
      <c r="AY252" s="239">
        <v>0</v>
      </c>
      <c r="AZ252" s="239">
        <v>11056</v>
      </c>
      <c r="BA252" s="239">
        <v>2488</v>
      </c>
      <c r="BB252" s="239">
        <v>276</v>
      </c>
      <c r="BC252" s="239">
        <v>0</v>
      </c>
      <c r="BD252" s="239">
        <v>0</v>
      </c>
      <c r="BE252" s="239">
        <v>0</v>
      </c>
      <c r="BF252" s="239">
        <v>0</v>
      </c>
      <c r="BG252" s="239">
        <v>0</v>
      </c>
      <c r="BH252" s="239">
        <v>0</v>
      </c>
      <c r="BI252" s="239">
        <v>0</v>
      </c>
      <c r="BJ252" s="239">
        <v>0</v>
      </c>
      <c r="BK252" s="239">
        <v>0</v>
      </c>
      <c r="BL252" s="239">
        <v>13537.382500000002</v>
      </c>
      <c r="BM252" s="239">
        <v>3045.9110624999998</v>
      </c>
      <c r="BN252" s="239">
        <v>338.43456250000003</v>
      </c>
      <c r="BO252" s="239">
        <v>0</v>
      </c>
      <c r="BP252" s="239">
        <v>0</v>
      </c>
      <c r="BQ252" s="239">
        <v>0</v>
      </c>
      <c r="BR252" s="239">
        <v>13537</v>
      </c>
      <c r="BS252" s="239">
        <v>3046</v>
      </c>
      <c r="BT252" s="239">
        <v>338</v>
      </c>
      <c r="BU252" s="239">
        <v>291641.57333333336</v>
      </c>
      <c r="BV252" s="239">
        <v>65619.353999999992</v>
      </c>
      <c r="BW252" s="239">
        <v>7291.0393333333341</v>
      </c>
      <c r="BX252" s="239">
        <v>215481</v>
      </c>
      <c r="BY252" s="239">
        <v>48484</v>
      </c>
      <c r="BZ252" s="239">
        <v>5388</v>
      </c>
      <c r="CA252" s="239">
        <v>76161</v>
      </c>
      <c r="CB252" s="239">
        <v>17135</v>
      </c>
      <c r="CC252" s="239">
        <v>1903</v>
      </c>
      <c r="CD252" s="239">
        <v>0</v>
      </c>
      <c r="CE252" s="239">
        <v>0</v>
      </c>
      <c r="CF252" s="239">
        <v>0</v>
      </c>
      <c r="CG252" s="239">
        <v>0</v>
      </c>
      <c r="CH252" s="239">
        <v>0</v>
      </c>
      <c r="CI252" s="239">
        <v>0</v>
      </c>
      <c r="CJ252" s="239">
        <v>0</v>
      </c>
      <c r="CK252" s="239">
        <v>0</v>
      </c>
      <c r="CL252" s="239">
        <v>0</v>
      </c>
      <c r="CM252" s="239">
        <v>7365.0633333333335</v>
      </c>
      <c r="CN252" s="239">
        <v>1657.1392499999999</v>
      </c>
      <c r="CO252" s="239">
        <v>184.12658333333334</v>
      </c>
      <c r="CP252" s="239">
        <v>0</v>
      </c>
      <c r="CQ252" s="239">
        <v>0</v>
      </c>
      <c r="CR252" s="239">
        <v>0</v>
      </c>
      <c r="CS252" s="239">
        <v>7365</v>
      </c>
      <c r="CT252" s="239">
        <v>1657</v>
      </c>
      <c r="CU252" s="239">
        <v>184</v>
      </c>
      <c r="CV252" s="239">
        <v>236873.02333333337</v>
      </c>
      <c r="CW252" s="239">
        <v>52543.908374999999</v>
      </c>
      <c r="CX252" s="239">
        <v>5838.2120416666676</v>
      </c>
      <c r="CY252" s="239">
        <v>260492</v>
      </c>
      <c r="CZ252" s="239">
        <v>58016</v>
      </c>
      <c r="DA252" s="239">
        <v>6446</v>
      </c>
      <c r="DB252" s="239">
        <v>-23619</v>
      </c>
      <c r="DC252" s="239">
        <v>-5472</v>
      </c>
      <c r="DD252" s="239">
        <v>-608</v>
      </c>
      <c r="DE252" s="214">
        <v>0.5</v>
      </c>
      <c r="DF252" s="214">
        <v>0.4</v>
      </c>
      <c r="DG252" s="214">
        <v>0.09</v>
      </c>
      <c r="DH252" s="214">
        <v>0.01</v>
      </c>
      <c r="DI252" s="214" t="s">
        <v>1294</v>
      </c>
    </row>
    <row r="253" spans="2:113" s="214" customFormat="1" x14ac:dyDescent="0.2">
      <c r="B253" s="610" t="s">
        <v>589</v>
      </c>
      <c r="C253" s="610" t="s">
        <v>588</v>
      </c>
      <c r="D253" s="239">
        <v>-157238</v>
      </c>
      <c r="E253" s="239">
        <v>0</v>
      </c>
      <c r="F253" s="239">
        <v>-157238</v>
      </c>
      <c r="G253" s="239">
        <v>0</v>
      </c>
      <c r="H253" s="239">
        <v>0</v>
      </c>
      <c r="I253" s="239">
        <v>0</v>
      </c>
      <c r="J253" s="239">
        <v>-157238</v>
      </c>
      <c r="K253" s="239">
        <v>0</v>
      </c>
      <c r="L253" s="239">
        <v>-157238</v>
      </c>
      <c r="M253" s="239">
        <v>103776</v>
      </c>
      <c r="N253" s="239">
        <v>103776</v>
      </c>
      <c r="O253" s="239">
        <v>0</v>
      </c>
      <c r="P253" s="239">
        <v>2197398</v>
      </c>
      <c r="Q253" s="239">
        <v>2259367</v>
      </c>
      <c r="R253" s="239">
        <v>-61969</v>
      </c>
      <c r="S253" s="239">
        <v>0</v>
      </c>
      <c r="T253" s="239">
        <v>215688</v>
      </c>
      <c r="U253" s="239">
        <v>0</v>
      </c>
      <c r="V253" s="239">
        <v>210000</v>
      </c>
      <c r="W253" s="239">
        <v>0</v>
      </c>
      <c r="X253" s="239">
        <v>5688</v>
      </c>
      <c r="Y253" s="239">
        <v>54823.010416666672</v>
      </c>
      <c r="Z253" s="239">
        <v>54823.010416666672</v>
      </c>
      <c r="AA253" s="239">
        <v>0</v>
      </c>
      <c r="AB253" s="239">
        <v>0</v>
      </c>
      <c r="AC253" s="239">
        <v>54035</v>
      </c>
      <c r="AD253" s="239">
        <v>54035</v>
      </c>
      <c r="AE253" s="239">
        <v>0</v>
      </c>
      <c r="AF253" s="239">
        <v>0</v>
      </c>
      <c r="AG253" s="239">
        <v>788</v>
      </c>
      <c r="AH253" s="239">
        <v>788</v>
      </c>
      <c r="AI253" s="239">
        <v>0</v>
      </c>
      <c r="AJ253" s="239">
        <v>0</v>
      </c>
      <c r="AK253" s="239">
        <v>436211.7845833333</v>
      </c>
      <c r="AL253" s="239">
        <v>98147.651531249998</v>
      </c>
      <c r="AM253" s="239">
        <v>10905.294614583332</v>
      </c>
      <c r="AN253" s="239">
        <v>412261</v>
      </c>
      <c r="AO253" s="239">
        <v>92758</v>
      </c>
      <c r="AP253" s="239">
        <v>10306</v>
      </c>
      <c r="AQ253" s="239">
        <v>23951</v>
      </c>
      <c r="AR253" s="239">
        <v>5390</v>
      </c>
      <c r="AS253" s="239">
        <v>599</v>
      </c>
      <c r="AT253" s="239">
        <v>380.26583333333338</v>
      </c>
      <c r="AU253" s="239">
        <v>85.559812499999992</v>
      </c>
      <c r="AV253" s="239">
        <v>9.5066458333333337</v>
      </c>
      <c r="AW253" s="239">
        <v>0</v>
      </c>
      <c r="AX253" s="239">
        <v>0</v>
      </c>
      <c r="AY253" s="239">
        <v>0</v>
      </c>
      <c r="AZ253" s="239">
        <v>380</v>
      </c>
      <c r="BA253" s="239">
        <v>86</v>
      </c>
      <c r="BB253" s="239">
        <v>10</v>
      </c>
      <c r="BC253" s="239">
        <v>0</v>
      </c>
      <c r="BD253" s="239">
        <v>0</v>
      </c>
      <c r="BE253" s="239">
        <v>0</v>
      </c>
      <c r="BF253" s="239">
        <v>0</v>
      </c>
      <c r="BG253" s="239">
        <v>0</v>
      </c>
      <c r="BH253" s="239">
        <v>0</v>
      </c>
      <c r="BI253" s="239">
        <v>0</v>
      </c>
      <c r="BJ253" s="239">
        <v>0</v>
      </c>
      <c r="BK253" s="239">
        <v>0</v>
      </c>
      <c r="BL253" s="239">
        <v>0</v>
      </c>
      <c r="BM253" s="239">
        <v>0</v>
      </c>
      <c r="BN253" s="239">
        <v>0</v>
      </c>
      <c r="BO253" s="239">
        <v>1623</v>
      </c>
      <c r="BP253" s="239">
        <v>366</v>
      </c>
      <c r="BQ253" s="239">
        <v>40</v>
      </c>
      <c r="BR253" s="239">
        <v>-1623</v>
      </c>
      <c r="BS253" s="239">
        <v>-366</v>
      </c>
      <c r="BT253" s="239">
        <v>-40</v>
      </c>
      <c r="BU253" s="239">
        <v>161357.3041666667</v>
      </c>
      <c r="BV253" s="239">
        <v>36305.393437500003</v>
      </c>
      <c r="BW253" s="239">
        <v>4033.9326041666668</v>
      </c>
      <c r="BX253" s="239">
        <v>160529</v>
      </c>
      <c r="BY253" s="239">
        <v>36118</v>
      </c>
      <c r="BZ253" s="239">
        <v>4014</v>
      </c>
      <c r="CA253" s="239">
        <v>828</v>
      </c>
      <c r="CB253" s="239">
        <v>187</v>
      </c>
      <c r="CC253" s="239">
        <v>20</v>
      </c>
      <c r="CD253" s="239">
        <v>0</v>
      </c>
      <c r="CE253" s="239">
        <v>0</v>
      </c>
      <c r="CF253" s="239">
        <v>0</v>
      </c>
      <c r="CG253" s="239">
        <v>0</v>
      </c>
      <c r="CH253" s="239">
        <v>0</v>
      </c>
      <c r="CI253" s="239">
        <v>0</v>
      </c>
      <c r="CJ253" s="239">
        <v>0</v>
      </c>
      <c r="CK253" s="239">
        <v>0</v>
      </c>
      <c r="CL253" s="239">
        <v>0</v>
      </c>
      <c r="CM253" s="239">
        <v>1427.3158333333333</v>
      </c>
      <c r="CN253" s="239">
        <v>321.14606249999997</v>
      </c>
      <c r="CO253" s="239">
        <v>35.682895833333333</v>
      </c>
      <c r="CP253" s="239">
        <v>0</v>
      </c>
      <c r="CQ253" s="239">
        <v>0</v>
      </c>
      <c r="CR253" s="239">
        <v>0</v>
      </c>
      <c r="CS253" s="239">
        <v>1427</v>
      </c>
      <c r="CT253" s="239">
        <v>321</v>
      </c>
      <c r="CU253" s="239">
        <v>36</v>
      </c>
      <c r="CV253" s="239">
        <v>156832.63750000001</v>
      </c>
      <c r="CW253" s="239">
        <v>31222.581249999999</v>
      </c>
      <c r="CX253" s="239">
        <v>3119.6812500000001</v>
      </c>
      <c r="CY253" s="239">
        <v>161292</v>
      </c>
      <c r="CZ253" s="239">
        <v>31762</v>
      </c>
      <c r="DA253" s="239">
        <v>3189</v>
      </c>
      <c r="DB253" s="239">
        <v>-4459</v>
      </c>
      <c r="DC253" s="239">
        <v>-539</v>
      </c>
      <c r="DD253" s="239">
        <v>-69</v>
      </c>
      <c r="DE253" s="214">
        <v>0.5</v>
      </c>
      <c r="DF253" s="214">
        <v>0.4</v>
      </c>
      <c r="DG253" s="214">
        <v>0.09</v>
      </c>
      <c r="DH253" s="214">
        <v>0.01</v>
      </c>
      <c r="DI253" s="214" t="s">
        <v>1294</v>
      </c>
    </row>
    <row r="254" spans="2:113" s="214" customFormat="1" x14ac:dyDescent="0.2">
      <c r="B254" s="610" t="s">
        <v>591</v>
      </c>
      <c r="C254" s="610" t="s">
        <v>590</v>
      </c>
      <c r="D254" s="239">
        <v>-638119</v>
      </c>
      <c r="E254" s="239">
        <v>0</v>
      </c>
      <c r="F254" s="239">
        <v>-638119</v>
      </c>
      <c r="G254" s="239">
        <v>0</v>
      </c>
      <c r="H254" s="239">
        <v>0</v>
      </c>
      <c r="I254" s="239">
        <v>0</v>
      </c>
      <c r="J254" s="239">
        <v>-638119</v>
      </c>
      <c r="K254" s="239">
        <v>0</v>
      </c>
      <c r="L254" s="239">
        <v>-638119</v>
      </c>
      <c r="M254" s="239">
        <v>150544</v>
      </c>
      <c r="N254" s="239">
        <v>150544</v>
      </c>
      <c r="O254" s="239">
        <v>0</v>
      </c>
      <c r="P254" s="239">
        <v>0</v>
      </c>
      <c r="Q254" s="239">
        <v>0</v>
      </c>
      <c r="R254" s="239">
        <v>0</v>
      </c>
      <c r="S254" s="239">
        <v>0</v>
      </c>
      <c r="T254" s="239">
        <v>0</v>
      </c>
      <c r="U254" s="239">
        <v>0</v>
      </c>
      <c r="V254" s="239">
        <v>0</v>
      </c>
      <c r="W254" s="239">
        <v>0</v>
      </c>
      <c r="X254" s="239">
        <v>0</v>
      </c>
      <c r="Y254" s="239">
        <v>0</v>
      </c>
      <c r="Z254" s="239">
        <v>0</v>
      </c>
      <c r="AA254" s="239">
        <v>0</v>
      </c>
      <c r="AB254" s="239">
        <v>0</v>
      </c>
      <c r="AC254" s="239">
        <v>0</v>
      </c>
      <c r="AD254" s="239">
        <v>0</v>
      </c>
      <c r="AE254" s="239">
        <v>0</v>
      </c>
      <c r="AF254" s="239">
        <v>0</v>
      </c>
      <c r="AG254" s="239">
        <v>0</v>
      </c>
      <c r="AH254" s="239">
        <v>0</v>
      </c>
      <c r="AI254" s="239">
        <v>0</v>
      </c>
      <c r="AJ254" s="239">
        <v>0</v>
      </c>
      <c r="AK254" s="239">
        <v>705505.86640624993</v>
      </c>
      <c r="AL254" s="239">
        <v>0</v>
      </c>
      <c r="AM254" s="239">
        <v>14398.078906250001</v>
      </c>
      <c r="AN254" s="239">
        <v>661701</v>
      </c>
      <c r="AO254" s="239">
        <v>0</v>
      </c>
      <c r="AP254" s="239">
        <v>13504</v>
      </c>
      <c r="AQ254" s="239">
        <v>43805</v>
      </c>
      <c r="AR254" s="239">
        <v>0</v>
      </c>
      <c r="AS254" s="239">
        <v>894</v>
      </c>
      <c r="AT254" s="239">
        <v>4950.0810624999995</v>
      </c>
      <c r="AU254" s="239">
        <v>0</v>
      </c>
      <c r="AV254" s="239">
        <v>101.02206249999999</v>
      </c>
      <c r="AW254" s="239">
        <v>0</v>
      </c>
      <c r="AX254" s="239">
        <v>0</v>
      </c>
      <c r="AY254" s="239">
        <v>0</v>
      </c>
      <c r="AZ254" s="239">
        <v>4950</v>
      </c>
      <c r="BA254" s="239">
        <v>0</v>
      </c>
      <c r="BB254" s="239">
        <v>101</v>
      </c>
      <c r="BC254" s="239">
        <v>0</v>
      </c>
      <c r="BD254" s="239">
        <v>0</v>
      </c>
      <c r="BE254" s="239">
        <v>0</v>
      </c>
      <c r="BF254" s="239">
        <v>0</v>
      </c>
      <c r="BG254" s="239">
        <v>0</v>
      </c>
      <c r="BH254" s="239">
        <v>0</v>
      </c>
      <c r="BI254" s="239">
        <v>0</v>
      </c>
      <c r="BJ254" s="239">
        <v>0</v>
      </c>
      <c r="BK254" s="239">
        <v>0</v>
      </c>
      <c r="BL254" s="239">
        <v>26914.978270833333</v>
      </c>
      <c r="BM254" s="239">
        <v>0</v>
      </c>
      <c r="BN254" s="239">
        <v>549.28527083333324</v>
      </c>
      <c r="BO254" s="239">
        <v>24857</v>
      </c>
      <c r="BP254" s="239">
        <v>0</v>
      </c>
      <c r="BQ254" s="239">
        <v>508</v>
      </c>
      <c r="BR254" s="239">
        <v>2058</v>
      </c>
      <c r="BS254" s="239">
        <v>0</v>
      </c>
      <c r="BT254" s="239">
        <v>41</v>
      </c>
      <c r="BU254" s="239">
        <v>333914.4618541667</v>
      </c>
      <c r="BV254" s="239">
        <v>0</v>
      </c>
      <c r="BW254" s="239">
        <v>6814.5808541666675</v>
      </c>
      <c r="BX254" s="239">
        <v>348002</v>
      </c>
      <c r="BY254" s="239">
        <v>0</v>
      </c>
      <c r="BZ254" s="239">
        <v>7102</v>
      </c>
      <c r="CA254" s="239">
        <v>-14088</v>
      </c>
      <c r="CB254" s="239">
        <v>0</v>
      </c>
      <c r="CC254" s="239">
        <v>-287</v>
      </c>
      <c r="CD254" s="239">
        <v>0</v>
      </c>
      <c r="CE254" s="239">
        <v>0</v>
      </c>
      <c r="CF254" s="239">
        <v>0</v>
      </c>
      <c r="CG254" s="239">
        <v>0</v>
      </c>
      <c r="CH254" s="239">
        <v>0</v>
      </c>
      <c r="CI254" s="239">
        <v>0</v>
      </c>
      <c r="CJ254" s="239">
        <v>0</v>
      </c>
      <c r="CK254" s="239">
        <v>0</v>
      </c>
      <c r="CL254" s="239">
        <v>0</v>
      </c>
      <c r="CM254" s="239">
        <v>0</v>
      </c>
      <c r="CN254" s="239">
        <v>0</v>
      </c>
      <c r="CO254" s="239">
        <v>0</v>
      </c>
      <c r="CP254" s="239">
        <v>0</v>
      </c>
      <c r="CQ254" s="239">
        <v>0</v>
      </c>
      <c r="CR254" s="239">
        <v>0</v>
      </c>
      <c r="CS254" s="239">
        <v>0</v>
      </c>
      <c r="CT254" s="239">
        <v>0</v>
      </c>
      <c r="CU254" s="239">
        <v>0</v>
      </c>
      <c r="CV254" s="239">
        <v>210995.74970833334</v>
      </c>
      <c r="CW254" s="239">
        <v>0</v>
      </c>
      <c r="CX254" s="239">
        <v>4306.0357083333338</v>
      </c>
      <c r="CY254" s="239">
        <v>220301</v>
      </c>
      <c r="CZ254" s="239">
        <v>0</v>
      </c>
      <c r="DA254" s="239">
        <v>4496</v>
      </c>
      <c r="DB254" s="239">
        <v>-9305</v>
      </c>
      <c r="DC254" s="239">
        <v>0</v>
      </c>
      <c r="DD254" s="239">
        <v>-190</v>
      </c>
      <c r="DE254" s="214">
        <v>0.5</v>
      </c>
      <c r="DF254" s="214">
        <v>0.49</v>
      </c>
      <c r="DG254" s="214">
        <v>0</v>
      </c>
      <c r="DH254" s="214">
        <v>0.01</v>
      </c>
      <c r="DI254" s="214" t="s">
        <v>1296</v>
      </c>
    </row>
    <row r="255" spans="2:113" s="214" customFormat="1" x14ac:dyDescent="0.2">
      <c r="B255" s="610" t="s">
        <v>593</v>
      </c>
      <c r="C255" s="610" t="s">
        <v>592</v>
      </c>
      <c r="D255" s="239">
        <v>-416900</v>
      </c>
      <c r="E255" s="239">
        <v>0</v>
      </c>
      <c r="F255" s="239">
        <v>-416900</v>
      </c>
      <c r="G255" s="239">
        <v>0</v>
      </c>
      <c r="H255" s="239">
        <v>0</v>
      </c>
      <c r="I255" s="239">
        <v>0</v>
      </c>
      <c r="J255" s="239">
        <v>-416900</v>
      </c>
      <c r="K255" s="239">
        <v>0</v>
      </c>
      <c r="L255" s="239">
        <v>-416900</v>
      </c>
      <c r="M255" s="239">
        <v>314029</v>
      </c>
      <c r="N255" s="239">
        <v>314029</v>
      </c>
      <c r="O255" s="239">
        <v>0</v>
      </c>
      <c r="P255" s="239">
        <v>0</v>
      </c>
      <c r="Q255" s="239">
        <v>0</v>
      </c>
      <c r="R255" s="239">
        <v>0</v>
      </c>
      <c r="S255" s="239">
        <v>0</v>
      </c>
      <c r="T255" s="239">
        <v>0</v>
      </c>
      <c r="U255" s="239">
        <v>0</v>
      </c>
      <c r="V255" s="239">
        <v>0</v>
      </c>
      <c r="W255" s="239">
        <v>0</v>
      </c>
      <c r="X255" s="239">
        <v>0</v>
      </c>
      <c r="Y255" s="239">
        <v>0</v>
      </c>
      <c r="Z255" s="239">
        <v>0</v>
      </c>
      <c r="AA255" s="239">
        <v>0</v>
      </c>
      <c r="AB255" s="239">
        <v>0</v>
      </c>
      <c r="AC255" s="239">
        <v>0</v>
      </c>
      <c r="AD255" s="239">
        <v>0</v>
      </c>
      <c r="AE255" s="239">
        <v>0</v>
      </c>
      <c r="AF255" s="239">
        <v>0</v>
      </c>
      <c r="AG255" s="239">
        <v>0</v>
      </c>
      <c r="AH255" s="239">
        <v>0</v>
      </c>
      <c r="AI255" s="239">
        <v>0</v>
      </c>
      <c r="AJ255" s="239">
        <v>0</v>
      </c>
      <c r="AK255" s="239">
        <v>896649.98784375004</v>
      </c>
      <c r="AL255" s="239">
        <v>0</v>
      </c>
      <c r="AM255" s="239">
        <v>18298.979343750001</v>
      </c>
      <c r="AN255" s="239">
        <v>823728</v>
      </c>
      <c r="AO255" s="239">
        <v>0</v>
      </c>
      <c r="AP255" s="239">
        <v>16810</v>
      </c>
      <c r="AQ255" s="239">
        <v>72922</v>
      </c>
      <c r="AR255" s="239">
        <v>0</v>
      </c>
      <c r="AS255" s="239">
        <v>1489</v>
      </c>
      <c r="AT255" s="239">
        <v>12231.776083333332</v>
      </c>
      <c r="AU255" s="239">
        <v>0</v>
      </c>
      <c r="AV255" s="239">
        <v>249.62808333333334</v>
      </c>
      <c r="AW255" s="239">
        <v>7645</v>
      </c>
      <c r="AX255" s="239">
        <v>0</v>
      </c>
      <c r="AY255" s="239">
        <v>156</v>
      </c>
      <c r="AZ255" s="239">
        <v>4587</v>
      </c>
      <c r="BA255" s="239">
        <v>0</v>
      </c>
      <c r="BB255" s="239">
        <v>94</v>
      </c>
      <c r="BC255" s="239">
        <v>0</v>
      </c>
      <c r="BD255" s="239">
        <v>0</v>
      </c>
      <c r="BE255" s="239">
        <v>0</v>
      </c>
      <c r="BF255" s="239">
        <v>0</v>
      </c>
      <c r="BG255" s="239">
        <v>0</v>
      </c>
      <c r="BH255" s="239">
        <v>0</v>
      </c>
      <c r="BI255" s="239">
        <v>0</v>
      </c>
      <c r="BJ255" s="239">
        <v>0</v>
      </c>
      <c r="BK255" s="239">
        <v>0</v>
      </c>
      <c r="BL255" s="239">
        <v>25940.075291666668</v>
      </c>
      <c r="BM255" s="239">
        <v>0</v>
      </c>
      <c r="BN255" s="239">
        <v>529.38929166666662</v>
      </c>
      <c r="BO255" s="239">
        <v>25851</v>
      </c>
      <c r="BP255" s="239">
        <v>0</v>
      </c>
      <c r="BQ255" s="239">
        <v>528</v>
      </c>
      <c r="BR255" s="239">
        <v>89</v>
      </c>
      <c r="BS255" s="239">
        <v>0</v>
      </c>
      <c r="BT255" s="239">
        <v>1</v>
      </c>
      <c r="BU255" s="239">
        <v>508302.2829791666</v>
      </c>
      <c r="BV255" s="239">
        <v>0</v>
      </c>
      <c r="BW255" s="239">
        <v>10373.515979166667</v>
      </c>
      <c r="BX255" s="239">
        <v>439709</v>
      </c>
      <c r="BY255" s="239">
        <v>0</v>
      </c>
      <c r="BZ255" s="239">
        <v>8974</v>
      </c>
      <c r="CA255" s="239">
        <v>68593</v>
      </c>
      <c r="CB255" s="239">
        <v>0</v>
      </c>
      <c r="CC255" s="239">
        <v>1400</v>
      </c>
      <c r="CD255" s="239">
        <v>0</v>
      </c>
      <c r="CE255" s="239">
        <v>0</v>
      </c>
      <c r="CF255" s="239">
        <v>0</v>
      </c>
      <c r="CG255" s="239">
        <v>0</v>
      </c>
      <c r="CH255" s="239">
        <v>0</v>
      </c>
      <c r="CI255" s="239">
        <v>0</v>
      </c>
      <c r="CJ255" s="239">
        <v>0</v>
      </c>
      <c r="CK255" s="239">
        <v>0</v>
      </c>
      <c r="CL255" s="239">
        <v>0</v>
      </c>
      <c r="CM255" s="239">
        <v>6967.4988541666662</v>
      </c>
      <c r="CN255" s="239">
        <v>0</v>
      </c>
      <c r="CO255" s="239">
        <v>142.19385416666665</v>
      </c>
      <c r="CP255" s="239">
        <v>0</v>
      </c>
      <c r="CQ255" s="239">
        <v>0</v>
      </c>
      <c r="CR255" s="239">
        <v>0</v>
      </c>
      <c r="CS255" s="239">
        <v>6967</v>
      </c>
      <c r="CT255" s="239">
        <v>0</v>
      </c>
      <c r="CU255" s="239">
        <v>142</v>
      </c>
      <c r="CV255" s="239">
        <v>727334.9943125</v>
      </c>
      <c r="CW255" s="239">
        <v>0</v>
      </c>
      <c r="CX255" s="239">
        <v>14843.5713125</v>
      </c>
      <c r="CY255" s="239">
        <v>678191</v>
      </c>
      <c r="CZ255" s="239">
        <v>0</v>
      </c>
      <c r="DA255" s="239">
        <v>13841</v>
      </c>
      <c r="DB255" s="239">
        <v>49144</v>
      </c>
      <c r="DC255" s="239">
        <v>0</v>
      </c>
      <c r="DD255" s="239">
        <v>1003</v>
      </c>
      <c r="DE255" s="214">
        <v>0.5</v>
      </c>
      <c r="DF255" s="214">
        <v>0.49</v>
      </c>
      <c r="DG255" s="214">
        <v>0</v>
      </c>
      <c r="DH255" s="214">
        <v>0.01</v>
      </c>
      <c r="DI255" s="214" t="s">
        <v>748</v>
      </c>
    </row>
    <row r="256" spans="2:113" s="214" customFormat="1" x14ac:dyDescent="0.2">
      <c r="B256" s="610" t="s">
        <v>595</v>
      </c>
      <c r="C256" s="610" t="s">
        <v>594</v>
      </c>
      <c r="D256" s="239">
        <v>-304719</v>
      </c>
      <c r="E256" s="239">
        <v>0</v>
      </c>
      <c r="F256" s="239">
        <v>-304719</v>
      </c>
      <c r="G256" s="239">
        <v>0</v>
      </c>
      <c r="H256" s="239">
        <v>0</v>
      </c>
      <c r="I256" s="239">
        <v>0</v>
      </c>
      <c r="J256" s="239">
        <v>-304719</v>
      </c>
      <c r="K256" s="239">
        <v>0</v>
      </c>
      <c r="L256" s="239">
        <v>-304719</v>
      </c>
      <c r="M256" s="239">
        <v>239216</v>
      </c>
      <c r="N256" s="239">
        <v>239216</v>
      </c>
      <c r="O256" s="239">
        <v>0</v>
      </c>
      <c r="P256" s="239">
        <v>0</v>
      </c>
      <c r="Q256" s="239">
        <v>0</v>
      </c>
      <c r="R256" s="239">
        <v>0</v>
      </c>
      <c r="S256" s="239">
        <v>0</v>
      </c>
      <c r="T256" s="239">
        <v>0</v>
      </c>
      <c r="U256" s="239">
        <v>0</v>
      </c>
      <c r="V256" s="239">
        <v>0</v>
      </c>
      <c r="W256" s="239">
        <v>0</v>
      </c>
      <c r="X256" s="239">
        <v>0</v>
      </c>
      <c r="Y256" s="239">
        <v>0</v>
      </c>
      <c r="Z256" s="239">
        <v>0</v>
      </c>
      <c r="AA256" s="239">
        <v>0</v>
      </c>
      <c r="AB256" s="239">
        <v>0</v>
      </c>
      <c r="AC256" s="239">
        <v>0</v>
      </c>
      <c r="AD256" s="239">
        <v>0</v>
      </c>
      <c r="AE256" s="239">
        <v>0</v>
      </c>
      <c r="AF256" s="239">
        <v>0</v>
      </c>
      <c r="AG256" s="239">
        <v>0</v>
      </c>
      <c r="AH256" s="239">
        <v>0</v>
      </c>
      <c r="AI256" s="239">
        <v>0</v>
      </c>
      <c r="AJ256" s="239">
        <v>0</v>
      </c>
      <c r="AK256" s="239">
        <v>1252839.8144791669</v>
      </c>
      <c r="AL256" s="239">
        <v>0</v>
      </c>
      <c r="AM256" s="239">
        <v>25568.159479166668</v>
      </c>
      <c r="AN256" s="239">
        <v>1188123</v>
      </c>
      <c r="AO256" s="239">
        <v>0</v>
      </c>
      <c r="AP256" s="239">
        <v>24248</v>
      </c>
      <c r="AQ256" s="239">
        <v>64717</v>
      </c>
      <c r="AR256" s="239">
        <v>0</v>
      </c>
      <c r="AS256" s="239">
        <v>1320</v>
      </c>
      <c r="AT256" s="239">
        <v>12005.077583333332</v>
      </c>
      <c r="AU256" s="239">
        <v>0</v>
      </c>
      <c r="AV256" s="239">
        <v>245.00158333333334</v>
      </c>
      <c r="AW256" s="239">
        <v>4175</v>
      </c>
      <c r="AX256" s="239">
        <v>0</v>
      </c>
      <c r="AY256" s="239">
        <v>86</v>
      </c>
      <c r="AZ256" s="239">
        <v>7830</v>
      </c>
      <c r="BA256" s="239">
        <v>0</v>
      </c>
      <c r="BB256" s="239">
        <v>159</v>
      </c>
      <c r="BC256" s="239">
        <v>14223.839437500001</v>
      </c>
      <c r="BD256" s="239">
        <v>0</v>
      </c>
      <c r="BE256" s="239">
        <v>290.28243750000001</v>
      </c>
      <c r="BF256" s="239">
        <v>34734</v>
      </c>
      <c r="BG256" s="239">
        <v>0</v>
      </c>
      <c r="BH256" s="239">
        <v>708</v>
      </c>
      <c r="BI256" s="239">
        <v>-20510</v>
      </c>
      <c r="BJ256" s="239">
        <v>0</v>
      </c>
      <c r="BK256" s="239">
        <v>-418</v>
      </c>
      <c r="BL256" s="239">
        <v>8625.4802083333325</v>
      </c>
      <c r="BM256" s="239">
        <v>0</v>
      </c>
      <c r="BN256" s="239">
        <v>176.03020833333332</v>
      </c>
      <c r="BO256" s="239">
        <v>12428</v>
      </c>
      <c r="BP256" s="239">
        <v>0</v>
      </c>
      <c r="BQ256" s="239">
        <v>254</v>
      </c>
      <c r="BR256" s="239">
        <v>-3803</v>
      </c>
      <c r="BS256" s="239">
        <v>0</v>
      </c>
      <c r="BT256" s="239">
        <v>-78</v>
      </c>
      <c r="BU256" s="239">
        <v>501664.39181249996</v>
      </c>
      <c r="BV256" s="239">
        <v>0</v>
      </c>
      <c r="BW256" s="239">
        <v>10238.048812500001</v>
      </c>
      <c r="BX256" s="239">
        <v>452805</v>
      </c>
      <c r="BY256" s="239">
        <v>0</v>
      </c>
      <c r="BZ256" s="239">
        <v>9240</v>
      </c>
      <c r="CA256" s="239">
        <v>48859</v>
      </c>
      <c r="CB256" s="239">
        <v>0</v>
      </c>
      <c r="CC256" s="239">
        <v>998</v>
      </c>
      <c r="CD256" s="239">
        <v>0</v>
      </c>
      <c r="CE256" s="239">
        <v>0</v>
      </c>
      <c r="CF256" s="239">
        <v>0</v>
      </c>
      <c r="CG256" s="239">
        <v>0</v>
      </c>
      <c r="CH256" s="239">
        <v>0</v>
      </c>
      <c r="CI256" s="239">
        <v>0</v>
      </c>
      <c r="CJ256" s="239">
        <v>0</v>
      </c>
      <c r="CK256" s="239">
        <v>0</v>
      </c>
      <c r="CL256" s="239">
        <v>0</v>
      </c>
      <c r="CM256" s="239">
        <v>-276.41308333333336</v>
      </c>
      <c r="CN256" s="239">
        <v>0</v>
      </c>
      <c r="CO256" s="239">
        <v>-5.6410833333333334</v>
      </c>
      <c r="CP256" s="239">
        <v>0</v>
      </c>
      <c r="CQ256" s="239">
        <v>0</v>
      </c>
      <c r="CR256" s="239">
        <v>0</v>
      </c>
      <c r="CS256" s="239">
        <v>-276</v>
      </c>
      <c r="CT256" s="239">
        <v>0</v>
      </c>
      <c r="CU256" s="239">
        <v>-6</v>
      </c>
      <c r="CV256" s="239">
        <v>308735.34329166665</v>
      </c>
      <c r="CW256" s="239">
        <v>0</v>
      </c>
      <c r="CX256" s="239">
        <v>6300.7212916666667</v>
      </c>
      <c r="CY256" s="239">
        <v>331907</v>
      </c>
      <c r="CZ256" s="239">
        <v>0</v>
      </c>
      <c r="DA256" s="239">
        <v>6774</v>
      </c>
      <c r="DB256" s="239">
        <v>-23172</v>
      </c>
      <c r="DC256" s="239">
        <v>0</v>
      </c>
      <c r="DD256" s="239">
        <v>-473</v>
      </c>
      <c r="DE256" s="214">
        <v>0.5</v>
      </c>
      <c r="DF256" s="214">
        <v>0.49</v>
      </c>
      <c r="DG256" s="214">
        <v>0</v>
      </c>
      <c r="DH256" s="214">
        <v>0.01</v>
      </c>
      <c r="DI256" s="214" t="s">
        <v>748</v>
      </c>
    </row>
    <row r="257" spans="2:113" s="214" customFormat="1" x14ac:dyDescent="0.2">
      <c r="B257" s="610" t="s">
        <v>597</v>
      </c>
      <c r="C257" s="610" t="s">
        <v>596</v>
      </c>
      <c r="D257" s="239">
        <v>-59827</v>
      </c>
      <c r="E257" s="239">
        <v>0</v>
      </c>
      <c r="F257" s="239">
        <v>-59827</v>
      </c>
      <c r="G257" s="239">
        <v>0</v>
      </c>
      <c r="H257" s="239">
        <v>0</v>
      </c>
      <c r="I257" s="239">
        <v>0</v>
      </c>
      <c r="J257" s="239">
        <v>-59827</v>
      </c>
      <c r="K257" s="239">
        <v>0</v>
      </c>
      <c r="L257" s="239">
        <v>-59827</v>
      </c>
      <c r="M257" s="239">
        <v>652462</v>
      </c>
      <c r="N257" s="239">
        <v>652462</v>
      </c>
      <c r="O257" s="239">
        <v>0</v>
      </c>
      <c r="P257" s="239">
        <v>0</v>
      </c>
      <c r="Q257" s="239">
        <v>0</v>
      </c>
      <c r="R257" s="239">
        <v>0</v>
      </c>
      <c r="S257" s="239">
        <v>0</v>
      </c>
      <c r="T257" s="239">
        <v>0</v>
      </c>
      <c r="U257" s="239">
        <v>0</v>
      </c>
      <c r="V257" s="239">
        <v>0</v>
      </c>
      <c r="W257" s="239">
        <v>0</v>
      </c>
      <c r="X257" s="239">
        <v>0</v>
      </c>
      <c r="Y257" s="239">
        <v>0</v>
      </c>
      <c r="Z257" s="239">
        <v>0</v>
      </c>
      <c r="AA257" s="239">
        <v>0</v>
      </c>
      <c r="AB257" s="239">
        <v>0</v>
      </c>
      <c r="AC257" s="239">
        <v>0</v>
      </c>
      <c r="AD257" s="239">
        <v>0</v>
      </c>
      <c r="AE257" s="239">
        <v>0</v>
      </c>
      <c r="AF257" s="239">
        <v>0</v>
      </c>
      <c r="AG257" s="239">
        <v>0</v>
      </c>
      <c r="AH257" s="239">
        <v>0</v>
      </c>
      <c r="AI257" s="239">
        <v>0</v>
      </c>
      <c r="AJ257" s="239">
        <v>0</v>
      </c>
      <c r="AK257" s="239">
        <v>868148.87593750004</v>
      </c>
      <c r="AL257" s="239">
        <v>578765.91729166673</v>
      </c>
      <c r="AM257" s="239">
        <v>0</v>
      </c>
      <c r="AN257" s="239">
        <v>842373</v>
      </c>
      <c r="AO257" s="239">
        <v>561582</v>
      </c>
      <c r="AP257" s="239">
        <v>0</v>
      </c>
      <c r="AQ257" s="239">
        <v>25776</v>
      </c>
      <c r="AR257" s="239">
        <v>17184</v>
      </c>
      <c r="AS257" s="239">
        <v>0</v>
      </c>
      <c r="AT257" s="239">
        <v>4267.3374999999996</v>
      </c>
      <c r="AU257" s="239">
        <v>2844.8916666666673</v>
      </c>
      <c r="AV257" s="239">
        <v>0</v>
      </c>
      <c r="AW257" s="239">
        <v>0</v>
      </c>
      <c r="AX257" s="239">
        <v>0</v>
      </c>
      <c r="AY257" s="239">
        <v>0</v>
      </c>
      <c r="AZ257" s="239">
        <v>4267</v>
      </c>
      <c r="BA257" s="239">
        <v>2845</v>
      </c>
      <c r="BB257" s="239">
        <v>0</v>
      </c>
      <c r="BC257" s="239">
        <v>0</v>
      </c>
      <c r="BD257" s="239">
        <v>0</v>
      </c>
      <c r="BE257" s="239">
        <v>0</v>
      </c>
      <c r="BF257" s="239">
        <v>0</v>
      </c>
      <c r="BG257" s="239">
        <v>0</v>
      </c>
      <c r="BH257" s="239">
        <v>0</v>
      </c>
      <c r="BI257" s="239">
        <v>0</v>
      </c>
      <c r="BJ257" s="239">
        <v>0</v>
      </c>
      <c r="BK257" s="239">
        <v>0</v>
      </c>
      <c r="BL257" s="239">
        <v>9145.5556249999991</v>
      </c>
      <c r="BM257" s="239">
        <v>6097.0370833333336</v>
      </c>
      <c r="BN257" s="239">
        <v>0</v>
      </c>
      <c r="BO257" s="239">
        <v>0</v>
      </c>
      <c r="BP257" s="239">
        <v>0</v>
      </c>
      <c r="BQ257" s="239">
        <v>0</v>
      </c>
      <c r="BR257" s="239">
        <v>9146</v>
      </c>
      <c r="BS257" s="239">
        <v>6097</v>
      </c>
      <c r="BT257" s="239">
        <v>0</v>
      </c>
      <c r="BU257" s="239">
        <v>480783.74937500001</v>
      </c>
      <c r="BV257" s="239">
        <v>320522.49958333332</v>
      </c>
      <c r="BW257" s="239">
        <v>0</v>
      </c>
      <c r="BX257" s="239">
        <v>684844</v>
      </c>
      <c r="BY257" s="239">
        <v>456562</v>
      </c>
      <c r="BZ257" s="239">
        <v>0</v>
      </c>
      <c r="CA257" s="239">
        <v>-204060</v>
      </c>
      <c r="CB257" s="239">
        <v>-136040</v>
      </c>
      <c r="CC257" s="239">
        <v>0</v>
      </c>
      <c r="CD257" s="239">
        <v>0</v>
      </c>
      <c r="CE257" s="239">
        <v>0</v>
      </c>
      <c r="CF257" s="239">
        <v>0</v>
      </c>
      <c r="CG257" s="239">
        <v>0</v>
      </c>
      <c r="CH257" s="239">
        <v>0</v>
      </c>
      <c r="CI257" s="239">
        <v>0</v>
      </c>
      <c r="CJ257" s="239">
        <v>0</v>
      </c>
      <c r="CK257" s="239">
        <v>0</v>
      </c>
      <c r="CL257" s="239">
        <v>0</v>
      </c>
      <c r="CM257" s="239">
        <v>0</v>
      </c>
      <c r="CN257" s="239">
        <v>0</v>
      </c>
      <c r="CO257" s="239">
        <v>0</v>
      </c>
      <c r="CP257" s="239">
        <v>0</v>
      </c>
      <c r="CQ257" s="239">
        <v>0</v>
      </c>
      <c r="CR257" s="239">
        <v>0</v>
      </c>
      <c r="CS257" s="239">
        <v>0</v>
      </c>
      <c r="CT257" s="239">
        <v>0</v>
      </c>
      <c r="CU257" s="239">
        <v>0</v>
      </c>
      <c r="CV257" s="239">
        <v>1026147.7012499999</v>
      </c>
      <c r="CW257" s="239">
        <v>684098.46750000003</v>
      </c>
      <c r="CX257" s="239">
        <v>0</v>
      </c>
      <c r="CY257" s="239">
        <v>1000225</v>
      </c>
      <c r="CZ257" s="239">
        <v>666816</v>
      </c>
      <c r="DA257" s="239">
        <v>0</v>
      </c>
      <c r="DB257" s="239">
        <v>25923</v>
      </c>
      <c r="DC257" s="239">
        <v>17282</v>
      </c>
      <c r="DD257" s="239">
        <v>0</v>
      </c>
      <c r="DE257" s="214">
        <v>0.5</v>
      </c>
      <c r="DF257" s="214">
        <v>0.3</v>
      </c>
      <c r="DG257" s="214">
        <v>0.2</v>
      </c>
      <c r="DH257" s="214">
        <v>0</v>
      </c>
      <c r="DI257" s="214" t="s">
        <v>1297</v>
      </c>
    </row>
    <row r="258" spans="2:113" s="214" customFormat="1" x14ac:dyDescent="0.2">
      <c r="B258" s="610" t="s">
        <v>599</v>
      </c>
      <c r="C258" s="610" t="s">
        <v>598</v>
      </c>
      <c r="D258" s="239">
        <v>-11612</v>
      </c>
      <c r="E258" s="239">
        <v>0</v>
      </c>
      <c r="F258" s="239">
        <v>-11612</v>
      </c>
      <c r="G258" s="239">
        <v>0</v>
      </c>
      <c r="H258" s="239">
        <v>0</v>
      </c>
      <c r="I258" s="239">
        <v>0</v>
      </c>
      <c r="J258" s="239">
        <v>-11612</v>
      </c>
      <c r="K258" s="239">
        <v>0</v>
      </c>
      <c r="L258" s="239">
        <v>-11612</v>
      </c>
      <c r="M258" s="239">
        <v>129885</v>
      </c>
      <c r="N258" s="239">
        <v>129885</v>
      </c>
      <c r="O258" s="239">
        <v>0</v>
      </c>
      <c r="P258" s="239">
        <v>0</v>
      </c>
      <c r="Q258" s="239">
        <v>0</v>
      </c>
      <c r="R258" s="239">
        <v>0</v>
      </c>
      <c r="S258" s="239">
        <v>0</v>
      </c>
      <c r="T258" s="239">
        <v>0</v>
      </c>
      <c r="U258" s="239">
        <v>0</v>
      </c>
      <c r="V258" s="239">
        <v>0</v>
      </c>
      <c r="W258" s="239">
        <v>0</v>
      </c>
      <c r="X258" s="239">
        <v>0</v>
      </c>
      <c r="Y258" s="239">
        <v>0</v>
      </c>
      <c r="Z258" s="239">
        <v>0</v>
      </c>
      <c r="AA258" s="239">
        <v>0</v>
      </c>
      <c r="AB258" s="239">
        <v>0</v>
      </c>
      <c r="AC258" s="239">
        <v>0</v>
      </c>
      <c r="AD258" s="239">
        <v>0</v>
      </c>
      <c r="AE258" s="239">
        <v>0</v>
      </c>
      <c r="AF258" s="239">
        <v>0</v>
      </c>
      <c r="AG258" s="239">
        <v>0</v>
      </c>
      <c r="AH258" s="239">
        <v>0</v>
      </c>
      <c r="AI258" s="239">
        <v>0</v>
      </c>
      <c r="AJ258" s="239">
        <v>0</v>
      </c>
      <c r="AK258" s="239">
        <v>277058.76416666672</v>
      </c>
      <c r="AL258" s="239">
        <v>69264.69104166668</v>
      </c>
      <c r="AM258" s="239">
        <v>0</v>
      </c>
      <c r="AN258" s="239">
        <v>242015</v>
      </c>
      <c r="AO258" s="239">
        <v>60504</v>
      </c>
      <c r="AP258" s="239">
        <v>0</v>
      </c>
      <c r="AQ258" s="239">
        <v>35044</v>
      </c>
      <c r="AR258" s="239">
        <v>8761</v>
      </c>
      <c r="AS258" s="239">
        <v>0</v>
      </c>
      <c r="AT258" s="239">
        <v>0</v>
      </c>
      <c r="AU258" s="239">
        <v>0</v>
      </c>
      <c r="AV258" s="239">
        <v>0</v>
      </c>
      <c r="AW258" s="239">
        <v>8116</v>
      </c>
      <c r="AX258" s="239">
        <v>2030</v>
      </c>
      <c r="AY258" s="239">
        <v>0</v>
      </c>
      <c r="AZ258" s="239">
        <v>-8116</v>
      </c>
      <c r="BA258" s="239">
        <v>-2030</v>
      </c>
      <c r="BB258" s="239">
        <v>0</v>
      </c>
      <c r="BC258" s="239">
        <v>0</v>
      </c>
      <c r="BD258" s="239">
        <v>0</v>
      </c>
      <c r="BE258" s="239">
        <v>0</v>
      </c>
      <c r="BF258" s="239">
        <v>0</v>
      </c>
      <c r="BG258" s="239">
        <v>0</v>
      </c>
      <c r="BH258" s="239">
        <v>0</v>
      </c>
      <c r="BI258" s="239">
        <v>0</v>
      </c>
      <c r="BJ258" s="239">
        <v>0</v>
      </c>
      <c r="BK258" s="239">
        <v>0</v>
      </c>
      <c r="BL258" s="239">
        <v>1896.4591666666668</v>
      </c>
      <c r="BM258" s="239">
        <v>474.11479166666669</v>
      </c>
      <c r="BN258" s="239">
        <v>0</v>
      </c>
      <c r="BO258" s="239">
        <v>0</v>
      </c>
      <c r="BP258" s="239">
        <v>0</v>
      </c>
      <c r="BQ258" s="239">
        <v>0</v>
      </c>
      <c r="BR258" s="239">
        <v>1896</v>
      </c>
      <c r="BS258" s="239">
        <v>474</v>
      </c>
      <c r="BT258" s="239">
        <v>0</v>
      </c>
      <c r="BU258" s="239">
        <v>198013.79416666666</v>
      </c>
      <c r="BV258" s="239">
        <v>49503.448541666665</v>
      </c>
      <c r="BW258" s="239">
        <v>0</v>
      </c>
      <c r="BX258" s="239">
        <v>154236</v>
      </c>
      <c r="BY258" s="239">
        <v>38558</v>
      </c>
      <c r="BZ258" s="239">
        <v>0</v>
      </c>
      <c r="CA258" s="239">
        <v>43778</v>
      </c>
      <c r="CB258" s="239">
        <v>10945</v>
      </c>
      <c r="CC258" s="239">
        <v>0</v>
      </c>
      <c r="CD258" s="239">
        <v>0</v>
      </c>
      <c r="CE258" s="239">
        <v>0</v>
      </c>
      <c r="CF258" s="239">
        <v>0</v>
      </c>
      <c r="CG258" s="239">
        <v>0</v>
      </c>
      <c r="CH258" s="239">
        <v>0</v>
      </c>
      <c r="CI258" s="239">
        <v>0</v>
      </c>
      <c r="CJ258" s="239">
        <v>0</v>
      </c>
      <c r="CK258" s="239">
        <v>0</v>
      </c>
      <c r="CL258" s="239">
        <v>0</v>
      </c>
      <c r="CM258" s="239">
        <v>773.92416666666668</v>
      </c>
      <c r="CN258" s="239">
        <v>193.48104166666667</v>
      </c>
      <c r="CO258" s="239">
        <v>0</v>
      </c>
      <c r="CP258" s="239">
        <v>0</v>
      </c>
      <c r="CQ258" s="239">
        <v>0</v>
      </c>
      <c r="CR258" s="239">
        <v>0</v>
      </c>
      <c r="CS258" s="239">
        <v>774</v>
      </c>
      <c r="CT258" s="239">
        <v>193</v>
      </c>
      <c r="CU258" s="239">
        <v>0</v>
      </c>
      <c r="CV258" s="239">
        <v>246307.65833333333</v>
      </c>
      <c r="CW258" s="239">
        <v>61576.914583333331</v>
      </c>
      <c r="CX258" s="239">
        <v>0</v>
      </c>
      <c r="CY258" s="239">
        <v>262769</v>
      </c>
      <c r="CZ258" s="239">
        <v>65692</v>
      </c>
      <c r="DA258" s="239">
        <v>0</v>
      </c>
      <c r="DB258" s="239">
        <v>-16461</v>
      </c>
      <c r="DC258" s="239">
        <v>-4115</v>
      </c>
      <c r="DD258" s="239">
        <v>0</v>
      </c>
      <c r="DE258" s="214">
        <v>0.5</v>
      </c>
      <c r="DF258" s="214">
        <v>0.4</v>
      </c>
      <c r="DG258" s="214">
        <v>0.1</v>
      </c>
      <c r="DH258" s="214">
        <v>0</v>
      </c>
      <c r="DI258" s="214" t="s">
        <v>1294</v>
      </c>
    </row>
    <row r="259" spans="2:113" s="214" customFormat="1" x14ac:dyDescent="0.2">
      <c r="B259" s="610" t="s">
        <v>601</v>
      </c>
      <c r="C259" s="610" t="s">
        <v>600</v>
      </c>
      <c r="D259" s="239">
        <v>-92845</v>
      </c>
      <c r="E259" s="239">
        <v>0</v>
      </c>
      <c r="F259" s="239">
        <v>-92845</v>
      </c>
      <c r="G259" s="239">
        <v>0</v>
      </c>
      <c r="H259" s="239">
        <v>0</v>
      </c>
      <c r="I259" s="239">
        <v>0</v>
      </c>
      <c r="J259" s="239">
        <v>-92845</v>
      </c>
      <c r="K259" s="239">
        <v>0</v>
      </c>
      <c r="L259" s="239">
        <v>-92845</v>
      </c>
      <c r="M259" s="239">
        <v>195891</v>
      </c>
      <c r="N259" s="239">
        <v>195891</v>
      </c>
      <c r="O259" s="239">
        <v>0</v>
      </c>
      <c r="P259" s="239">
        <v>0</v>
      </c>
      <c r="Q259" s="239">
        <v>0</v>
      </c>
      <c r="R259" s="239">
        <v>0</v>
      </c>
      <c r="S259" s="239">
        <v>0</v>
      </c>
      <c r="T259" s="239">
        <v>0</v>
      </c>
      <c r="U259" s="239">
        <v>0</v>
      </c>
      <c r="V259" s="239">
        <v>0</v>
      </c>
      <c r="W259" s="239">
        <v>0</v>
      </c>
      <c r="X259" s="239">
        <v>0</v>
      </c>
      <c r="Y259" s="239">
        <v>0</v>
      </c>
      <c r="Z259" s="239">
        <v>0</v>
      </c>
      <c r="AA259" s="239">
        <v>0</v>
      </c>
      <c r="AB259" s="239">
        <v>0</v>
      </c>
      <c r="AC259" s="239">
        <v>0</v>
      </c>
      <c r="AD259" s="239">
        <v>0</v>
      </c>
      <c r="AE259" s="239">
        <v>0</v>
      </c>
      <c r="AF259" s="239">
        <v>0</v>
      </c>
      <c r="AG259" s="239">
        <v>0</v>
      </c>
      <c r="AH259" s="239">
        <v>0</v>
      </c>
      <c r="AI259" s="239">
        <v>0</v>
      </c>
      <c r="AJ259" s="239">
        <v>0</v>
      </c>
      <c r="AK259" s="239">
        <v>355909.34</v>
      </c>
      <c r="AL259" s="239">
        <v>88977.335000000006</v>
      </c>
      <c r="AM259" s="239">
        <v>0</v>
      </c>
      <c r="AN259" s="239">
        <v>341926</v>
      </c>
      <c r="AO259" s="239">
        <v>85482</v>
      </c>
      <c r="AP259" s="239">
        <v>0</v>
      </c>
      <c r="AQ259" s="239">
        <v>13983</v>
      </c>
      <c r="AR259" s="239">
        <v>3495</v>
      </c>
      <c r="AS259" s="239">
        <v>0</v>
      </c>
      <c r="AT259" s="239">
        <v>0</v>
      </c>
      <c r="AU259" s="239">
        <v>0</v>
      </c>
      <c r="AV259" s="239">
        <v>0</v>
      </c>
      <c r="AW259" s="239">
        <v>0</v>
      </c>
      <c r="AX259" s="239">
        <v>0</v>
      </c>
      <c r="AY259" s="239">
        <v>0</v>
      </c>
      <c r="AZ259" s="239">
        <v>0</v>
      </c>
      <c r="BA259" s="239">
        <v>0</v>
      </c>
      <c r="BB259" s="239">
        <v>0</v>
      </c>
      <c r="BC259" s="239">
        <v>0</v>
      </c>
      <c r="BD259" s="239">
        <v>0</v>
      </c>
      <c r="BE259" s="239">
        <v>0</v>
      </c>
      <c r="BF259" s="239">
        <v>0</v>
      </c>
      <c r="BG259" s="239">
        <v>0</v>
      </c>
      <c r="BH259" s="239">
        <v>0</v>
      </c>
      <c r="BI259" s="239">
        <v>0</v>
      </c>
      <c r="BJ259" s="239">
        <v>0</v>
      </c>
      <c r="BK259" s="239">
        <v>0</v>
      </c>
      <c r="BL259" s="239">
        <v>3639.1075000000001</v>
      </c>
      <c r="BM259" s="239">
        <v>909.77687500000002</v>
      </c>
      <c r="BN259" s="239">
        <v>0</v>
      </c>
      <c r="BO259" s="239">
        <v>32467</v>
      </c>
      <c r="BP259" s="239">
        <v>8116</v>
      </c>
      <c r="BQ259" s="239">
        <v>0</v>
      </c>
      <c r="BR259" s="239">
        <v>-28828</v>
      </c>
      <c r="BS259" s="239">
        <v>-7206</v>
      </c>
      <c r="BT259" s="239">
        <v>0</v>
      </c>
      <c r="BU259" s="239">
        <v>456086.45750000008</v>
      </c>
      <c r="BV259" s="239">
        <v>114021.61437500002</v>
      </c>
      <c r="BW259" s="239">
        <v>0</v>
      </c>
      <c r="BX259" s="239">
        <v>461712</v>
      </c>
      <c r="BY259" s="239">
        <v>115428</v>
      </c>
      <c r="BZ259" s="239">
        <v>0</v>
      </c>
      <c r="CA259" s="239">
        <v>-5626</v>
      </c>
      <c r="CB259" s="239">
        <v>-1406</v>
      </c>
      <c r="CC259" s="239">
        <v>0</v>
      </c>
      <c r="CD259" s="239">
        <v>0</v>
      </c>
      <c r="CE259" s="239">
        <v>0</v>
      </c>
      <c r="CF259" s="239">
        <v>0</v>
      </c>
      <c r="CG259" s="239">
        <v>0</v>
      </c>
      <c r="CH259" s="239">
        <v>0</v>
      </c>
      <c r="CI259" s="239">
        <v>0</v>
      </c>
      <c r="CJ259" s="239">
        <v>0</v>
      </c>
      <c r="CK259" s="239">
        <v>0</v>
      </c>
      <c r="CL259" s="239">
        <v>0</v>
      </c>
      <c r="CM259" s="239">
        <v>2917.9416666666671</v>
      </c>
      <c r="CN259" s="239">
        <v>729.48541666666677</v>
      </c>
      <c r="CO259" s="239">
        <v>0</v>
      </c>
      <c r="CP259" s="239">
        <v>0</v>
      </c>
      <c r="CQ259" s="239">
        <v>0</v>
      </c>
      <c r="CR259" s="239">
        <v>0</v>
      </c>
      <c r="CS259" s="239">
        <v>2918</v>
      </c>
      <c r="CT259" s="239">
        <v>729</v>
      </c>
      <c r="CU259" s="239">
        <v>0</v>
      </c>
      <c r="CV259" s="239">
        <v>349353.78916666668</v>
      </c>
      <c r="CW259" s="239">
        <v>87338.447291666671</v>
      </c>
      <c r="CX259" s="239">
        <v>0</v>
      </c>
      <c r="CY259" s="239">
        <v>368466</v>
      </c>
      <c r="CZ259" s="239">
        <v>92116</v>
      </c>
      <c r="DA259" s="239">
        <v>0</v>
      </c>
      <c r="DB259" s="239">
        <v>-19112</v>
      </c>
      <c r="DC259" s="239">
        <v>-4778</v>
      </c>
      <c r="DD259" s="239">
        <v>0</v>
      </c>
      <c r="DE259" s="214">
        <v>0.5</v>
      </c>
      <c r="DF259" s="214">
        <v>0.4</v>
      </c>
      <c r="DG259" s="214">
        <v>0.1</v>
      </c>
      <c r="DH259" s="214">
        <v>0</v>
      </c>
      <c r="DI259" s="214" t="s">
        <v>1294</v>
      </c>
    </row>
    <row r="260" spans="2:113" s="214" customFormat="1" x14ac:dyDescent="0.2">
      <c r="B260" s="610" t="s">
        <v>603</v>
      </c>
      <c r="C260" s="610" t="s">
        <v>602</v>
      </c>
      <c r="D260" s="239">
        <v>-127030</v>
      </c>
      <c r="E260" s="239">
        <v>0</v>
      </c>
      <c r="F260" s="239">
        <v>-127030</v>
      </c>
      <c r="G260" s="239">
        <v>0</v>
      </c>
      <c r="H260" s="239">
        <v>0</v>
      </c>
      <c r="I260" s="239">
        <v>0</v>
      </c>
      <c r="J260" s="239">
        <v>-127030</v>
      </c>
      <c r="K260" s="239">
        <v>0</v>
      </c>
      <c r="L260" s="239">
        <v>-127030</v>
      </c>
      <c r="M260" s="239">
        <v>163120</v>
      </c>
      <c r="N260" s="239">
        <v>163120</v>
      </c>
      <c r="O260" s="239">
        <v>0</v>
      </c>
      <c r="P260" s="239">
        <v>0</v>
      </c>
      <c r="Q260" s="239">
        <v>0</v>
      </c>
      <c r="R260" s="239">
        <v>0</v>
      </c>
      <c r="S260" s="239">
        <v>260058</v>
      </c>
      <c r="T260" s="239">
        <v>0</v>
      </c>
      <c r="U260" s="239">
        <v>260058</v>
      </c>
      <c r="V260" s="239">
        <v>0</v>
      </c>
      <c r="W260" s="239">
        <v>0</v>
      </c>
      <c r="X260" s="239">
        <v>0</v>
      </c>
      <c r="Y260" s="239">
        <v>0</v>
      </c>
      <c r="Z260" s="239">
        <v>0</v>
      </c>
      <c r="AA260" s="239">
        <v>0</v>
      </c>
      <c r="AB260" s="239">
        <v>0</v>
      </c>
      <c r="AC260" s="239">
        <v>0</v>
      </c>
      <c r="AD260" s="239">
        <v>0</v>
      </c>
      <c r="AE260" s="239">
        <v>0</v>
      </c>
      <c r="AF260" s="239">
        <v>0</v>
      </c>
      <c r="AG260" s="239">
        <v>0</v>
      </c>
      <c r="AH260" s="239">
        <v>0</v>
      </c>
      <c r="AI260" s="239">
        <v>0</v>
      </c>
      <c r="AJ260" s="239">
        <v>0</v>
      </c>
      <c r="AK260" s="239">
        <v>421473.7441666667</v>
      </c>
      <c r="AL260" s="239">
        <v>105368.43604166668</v>
      </c>
      <c r="AM260" s="239">
        <v>0</v>
      </c>
      <c r="AN260" s="239">
        <v>396372</v>
      </c>
      <c r="AO260" s="239">
        <v>99092</v>
      </c>
      <c r="AP260" s="239">
        <v>0</v>
      </c>
      <c r="AQ260" s="239">
        <v>25102</v>
      </c>
      <c r="AR260" s="239">
        <v>6276</v>
      </c>
      <c r="AS260" s="239">
        <v>0</v>
      </c>
      <c r="AT260" s="239">
        <v>3362.7350000000001</v>
      </c>
      <c r="AU260" s="239">
        <v>840.68375000000003</v>
      </c>
      <c r="AV260" s="239">
        <v>0</v>
      </c>
      <c r="AW260" s="239">
        <v>4694</v>
      </c>
      <c r="AX260" s="239">
        <v>1174</v>
      </c>
      <c r="AY260" s="239">
        <v>0</v>
      </c>
      <c r="AZ260" s="239">
        <v>-1331</v>
      </c>
      <c r="BA260" s="239">
        <v>-333</v>
      </c>
      <c r="BB260" s="239">
        <v>0</v>
      </c>
      <c r="BC260" s="239">
        <v>1428.9391666666666</v>
      </c>
      <c r="BD260" s="239">
        <v>357.23479166666664</v>
      </c>
      <c r="BE260" s="239">
        <v>0</v>
      </c>
      <c r="BF260" s="239">
        <v>4741</v>
      </c>
      <c r="BG260" s="239">
        <v>1186</v>
      </c>
      <c r="BH260" s="239">
        <v>0</v>
      </c>
      <c r="BI260" s="239">
        <v>-3312</v>
      </c>
      <c r="BJ260" s="239">
        <v>-829</v>
      </c>
      <c r="BK260" s="239">
        <v>0</v>
      </c>
      <c r="BL260" s="239">
        <v>614.83750000000009</v>
      </c>
      <c r="BM260" s="239">
        <v>153.70937500000002</v>
      </c>
      <c r="BN260" s="239">
        <v>0</v>
      </c>
      <c r="BO260" s="239">
        <v>233</v>
      </c>
      <c r="BP260" s="239">
        <v>58</v>
      </c>
      <c r="BQ260" s="239">
        <v>0</v>
      </c>
      <c r="BR260" s="239">
        <v>382</v>
      </c>
      <c r="BS260" s="239">
        <v>96</v>
      </c>
      <c r="BT260" s="239">
        <v>0</v>
      </c>
      <c r="BU260" s="239">
        <v>275304.34666666662</v>
      </c>
      <c r="BV260" s="239">
        <v>68826.086666666655</v>
      </c>
      <c r="BW260" s="239">
        <v>0</v>
      </c>
      <c r="BX260" s="239">
        <v>290689</v>
      </c>
      <c r="BY260" s="239">
        <v>72672</v>
      </c>
      <c r="BZ260" s="239">
        <v>0</v>
      </c>
      <c r="CA260" s="239">
        <v>-15385</v>
      </c>
      <c r="CB260" s="239">
        <v>-3846</v>
      </c>
      <c r="CC260" s="239">
        <v>0</v>
      </c>
      <c r="CD260" s="239">
        <v>0</v>
      </c>
      <c r="CE260" s="239">
        <v>0</v>
      </c>
      <c r="CF260" s="239">
        <v>0</v>
      </c>
      <c r="CG260" s="239">
        <v>0</v>
      </c>
      <c r="CH260" s="239">
        <v>0</v>
      </c>
      <c r="CI260" s="239">
        <v>0</v>
      </c>
      <c r="CJ260" s="239">
        <v>0</v>
      </c>
      <c r="CK260" s="239">
        <v>0</v>
      </c>
      <c r="CL260" s="239">
        <v>0</v>
      </c>
      <c r="CM260" s="239">
        <v>4966.9941666666673</v>
      </c>
      <c r="CN260" s="239">
        <v>1241.7485416666668</v>
      </c>
      <c r="CO260" s="239">
        <v>0</v>
      </c>
      <c r="CP260" s="239">
        <v>0</v>
      </c>
      <c r="CQ260" s="239">
        <v>0</v>
      </c>
      <c r="CR260" s="239">
        <v>0</v>
      </c>
      <c r="CS260" s="239">
        <v>4967</v>
      </c>
      <c r="CT260" s="239">
        <v>1242</v>
      </c>
      <c r="CU260" s="239">
        <v>0</v>
      </c>
      <c r="CV260" s="239">
        <v>268274.98413333332</v>
      </c>
      <c r="CW260" s="239">
        <v>66120.617908333341</v>
      </c>
      <c r="CX260" s="239">
        <v>0</v>
      </c>
      <c r="CY260" s="239">
        <v>273336</v>
      </c>
      <c r="CZ260" s="239">
        <v>67386</v>
      </c>
      <c r="DA260" s="239">
        <v>0</v>
      </c>
      <c r="DB260" s="239">
        <v>-5061</v>
      </c>
      <c r="DC260" s="239">
        <v>-1265</v>
      </c>
      <c r="DD260" s="239">
        <v>0</v>
      </c>
      <c r="DE260" s="214">
        <v>0.5</v>
      </c>
      <c r="DF260" s="214">
        <v>0.4</v>
      </c>
      <c r="DG260" s="214">
        <v>0.1</v>
      </c>
      <c r="DH260" s="214">
        <v>0</v>
      </c>
      <c r="DI260" s="214" t="s">
        <v>1294</v>
      </c>
    </row>
    <row r="261" spans="2:113" s="214" customFormat="1" x14ac:dyDescent="0.2">
      <c r="B261" s="610" t="s">
        <v>605</v>
      </c>
      <c r="C261" s="610" t="s">
        <v>604</v>
      </c>
      <c r="D261" s="239">
        <v>-352288</v>
      </c>
      <c r="E261" s="239">
        <v>0</v>
      </c>
      <c r="F261" s="239">
        <v>-352288</v>
      </c>
      <c r="G261" s="239">
        <v>0</v>
      </c>
      <c r="H261" s="239">
        <v>0</v>
      </c>
      <c r="I261" s="239">
        <v>0</v>
      </c>
      <c r="J261" s="239">
        <v>-352288</v>
      </c>
      <c r="K261" s="239">
        <v>0</v>
      </c>
      <c r="L261" s="239">
        <v>-352288</v>
      </c>
      <c r="M261" s="239">
        <v>199028</v>
      </c>
      <c r="N261" s="239">
        <v>199028</v>
      </c>
      <c r="O261" s="239">
        <v>0</v>
      </c>
      <c r="P261" s="239">
        <v>0</v>
      </c>
      <c r="Q261" s="239">
        <v>0</v>
      </c>
      <c r="R261" s="239">
        <v>0</v>
      </c>
      <c r="S261" s="239">
        <v>0</v>
      </c>
      <c r="T261" s="239">
        <v>0</v>
      </c>
      <c r="U261" s="239">
        <v>0</v>
      </c>
      <c r="V261" s="239">
        <v>0</v>
      </c>
      <c r="W261" s="239">
        <v>0</v>
      </c>
      <c r="X261" s="239">
        <v>0</v>
      </c>
      <c r="Y261" s="239">
        <v>0</v>
      </c>
      <c r="Z261" s="239">
        <v>0</v>
      </c>
      <c r="AA261" s="239">
        <v>0</v>
      </c>
      <c r="AB261" s="239">
        <v>0</v>
      </c>
      <c r="AC261" s="239">
        <v>0</v>
      </c>
      <c r="AD261" s="239">
        <v>0</v>
      </c>
      <c r="AE261" s="239">
        <v>0</v>
      </c>
      <c r="AF261" s="239">
        <v>0</v>
      </c>
      <c r="AG261" s="239">
        <v>0</v>
      </c>
      <c r="AH261" s="239">
        <v>0</v>
      </c>
      <c r="AI261" s="239">
        <v>0</v>
      </c>
      <c r="AJ261" s="239">
        <v>0</v>
      </c>
      <c r="AK261" s="239">
        <v>832108.77575000003</v>
      </c>
      <c r="AL261" s="239">
        <v>0</v>
      </c>
      <c r="AM261" s="239">
        <v>16981.811749999997</v>
      </c>
      <c r="AN261" s="239">
        <v>782236</v>
      </c>
      <c r="AO261" s="239">
        <v>0</v>
      </c>
      <c r="AP261" s="239">
        <v>15964</v>
      </c>
      <c r="AQ261" s="239">
        <v>49873</v>
      </c>
      <c r="AR261" s="239">
        <v>0</v>
      </c>
      <c r="AS261" s="239">
        <v>1018</v>
      </c>
      <c r="AT261" s="239">
        <v>4137.744770833333</v>
      </c>
      <c r="AU261" s="239">
        <v>0</v>
      </c>
      <c r="AV261" s="239">
        <v>84.443770833333332</v>
      </c>
      <c r="AW261" s="239">
        <v>0</v>
      </c>
      <c r="AX261" s="239">
        <v>0</v>
      </c>
      <c r="AY261" s="239">
        <v>0</v>
      </c>
      <c r="AZ261" s="239">
        <v>4138</v>
      </c>
      <c r="BA261" s="239">
        <v>0</v>
      </c>
      <c r="BB261" s="239">
        <v>84</v>
      </c>
      <c r="BC261" s="239">
        <v>294.31033333333335</v>
      </c>
      <c r="BD261" s="239">
        <v>0</v>
      </c>
      <c r="BE261" s="239">
        <v>6.0063333333333331</v>
      </c>
      <c r="BF261" s="239">
        <v>0</v>
      </c>
      <c r="BG261" s="239">
        <v>0</v>
      </c>
      <c r="BH261" s="239">
        <v>0</v>
      </c>
      <c r="BI261" s="239">
        <v>294</v>
      </c>
      <c r="BJ261" s="239">
        <v>0</v>
      </c>
      <c r="BK261" s="239">
        <v>6</v>
      </c>
      <c r="BL261" s="239">
        <v>22634.055500000002</v>
      </c>
      <c r="BM261" s="239">
        <v>0</v>
      </c>
      <c r="BN261" s="239">
        <v>461.91950000000003</v>
      </c>
      <c r="BO261" s="239">
        <v>0</v>
      </c>
      <c r="BP261" s="239">
        <v>0</v>
      </c>
      <c r="BQ261" s="239">
        <v>0</v>
      </c>
      <c r="BR261" s="239">
        <v>22634</v>
      </c>
      <c r="BS261" s="239">
        <v>0</v>
      </c>
      <c r="BT261" s="239">
        <v>462</v>
      </c>
      <c r="BU261" s="239">
        <v>346727.40141666669</v>
      </c>
      <c r="BV261" s="239">
        <v>0</v>
      </c>
      <c r="BW261" s="239">
        <v>7076.0694166666672</v>
      </c>
      <c r="BX261" s="239">
        <v>291457</v>
      </c>
      <c r="BY261" s="239">
        <v>0</v>
      </c>
      <c r="BZ261" s="239">
        <v>5948</v>
      </c>
      <c r="CA261" s="239">
        <v>55270</v>
      </c>
      <c r="CB261" s="239">
        <v>0</v>
      </c>
      <c r="CC261" s="239">
        <v>1128</v>
      </c>
      <c r="CD261" s="239">
        <v>0</v>
      </c>
      <c r="CE261" s="239">
        <v>0</v>
      </c>
      <c r="CF261" s="239">
        <v>0</v>
      </c>
      <c r="CG261" s="239">
        <v>1246</v>
      </c>
      <c r="CH261" s="239">
        <v>0</v>
      </c>
      <c r="CI261" s="239">
        <v>0</v>
      </c>
      <c r="CJ261" s="239">
        <v>-1246</v>
      </c>
      <c r="CK261" s="239">
        <v>0</v>
      </c>
      <c r="CL261" s="239">
        <v>0</v>
      </c>
      <c r="CM261" s="239">
        <v>1788.7307083333333</v>
      </c>
      <c r="CN261" s="239">
        <v>0</v>
      </c>
      <c r="CO261" s="239">
        <v>36.504708333333333</v>
      </c>
      <c r="CP261" s="239">
        <v>0</v>
      </c>
      <c r="CQ261" s="239">
        <v>0</v>
      </c>
      <c r="CR261" s="239">
        <v>0</v>
      </c>
      <c r="CS261" s="239">
        <v>1789</v>
      </c>
      <c r="CT261" s="239">
        <v>0</v>
      </c>
      <c r="CU261" s="239">
        <v>37</v>
      </c>
      <c r="CV261" s="239">
        <v>344582.92356249999</v>
      </c>
      <c r="CW261" s="239">
        <v>0</v>
      </c>
      <c r="CX261" s="239">
        <v>7032.3045624999995</v>
      </c>
      <c r="CY261" s="239">
        <v>342385</v>
      </c>
      <c r="CZ261" s="239">
        <v>0</v>
      </c>
      <c r="DA261" s="239">
        <v>6987</v>
      </c>
      <c r="DB261" s="239">
        <v>2198</v>
      </c>
      <c r="DC261" s="239">
        <v>0</v>
      </c>
      <c r="DD261" s="239">
        <v>45</v>
      </c>
      <c r="DE261" s="214">
        <v>0.5</v>
      </c>
      <c r="DF261" s="214">
        <v>0.49</v>
      </c>
      <c r="DG261" s="214">
        <v>0</v>
      </c>
      <c r="DH261" s="214">
        <v>0.01</v>
      </c>
      <c r="DI261" s="214" t="s">
        <v>1296</v>
      </c>
    </row>
    <row r="262" spans="2:113" s="214" customFormat="1" x14ac:dyDescent="0.2">
      <c r="B262" s="610" t="s">
        <v>607</v>
      </c>
      <c r="C262" s="610" t="s">
        <v>606</v>
      </c>
      <c r="D262" s="239">
        <v>-77653</v>
      </c>
      <c r="E262" s="239">
        <v>0</v>
      </c>
      <c r="F262" s="239">
        <v>-77653</v>
      </c>
      <c r="G262" s="239">
        <v>0</v>
      </c>
      <c r="H262" s="239">
        <v>0</v>
      </c>
      <c r="I262" s="239">
        <v>0</v>
      </c>
      <c r="J262" s="239">
        <v>-77653</v>
      </c>
      <c r="K262" s="239">
        <v>0</v>
      </c>
      <c r="L262" s="239">
        <v>-77653</v>
      </c>
      <c r="M262" s="239">
        <v>170588</v>
      </c>
      <c r="N262" s="239">
        <v>170588</v>
      </c>
      <c r="O262" s="239">
        <v>0</v>
      </c>
      <c r="P262" s="239">
        <v>0</v>
      </c>
      <c r="Q262" s="239">
        <v>0</v>
      </c>
      <c r="R262" s="239">
        <v>0</v>
      </c>
      <c r="S262" s="239">
        <v>0</v>
      </c>
      <c r="T262" s="239">
        <v>0</v>
      </c>
      <c r="U262" s="239">
        <v>0</v>
      </c>
      <c r="V262" s="239">
        <v>0</v>
      </c>
      <c r="W262" s="239">
        <v>0</v>
      </c>
      <c r="X262" s="239">
        <v>0</v>
      </c>
      <c r="Y262" s="239">
        <v>0</v>
      </c>
      <c r="Z262" s="239">
        <v>0</v>
      </c>
      <c r="AA262" s="239">
        <v>0</v>
      </c>
      <c r="AB262" s="239">
        <v>0</v>
      </c>
      <c r="AC262" s="239">
        <v>0</v>
      </c>
      <c r="AD262" s="239">
        <v>0</v>
      </c>
      <c r="AE262" s="239">
        <v>0</v>
      </c>
      <c r="AF262" s="239">
        <v>0</v>
      </c>
      <c r="AG262" s="239">
        <v>0</v>
      </c>
      <c r="AH262" s="239">
        <v>0</v>
      </c>
      <c r="AI262" s="239">
        <v>0</v>
      </c>
      <c r="AJ262" s="239">
        <v>0</v>
      </c>
      <c r="AK262" s="239">
        <v>506321.92791666673</v>
      </c>
      <c r="AL262" s="239">
        <v>113922.43378125</v>
      </c>
      <c r="AM262" s="239">
        <v>12658.048197916667</v>
      </c>
      <c r="AN262" s="239">
        <v>487083</v>
      </c>
      <c r="AO262" s="239">
        <v>109594</v>
      </c>
      <c r="AP262" s="239">
        <v>12178</v>
      </c>
      <c r="AQ262" s="239">
        <v>19239</v>
      </c>
      <c r="AR262" s="239">
        <v>4328</v>
      </c>
      <c r="AS262" s="239">
        <v>480</v>
      </c>
      <c r="AT262" s="239">
        <v>0</v>
      </c>
      <c r="AU262" s="239">
        <v>0</v>
      </c>
      <c r="AV262" s="239">
        <v>0</v>
      </c>
      <c r="AW262" s="239">
        <v>0</v>
      </c>
      <c r="AX262" s="239">
        <v>0</v>
      </c>
      <c r="AY262" s="239">
        <v>0</v>
      </c>
      <c r="AZ262" s="239">
        <v>0</v>
      </c>
      <c r="BA262" s="239">
        <v>0</v>
      </c>
      <c r="BB262" s="239">
        <v>0</v>
      </c>
      <c r="BC262" s="239">
        <v>0</v>
      </c>
      <c r="BD262" s="239">
        <v>0</v>
      </c>
      <c r="BE262" s="239">
        <v>0</v>
      </c>
      <c r="BF262" s="239">
        <v>0</v>
      </c>
      <c r="BG262" s="239">
        <v>0</v>
      </c>
      <c r="BH262" s="239">
        <v>0</v>
      </c>
      <c r="BI262" s="239">
        <v>0</v>
      </c>
      <c r="BJ262" s="239">
        <v>0</v>
      </c>
      <c r="BK262" s="239">
        <v>0</v>
      </c>
      <c r="BL262" s="239">
        <v>1879.4141666666667</v>
      </c>
      <c r="BM262" s="239">
        <v>422.86818749999998</v>
      </c>
      <c r="BN262" s="239">
        <v>46.985354166666667</v>
      </c>
      <c r="BO262" s="239">
        <v>0</v>
      </c>
      <c r="BP262" s="239">
        <v>0</v>
      </c>
      <c r="BQ262" s="239">
        <v>0</v>
      </c>
      <c r="BR262" s="239">
        <v>1879</v>
      </c>
      <c r="BS262" s="239">
        <v>423</v>
      </c>
      <c r="BT262" s="239">
        <v>47</v>
      </c>
      <c r="BU262" s="239">
        <v>225163.63833333337</v>
      </c>
      <c r="BV262" s="239">
        <v>50661.818625</v>
      </c>
      <c r="BW262" s="239">
        <v>5629.0909583333341</v>
      </c>
      <c r="BX262" s="239">
        <v>163793</v>
      </c>
      <c r="BY262" s="239">
        <v>36854</v>
      </c>
      <c r="BZ262" s="239">
        <v>4094</v>
      </c>
      <c r="CA262" s="239">
        <v>61371</v>
      </c>
      <c r="CB262" s="239">
        <v>13808</v>
      </c>
      <c r="CC262" s="239">
        <v>1535</v>
      </c>
      <c r="CD262" s="239">
        <v>0</v>
      </c>
      <c r="CE262" s="239">
        <v>0</v>
      </c>
      <c r="CF262" s="239">
        <v>0</v>
      </c>
      <c r="CG262" s="239">
        <v>0</v>
      </c>
      <c r="CH262" s="239">
        <v>0</v>
      </c>
      <c r="CI262" s="239">
        <v>0</v>
      </c>
      <c r="CJ262" s="239">
        <v>0</v>
      </c>
      <c r="CK262" s="239">
        <v>0</v>
      </c>
      <c r="CL262" s="239">
        <v>0</v>
      </c>
      <c r="CM262" s="239">
        <v>5886.6125000000002</v>
      </c>
      <c r="CN262" s="239">
        <v>1324.4878125</v>
      </c>
      <c r="CO262" s="239">
        <v>147.1653125</v>
      </c>
      <c r="CP262" s="239">
        <v>0</v>
      </c>
      <c r="CQ262" s="239">
        <v>0</v>
      </c>
      <c r="CR262" s="239">
        <v>0</v>
      </c>
      <c r="CS262" s="239">
        <v>5887</v>
      </c>
      <c r="CT262" s="239">
        <v>1324</v>
      </c>
      <c r="CU262" s="239">
        <v>147</v>
      </c>
      <c r="CV262" s="239">
        <v>263783.52</v>
      </c>
      <c r="CW262" s="239">
        <v>59351.292000000001</v>
      </c>
      <c r="CX262" s="239">
        <v>6594.5880000000006</v>
      </c>
      <c r="CY262" s="239">
        <v>264975</v>
      </c>
      <c r="CZ262" s="239">
        <v>59619</v>
      </c>
      <c r="DA262" s="239">
        <v>6624</v>
      </c>
      <c r="DB262" s="239">
        <v>-1191</v>
      </c>
      <c r="DC262" s="239">
        <v>-268</v>
      </c>
      <c r="DD262" s="239">
        <v>-29</v>
      </c>
      <c r="DE262" s="214">
        <v>0.5</v>
      </c>
      <c r="DF262" s="214">
        <v>0.4</v>
      </c>
      <c r="DG262" s="214">
        <v>0.09</v>
      </c>
      <c r="DH262" s="214">
        <v>0.01</v>
      </c>
      <c r="DI262" s="214" t="s">
        <v>1294</v>
      </c>
    </row>
    <row r="263" spans="2:113" s="214" customFormat="1" x14ac:dyDescent="0.2">
      <c r="B263" s="610" t="s">
        <v>609</v>
      </c>
      <c r="C263" s="610" t="s">
        <v>608</v>
      </c>
      <c r="D263" s="239">
        <v>17466</v>
      </c>
      <c r="E263" s="239">
        <v>0</v>
      </c>
      <c r="F263" s="239">
        <v>17466</v>
      </c>
      <c r="G263" s="239">
        <v>0</v>
      </c>
      <c r="H263" s="239">
        <v>0</v>
      </c>
      <c r="I263" s="239">
        <v>0</v>
      </c>
      <c r="J263" s="239">
        <v>17466</v>
      </c>
      <c r="K263" s="239">
        <v>0</v>
      </c>
      <c r="L263" s="239">
        <v>17466</v>
      </c>
      <c r="M263" s="239">
        <v>115122</v>
      </c>
      <c r="N263" s="239">
        <v>115122</v>
      </c>
      <c r="O263" s="239">
        <v>0</v>
      </c>
      <c r="P263" s="239">
        <v>0</v>
      </c>
      <c r="Q263" s="239">
        <v>0</v>
      </c>
      <c r="R263" s="239">
        <v>0</v>
      </c>
      <c r="S263" s="239">
        <v>0</v>
      </c>
      <c r="T263" s="239">
        <v>0</v>
      </c>
      <c r="U263" s="239">
        <v>0</v>
      </c>
      <c r="V263" s="239">
        <v>0</v>
      </c>
      <c r="W263" s="239">
        <v>0</v>
      </c>
      <c r="X263" s="239">
        <v>0</v>
      </c>
      <c r="Y263" s="239">
        <v>0</v>
      </c>
      <c r="Z263" s="239">
        <v>0</v>
      </c>
      <c r="AA263" s="239">
        <v>0</v>
      </c>
      <c r="AB263" s="239">
        <v>0</v>
      </c>
      <c r="AC263" s="239">
        <v>0</v>
      </c>
      <c r="AD263" s="239">
        <v>0</v>
      </c>
      <c r="AE263" s="239">
        <v>0</v>
      </c>
      <c r="AF263" s="239">
        <v>0</v>
      </c>
      <c r="AG263" s="239">
        <v>0</v>
      </c>
      <c r="AH263" s="239">
        <v>0</v>
      </c>
      <c r="AI263" s="239">
        <v>0</v>
      </c>
      <c r="AJ263" s="239">
        <v>0</v>
      </c>
      <c r="AK263" s="239">
        <v>498776.06583333341</v>
      </c>
      <c r="AL263" s="239">
        <v>112224.61481250002</v>
      </c>
      <c r="AM263" s="239">
        <v>12469.401645833334</v>
      </c>
      <c r="AN263" s="239">
        <v>457052</v>
      </c>
      <c r="AO263" s="239">
        <v>102836</v>
      </c>
      <c r="AP263" s="239">
        <v>11426</v>
      </c>
      <c r="AQ263" s="239">
        <v>41724</v>
      </c>
      <c r="AR263" s="239">
        <v>9389</v>
      </c>
      <c r="AS263" s="239">
        <v>1043</v>
      </c>
      <c r="AT263" s="239">
        <v>38.960000000000008</v>
      </c>
      <c r="AU263" s="239">
        <v>8.766</v>
      </c>
      <c r="AV263" s="239">
        <v>0.97400000000000009</v>
      </c>
      <c r="AW263" s="239">
        <v>0</v>
      </c>
      <c r="AX263" s="239">
        <v>0</v>
      </c>
      <c r="AY263" s="239">
        <v>0</v>
      </c>
      <c r="AZ263" s="239">
        <v>39</v>
      </c>
      <c r="BA263" s="239">
        <v>9</v>
      </c>
      <c r="BB263" s="239">
        <v>1</v>
      </c>
      <c r="BC263" s="239">
        <v>1820.9741666666666</v>
      </c>
      <c r="BD263" s="239">
        <v>409.71918749999992</v>
      </c>
      <c r="BE263" s="239">
        <v>45.524354166666662</v>
      </c>
      <c r="BF263" s="239">
        <v>1851</v>
      </c>
      <c r="BG263" s="239">
        <v>416</v>
      </c>
      <c r="BH263" s="239">
        <v>46</v>
      </c>
      <c r="BI263" s="239">
        <v>-30</v>
      </c>
      <c r="BJ263" s="239">
        <v>-6</v>
      </c>
      <c r="BK263" s="239">
        <v>0</v>
      </c>
      <c r="BL263" s="239">
        <v>4785.5866666666661</v>
      </c>
      <c r="BM263" s="239">
        <v>1076.7569999999998</v>
      </c>
      <c r="BN263" s="239">
        <v>119.63966666666667</v>
      </c>
      <c r="BO263" s="239">
        <v>1702</v>
      </c>
      <c r="BP263" s="239">
        <v>382</v>
      </c>
      <c r="BQ263" s="239">
        <v>42</v>
      </c>
      <c r="BR263" s="239">
        <v>3084</v>
      </c>
      <c r="BS263" s="239">
        <v>695</v>
      </c>
      <c r="BT263" s="239">
        <v>78</v>
      </c>
      <c r="BU263" s="239">
        <v>203137.03416666668</v>
      </c>
      <c r="BV263" s="239">
        <v>45705.832687499991</v>
      </c>
      <c r="BW263" s="239">
        <v>5078.4258541666659</v>
      </c>
      <c r="BX263" s="239">
        <v>149511</v>
      </c>
      <c r="BY263" s="239">
        <v>33640</v>
      </c>
      <c r="BZ263" s="239">
        <v>3738</v>
      </c>
      <c r="CA263" s="239">
        <v>53626</v>
      </c>
      <c r="CB263" s="239">
        <v>12066</v>
      </c>
      <c r="CC263" s="239">
        <v>1340</v>
      </c>
      <c r="CD263" s="239">
        <v>0</v>
      </c>
      <c r="CE263" s="239">
        <v>0</v>
      </c>
      <c r="CF263" s="239">
        <v>0</v>
      </c>
      <c r="CG263" s="239">
        <v>0</v>
      </c>
      <c r="CH263" s="239">
        <v>0</v>
      </c>
      <c r="CI263" s="239">
        <v>0</v>
      </c>
      <c r="CJ263" s="239">
        <v>0</v>
      </c>
      <c r="CK263" s="239">
        <v>0</v>
      </c>
      <c r="CL263" s="239">
        <v>0</v>
      </c>
      <c r="CM263" s="239">
        <v>7203.1358333333337</v>
      </c>
      <c r="CN263" s="239">
        <v>1620.7055625</v>
      </c>
      <c r="CO263" s="239">
        <v>180.07839583333336</v>
      </c>
      <c r="CP263" s="239">
        <v>0</v>
      </c>
      <c r="CQ263" s="239">
        <v>0</v>
      </c>
      <c r="CR263" s="239">
        <v>0</v>
      </c>
      <c r="CS263" s="239">
        <v>7203</v>
      </c>
      <c r="CT263" s="239">
        <v>1621</v>
      </c>
      <c r="CU263" s="239">
        <v>180</v>
      </c>
      <c r="CV263" s="239">
        <v>101948.65916666666</v>
      </c>
      <c r="CW263" s="239">
        <v>22938.448312500001</v>
      </c>
      <c r="CX263" s="239">
        <v>2548.7164791666669</v>
      </c>
      <c r="CY263" s="239">
        <v>106609</v>
      </c>
      <c r="CZ263" s="239">
        <v>23987</v>
      </c>
      <c r="DA263" s="239">
        <v>2665</v>
      </c>
      <c r="DB263" s="239">
        <v>-4660</v>
      </c>
      <c r="DC263" s="239">
        <v>-1049</v>
      </c>
      <c r="DD263" s="239">
        <v>-116</v>
      </c>
      <c r="DE263" s="214">
        <v>0.5</v>
      </c>
      <c r="DF263" s="214">
        <v>0.4</v>
      </c>
      <c r="DG263" s="214">
        <v>0.09</v>
      </c>
      <c r="DH263" s="214">
        <v>0.01</v>
      </c>
      <c r="DI263" s="214" t="s">
        <v>1294</v>
      </c>
    </row>
    <row r="264" spans="2:113" s="214" customFormat="1" x14ac:dyDescent="0.2">
      <c r="B264" s="610" t="s">
        <v>611</v>
      </c>
      <c r="C264" s="610" t="s">
        <v>610</v>
      </c>
      <c r="D264" s="239">
        <v>-213380</v>
      </c>
      <c r="E264" s="239">
        <v>0</v>
      </c>
      <c r="F264" s="239">
        <v>-213380</v>
      </c>
      <c r="G264" s="239">
        <v>0</v>
      </c>
      <c r="H264" s="239">
        <v>0</v>
      </c>
      <c r="I264" s="239">
        <v>0</v>
      </c>
      <c r="J264" s="239">
        <v>-213380</v>
      </c>
      <c r="K264" s="239">
        <v>0</v>
      </c>
      <c r="L264" s="239">
        <v>-213380</v>
      </c>
      <c r="M264" s="239">
        <v>112274</v>
      </c>
      <c r="N264" s="239">
        <v>112274</v>
      </c>
      <c r="O264" s="239">
        <v>0</v>
      </c>
      <c r="P264" s="239">
        <v>0</v>
      </c>
      <c r="Q264" s="239">
        <v>0</v>
      </c>
      <c r="R264" s="239">
        <v>0</v>
      </c>
      <c r="S264" s="239">
        <v>0</v>
      </c>
      <c r="T264" s="239">
        <v>0</v>
      </c>
      <c r="U264" s="239">
        <v>0</v>
      </c>
      <c r="V264" s="239">
        <v>0</v>
      </c>
      <c r="W264" s="239">
        <v>0</v>
      </c>
      <c r="X264" s="239">
        <v>0</v>
      </c>
      <c r="Y264" s="239">
        <v>0</v>
      </c>
      <c r="Z264" s="239">
        <v>0</v>
      </c>
      <c r="AA264" s="239">
        <v>0</v>
      </c>
      <c r="AB264" s="239">
        <v>0</v>
      </c>
      <c r="AC264" s="239">
        <v>0</v>
      </c>
      <c r="AD264" s="239">
        <v>0</v>
      </c>
      <c r="AE264" s="239">
        <v>0</v>
      </c>
      <c r="AF264" s="239">
        <v>0</v>
      </c>
      <c r="AG264" s="239">
        <v>0</v>
      </c>
      <c r="AH264" s="239">
        <v>0</v>
      </c>
      <c r="AI264" s="239">
        <v>0</v>
      </c>
      <c r="AJ264" s="239">
        <v>0</v>
      </c>
      <c r="AK264" s="239">
        <v>207046.62958333336</v>
      </c>
      <c r="AL264" s="239">
        <v>51761.657395833339</v>
      </c>
      <c r="AM264" s="239">
        <v>0</v>
      </c>
      <c r="AN264" s="239">
        <v>186211</v>
      </c>
      <c r="AO264" s="239">
        <v>46552</v>
      </c>
      <c r="AP264" s="239">
        <v>0</v>
      </c>
      <c r="AQ264" s="239">
        <v>20836</v>
      </c>
      <c r="AR264" s="239">
        <v>5210</v>
      </c>
      <c r="AS264" s="239">
        <v>0</v>
      </c>
      <c r="AT264" s="239">
        <v>0</v>
      </c>
      <c r="AU264" s="239">
        <v>0</v>
      </c>
      <c r="AV264" s="239">
        <v>0</v>
      </c>
      <c r="AW264" s="239">
        <v>0</v>
      </c>
      <c r="AX264" s="239">
        <v>0</v>
      </c>
      <c r="AY264" s="239">
        <v>0</v>
      </c>
      <c r="AZ264" s="239">
        <v>0</v>
      </c>
      <c r="BA264" s="239">
        <v>0</v>
      </c>
      <c r="BB264" s="239">
        <v>0</v>
      </c>
      <c r="BC264" s="239">
        <v>61619.704166666663</v>
      </c>
      <c r="BD264" s="239">
        <v>15404.926041666666</v>
      </c>
      <c r="BE264" s="239">
        <v>0</v>
      </c>
      <c r="BF264" s="239">
        <v>22321</v>
      </c>
      <c r="BG264" s="239">
        <v>5580</v>
      </c>
      <c r="BH264" s="239">
        <v>0</v>
      </c>
      <c r="BI264" s="239">
        <v>39299</v>
      </c>
      <c r="BJ264" s="239">
        <v>9825</v>
      </c>
      <c r="BK264" s="239">
        <v>0</v>
      </c>
      <c r="BL264" s="239">
        <v>7496.1475000000009</v>
      </c>
      <c r="BM264" s="239">
        <v>1874.0368750000002</v>
      </c>
      <c r="BN264" s="239">
        <v>0</v>
      </c>
      <c r="BO264" s="239">
        <v>8116</v>
      </c>
      <c r="BP264" s="239">
        <v>2030</v>
      </c>
      <c r="BQ264" s="239">
        <v>0</v>
      </c>
      <c r="BR264" s="239">
        <v>-620</v>
      </c>
      <c r="BS264" s="239">
        <v>-156</v>
      </c>
      <c r="BT264" s="239">
        <v>0</v>
      </c>
      <c r="BU264" s="239">
        <v>138742.24166666667</v>
      </c>
      <c r="BV264" s="239">
        <v>34685.560416666667</v>
      </c>
      <c r="BW264" s="239">
        <v>0</v>
      </c>
      <c r="BX264" s="239">
        <v>105923</v>
      </c>
      <c r="BY264" s="239">
        <v>26480</v>
      </c>
      <c r="BZ264" s="239">
        <v>0</v>
      </c>
      <c r="CA264" s="239">
        <v>32819</v>
      </c>
      <c r="CB264" s="239">
        <v>8206</v>
      </c>
      <c r="CC264" s="239">
        <v>0</v>
      </c>
      <c r="CD264" s="239">
        <v>0</v>
      </c>
      <c r="CE264" s="239">
        <v>0</v>
      </c>
      <c r="CF264" s="239">
        <v>0</v>
      </c>
      <c r="CG264" s="239">
        <v>0</v>
      </c>
      <c r="CH264" s="239">
        <v>0</v>
      </c>
      <c r="CI264" s="239">
        <v>0</v>
      </c>
      <c r="CJ264" s="239">
        <v>0</v>
      </c>
      <c r="CK264" s="239">
        <v>0</v>
      </c>
      <c r="CL264" s="239">
        <v>0</v>
      </c>
      <c r="CM264" s="239">
        <v>2970.2941666666666</v>
      </c>
      <c r="CN264" s="239">
        <v>742.57354166666664</v>
      </c>
      <c r="CO264" s="239">
        <v>0</v>
      </c>
      <c r="CP264" s="239">
        <v>0</v>
      </c>
      <c r="CQ264" s="239">
        <v>0</v>
      </c>
      <c r="CR264" s="239">
        <v>0</v>
      </c>
      <c r="CS264" s="239">
        <v>2970</v>
      </c>
      <c r="CT264" s="239">
        <v>743</v>
      </c>
      <c r="CU264" s="239">
        <v>0</v>
      </c>
      <c r="CV264" s="239">
        <v>274559.59416666668</v>
      </c>
      <c r="CW264" s="239">
        <v>68639.898541666669</v>
      </c>
      <c r="CX264" s="239">
        <v>0</v>
      </c>
      <c r="CY264" s="239">
        <v>278352</v>
      </c>
      <c r="CZ264" s="239">
        <v>69588</v>
      </c>
      <c r="DA264" s="239">
        <v>0</v>
      </c>
      <c r="DB264" s="239">
        <v>-3792</v>
      </c>
      <c r="DC264" s="239">
        <v>-948</v>
      </c>
      <c r="DD264" s="239">
        <v>0</v>
      </c>
      <c r="DE264" s="214">
        <v>0.5</v>
      </c>
      <c r="DF264" s="214">
        <v>0.4</v>
      </c>
      <c r="DG264" s="214">
        <v>0.1</v>
      </c>
      <c r="DH264" s="214">
        <v>0</v>
      </c>
      <c r="DI264" s="214" t="s">
        <v>1294</v>
      </c>
    </row>
    <row r="265" spans="2:113" s="214" customFormat="1" x14ac:dyDescent="0.2">
      <c r="B265" s="610" t="s">
        <v>613</v>
      </c>
      <c r="C265" s="610" t="s">
        <v>612</v>
      </c>
      <c r="D265" s="239">
        <v>-256581</v>
      </c>
      <c r="E265" s="239">
        <v>0</v>
      </c>
      <c r="F265" s="239">
        <v>-256581</v>
      </c>
      <c r="G265" s="239">
        <v>0</v>
      </c>
      <c r="H265" s="239">
        <v>0</v>
      </c>
      <c r="I265" s="239">
        <v>0</v>
      </c>
      <c r="J265" s="239">
        <v>-256581</v>
      </c>
      <c r="K265" s="239">
        <v>0</v>
      </c>
      <c r="L265" s="239">
        <v>-256581</v>
      </c>
      <c r="M265" s="239">
        <v>431789</v>
      </c>
      <c r="N265" s="239">
        <v>431789</v>
      </c>
      <c r="O265" s="239">
        <v>0</v>
      </c>
      <c r="P265" s="239">
        <v>0</v>
      </c>
      <c r="Q265" s="239">
        <v>0</v>
      </c>
      <c r="R265" s="239">
        <v>0</v>
      </c>
      <c r="S265" s="239">
        <v>0</v>
      </c>
      <c r="T265" s="239">
        <v>0</v>
      </c>
      <c r="U265" s="239">
        <v>0</v>
      </c>
      <c r="V265" s="239">
        <v>0</v>
      </c>
      <c r="W265" s="239">
        <v>0</v>
      </c>
      <c r="X265" s="239">
        <v>0</v>
      </c>
      <c r="Y265" s="239">
        <v>0</v>
      </c>
      <c r="Z265" s="239">
        <v>0</v>
      </c>
      <c r="AA265" s="239">
        <v>0</v>
      </c>
      <c r="AB265" s="239">
        <v>0</v>
      </c>
      <c r="AC265" s="239">
        <v>0</v>
      </c>
      <c r="AD265" s="239">
        <v>0</v>
      </c>
      <c r="AE265" s="239">
        <v>0</v>
      </c>
      <c r="AF265" s="239">
        <v>0</v>
      </c>
      <c r="AG265" s="239">
        <v>0</v>
      </c>
      <c r="AH265" s="239">
        <v>0</v>
      </c>
      <c r="AI265" s="239">
        <v>0</v>
      </c>
      <c r="AJ265" s="239">
        <v>0</v>
      </c>
      <c r="AK265" s="239">
        <v>1852222.4455729167</v>
      </c>
      <c r="AL265" s="239">
        <v>0</v>
      </c>
      <c r="AM265" s="239">
        <v>37800.45807291667</v>
      </c>
      <c r="AN265" s="239">
        <v>1708462</v>
      </c>
      <c r="AO265" s="239">
        <v>0</v>
      </c>
      <c r="AP265" s="239">
        <v>34866</v>
      </c>
      <c r="AQ265" s="239">
        <v>143760</v>
      </c>
      <c r="AR265" s="239">
        <v>0</v>
      </c>
      <c r="AS265" s="239">
        <v>2934</v>
      </c>
      <c r="AT265" s="239">
        <v>22751.381916666665</v>
      </c>
      <c r="AU265" s="239">
        <v>0</v>
      </c>
      <c r="AV265" s="239">
        <v>464.31391666666667</v>
      </c>
      <c r="AW265" s="239">
        <v>2</v>
      </c>
      <c r="AX265" s="239">
        <v>0</v>
      </c>
      <c r="AY265" s="239">
        <v>0</v>
      </c>
      <c r="AZ265" s="239">
        <v>22749</v>
      </c>
      <c r="BA265" s="239">
        <v>0</v>
      </c>
      <c r="BB265" s="239">
        <v>464</v>
      </c>
      <c r="BC265" s="239">
        <v>53189.632708333331</v>
      </c>
      <c r="BD265" s="239">
        <v>0</v>
      </c>
      <c r="BE265" s="239">
        <v>1085.5027083333334</v>
      </c>
      <c r="BF265" s="239">
        <v>0</v>
      </c>
      <c r="BG265" s="239">
        <v>0</v>
      </c>
      <c r="BH265" s="239">
        <v>0</v>
      </c>
      <c r="BI265" s="239">
        <v>53190</v>
      </c>
      <c r="BJ265" s="239">
        <v>0</v>
      </c>
      <c r="BK265" s="239">
        <v>1086</v>
      </c>
      <c r="BL265" s="239">
        <v>39515.139416666665</v>
      </c>
      <c r="BM265" s="239">
        <v>0</v>
      </c>
      <c r="BN265" s="239">
        <v>806.43141666666668</v>
      </c>
      <c r="BO265" s="239">
        <v>0</v>
      </c>
      <c r="BP265" s="239">
        <v>0</v>
      </c>
      <c r="BQ265" s="239">
        <v>0</v>
      </c>
      <c r="BR265" s="239">
        <v>39515</v>
      </c>
      <c r="BS265" s="239">
        <v>0</v>
      </c>
      <c r="BT265" s="239">
        <v>806</v>
      </c>
      <c r="BU265" s="239">
        <v>834652.67097916664</v>
      </c>
      <c r="BV265" s="239">
        <v>0</v>
      </c>
      <c r="BW265" s="239">
        <v>17033.727979166666</v>
      </c>
      <c r="BX265" s="239">
        <v>553447</v>
      </c>
      <c r="BY265" s="239">
        <v>0</v>
      </c>
      <c r="BZ265" s="239">
        <v>11294</v>
      </c>
      <c r="CA265" s="239">
        <v>281206</v>
      </c>
      <c r="CB265" s="239">
        <v>0</v>
      </c>
      <c r="CC265" s="239">
        <v>5740</v>
      </c>
      <c r="CD265" s="239">
        <v>0</v>
      </c>
      <c r="CE265" s="239">
        <v>0</v>
      </c>
      <c r="CF265" s="239">
        <v>0</v>
      </c>
      <c r="CG265" s="239">
        <v>0</v>
      </c>
      <c r="CH265" s="239">
        <v>0</v>
      </c>
      <c r="CI265" s="239">
        <v>0</v>
      </c>
      <c r="CJ265" s="239">
        <v>0</v>
      </c>
      <c r="CK265" s="239">
        <v>0</v>
      </c>
      <c r="CL265" s="239">
        <v>0</v>
      </c>
      <c r="CM265" s="239">
        <v>4289.3742499999998</v>
      </c>
      <c r="CN265" s="239">
        <v>0</v>
      </c>
      <c r="CO265" s="239">
        <v>87.538250000000005</v>
      </c>
      <c r="CP265" s="239">
        <v>0</v>
      </c>
      <c r="CQ265" s="239">
        <v>0</v>
      </c>
      <c r="CR265" s="239">
        <v>0</v>
      </c>
      <c r="CS265" s="239">
        <v>4289</v>
      </c>
      <c r="CT265" s="239">
        <v>0</v>
      </c>
      <c r="CU265" s="239">
        <v>88</v>
      </c>
      <c r="CV265" s="239">
        <v>631170.56391666667</v>
      </c>
      <c r="CW265" s="239">
        <v>0</v>
      </c>
      <c r="CX265" s="239">
        <v>12881.031916666667</v>
      </c>
      <c r="CY265" s="239">
        <v>646805</v>
      </c>
      <c r="CZ265" s="239">
        <v>0</v>
      </c>
      <c r="DA265" s="239">
        <v>13200</v>
      </c>
      <c r="DB265" s="239">
        <v>-15634</v>
      </c>
      <c r="DC265" s="239">
        <v>0</v>
      </c>
      <c r="DD265" s="239">
        <v>-319</v>
      </c>
      <c r="DE265" s="214">
        <v>0.5</v>
      </c>
      <c r="DF265" s="214">
        <v>0.49</v>
      </c>
      <c r="DG265" s="214">
        <v>0</v>
      </c>
      <c r="DH265" s="214">
        <v>0.01</v>
      </c>
      <c r="DI265" s="214" t="s">
        <v>1296</v>
      </c>
    </row>
    <row r="266" spans="2:113" s="214" customFormat="1" x14ac:dyDescent="0.2">
      <c r="B266" s="610" t="s">
        <v>615</v>
      </c>
      <c r="C266" s="610" t="s">
        <v>614</v>
      </c>
      <c r="D266" s="239">
        <v>-604516</v>
      </c>
      <c r="E266" s="239">
        <v>0</v>
      </c>
      <c r="F266" s="239">
        <v>-604516</v>
      </c>
      <c r="G266" s="239">
        <v>0</v>
      </c>
      <c r="H266" s="239">
        <v>0</v>
      </c>
      <c r="I266" s="239">
        <v>0</v>
      </c>
      <c r="J266" s="239">
        <v>-604516</v>
      </c>
      <c r="K266" s="239">
        <v>0</v>
      </c>
      <c r="L266" s="239">
        <v>-604516</v>
      </c>
      <c r="M266" s="239">
        <v>239418</v>
      </c>
      <c r="N266" s="239">
        <v>239418</v>
      </c>
      <c r="O266" s="239">
        <v>0</v>
      </c>
      <c r="P266" s="239">
        <v>178705</v>
      </c>
      <c r="Q266" s="239">
        <v>1073146</v>
      </c>
      <c r="R266" s="239">
        <v>-894441</v>
      </c>
      <c r="S266" s="239">
        <v>0</v>
      </c>
      <c r="T266" s="239">
        <v>0</v>
      </c>
      <c r="U266" s="239">
        <v>0</v>
      </c>
      <c r="V266" s="239">
        <v>0</v>
      </c>
      <c r="W266" s="239">
        <v>0</v>
      </c>
      <c r="X266" s="239">
        <v>0</v>
      </c>
      <c r="Y266" s="239">
        <v>82013.336458333331</v>
      </c>
      <c r="Z266" s="239">
        <v>81137.497395833343</v>
      </c>
      <c r="AA266" s="239">
        <v>0</v>
      </c>
      <c r="AB266" s="239">
        <v>875.83906250000007</v>
      </c>
      <c r="AC266" s="239">
        <v>90513.5</v>
      </c>
      <c r="AD266" s="239">
        <v>89778.5</v>
      </c>
      <c r="AE266" s="239">
        <v>0</v>
      </c>
      <c r="AF266" s="239">
        <v>735</v>
      </c>
      <c r="AG266" s="239">
        <v>-8500</v>
      </c>
      <c r="AH266" s="239">
        <v>-8641</v>
      </c>
      <c r="AI266" s="239">
        <v>0</v>
      </c>
      <c r="AJ266" s="239">
        <v>141</v>
      </c>
      <c r="AK266" s="239">
        <v>772629.99967708334</v>
      </c>
      <c r="AL266" s="239">
        <v>0</v>
      </c>
      <c r="AM266" s="239">
        <v>15767.959177083332</v>
      </c>
      <c r="AN266" s="239">
        <v>709233</v>
      </c>
      <c r="AO266" s="239">
        <v>0</v>
      </c>
      <c r="AP266" s="239">
        <v>14474</v>
      </c>
      <c r="AQ266" s="239">
        <v>63397</v>
      </c>
      <c r="AR266" s="239">
        <v>0</v>
      </c>
      <c r="AS266" s="239">
        <v>1294</v>
      </c>
      <c r="AT266" s="239">
        <v>0</v>
      </c>
      <c r="AU266" s="239">
        <v>0</v>
      </c>
      <c r="AV266" s="239">
        <v>0</v>
      </c>
      <c r="AW266" s="239">
        <v>0</v>
      </c>
      <c r="AX266" s="239">
        <v>0</v>
      </c>
      <c r="AY266" s="239">
        <v>0</v>
      </c>
      <c r="AZ266" s="239">
        <v>0</v>
      </c>
      <c r="BA266" s="239">
        <v>0</v>
      </c>
      <c r="BB266" s="239">
        <v>0</v>
      </c>
      <c r="BC266" s="239">
        <v>19289.258333333335</v>
      </c>
      <c r="BD266" s="239">
        <v>0</v>
      </c>
      <c r="BE266" s="239">
        <v>393.65833333333336</v>
      </c>
      <c r="BF266" s="239">
        <v>0</v>
      </c>
      <c r="BG266" s="239">
        <v>0</v>
      </c>
      <c r="BH266" s="239">
        <v>0</v>
      </c>
      <c r="BI266" s="239">
        <v>19289</v>
      </c>
      <c r="BJ266" s="239">
        <v>0</v>
      </c>
      <c r="BK266" s="239">
        <v>394</v>
      </c>
      <c r="BL266" s="239">
        <v>19203.252104166666</v>
      </c>
      <c r="BM266" s="239">
        <v>0</v>
      </c>
      <c r="BN266" s="239">
        <v>391.90310416666665</v>
      </c>
      <c r="BO266" s="239">
        <v>3156</v>
      </c>
      <c r="BP266" s="239">
        <v>0</v>
      </c>
      <c r="BQ266" s="239">
        <v>64</v>
      </c>
      <c r="BR266" s="239">
        <v>16047</v>
      </c>
      <c r="BS266" s="239">
        <v>0</v>
      </c>
      <c r="BT266" s="239">
        <v>328</v>
      </c>
      <c r="BU266" s="239">
        <v>430795.25897916663</v>
      </c>
      <c r="BV266" s="239">
        <v>0</v>
      </c>
      <c r="BW266" s="239">
        <v>8791.7399791666667</v>
      </c>
      <c r="BX266" s="239">
        <v>398171</v>
      </c>
      <c r="BY266" s="239">
        <v>0</v>
      </c>
      <c r="BZ266" s="239">
        <v>8126</v>
      </c>
      <c r="CA266" s="239">
        <v>32624</v>
      </c>
      <c r="CB266" s="239">
        <v>0</v>
      </c>
      <c r="CC266" s="239">
        <v>666</v>
      </c>
      <c r="CD266" s="239">
        <v>0</v>
      </c>
      <c r="CE266" s="239">
        <v>0</v>
      </c>
      <c r="CF266" s="239">
        <v>0</v>
      </c>
      <c r="CG266" s="239">
        <v>0</v>
      </c>
      <c r="CH266" s="239">
        <v>0</v>
      </c>
      <c r="CI266" s="239">
        <v>0</v>
      </c>
      <c r="CJ266" s="239">
        <v>0</v>
      </c>
      <c r="CK266" s="239">
        <v>0</v>
      </c>
      <c r="CL266" s="239">
        <v>0</v>
      </c>
      <c r="CM266" s="239">
        <v>5228.979875</v>
      </c>
      <c r="CN266" s="239">
        <v>0</v>
      </c>
      <c r="CO266" s="239">
        <v>106.71387500000002</v>
      </c>
      <c r="CP266" s="239">
        <v>0</v>
      </c>
      <c r="CQ266" s="239">
        <v>0</v>
      </c>
      <c r="CR266" s="239">
        <v>0</v>
      </c>
      <c r="CS266" s="239">
        <v>5229</v>
      </c>
      <c r="CT266" s="239">
        <v>0</v>
      </c>
      <c r="CU266" s="239">
        <v>107</v>
      </c>
      <c r="CV266" s="239">
        <v>563403.37207291671</v>
      </c>
      <c r="CW266" s="239">
        <v>0</v>
      </c>
      <c r="CX266" s="239">
        <v>11444.841989583334</v>
      </c>
      <c r="CY266" s="239">
        <v>607713</v>
      </c>
      <c r="CZ266" s="239">
        <v>0</v>
      </c>
      <c r="DA266" s="239">
        <v>12067</v>
      </c>
      <c r="DB266" s="239">
        <v>-44310</v>
      </c>
      <c r="DC266" s="239">
        <v>0</v>
      </c>
      <c r="DD266" s="239">
        <v>-622</v>
      </c>
      <c r="DE266" s="214">
        <v>0.5</v>
      </c>
      <c r="DF266" s="214">
        <v>0.49</v>
      </c>
      <c r="DG266" s="214">
        <v>0</v>
      </c>
      <c r="DH266" s="214">
        <v>0.01</v>
      </c>
      <c r="DI266" s="214" t="s">
        <v>748</v>
      </c>
    </row>
    <row r="267" spans="2:113" s="214" customFormat="1" x14ac:dyDescent="0.2">
      <c r="B267" s="610" t="s">
        <v>617</v>
      </c>
      <c r="C267" s="610" t="s">
        <v>616</v>
      </c>
      <c r="D267" s="239">
        <v>-189670</v>
      </c>
      <c r="E267" s="239">
        <v>0</v>
      </c>
      <c r="F267" s="239">
        <v>-189670</v>
      </c>
      <c r="G267" s="239">
        <v>0</v>
      </c>
      <c r="H267" s="239">
        <v>0</v>
      </c>
      <c r="I267" s="239">
        <v>0</v>
      </c>
      <c r="J267" s="239">
        <v>-189670</v>
      </c>
      <c r="K267" s="239">
        <v>0</v>
      </c>
      <c r="L267" s="239">
        <v>-189670</v>
      </c>
      <c r="M267" s="239">
        <v>362244</v>
      </c>
      <c r="N267" s="239">
        <v>362244</v>
      </c>
      <c r="O267" s="239">
        <v>0</v>
      </c>
      <c r="P267" s="239">
        <v>0</v>
      </c>
      <c r="Q267" s="239">
        <v>0</v>
      </c>
      <c r="R267" s="239">
        <v>0</v>
      </c>
      <c r="S267" s="239">
        <v>0</v>
      </c>
      <c r="T267" s="239">
        <v>0</v>
      </c>
      <c r="U267" s="239">
        <v>0</v>
      </c>
      <c r="V267" s="239">
        <v>0</v>
      </c>
      <c r="W267" s="239">
        <v>0</v>
      </c>
      <c r="X267" s="239">
        <v>0</v>
      </c>
      <c r="Y267" s="239">
        <v>0</v>
      </c>
      <c r="Z267" s="239">
        <v>0</v>
      </c>
      <c r="AA267" s="239">
        <v>0</v>
      </c>
      <c r="AB267" s="239">
        <v>0</v>
      </c>
      <c r="AC267" s="239">
        <v>0</v>
      </c>
      <c r="AD267" s="239">
        <v>0</v>
      </c>
      <c r="AE267" s="239">
        <v>0</v>
      </c>
      <c r="AF267" s="239">
        <v>0</v>
      </c>
      <c r="AG267" s="239">
        <v>0</v>
      </c>
      <c r="AH267" s="239">
        <v>0</v>
      </c>
      <c r="AI267" s="239">
        <v>0</v>
      </c>
      <c r="AJ267" s="239">
        <v>0</v>
      </c>
      <c r="AK267" s="239">
        <v>1603902.0789895833</v>
      </c>
      <c r="AL267" s="239">
        <v>0</v>
      </c>
      <c r="AM267" s="239">
        <v>32732.695489583333</v>
      </c>
      <c r="AN267" s="239">
        <v>1489272</v>
      </c>
      <c r="AO267" s="239">
        <v>0</v>
      </c>
      <c r="AP267" s="239">
        <v>30394</v>
      </c>
      <c r="AQ267" s="239">
        <v>114630</v>
      </c>
      <c r="AR267" s="239">
        <v>0</v>
      </c>
      <c r="AS267" s="239">
        <v>2339</v>
      </c>
      <c r="AT267" s="239">
        <v>276.91022916666674</v>
      </c>
      <c r="AU267" s="239">
        <v>0</v>
      </c>
      <c r="AV267" s="239">
        <v>5.6512291666666679</v>
      </c>
      <c r="AW267" s="239">
        <v>2770</v>
      </c>
      <c r="AX267" s="239">
        <v>0</v>
      </c>
      <c r="AY267" s="239">
        <v>56</v>
      </c>
      <c r="AZ267" s="239">
        <v>-2493</v>
      </c>
      <c r="BA267" s="239">
        <v>0</v>
      </c>
      <c r="BB267" s="239">
        <v>-50</v>
      </c>
      <c r="BC267" s="239">
        <v>60001.027770833331</v>
      </c>
      <c r="BD267" s="239">
        <v>0</v>
      </c>
      <c r="BE267" s="239">
        <v>1224.5107708333335</v>
      </c>
      <c r="BF267" s="239">
        <v>0</v>
      </c>
      <c r="BG267" s="239">
        <v>0</v>
      </c>
      <c r="BH267" s="239">
        <v>0</v>
      </c>
      <c r="BI267" s="239">
        <v>60001</v>
      </c>
      <c r="BJ267" s="239">
        <v>0</v>
      </c>
      <c r="BK267" s="239">
        <v>1225</v>
      </c>
      <c r="BL267" s="239">
        <v>18047.8851875</v>
      </c>
      <c r="BM267" s="239">
        <v>0</v>
      </c>
      <c r="BN267" s="239">
        <v>368.32418749999999</v>
      </c>
      <c r="BO267" s="239">
        <v>13767</v>
      </c>
      <c r="BP267" s="239">
        <v>0</v>
      </c>
      <c r="BQ267" s="239">
        <v>280</v>
      </c>
      <c r="BR267" s="239">
        <v>4281</v>
      </c>
      <c r="BS267" s="239">
        <v>0</v>
      </c>
      <c r="BT267" s="239">
        <v>88</v>
      </c>
      <c r="BU267" s="239">
        <v>626730.37481249997</v>
      </c>
      <c r="BV267" s="239">
        <v>0</v>
      </c>
      <c r="BW267" s="239">
        <v>12790.415812499999</v>
      </c>
      <c r="BX267" s="239">
        <v>488046</v>
      </c>
      <c r="BY267" s="239">
        <v>0</v>
      </c>
      <c r="BZ267" s="239">
        <v>9960</v>
      </c>
      <c r="CA267" s="239">
        <v>138684</v>
      </c>
      <c r="CB267" s="239">
        <v>0</v>
      </c>
      <c r="CC267" s="239">
        <v>2830</v>
      </c>
      <c r="CD267" s="239">
        <v>0</v>
      </c>
      <c r="CE267" s="239">
        <v>0</v>
      </c>
      <c r="CF267" s="239">
        <v>0</v>
      </c>
      <c r="CG267" s="239">
        <v>0</v>
      </c>
      <c r="CH267" s="239">
        <v>0</v>
      </c>
      <c r="CI267" s="239">
        <v>0</v>
      </c>
      <c r="CJ267" s="239">
        <v>0</v>
      </c>
      <c r="CK267" s="239">
        <v>0</v>
      </c>
      <c r="CL267" s="239">
        <v>0</v>
      </c>
      <c r="CM267" s="239">
        <v>0</v>
      </c>
      <c r="CN267" s="239">
        <v>0</v>
      </c>
      <c r="CO267" s="239">
        <v>0</v>
      </c>
      <c r="CP267" s="239">
        <v>0</v>
      </c>
      <c r="CQ267" s="239">
        <v>0</v>
      </c>
      <c r="CR267" s="239">
        <v>0</v>
      </c>
      <c r="CS267" s="239">
        <v>0</v>
      </c>
      <c r="CT267" s="239">
        <v>0</v>
      </c>
      <c r="CU267" s="239">
        <v>0</v>
      </c>
      <c r="CV267" s="239">
        <v>641404.59775000007</v>
      </c>
      <c r="CW267" s="239">
        <v>0</v>
      </c>
      <c r="CX267" s="239">
        <v>13089.88975</v>
      </c>
      <c r="CY267" s="239">
        <v>594838</v>
      </c>
      <c r="CZ267" s="239">
        <v>0</v>
      </c>
      <c r="DA267" s="239">
        <v>12140</v>
      </c>
      <c r="DB267" s="239">
        <v>46567</v>
      </c>
      <c r="DC267" s="239">
        <v>0</v>
      </c>
      <c r="DD267" s="239">
        <v>950</v>
      </c>
      <c r="DE267" s="214">
        <v>0.5</v>
      </c>
      <c r="DF267" s="214">
        <v>0.49</v>
      </c>
      <c r="DG267" s="214">
        <v>0</v>
      </c>
      <c r="DH267" s="214">
        <v>0.01</v>
      </c>
      <c r="DI267" s="214" t="s">
        <v>748</v>
      </c>
    </row>
    <row r="268" spans="2:113" s="214" customFormat="1" x14ac:dyDescent="0.2">
      <c r="B268" s="610" t="s">
        <v>619</v>
      </c>
      <c r="C268" s="610" t="s">
        <v>618</v>
      </c>
      <c r="D268" s="239">
        <v>-88647</v>
      </c>
      <c r="E268" s="239">
        <v>0</v>
      </c>
      <c r="F268" s="239">
        <v>-88647</v>
      </c>
      <c r="G268" s="239">
        <v>0</v>
      </c>
      <c r="H268" s="239">
        <v>0</v>
      </c>
      <c r="I268" s="239">
        <v>0</v>
      </c>
      <c r="J268" s="239">
        <v>-88647</v>
      </c>
      <c r="K268" s="239">
        <v>0</v>
      </c>
      <c r="L268" s="239">
        <v>-88647</v>
      </c>
      <c r="M268" s="239">
        <v>217612</v>
      </c>
      <c r="N268" s="239">
        <v>217612</v>
      </c>
      <c r="O268" s="239">
        <v>0</v>
      </c>
      <c r="P268" s="239">
        <v>0</v>
      </c>
      <c r="Q268" s="239">
        <v>0</v>
      </c>
      <c r="R268" s="239">
        <v>0</v>
      </c>
      <c r="S268" s="239">
        <v>62687</v>
      </c>
      <c r="T268" s="239">
        <v>0</v>
      </c>
      <c r="U268" s="239">
        <v>0</v>
      </c>
      <c r="V268" s="239">
        <v>0</v>
      </c>
      <c r="W268" s="239">
        <v>62687</v>
      </c>
      <c r="X268" s="239">
        <v>0</v>
      </c>
      <c r="Y268" s="239">
        <v>0</v>
      </c>
      <c r="Z268" s="239">
        <v>0</v>
      </c>
      <c r="AA268" s="239">
        <v>0</v>
      </c>
      <c r="AB268" s="239">
        <v>0</v>
      </c>
      <c r="AC268" s="239">
        <v>0</v>
      </c>
      <c r="AD268" s="239">
        <v>0</v>
      </c>
      <c r="AE268" s="239">
        <v>0</v>
      </c>
      <c r="AF268" s="239">
        <v>0</v>
      </c>
      <c r="AG268" s="239">
        <v>0</v>
      </c>
      <c r="AH268" s="239">
        <v>0</v>
      </c>
      <c r="AI268" s="239">
        <v>0</v>
      </c>
      <c r="AJ268" s="239">
        <v>0</v>
      </c>
      <c r="AK268" s="239">
        <v>708686.5009458334</v>
      </c>
      <c r="AL268" s="239">
        <v>177171.62523645835</v>
      </c>
      <c r="AM268" s="239">
        <v>0</v>
      </c>
      <c r="AN268" s="239">
        <v>668851</v>
      </c>
      <c r="AO268" s="239">
        <v>167214</v>
      </c>
      <c r="AP268" s="239">
        <v>0</v>
      </c>
      <c r="AQ268" s="239">
        <v>39836</v>
      </c>
      <c r="AR268" s="239">
        <v>9958</v>
      </c>
      <c r="AS268" s="239">
        <v>0</v>
      </c>
      <c r="AT268" s="239">
        <v>0</v>
      </c>
      <c r="AU268" s="239">
        <v>0</v>
      </c>
      <c r="AV268" s="239">
        <v>0</v>
      </c>
      <c r="AW268" s="239">
        <v>0</v>
      </c>
      <c r="AX268" s="239">
        <v>0</v>
      </c>
      <c r="AY268" s="239">
        <v>0</v>
      </c>
      <c r="AZ268" s="239">
        <v>0</v>
      </c>
      <c r="BA268" s="239">
        <v>0</v>
      </c>
      <c r="BB268" s="239">
        <v>0</v>
      </c>
      <c r="BC268" s="239">
        <v>0</v>
      </c>
      <c r="BD268" s="239">
        <v>0</v>
      </c>
      <c r="BE268" s="239">
        <v>0</v>
      </c>
      <c r="BF268" s="239">
        <v>0</v>
      </c>
      <c r="BG268" s="239">
        <v>0</v>
      </c>
      <c r="BH268" s="239">
        <v>0</v>
      </c>
      <c r="BI268" s="239">
        <v>0</v>
      </c>
      <c r="BJ268" s="239">
        <v>0</v>
      </c>
      <c r="BK268" s="239">
        <v>0</v>
      </c>
      <c r="BL268" s="239">
        <v>20559.51666666667</v>
      </c>
      <c r="BM268" s="239">
        <v>5139.8791666666675</v>
      </c>
      <c r="BN268" s="239">
        <v>0</v>
      </c>
      <c r="BO268" s="239">
        <v>0</v>
      </c>
      <c r="BP268" s="239">
        <v>0</v>
      </c>
      <c r="BQ268" s="239">
        <v>0</v>
      </c>
      <c r="BR268" s="239">
        <v>20560</v>
      </c>
      <c r="BS268" s="239">
        <v>5140</v>
      </c>
      <c r="BT268" s="239">
        <v>0</v>
      </c>
      <c r="BU268" s="239">
        <v>241698.91166666668</v>
      </c>
      <c r="BV268" s="239">
        <v>60424.72791666667</v>
      </c>
      <c r="BW268" s="239">
        <v>0</v>
      </c>
      <c r="BX268" s="239">
        <v>77499</v>
      </c>
      <c r="BY268" s="239">
        <v>19376</v>
      </c>
      <c r="BZ268" s="239">
        <v>0</v>
      </c>
      <c r="CA268" s="239">
        <v>164200</v>
      </c>
      <c r="CB268" s="239">
        <v>41049</v>
      </c>
      <c r="CC268" s="239">
        <v>0</v>
      </c>
      <c r="CD268" s="239">
        <v>0</v>
      </c>
      <c r="CE268" s="239">
        <v>0</v>
      </c>
      <c r="CF268" s="239">
        <v>0</v>
      </c>
      <c r="CG268" s="239">
        <v>0</v>
      </c>
      <c r="CH268" s="239">
        <v>0</v>
      </c>
      <c r="CI268" s="239">
        <v>0</v>
      </c>
      <c r="CJ268" s="239">
        <v>0</v>
      </c>
      <c r="CK268" s="239">
        <v>0</v>
      </c>
      <c r="CL268" s="239">
        <v>0</v>
      </c>
      <c r="CM268" s="239">
        <v>2179.3250000000003</v>
      </c>
      <c r="CN268" s="239">
        <v>544.83125000000007</v>
      </c>
      <c r="CO268" s="239">
        <v>0</v>
      </c>
      <c r="CP268" s="239">
        <v>0</v>
      </c>
      <c r="CQ268" s="239">
        <v>0</v>
      </c>
      <c r="CR268" s="239">
        <v>0</v>
      </c>
      <c r="CS268" s="239">
        <v>2179</v>
      </c>
      <c r="CT268" s="239">
        <v>545</v>
      </c>
      <c r="CU268" s="239">
        <v>0</v>
      </c>
      <c r="CV268" s="239">
        <v>303761.18791666668</v>
      </c>
      <c r="CW268" s="239">
        <v>75711.750625000015</v>
      </c>
      <c r="CX268" s="239">
        <v>0</v>
      </c>
      <c r="CY268" s="239">
        <v>315840</v>
      </c>
      <c r="CZ268" s="239">
        <v>78960</v>
      </c>
      <c r="DA268" s="239">
        <v>0</v>
      </c>
      <c r="DB268" s="239">
        <v>-12079</v>
      </c>
      <c r="DC268" s="239">
        <v>-3248</v>
      </c>
      <c r="DD268" s="239">
        <v>0</v>
      </c>
      <c r="DE268" s="214">
        <v>0.5</v>
      </c>
      <c r="DF268" s="214">
        <v>0.4</v>
      </c>
      <c r="DG268" s="214">
        <v>0.1</v>
      </c>
      <c r="DH268" s="214">
        <v>0</v>
      </c>
      <c r="DI268" s="214" t="s">
        <v>1294</v>
      </c>
    </row>
    <row r="269" spans="2:113" s="214" customFormat="1" x14ac:dyDescent="0.2">
      <c r="B269" s="610" t="s">
        <v>621</v>
      </c>
      <c r="C269" s="610" t="s">
        <v>620</v>
      </c>
      <c r="D269" s="239">
        <v>292653</v>
      </c>
      <c r="E269" s="239">
        <v>0</v>
      </c>
      <c r="F269" s="239">
        <v>292653</v>
      </c>
      <c r="G269" s="239">
        <v>0</v>
      </c>
      <c r="H269" s="239">
        <v>0</v>
      </c>
      <c r="I269" s="239">
        <v>0</v>
      </c>
      <c r="J269" s="239">
        <v>292653</v>
      </c>
      <c r="K269" s="239">
        <v>0</v>
      </c>
      <c r="L269" s="239">
        <v>292653</v>
      </c>
      <c r="M269" s="239">
        <v>158456</v>
      </c>
      <c r="N269" s="239">
        <v>158456</v>
      </c>
      <c r="O269" s="239">
        <v>0</v>
      </c>
      <c r="P269" s="239">
        <v>0</v>
      </c>
      <c r="Q269" s="239">
        <v>0</v>
      </c>
      <c r="R269" s="239">
        <v>0</v>
      </c>
      <c r="S269" s="239">
        <v>109176</v>
      </c>
      <c r="T269" s="239">
        <v>0</v>
      </c>
      <c r="U269" s="239">
        <v>696</v>
      </c>
      <c r="V269" s="239">
        <v>0</v>
      </c>
      <c r="W269" s="239">
        <v>108480</v>
      </c>
      <c r="X269" s="239">
        <v>0</v>
      </c>
      <c r="Y269" s="239">
        <v>0</v>
      </c>
      <c r="Z269" s="239">
        <v>0</v>
      </c>
      <c r="AA269" s="239">
        <v>0</v>
      </c>
      <c r="AB269" s="239">
        <v>0</v>
      </c>
      <c r="AC269" s="239">
        <v>0</v>
      </c>
      <c r="AD269" s="239">
        <v>0</v>
      </c>
      <c r="AE269" s="239">
        <v>0</v>
      </c>
      <c r="AF269" s="239">
        <v>0</v>
      </c>
      <c r="AG269" s="239">
        <v>0</v>
      </c>
      <c r="AH269" s="239">
        <v>0</v>
      </c>
      <c r="AI269" s="239">
        <v>0</v>
      </c>
      <c r="AJ269" s="239">
        <v>0</v>
      </c>
      <c r="AK269" s="239">
        <v>543738.13791666669</v>
      </c>
      <c r="AL269" s="239">
        <v>135934.53447916667</v>
      </c>
      <c r="AM269" s="239">
        <v>0</v>
      </c>
      <c r="AN269" s="239">
        <v>512016</v>
      </c>
      <c r="AO269" s="239">
        <v>128004</v>
      </c>
      <c r="AP269" s="239">
        <v>0</v>
      </c>
      <c r="AQ269" s="239">
        <v>31722</v>
      </c>
      <c r="AR269" s="239">
        <v>7931</v>
      </c>
      <c r="AS269" s="239">
        <v>0</v>
      </c>
      <c r="AT269" s="239">
        <v>0</v>
      </c>
      <c r="AU269" s="239">
        <v>0</v>
      </c>
      <c r="AV269" s="239">
        <v>0</v>
      </c>
      <c r="AW269" s="239">
        <v>0</v>
      </c>
      <c r="AX269" s="239">
        <v>0</v>
      </c>
      <c r="AY269" s="239">
        <v>0</v>
      </c>
      <c r="AZ269" s="239">
        <v>0</v>
      </c>
      <c r="BA269" s="239">
        <v>0</v>
      </c>
      <c r="BB269" s="239">
        <v>0</v>
      </c>
      <c r="BC269" s="239">
        <v>0</v>
      </c>
      <c r="BD269" s="239">
        <v>0</v>
      </c>
      <c r="BE269" s="239">
        <v>0</v>
      </c>
      <c r="BF269" s="239">
        <v>0</v>
      </c>
      <c r="BG269" s="239">
        <v>0</v>
      </c>
      <c r="BH269" s="239">
        <v>0</v>
      </c>
      <c r="BI269" s="239">
        <v>0</v>
      </c>
      <c r="BJ269" s="239">
        <v>0</v>
      </c>
      <c r="BK269" s="239">
        <v>0</v>
      </c>
      <c r="BL269" s="239">
        <v>569.79</v>
      </c>
      <c r="BM269" s="239">
        <v>142.44749999999999</v>
      </c>
      <c r="BN269" s="239">
        <v>0</v>
      </c>
      <c r="BO269" s="239">
        <v>0</v>
      </c>
      <c r="BP269" s="239">
        <v>0</v>
      </c>
      <c r="BQ269" s="239">
        <v>0</v>
      </c>
      <c r="BR269" s="239">
        <v>570</v>
      </c>
      <c r="BS269" s="239">
        <v>142</v>
      </c>
      <c r="BT269" s="239">
        <v>0</v>
      </c>
      <c r="BU269" s="239">
        <v>224250.91916666669</v>
      </c>
      <c r="BV269" s="239">
        <v>56062.729791666672</v>
      </c>
      <c r="BW269" s="239">
        <v>0</v>
      </c>
      <c r="BX269" s="239">
        <v>216657</v>
      </c>
      <c r="BY269" s="239">
        <v>54164</v>
      </c>
      <c r="BZ269" s="239">
        <v>0</v>
      </c>
      <c r="CA269" s="239">
        <v>7594</v>
      </c>
      <c r="CB269" s="239">
        <v>1899</v>
      </c>
      <c r="CC269" s="239">
        <v>0</v>
      </c>
      <c r="CD269" s="239">
        <v>0</v>
      </c>
      <c r="CE269" s="239">
        <v>0</v>
      </c>
      <c r="CF269" s="239">
        <v>0</v>
      </c>
      <c r="CG269" s="239">
        <v>0</v>
      </c>
      <c r="CH269" s="239">
        <v>0</v>
      </c>
      <c r="CI269" s="239">
        <v>0</v>
      </c>
      <c r="CJ269" s="239">
        <v>0</v>
      </c>
      <c r="CK269" s="239">
        <v>0</v>
      </c>
      <c r="CL269" s="239">
        <v>0</v>
      </c>
      <c r="CM269" s="239">
        <v>3279.1333333333337</v>
      </c>
      <c r="CN269" s="239">
        <v>819.78333333333342</v>
      </c>
      <c r="CO269" s="239">
        <v>0</v>
      </c>
      <c r="CP269" s="239">
        <v>0</v>
      </c>
      <c r="CQ269" s="239">
        <v>0</v>
      </c>
      <c r="CR269" s="239">
        <v>0</v>
      </c>
      <c r="CS269" s="239">
        <v>3279</v>
      </c>
      <c r="CT269" s="239">
        <v>820</v>
      </c>
      <c r="CU269" s="239">
        <v>0</v>
      </c>
      <c r="CV269" s="239">
        <v>155951.74583333332</v>
      </c>
      <c r="CW269" s="239">
        <v>38589.898958333331</v>
      </c>
      <c r="CX269" s="239">
        <v>0</v>
      </c>
      <c r="CY269" s="239">
        <v>149639</v>
      </c>
      <c r="CZ269" s="239">
        <v>37407</v>
      </c>
      <c r="DA269" s="239">
        <v>0</v>
      </c>
      <c r="DB269" s="239">
        <v>6313</v>
      </c>
      <c r="DC269" s="239">
        <v>1183</v>
      </c>
      <c r="DD269" s="239">
        <v>0</v>
      </c>
      <c r="DE269" s="214">
        <v>0.5</v>
      </c>
      <c r="DF269" s="214">
        <v>0.4</v>
      </c>
      <c r="DG269" s="214">
        <v>0.1</v>
      </c>
      <c r="DH269" s="214">
        <v>0</v>
      </c>
      <c r="DI269" s="214" t="s">
        <v>1294</v>
      </c>
    </row>
    <row r="270" spans="2:113" s="214" customFormat="1" x14ac:dyDescent="0.2">
      <c r="B270" s="610" t="s">
        <v>623</v>
      </c>
      <c r="C270" s="610" t="s">
        <v>622</v>
      </c>
      <c r="D270" s="239">
        <v>-479528</v>
      </c>
      <c r="E270" s="239">
        <v>0</v>
      </c>
      <c r="F270" s="239">
        <v>-479528</v>
      </c>
      <c r="G270" s="239">
        <v>0</v>
      </c>
      <c r="H270" s="239">
        <v>0</v>
      </c>
      <c r="I270" s="239">
        <v>0</v>
      </c>
      <c r="J270" s="239">
        <v>-479528</v>
      </c>
      <c r="K270" s="239">
        <v>0</v>
      </c>
      <c r="L270" s="239">
        <v>-479528</v>
      </c>
      <c r="M270" s="239">
        <v>278139</v>
      </c>
      <c r="N270" s="239">
        <v>278139</v>
      </c>
      <c r="O270" s="239">
        <v>0</v>
      </c>
      <c r="P270" s="239">
        <v>0</v>
      </c>
      <c r="Q270" s="239">
        <v>0</v>
      </c>
      <c r="R270" s="239">
        <v>0</v>
      </c>
      <c r="S270" s="239">
        <v>184900</v>
      </c>
      <c r="T270" s="239">
        <v>0</v>
      </c>
      <c r="U270" s="239">
        <v>0</v>
      </c>
      <c r="V270" s="239">
        <v>0</v>
      </c>
      <c r="W270" s="239">
        <v>184900</v>
      </c>
      <c r="X270" s="239">
        <v>0</v>
      </c>
      <c r="Y270" s="239">
        <v>0</v>
      </c>
      <c r="Z270" s="239">
        <v>0</v>
      </c>
      <c r="AA270" s="239">
        <v>0</v>
      </c>
      <c r="AB270" s="239">
        <v>0</v>
      </c>
      <c r="AC270" s="239">
        <v>0</v>
      </c>
      <c r="AD270" s="239">
        <v>0</v>
      </c>
      <c r="AE270" s="239">
        <v>0</v>
      </c>
      <c r="AF270" s="239">
        <v>0</v>
      </c>
      <c r="AG270" s="239">
        <v>0</v>
      </c>
      <c r="AH270" s="239">
        <v>0</v>
      </c>
      <c r="AI270" s="239">
        <v>0</v>
      </c>
      <c r="AJ270" s="239">
        <v>0</v>
      </c>
      <c r="AK270" s="239">
        <v>791785.90625000012</v>
      </c>
      <c r="AL270" s="239">
        <v>197946.47656250003</v>
      </c>
      <c r="AM270" s="239">
        <v>0</v>
      </c>
      <c r="AN270" s="239">
        <v>744953</v>
      </c>
      <c r="AO270" s="239">
        <v>186238</v>
      </c>
      <c r="AP270" s="239">
        <v>0</v>
      </c>
      <c r="AQ270" s="239">
        <v>46833</v>
      </c>
      <c r="AR270" s="239">
        <v>11708</v>
      </c>
      <c r="AS270" s="239">
        <v>0</v>
      </c>
      <c r="AT270" s="239">
        <v>2635.4816666666666</v>
      </c>
      <c r="AU270" s="239">
        <v>658.87041666666664</v>
      </c>
      <c r="AV270" s="239">
        <v>0</v>
      </c>
      <c r="AW270" s="239">
        <v>0</v>
      </c>
      <c r="AX270" s="239">
        <v>0</v>
      </c>
      <c r="AY270" s="239">
        <v>0</v>
      </c>
      <c r="AZ270" s="239">
        <v>2635</v>
      </c>
      <c r="BA270" s="239">
        <v>659</v>
      </c>
      <c r="BB270" s="239">
        <v>0</v>
      </c>
      <c r="BC270" s="239">
        <v>0</v>
      </c>
      <c r="BD270" s="239">
        <v>0</v>
      </c>
      <c r="BE270" s="239">
        <v>0</v>
      </c>
      <c r="BF270" s="239">
        <v>0</v>
      </c>
      <c r="BG270" s="239">
        <v>0</v>
      </c>
      <c r="BH270" s="239">
        <v>0</v>
      </c>
      <c r="BI270" s="239">
        <v>0</v>
      </c>
      <c r="BJ270" s="239">
        <v>0</v>
      </c>
      <c r="BK270" s="239">
        <v>0</v>
      </c>
      <c r="BL270" s="239">
        <v>8149.9449999999997</v>
      </c>
      <c r="BM270" s="239">
        <v>2037.4862499999999</v>
      </c>
      <c r="BN270" s="239">
        <v>0</v>
      </c>
      <c r="BO270" s="239">
        <v>892</v>
      </c>
      <c r="BP270" s="239">
        <v>224</v>
      </c>
      <c r="BQ270" s="239">
        <v>0</v>
      </c>
      <c r="BR270" s="239">
        <v>7258</v>
      </c>
      <c r="BS270" s="239">
        <v>1813</v>
      </c>
      <c r="BT270" s="239">
        <v>0</v>
      </c>
      <c r="BU270" s="239">
        <v>311167.02666666673</v>
      </c>
      <c r="BV270" s="239">
        <v>77791.756666666683</v>
      </c>
      <c r="BW270" s="239">
        <v>0</v>
      </c>
      <c r="BX270" s="239">
        <v>314043</v>
      </c>
      <c r="BY270" s="239">
        <v>78512</v>
      </c>
      <c r="BZ270" s="239">
        <v>0</v>
      </c>
      <c r="CA270" s="239">
        <v>-2876</v>
      </c>
      <c r="CB270" s="239">
        <v>-720</v>
      </c>
      <c r="CC270" s="239">
        <v>0</v>
      </c>
      <c r="CD270" s="239">
        <v>0</v>
      </c>
      <c r="CE270" s="239">
        <v>0</v>
      </c>
      <c r="CF270" s="239">
        <v>0</v>
      </c>
      <c r="CG270" s="239">
        <v>0</v>
      </c>
      <c r="CH270" s="239">
        <v>0</v>
      </c>
      <c r="CI270" s="239">
        <v>0</v>
      </c>
      <c r="CJ270" s="239">
        <v>0</v>
      </c>
      <c r="CK270" s="239">
        <v>0</v>
      </c>
      <c r="CL270" s="239">
        <v>0</v>
      </c>
      <c r="CM270" s="239">
        <v>11630.371666666666</v>
      </c>
      <c r="CN270" s="239">
        <v>2907.5929166666665</v>
      </c>
      <c r="CO270" s="239">
        <v>0</v>
      </c>
      <c r="CP270" s="239">
        <v>0</v>
      </c>
      <c r="CQ270" s="239">
        <v>0</v>
      </c>
      <c r="CR270" s="239">
        <v>0</v>
      </c>
      <c r="CS270" s="239">
        <v>11630</v>
      </c>
      <c r="CT270" s="239">
        <v>2908</v>
      </c>
      <c r="CU270" s="239">
        <v>0</v>
      </c>
      <c r="CV270" s="239">
        <v>362425.80500000005</v>
      </c>
      <c r="CW270" s="239">
        <v>89932.336666666684</v>
      </c>
      <c r="CX270" s="239">
        <v>0</v>
      </c>
      <c r="CY270" s="239">
        <v>380671</v>
      </c>
      <c r="CZ270" s="239">
        <v>95168</v>
      </c>
      <c r="DA270" s="239">
        <v>0</v>
      </c>
      <c r="DB270" s="239">
        <v>-18245</v>
      </c>
      <c r="DC270" s="239">
        <v>-5236</v>
      </c>
      <c r="DD270" s="239">
        <v>0</v>
      </c>
      <c r="DE270" s="214">
        <v>0.5</v>
      </c>
      <c r="DF270" s="214">
        <v>0.4</v>
      </c>
      <c r="DG270" s="214">
        <v>0.1</v>
      </c>
      <c r="DH270" s="214">
        <v>0</v>
      </c>
      <c r="DI270" s="214" t="s">
        <v>1294</v>
      </c>
    </row>
    <row r="271" spans="2:113" s="214" customFormat="1" x14ac:dyDescent="0.2">
      <c r="B271" s="610" t="s">
        <v>625</v>
      </c>
      <c r="C271" s="610" t="s">
        <v>624</v>
      </c>
      <c r="D271" s="239">
        <v>-199002</v>
      </c>
      <c r="E271" s="239">
        <v>0</v>
      </c>
      <c r="F271" s="239">
        <v>-199002</v>
      </c>
      <c r="G271" s="239">
        <v>0</v>
      </c>
      <c r="H271" s="239">
        <v>0</v>
      </c>
      <c r="I271" s="239">
        <v>0</v>
      </c>
      <c r="J271" s="239">
        <v>-199002</v>
      </c>
      <c r="K271" s="239">
        <v>0</v>
      </c>
      <c r="L271" s="239">
        <v>-199002</v>
      </c>
      <c r="M271" s="239">
        <v>337431</v>
      </c>
      <c r="N271" s="239">
        <v>337431</v>
      </c>
      <c r="O271" s="239">
        <v>0</v>
      </c>
      <c r="P271" s="239">
        <v>708744</v>
      </c>
      <c r="Q271" s="239">
        <v>657508</v>
      </c>
      <c r="R271" s="239">
        <v>51236</v>
      </c>
      <c r="S271" s="239">
        <v>0</v>
      </c>
      <c r="T271" s="239">
        <v>0</v>
      </c>
      <c r="U271" s="239">
        <v>0</v>
      </c>
      <c r="V271" s="239">
        <v>0</v>
      </c>
      <c r="W271" s="239">
        <v>0</v>
      </c>
      <c r="X271" s="239">
        <v>0</v>
      </c>
      <c r="Y271" s="239">
        <v>35013.270833333336</v>
      </c>
      <c r="Z271" s="239">
        <v>35013.270833333336</v>
      </c>
      <c r="AA271" s="239">
        <v>0</v>
      </c>
      <c r="AB271" s="239">
        <v>0</v>
      </c>
      <c r="AC271" s="239">
        <v>34510</v>
      </c>
      <c r="AD271" s="239">
        <v>34510</v>
      </c>
      <c r="AE271" s="239">
        <v>0</v>
      </c>
      <c r="AF271" s="239">
        <v>0</v>
      </c>
      <c r="AG271" s="239">
        <v>503</v>
      </c>
      <c r="AH271" s="239">
        <v>503</v>
      </c>
      <c r="AI271" s="239">
        <v>0</v>
      </c>
      <c r="AJ271" s="239">
        <v>0</v>
      </c>
      <c r="AK271" s="239">
        <v>1162742.511375</v>
      </c>
      <c r="AL271" s="239">
        <v>0</v>
      </c>
      <c r="AM271" s="239">
        <v>23703.629249999998</v>
      </c>
      <c r="AN271" s="239">
        <v>1112970</v>
      </c>
      <c r="AO271" s="239">
        <v>0</v>
      </c>
      <c r="AP271" s="239">
        <v>22714</v>
      </c>
      <c r="AQ271" s="239">
        <v>49773</v>
      </c>
      <c r="AR271" s="239">
        <v>0</v>
      </c>
      <c r="AS271" s="239">
        <v>990</v>
      </c>
      <c r="AT271" s="239">
        <v>3582.432875</v>
      </c>
      <c r="AU271" s="239">
        <v>0</v>
      </c>
      <c r="AV271" s="239">
        <v>73.110874999999993</v>
      </c>
      <c r="AW271" s="239">
        <v>6463</v>
      </c>
      <c r="AX271" s="239">
        <v>0</v>
      </c>
      <c r="AY271" s="239">
        <v>132</v>
      </c>
      <c r="AZ271" s="239">
        <v>-2881</v>
      </c>
      <c r="BA271" s="239">
        <v>0</v>
      </c>
      <c r="BB271" s="239">
        <v>-59</v>
      </c>
      <c r="BC271" s="239">
        <v>0</v>
      </c>
      <c r="BD271" s="239">
        <v>0</v>
      </c>
      <c r="BE271" s="239">
        <v>0</v>
      </c>
      <c r="BF271" s="239">
        <v>0</v>
      </c>
      <c r="BG271" s="239">
        <v>0</v>
      </c>
      <c r="BH271" s="239">
        <v>0</v>
      </c>
      <c r="BI271" s="239">
        <v>0</v>
      </c>
      <c r="BJ271" s="239">
        <v>0</v>
      </c>
      <c r="BK271" s="239">
        <v>0</v>
      </c>
      <c r="BL271" s="239">
        <v>47837.857812499999</v>
      </c>
      <c r="BM271" s="239">
        <v>0</v>
      </c>
      <c r="BN271" s="239">
        <v>976.28281249999998</v>
      </c>
      <c r="BO271" s="239">
        <v>5899</v>
      </c>
      <c r="BP271" s="239">
        <v>0</v>
      </c>
      <c r="BQ271" s="239">
        <v>120</v>
      </c>
      <c r="BR271" s="239">
        <v>41939</v>
      </c>
      <c r="BS271" s="239">
        <v>0</v>
      </c>
      <c r="BT271" s="239">
        <v>856</v>
      </c>
      <c r="BU271" s="239">
        <v>617581.89718750014</v>
      </c>
      <c r="BV271" s="239">
        <v>0</v>
      </c>
      <c r="BW271" s="239">
        <v>12603.712187500001</v>
      </c>
      <c r="BX271" s="239">
        <v>567286</v>
      </c>
      <c r="BY271" s="239">
        <v>0</v>
      </c>
      <c r="BZ271" s="239">
        <v>11578</v>
      </c>
      <c r="CA271" s="239">
        <v>50296</v>
      </c>
      <c r="CB271" s="239">
        <v>0</v>
      </c>
      <c r="CC271" s="239">
        <v>1026</v>
      </c>
      <c r="CD271" s="239">
        <v>0</v>
      </c>
      <c r="CE271" s="239">
        <v>0</v>
      </c>
      <c r="CF271" s="239">
        <v>0</v>
      </c>
      <c r="CG271" s="239">
        <v>0</v>
      </c>
      <c r="CH271" s="239">
        <v>0</v>
      </c>
      <c r="CI271" s="239">
        <v>0</v>
      </c>
      <c r="CJ271" s="239">
        <v>0</v>
      </c>
      <c r="CK271" s="239">
        <v>0</v>
      </c>
      <c r="CL271" s="239">
        <v>0</v>
      </c>
      <c r="CM271" s="239">
        <v>10329.696125</v>
      </c>
      <c r="CN271" s="239">
        <v>0</v>
      </c>
      <c r="CO271" s="239">
        <v>210.810125</v>
      </c>
      <c r="CP271" s="239">
        <v>0</v>
      </c>
      <c r="CQ271" s="239">
        <v>0</v>
      </c>
      <c r="CR271" s="239">
        <v>0</v>
      </c>
      <c r="CS271" s="239">
        <v>10330</v>
      </c>
      <c r="CT271" s="239">
        <v>0</v>
      </c>
      <c r="CU271" s="239">
        <v>211</v>
      </c>
      <c r="CV271" s="239">
        <v>638892.11079166667</v>
      </c>
      <c r="CW271" s="239">
        <v>0</v>
      </c>
      <c r="CX271" s="239">
        <v>12827.678791666667</v>
      </c>
      <c r="CY271" s="239">
        <v>632494</v>
      </c>
      <c r="CZ271" s="239">
        <v>0</v>
      </c>
      <c r="DA271" s="239">
        <v>12702</v>
      </c>
      <c r="DB271" s="239">
        <v>6398</v>
      </c>
      <c r="DC271" s="239">
        <v>0</v>
      </c>
      <c r="DD271" s="239">
        <v>126</v>
      </c>
      <c r="DE271" s="214">
        <v>0.5</v>
      </c>
      <c r="DF271" s="214">
        <v>0.49</v>
      </c>
      <c r="DG271" s="214">
        <v>0</v>
      </c>
      <c r="DH271" s="214">
        <v>0.01</v>
      </c>
      <c r="DI271" s="214" t="s">
        <v>1296</v>
      </c>
    </row>
    <row r="272" spans="2:113" s="214" customFormat="1" x14ac:dyDescent="0.2">
      <c r="B272" s="610" t="s">
        <v>627</v>
      </c>
      <c r="C272" s="610" t="s">
        <v>626</v>
      </c>
      <c r="D272" s="239">
        <v>-39482</v>
      </c>
      <c r="E272" s="239">
        <v>0</v>
      </c>
      <c r="F272" s="239">
        <v>-39482</v>
      </c>
      <c r="G272" s="239">
        <v>0</v>
      </c>
      <c r="H272" s="239">
        <v>0</v>
      </c>
      <c r="I272" s="239">
        <v>0</v>
      </c>
      <c r="J272" s="239">
        <v>-39482</v>
      </c>
      <c r="K272" s="239">
        <v>0</v>
      </c>
      <c r="L272" s="239">
        <v>-39482</v>
      </c>
      <c r="M272" s="239">
        <v>122065</v>
      </c>
      <c r="N272" s="239">
        <v>122065</v>
      </c>
      <c r="O272" s="239">
        <v>0</v>
      </c>
      <c r="P272" s="239">
        <v>0</v>
      </c>
      <c r="Q272" s="239">
        <v>0</v>
      </c>
      <c r="R272" s="239">
        <v>0</v>
      </c>
      <c r="S272" s="239">
        <v>0</v>
      </c>
      <c r="T272" s="239">
        <v>0</v>
      </c>
      <c r="U272" s="239">
        <v>0</v>
      </c>
      <c r="V272" s="239">
        <v>0</v>
      </c>
      <c r="W272" s="239">
        <v>0</v>
      </c>
      <c r="X272" s="239">
        <v>0</v>
      </c>
      <c r="Y272" s="239">
        <v>0</v>
      </c>
      <c r="Z272" s="239">
        <v>0</v>
      </c>
      <c r="AA272" s="239">
        <v>0</v>
      </c>
      <c r="AB272" s="239">
        <v>0</v>
      </c>
      <c r="AC272" s="239">
        <v>0</v>
      </c>
      <c r="AD272" s="239">
        <v>0</v>
      </c>
      <c r="AE272" s="239">
        <v>0</v>
      </c>
      <c r="AF272" s="239">
        <v>0</v>
      </c>
      <c r="AG272" s="239">
        <v>0</v>
      </c>
      <c r="AH272" s="239">
        <v>0</v>
      </c>
      <c r="AI272" s="239">
        <v>0</v>
      </c>
      <c r="AJ272" s="239">
        <v>0</v>
      </c>
      <c r="AK272" s="239">
        <v>283247.72250000003</v>
      </c>
      <c r="AL272" s="239">
        <v>70811.930625000008</v>
      </c>
      <c r="AM272" s="239">
        <v>0</v>
      </c>
      <c r="AN272" s="239">
        <v>261763</v>
      </c>
      <c r="AO272" s="239">
        <v>65440</v>
      </c>
      <c r="AP272" s="239">
        <v>0</v>
      </c>
      <c r="AQ272" s="239">
        <v>21485</v>
      </c>
      <c r="AR272" s="239">
        <v>5372</v>
      </c>
      <c r="AS272" s="239">
        <v>0</v>
      </c>
      <c r="AT272" s="239">
        <v>374.5841666666667</v>
      </c>
      <c r="AU272" s="239">
        <v>93.646041666666676</v>
      </c>
      <c r="AV272" s="239">
        <v>0</v>
      </c>
      <c r="AW272" s="239">
        <v>4059</v>
      </c>
      <c r="AX272" s="239">
        <v>1014</v>
      </c>
      <c r="AY272" s="239">
        <v>0</v>
      </c>
      <c r="AZ272" s="239">
        <v>-3684</v>
      </c>
      <c r="BA272" s="239">
        <v>-920</v>
      </c>
      <c r="BB272" s="239">
        <v>0</v>
      </c>
      <c r="BC272" s="239">
        <v>161343.91166666668</v>
      </c>
      <c r="BD272" s="239">
        <v>40335.97791666667</v>
      </c>
      <c r="BE272" s="239">
        <v>0</v>
      </c>
      <c r="BF272" s="239">
        <v>4059</v>
      </c>
      <c r="BG272" s="239">
        <v>1014</v>
      </c>
      <c r="BH272" s="239">
        <v>0</v>
      </c>
      <c r="BI272" s="239">
        <v>157285</v>
      </c>
      <c r="BJ272" s="239">
        <v>39322</v>
      </c>
      <c r="BK272" s="239">
        <v>0</v>
      </c>
      <c r="BL272" s="239">
        <v>16532.026666666668</v>
      </c>
      <c r="BM272" s="239">
        <v>4133.0066666666671</v>
      </c>
      <c r="BN272" s="239">
        <v>0</v>
      </c>
      <c r="BO272" s="239">
        <v>405</v>
      </c>
      <c r="BP272" s="239">
        <v>102</v>
      </c>
      <c r="BQ272" s="239">
        <v>0</v>
      </c>
      <c r="BR272" s="239">
        <v>16127</v>
      </c>
      <c r="BS272" s="239">
        <v>4031</v>
      </c>
      <c r="BT272" s="239">
        <v>0</v>
      </c>
      <c r="BU272" s="239">
        <v>299288.28499999997</v>
      </c>
      <c r="BV272" s="239">
        <v>74822.071249999994</v>
      </c>
      <c r="BW272" s="239">
        <v>0</v>
      </c>
      <c r="BX272" s="239">
        <v>176131</v>
      </c>
      <c r="BY272" s="239">
        <v>44034</v>
      </c>
      <c r="BZ272" s="239">
        <v>0</v>
      </c>
      <c r="CA272" s="239">
        <v>123157</v>
      </c>
      <c r="CB272" s="239">
        <v>30788</v>
      </c>
      <c r="CC272" s="239">
        <v>0</v>
      </c>
      <c r="CD272" s="239">
        <v>0</v>
      </c>
      <c r="CE272" s="239">
        <v>0</v>
      </c>
      <c r="CF272" s="239">
        <v>0</v>
      </c>
      <c r="CG272" s="239">
        <v>0</v>
      </c>
      <c r="CH272" s="239">
        <v>0</v>
      </c>
      <c r="CI272" s="239">
        <v>0</v>
      </c>
      <c r="CJ272" s="239">
        <v>0</v>
      </c>
      <c r="CK272" s="239">
        <v>0</v>
      </c>
      <c r="CL272" s="239">
        <v>0</v>
      </c>
      <c r="CM272" s="239">
        <v>3811.586666666667</v>
      </c>
      <c r="CN272" s="239">
        <v>952.89666666666676</v>
      </c>
      <c r="CO272" s="239">
        <v>0</v>
      </c>
      <c r="CP272" s="239">
        <v>0</v>
      </c>
      <c r="CQ272" s="239">
        <v>0</v>
      </c>
      <c r="CR272" s="239">
        <v>0</v>
      </c>
      <c r="CS272" s="239">
        <v>3812</v>
      </c>
      <c r="CT272" s="239">
        <v>953</v>
      </c>
      <c r="CU272" s="239">
        <v>0</v>
      </c>
      <c r="CV272" s="239">
        <v>202930.79916666669</v>
      </c>
      <c r="CW272" s="239">
        <v>50732.699791666673</v>
      </c>
      <c r="CX272" s="239">
        <v>0</v>
      </c>
      <c r="CY272" s="239">
        <v>196725</v>
      </c>
      <c r="CZ272" s="239">
        <v>49181</v>
      </c>
      <c r="DA272" s="239">
        <v>0</v>
      </c>
      <c r="DB272" s="239">
        <v>6206</v>
      </c>
      <c r="DC272" s="239">
        <v>1552</v>
      </c>
      <c r="DD272" s="239">
        <v>0</v>
      </c>
      <c r="DE272" s="214">
        <v>0.5</v>
      </c>
      <c r="DF272" s="214">
        <v>0.4</v>
      </c>
      <c r="DG272" s="214">
        <v>0.1</v>
      </c>
      <c r="DH272" s="214">
        <v>0</v>
      </c>
      <c r="DI272" s="214" t="s">
        <v>1294</v>
      </c>
    </row>
    <row r="273" spans="2:113" s="214" customFormat="1" x14ac:dyDescent="0.2">
      <c r="B273" s="610" t="s">
        <v>629</v>
      </c>
      <c r="C273" s="610" t="s">
        <v>628</v>
      </c>
      <c r="D273" s="239">
        <v>-1343770</v>
      </c>
      <c r="E273" s="239">
        <v>0</v>
      </c>
      <c r="F273" s="239">
        <v>-1343770</v>
      </c>
      <c r="G273" s="239">
        <v>0</v>
      </c>
      <c r="H273" s="239">
        <v>0</v>
      </c>
      <c r="I273" s="239">
        <v>0</v>
      </c>
      <c r="J273" s="239">
        <v>-1343770</v>
      </c>
      <c r="K273" s="239">
        <v>0</v>
      </c>
      <c r="L273" s="239">
        <v>-1343770</v>
      </c>
      <c r="M273" s="239">
        <v>245289</v>
      </c>
      <c r="N273" s="239">
        <v>245289</v>
      </c>
      <c r="O273" s="239">
        <v>0</v>
      </c>
      <c r="P273" s="239">
        <v>0</v>
      </c>
      <c r="Q273" s="239">
        <v>0</v>
      </c>
      <c r="R273" s="239">
        <v>0</v>
      </c>
      <c r="S273" s="239">
        <v>0</v>
      </c>
      <c r="T273" s="239">
        <v>0</v>
      </c>
      <c r="U273" s="239">
        <v>0</v>
      </c>
      <c r="V273" s="239">
        <v>0</v>
      </c>
      <c r="W273" s="239">
        <v>0</v>
      </c>
      <c r="X273" s="239">
        <v>0</v>
      </c>
      <c r="Y273" s="239">
        <v>0</v>
      </c>
      <c r="Z273" s="239">
        <v>0</v>
      </c>
      <c r="AA273" s="239">
        <v>0</v>
      </c>
      <c r="AB273" s="239">
        <v>0</v>
      </c>
      <c r="AC273" s="239">
        <v>0</v>
      </c>
      <c r="AD273" s="239">
        <v>0</v>
      </c>
      <c r="AE273" s="239">
        <v>0</v>
      </c>
      <c r="AF273" s="239">
        <v>0</v>
      </c>
      <c r="AG273" s="239">
        <v>0</v>
      </c>
      <c r="AH273" s="239">
        <v>0</v>
      </c>
      <c r="AI273" s="239">
        <v>0</v>
      </c>
      <c r="AJ273" s="239">
        <v>0</v>
      </c>
      <c r="AK273" s="239">
        <v>433307.1846875</v>
      </c>
      <c r="AL273" s="239">
        <v>288871.45645833336</v>
      </c>
      <c r="AM273" s="239">
        <v>0</v>
      </c>
      <c r="AN273" s="239">
        <v>408362</v>
      </c>
      <c r="AO273" s="239">
        <v>272240</v>
      </c>
      <c r="AP273" s="239">
        <v>0</v>
      </c>
      <c r="AQ273" s="239">
        <v>24945</v>
      </c>
      <c r="AR273" s="239">
        <v>16631</v>
      </c>
      <c r="AS273" s="239">
        <v>0</v>
      </c>
      <c r="AT273" s="239">
        <v>893.64499999999998</v>
      </c>
      <c r="AU273" s="239">
        <v>595.76333333333332</v>
      </c>
      <c r="AV273" s="239">
        <v>0</v>
      </c>
      <c r="AW273" s="239">
        <v>914</v>
      </c>
      <c r="AX273" s="239">
        <v>608</v>
      </c>
      <c r="AY273" s="239">
        <v>0</v>
      </c>
      <c r="AZ273" s="239">
        <v>-20</v>
      </c>
      <c r="BA273" s="239">
        <v>-12</v>
      </c>
      <c r="BB273" s="239">
        <v>0</v>
      </c>
      <c r="BC273" s="239">
        <v>15800.410625</v>
      </c>
      <c r="BD273" s="239">
        <v>10533.607083333334</v>
      </c>
      <c r="BE273" s="239">
        <v>0</v>
      </c>
      <c r="BF273" s="239">
        <v>9131</v>
      </c>
      <c r="BG273" s="239">
        <v>6088</v>
      </c>
      <c r="BH273" s="239">
        <v>0</v>
      </c>
      <c r="BI273" s="239">
        <v>6669</v>
      </c>
      <c r="BJ273" s="239">
        <v>4446</v>
      </c>
      <c r="BK273" s="239">
        <v>0</v>
      </c>
      <c r="BL273" s="239">
        <v>608.75</v>
      </c>
      <c r="BM273" s="239">
        <v>405.83333333333337</v>
      </c>
      <c r="BN273" s="239">
        <v>0</v>
      </c>
      <c r="BO273" s="239">
        <v>1522</v>
      </c>
      <c r="BP273" s="239">
        <v>1014</v>
      </c>
      <c r="BQ273" s="239">
        <v>0</v>
      </c>
      <c r="BR273" s="239">
        <v>-913</v>
      </c>
      <c r="BS273" s="239">
        <v>-608</v>
      </c>
      <c r="BT273" s="239">
        <v>0</v>
      </c>
      <c r="BU273" s="239">
        <v>325695.86</v>
      </c>
      <c r="BV273" s="239">
        <v>217130.57333333336</v>
      </c>
      <c r="BW273" s="239">
        <v>0</v>
      </c>
      <c r="BX273" s="239">
        <v>220049</v>
      </c>
      <c r="BY273" s="239">
        <v>146698</v>
      </c>
      <c r="BZ273" s="239">
        <v>0</v>
      </c>
      <c r="CA273" s="239">
        <v>105647</v>
      </c>
      <c r="CB273" s="239">
        <v>70433</v>
      </c>
      <c r="CC273" s="239">
        <v>0</v>
      </c>
      <c r="CD273" s="239">
        <v>0</v>
      </c>
      <c r="CE273" s="239">
        <v>0</v>
      </c>
      <c r="CF273" s="239">
        <v>0</v>
      </c>
      <c r="CG273" s="239">
        <v>0</v>
      </c>
      <c r="CH273" s="239">
        <v>0</v>
      </c>
      <c r="CI273" s="239">
        <v>0</v>
      </c>
      <c r="CJ273" s="239">
        <v>0</v>
      </c>
      <c r="CK273" s="239">
        <v>0</v>
      </c>
      <c r="CL273" s="239">
        <v>0</v>
      </c>
      <c r="CM273" s="239">
        <v>1234.2406250000001</v>
      </c>
      <c r="CN273" s="239">
        <v>822.82708333333346</v>
      </c>
      <c r="CO273" s="239">
        <v>0</v>
      </c>
      <c r="CP273" s="239">
        <v>0</v>
      </c>
      <c r="CQ273" s="239">
        <v>0</v>
      </c>
      <c r="CR273" s="239">
        <v>0</v>
      </c>
      <c r="CS273" s="239">
        <v>1234</v>
      </c>
      <c r="CT273" s="239">
        <v>823</v>
      </c>
      <c r="CU273" s="239">
        <v>0</v>
      </c>
      <c r="CV273" s="239">
        <v>230001.82624999998</v>
      </c>
      <c r="CW273" s="239">
        <v>153334.55083333334</v>
      </c>
      <c r="CX273" s="239">
        <v>0</v>
      </c>
      <c r="CY273" s="239">
        <v>221035</v>
      </c>
      <c r="CZ273" s="239">
        <v>147357</v>
      </c>
      <c r="DA273" s="239">
        <v>0</v>
      </c>
      <c r="DB273" s="239">
        <v>8967</v>
      </c>
      <c r="DC273" s="239">
        <v>5978</v>
      </c>
      <c r="DD273" s="239">
        <v>0</v>
      </c>
      <c r="DE273" s="214">
        <v>0.5</v>
      </c>
      <c r="DF273" s="214">
        <v>0.3</v>
      </c>
      <c r="DG273" s="214">
        <v>0.2</v>
      </c>
      <c r="DH273" s="214">
        <v>0</v>
      </c>
      <c r="DI273" s="214" t="s">
        <v>1295</v>
      </c>
    </row>
    <row r="274" spans="2:113" s="214" customFormat="1" x14ac:dyDescent="0.2">
      <c r="B274" s="610" t="s">
        <v>631</v>
      </c>
      <c r="C274" s="610" t="s">
        <v>630</v>
      </c>
      <c r="D274" s="239">
        <v>-144493</v>
      </c>
      <c r="E274" s="239">
        <v>0</v>
      </c>
      <c r="F274" s="239">
        <v>-144493</v>
      </c>
      <c r="G274" s="239">
        <v>0</v>
      </c>
      <c r="H274" s="239">
        <v>0</v>
      </c>
      <c r="I274" s="239">
        <v>0</v>
      </c>
      <c r="J274" s="239">
        <v>-144493</v>
      </c>
      <c r="K274" s="239">
        <v>0</v>
      </c>
      <c r="L274" s="239">
        <v>-144493</v>
      </c>
      <c r="M274" s="239">
        <v>180565</v>
      </c>
      <c r="N274" s="239">
        <v>180565</v>
      </c>
      <c r="O274" s="239">
        <v>0</v>
      </c>
      <c r="P274" s="239">
        <v>0</v>
      </c>
      <c r="Q274" s="239">
        <v>0</v>
      </c>
      <c r="R274" s="239">
        <v>0</v>
      </c>
      <c r="S274" s="239">
        <v>87977</v>
      </c>
      <c r="T274" s="239">
        <v>424573</v>
      </c>
      <c r="U274" s="239">
        <v>80975</v>
      </c>
      <c r="V274" s="239">
        <v>175450</v>
      </c>
      <c r="W274" s="239">
        <v>7002</v>
      </c>
      <c r="X274" s="239">
        <v>249123</v>
      </c>
      <c r="Y274" s="239">
        <v>0</v>
      </c>
      <c r="Z274" s="239">
        <v>0</v>
      </c>
      <c r="AA274" s="239">
        <v>0</v>
      </c>
      <c r="AB274" s="239">
        <v>0</v>
      </c>
      <c r="AC274" s="239">
        <v>0</v>
      </c>
      <c r="AD274" s="239">
        <v>0</v>
      </c>
      <c r="AE274" s="239">
        <v>0</v>
      </c>
      <c r="AF274" s="239">
        <v>0</v>
      </c>
      <c r="AG274" s="239">
        <v>0</v>
      </c>
      <c r="AH274" s="239">
        <v>0</v>
      </c>
      <c r="AI274" s="239">
        <v>0</v>
      </c>
      <c r="AJ274" s="239">
        <v>0</v>
      </c>
      <c r="AK274" s="239">
        <v>704781.12416666676</v>
      </c>
      <c r="AL274" s="239">
        <v>158575.75293750002</v>
      </c>
      <c r="AM274" s="239">
        <v>17619.528104166668</v>
      </c>
      <c r="AN274" s="239">
        <v>649590</v>
      </c>
      <c r="AO274" s="239">
        <v>146158</v>
      </c>
      <c r="AP274" s="239">
        <v>16240</v>
      </c>
      <c r="AQ274" s="239">
        <v>55191</v>
      </c>
      <c r="AR274" s="239">
        <v>12418</v>
      </c>
      <c r="AS274" s="239">
        <v>1380</v>
      </c>
      <c r="AT274" s="239">
        <v>1175.2933333333335</v>
      </c>
      <c r="AU274" s="239">
        <v>264.44099999999997</v>
      </c>
      <c r="AV274" s="239">
        <v>29.382333333333335</v>
      </c>
      <c r="AW274" s="239">
        <v>1151</v>
      </c>
      <c r="AX274" s="239">
        <v>258</v>
      </c>
      <c r="AY274" s="239">
        <v>28</v>
      </c>
      <c r="AZ274" s="239">
        <v>24</v>
      </c>
      <c r="BA274" s="239">
        <v>6</v>
      </c>
      <c r="BB274" s="239">
        <v>1</v>
      </c>
      <c r="BC274" s="239">
        <v>23987.996666666666</v>
      </c>
      <c r="BD274" s="239">
        <v>5397.2992499999991</v>
      </c>
      <c r="BE274" s="239">
        <v>599.6999166666667</v>
      </c>
      <c r="BF274" s="239">
        <v>18407</v>
      </c>
      <c r="BG274" s="239">
        <v>4142</v>
      </c>
      <c r="BH274" s="239">
        <v>460</v>
      </c>
      <c r="BI274" s="239">
        <v>5581</v>
      </c>
      <c r="BJ274" s="239">
        <v>1255</v>
      </c>
      <c r="BK274" s="239">
        <v>140</v>
      </c>
      <c r="BL274" s="239">
        <v>5708.857500000001</v>
      </c>
      <c r="BM274" s="239">
        <v>1284.4929374999999</v>
      </c>
      <c r="BN274" s="239">
        <v>142.72143750000001</v>
      </c>
      <c r="BO274" s="239">
        <v>0</v>
      </c>
      <c r="BP274" s="239">
        <v>0</v>
      </c>
      <c r="BQ274" s="239">
        <v>0</v>
      </c>
      <c r="BR274" s="239">
        <v>5709</v>
      </c>
      <c r="BS274" s="239">
        <v>1284</v>
      </c>
      <c r="BT274" s="239">
        <v>143</v>
      </c>
      <c r="BU274" s="239">
        <v>276028.35333333333</v>
      </c>
      <c r="BV274" s="239">
        <v>62106.379499999988</v>
      </c>
      <c r="BW274" s="239">
        <v>6900.7088333333322</v>
      </c>
      <c r="BX274" s="239">
        <v>258398</v>
      </c>
      <c r="BY274" s="239">
        <v>58140</v>
      </c>
      <c r="BZ274" s="239">
        <v>6460</v>
      </c>
      <c r="CA274" s="239">
        <v>17630</v>
      </c>
      <c r="CB274" s="239">
        <v>3966</v>
      </c>
      <c r="CC274" s="239">
        <v>441</v>
      </c>
      <c r="CD274" s="239">
        <v>0</v>
      </c>
      <c r="CE274" s="239">
        <v>0</v>
      </c>
      <c r="CF274" s="239">
        <v>0</v>
      </c>
      <c r="CG274" s="239">
        <v>0</v>
      </c>
      <c r="CH274" s="239">
        <v>0</v>
      </c>
      <c r="CI274" s="239">
        <v>0</v>
      </c>
      <c r="CJ274" s="239">
        <v>0</v>
      </c>
      <c r="CK274" s="239">
        <v>0</v>
      </c>
      <c r="CL274" s="239">
        <v>0</v>
      </c>
      <c r="CM274" s="239">
        <v>8020.0783333333347</v>
      </c>
      <c r="CN274" s="239">
        <v>1804.5176250000002</v>
      </c>
      <c r="CO274" s="239">
        <v>200.50195833333336</v>
      </c>
      <c r="CP274" s="239">
        <v>0</v>
      </c>
      <c r="CQ274" s="239">
        <v>0</v>
      </c>
      <c r="CR274" s="239">
        <v>0</v>
      </c>
      <c r="CS274" s="239">
        <v>8020</v>
      </c>
      <c r="CT274" s="239">
        <v>1805</v>
      </c>
      <c r="CU274" s="239">
        <v>201</v>
      </c>
      <c r="CV274" s="239">
        <v>243981.68958333333</v>
      </c>
      <c r="CW274" s="239">
        <v>60798.895208333335</v>
      </c>
      <c r="CX274" s="239">
        <v>6067.4672916666668</v>
      </c>
      <c r="CY274" s="239">
        <v>253707</v>
      </c>
      <c r="CZ274" s="239">
        <v>59377</v>
      </c>
      <c r="DA274" s="239">
        <v>6313</v>
      </c>
      <c r="DB274" s="239">
        <v>-9725</v>
      </c>
      <c r="DC274" s="239">
        <v>1422</v>
      </c>
      <c r="DD274" s="239">
        <v>-246</v>
      </c>
      <c r="DE274" s="214">
        <v>0.5</v>
      </c>
      <c r="DF274" s="214">
        <v>0.4</v>
      </c>
      <c r="DG274" s="214">
        <v>0.09</v>
      </c>
      <c r="DH274" s="214">
        <v>0.01</v>
      </c>
      <c r="DI274" s="214" t="s">
        <v>1294</v>
      </c>
    </row>
    <row r="275" spans="2:113" s="214" customFormat="1" x14ac:dyDescent="0.2">
      <c r="B275" s="610" t="s">
        <v>633</v>
      </c>
      <c r="C275" s="610" t="s">
        <v>632</v>
      </c>
      <c r="D275" s="239">
        <v>-357766</v>
      </c>
      <c r="E275" s="239">
        <v>0</v>
      </c>
      <c r="F275" s="239">
        <v>-357766</v>
      </c>
      <c r="G275" s="239">
        <v>0</v>
      </c>
      <c r="H275" s="239">
        <v>0</v>
      </c>
      <c r="I275" s="239">
        <v>0</v>
      </c>
      <c r="J275" s="239">
        <v>-357766</v>
      </c>
      <c r="K275" s="239">
        <v>0</v>
      </c>
      <c r="L275" s="239">
        <v>-357766</v>
      </c>
      <c r="M275" s="239">
        <v>270907</v>
      </c>
      <c r="N275" s="239">
        <v>270907</v>
      </c>
      <c r="O275" s="239">
        <v>0</v>
      </c>
      <c r="P275" s="239">
        <v>0</v>
      </c>
      <c r="Q275" s="239">
        <v>0</v>
      </c>
      <c r="R275" s="239">
        <v>0</v>
      </c>
      <c r="S275" s="239">
        <v>376686</v>
      </c>
      <c r="T275" s="239">
        <v>0</v>
      </c>
      <c r="U275" s="239">
        <v>0</v>
      </c>
      <c r="V275" s="239">
        <v>0</v>
      </c>
      <c r="W275" s="239">
        <v>376686</v>
      </c>
      <c r="X275" s="239">
        <v>0</v>
      </c>
      <c r="Y275" s="239">
        <v>0</v>
      </c>
      <c r="Z275" s="239">
        <v>0</v>
      </c>
      <c r="AA275" s="239">
        <v>0</v>
      </c>
      <c r="AB275" s="239">
        <v>0</v>
      </c>
      <c r="AC275" s="239">
        <v>0</v>
      </c>
      <c r="AD275" s="239">
        <v>0</v>
      </c>
      <c r="AE275" s="239">
        <v>0</v>
      </c>
      <c r="AF275" s="239">
        <v>0</v>
      </c>
      <c r="AG275" s="239">
        <v>0</v>
      </c>
      <c r="AH275" s="239">
        <v>0</v>
      </c>
      <c r="AI275" s="239">
        <v>0</v>
      </c>
      <c r="AJ275" s="239">
        <v>0</v>
      </c>
      <c r="AK275" s="239">
        <v>718569.86461458332</v>
      </c>
      <c r="AL275" s="239">
        <v>0</v>
      </c>
      <c r="AM275" s="239">
        <v>14664.691114583335</v>
      </c>
      <c r="AN275" s="239">
        <v>667883</v>
      </c>
      <c r="AO275" s="239">
        <v>0</v>
      </c>
      <c r="AP275" s="239">
        <v>13630</v>
      </c>
      <c r="AQ275" s="239">
        <v>50687</v>
      </c>
      <c r="AR275" s="239">
        <v>0</v>
      </c>
      <c r="AS275" s="239">
        <v>1035</v>
      </c>
      <c r="AT275" s="239">
        <v>5363.2092499999999</v>
      </c>
      <c r="AU275" s="239">
        <v>0</v>
      </c>
      <c r="AV275" s="239">
        <v>109.45325</v>
      </c>
      <c r="AW275" s="239">
        <v>2285</v>
      </c>
      <c r="AX275" s="239">
        <v>0</v>
      </c>
      <c r="AY275" s="239">
        <v>46</v>
      </c>
      <c r="AZ275" s="239">
        <v>3078</v>
      </c>
      <c r="BA275" s="239">
        <v>0</v>
      </c>
      <c r="BB275" s="239">
        <v>63</v>
      </c>
      <c r="BC275" s="239">
        <v>0</v>
      </c>
      <c r="BD275" s="239">
        <v>0</v>
      </c>
      <c r="BE275" s="239">
        <v>0</v>
      </c>
      <c r="BF275" s="239">
        <v>0</v>
      </c>
      <c r="BG275" s="239">
        <v>0</v>
      </c>
      <c r="BH275" s="239">
        <v>0</v>
      </c>
      <c r="BI275" s="239">
        <v>0</v>
      </c>
      <c r="BJ275" s="239">
        <v>0</v>
      </c>
      <c r="BK275" s="239">
        <v>0</v>
      </c>
      <c r="BL275" s="239">
        <v>1380.0768333333333</v>
      </c>
      <c r="BM275" s="239">
        <v>0</v>
      </c>
      <c r="BN275" s="239">
        <v>28.164833333333331</v>
      </c>
      <c r="BO275" s="239">
        <v>0</v>
      </c>
      <c r="BP275" s="239">
        <v>0</v>
      </c>
      <c r="BQ275" s="239">
        <v>0</v>
      </c>
      <c r="BR275" s="239">
        <v>1380</v>
      </c>
      <c r="BS275" s="239">
        <v>0</v>
      </c>
      <c r="BT275" s="239">
        <v>28</v>
      </c>
      <c r="BU275" s="239">
        <v>380542.76385416667</v>
      </c>
      <c r="BV275" s="239">
        <v>0</v>
      </c>
      <c r="BW275" s="239">
        <v>7766.1788541666656</v>
      </c>
      <c r="BX275" s="239">
        <v>330184</v>
      </c>
      <c r="BY275" s="239">
        <v>0</v>
      </c>
      <c r="BZ275" s="239">
        <v>6738</v>
      </c>
      <c r="CA275" s="239">
        <v>50359</v>
      </c>
      <c r="CB275" s="239">
        <v>0</v>
      </c>
      <c r="CC275" s="239">
        <v>1028</v>
      </c>
      <c r="CD275" s="239">
        <v>0</v>
      </c>
      <c r="CE275" s="239">
        <v>0</v>
      </c>
      <c r="CF275" s="239">
        <v>0</v>
      </c>
      <c r="CG275" s="239">
        <v>0</v>
      </c>
      <c r="CH275" s="239">
        <v>0</v>
      </c>
      <c r="CI275" s="239">
        <v>0</v>
      </c>
      <c r="CJ275" s="239">
        <v>0</v>
      </c>
      <c r="CK275" s="239">
        <v>0</v>
      </c>
      <c r="CL275" s="239">
        <v>0</v>
      </c>
      <c r="CM275" s="239">
        <v>0</v>
      </c>
      <c r="CN275" s="239">
        <v>0</v>
      </c>
      <c r="CO275" s="239">
        <v>0</v>
      </c>
      <c r="CP275" s="239">
        <v>0</v>
      </c>
      <c r="CQ275" s="239">
        <v>0</v>
      </c>
      <c r="CR275" s="239">
        <v>0</v>
      </c>
      <c r="CS275" s="239">
        <v>0</v>
      </c>
      <c r="CT275" s="239">
        <v>0</v>
      </c>
      <c r="CU275" s="239">
        <v>0</v>
      </c>
      <c r="CV275" s="239">
        <v>762206.01741666661</v>
      </c>
      <c r="CW275" s="239">
        <v>0</v>
      </c>
      <c r="CX275" s="239">
        <v>15443.115916666668</v>
      </c>
      <c r="CY275" s="239">
        <v>756004</v>
      </c>
      <c r="CZ275" s="239">
        <v>0</v>
      </c>
      <c r="DA275" s="239">
        <v>15429</v>
      </c>
      <c r="DB275" s="239">
        <v>6202</v>
      </c>
      <c r="DC275" s="239">
        <v>0</v>
      </c>
      <c r="DD275" s="239">
        <v>14</v>
      </c>
      <c r="DE275" s="214">
        <v>0.5</v>
      </c>
      <c r="DF275" s="214">
        <v>0.49</v>
      </c>
      <c r="DG275" s="214">
        <v>0</v>
      </c>
      <c r="DH275" s="214">
        <v>0.01</v>
      </c>
      <c r="DI275" s="214" t="s">
        <v>748</v>
      </c>
    </row>
    <row r="276" spans="2:113" s="214" customFormat="1" x14ac:dyDescent="0.2">
      <c r="B276" s="610" t="s">
        <v>635</v>
      </c>
      <c r="C276" s="610" t="s">
        <v>634</v>
      </c>
      <c r="D276" s="239">
        <v>-100208</v>
      </c>
      <c r="E276" s="239">
        <v>0</v>
      </c>
      <c r="F276" s="239">
        <v>-100208</v>
      </c>
      <c r="G276" s="239">
        <v>0</v>
      </c>
      <c r="H276" s="239">
        <v>0</v>
      </c>
      <c r="I276" s="239">
        <v>0</v>
      </c>
      <c r="J276" s="239">
        <v>-100208</v>
      </c>
      <c r="K276" s="239">
        <v>0</v>
      </c>
      <c r="L276" s="239">
        <v>-100208</v>
      </c>
      <c r="M276" s="239">
        <v>300741</v>
      </c>
      <c r="N276" s="239">
        <v>300741</v>
      </c>
      <c r="O276" s="239">
        <v>0</v>
      </c>
      <c r="P276" s="239">
        <v>0</v>
      </c>
      <c r="Q276" s="239">
        <v>0</v>
      </c>
      <c r="R276" s="239">
        <v>0</v>
      </c>
      <c r="S276" s="239">
        <v>0</v>
      </c>
      <c r="T276" s="239">
        <v>0</v>
      </c>
      <c r="U276" s="239">
        <v>0</v>
      </c>
      <c r="V276" s="239">
        <v>0</v>
      </c>
      <c r="W276" s="239">
        <v>0</v>
      </c>
      <c r="X276" s="239">
        <v>0</v>
      </c>
      <c r="Y276" s="239">
        <v>0</v>
      </c>
      <c r="Z276" s="239">
        <v>0</v>
      </c>
      <c r="AA276" s="239">
        <v>0</v>
      </c>
      <c r="AB276" s="239">
        <v>0</v>
      </c>
      <c r="AC276" s="239">
        <v>0</v>
      </c>
      <c r="AD276" s="239">
        <v>0</v>
      </c>
      <c r="AE276" s="239">
        <v>0</v>
      </c>
      <c r="AF276" s="239">
        <v>0</v>
      </c>
      <c r="AG276" s="239">
        <v>0</v>
      </c>
      <c r="AH276" s="239">
        <v>0</v>
      </c>
      <c r="AI276" s="239">
        <v>0</v>
      </c>
      <c r="AJ276" s="239">
        <v>0</v>
      </c>
      <c r="AK276" s="239">
        <v>1559577.5507812498</v>
      </c>
      <c r="AL276" s="239">
        <v>0</v>
      </c>
      <c r="AM276" s="239">
        <v>31828.11328125</v>
      </c>
      <c r="AN276" s="239">
        <v>1465315</v>
      </c>
      <c r="AO276" s="239">
        <v>0</v>
      </c>
      <c r="AP276" s="239">
        <v>29904</v>
      </c>
      <c r="AQ276" s="239">
        <v>94263</v>
      </c>
      <c r="AR276" s="239">
        <v>0</v>
      </c>
      <c r="AS276" s="239">
        <v>1924</v>
      </c>
      <c r="AT276" s="239">
        <v>5468.6041666666661</v>
      </c>
      <c r="AU276" s="239">
        <v>0</v>
      </c>
      <c r="AV276" s="239">
        <v>111.60416666666666</v>
      </c>
      <c r="AW276" s="239">
        <v>0</v>
      </c>
      <c r="AX276" s="239">
        <v>0</v>
      </c>
      <c r="AY276" s="239">
        <v>0</v>
      </c>
      <c r="AZ276" s="239">
        <v>5469</v>
      </c>
      <c r="BA276" s="239">
        <v>0</v>
      </c>
      <c r="BB276" s="239">
        <v>112</v>
      </c>
      <c r="BC276" s="239">
        <v>3512.3353124999999</v>
      </c>
      <c r="BD276" s="239">
        <v>0</v>
      </c>
      <c r="BE276" s="239">
        <v>71.680312499999999</v>
      </c>
      <c r="BF276" s="239">
        <v>0</v>
      </c>
      <c r="BG276" s="239">
        <v>0</v>
      </c>
      <c r="BH276" s="239">
        <v>0</v>
      </c>
      <c r="BI276" s="239">
        <v>3512</v>
      </c>
      <c r="BJ276" s="239">
        <v>0</v>
      </c>
      <c r="BK276" s="239">
        <v>72</v>
      </c>
      <c r="BL276" s="239">
        <v>32735.064541666667</v>
      </c>
      <c r="BM276" s="239">
        <v>0</v>
      </c>
      <c r="BN276" s="239">
        <v>668.06254166666668</v>
      </c>
      <c r="BO276" s="239">
        <v>23283</v>
      </c>
      <c r="BP276" s="239">
        <v>0</v>
      </c>
      <c r="BQ276" s="239">
        <v>476</v>
      </c>
      <c r="BR276" s="239">
        <v>9452</v>
      </c>
      <c r="BS276" s="239">
        <v>0</v>
      </c>
      <c r="BT276" s="239">
        <v>192</v>
      </c>
      <c r="BU276" s="239">
        <v>493416.74243750004</v>
      </c>
      <c r="BV276" s="239">
        <v>0</v>
      </c>
      <c r="BW276" s="239">
        <v>10069.7294375</v>
      </c>
      <c r="BX276" s="239">
        <v>450291</v>
      </c>
      <c r="BY276" s="239">
        <v>0</v>
      </c>
      <c r="BZ276" s="239">
        <v>9190</v>
      </c>
      <c r="CA276" s="239">
        <v>43126</v>
      </c>
      <c r="CB276" s="239">
        <v>0</v>
      </c>
      <c r="CC276" s="239">
        <v>880</v>
      </c>
      <c r="CD276" s="239">
        <v>0</v>
      </c>
      <c r="CE276" s="239">
        <v>0</v>
      </c>
      <c r="CF276" s="239">
        <v>0</v>
      </c>
      <c r="CG276" s="239">
        <v>0</v>
      </c>
      <c r="CH276" s="239">
        <v>0</v>
      </c>
      <c r="CI276" s="239">
        <v>0</v>
      </c>
      <c r="CJ276" s="239">
        <v>0</v>
      </c>
      <c r="CK276" s="239">
        <v>0</v>
      </c>
      <c r="CL276" s="239">
        <v>0</v>
      </c>
      <c r="CM276" s="239">
        <v>0</v>
      </c>
      <c r="CN276" s="239">
        <v>0</v>
      </c>
      <c r="CO276" s="239">
        <v>0</v>
      </c>
      <c r="CP276" s="239">
        <v>0</v>
      </c>
      <c r="CQ276" s="239">
        <v>0</v>
      </c>
      <c r="CR276" s="239">
        <v>0</v>
      </c>
      <c r="CS276" s="239">
        <v>0</v>
      </c>
      <c r="CT276" s="239">
        <v>0</v>
      </c>
      <c r="CU276" s="239">
        <v>0</v>
      </c>
      <c r="CV276" s="239">
        <v>408119.1145208333</v>
      </c>
      <c r="CW276" s="239">
        <v>0</v>
      </c>
      <c r="CX276" s="239">
        <v>8328.9615208333344</v>
      </c>
      <c r="CY276" s="239">
        <v>403828</v>
      </c>
      <c r="CZ276" s="239">
        <v>0</v>
      </c>
      <c r="DA276" s="239">
        <v>8241</v>
      </c>
      <c r="DB276" s="239">
        <v>4291</v>
      </c>
      <c r="DC276" s="239">
        <v>0</v>
      </c>
      <c r="DD276" s="239">
        <v>88</v>
      </c>
      <c r="DE276" s="214">
        <v>0.5</v>
      </c>
      <c r="DF276" s="214">
        <v>0.49</v>
      </c>
      <c r="DG276" s="214">
        <v>0</v>
      </c>
      <c r="DH276" s="214">
        <v>0.01</v>
      </c>
      <c r="DI276" s="214" t="s">
        <v>1296</v>
      </c>
    </row>
    <row r="277" spans="2:113" s="214" customFormat="1" x14ac:dyDescent="0.2">
      <c r="B277" s="610" t="s">
        <v>637</v>
      </c>
      <c r="C277" s="610" t="s">
        <v>636</v>
      </c>
      <c r="D277" s="239">
        <v>-46474</v>
      </c>
      <c r="E277" s="239">
        <v>0</v>
      </c>
      <c r="F277" s="239">
        <v>-46474</v>
      </c>
      <c r="G277" s="239">
        <v>0</v>
      </c>
      <c r="H277" s="239">
        <v>0</v>
      </c>
      <c r="I277" s="239">
        <v>0</v>
      </c>
      <c r="J277" s="239">
        <v>-46474</v>
      </c>
      <c r="K277" s="239">
        <v>0</v>
      </c>
      <c r="L277" s="239">
        <v>-46474</v>
      </c>
      <c r="M277" s="239">
        <v>91651</v>
      </c>
      <c r="N277" s="239">
        <v>91651</v>
      </c>
      <c r="O277" s="239">
        <v>0</v>
      </c>
      <c r="P277" s="239">
        <v>0</v>
      </c>
      <c r="Q277" s="239">
        <v>0</v>
      </c>
      <c r="R277" s="239">
        <v>0</v>
      </c>
      <c r="S277" s="239">
        <v>0</v>
      </c>
      <c r="T277" s="239">
        <v>0</v>
      </c>
      <c r="U277" s="239">
        <v>0</v>
      </c>
      <c r="V277" s="239">
        <v>0</v>
      </c>
      <c r="W277" s="239">
        <v>0</v>
      </c>
      <c r="X277" s="239">
        <v>0</v>
      </c>
      <c r="Y277" s="239">
        <v>0</v>
      </c>
      <c r="Z277" s="239">
        <v>0</v>
      </c>
      <c r="AA277" s="239">
        <v>0</v>
      </c>
      <c r="AB277" s="239">
        <v>0</v>
      </c>
      <c r="AC277" s="239">
        <v>0</v>
      </c>
      <c r="AD277" s="239">
        <v>0</v>
      </c>
      <c r="AE277" s="239">
        <v>0</v>
      </c>
      <c r="AF277" s="239">
        <v>0</v>
      </c>
      <c r="AG277" s="239">
        <v>0</v>
      </c>
      <c r="AH277" s="239">
        <v>0</v>
      </c>
      <c r="AI277" s="239">
        <v>0</v>
      </c>
      <c r="AJ277" s="239">
        <v>0</v>
      </c>
      <c r="AK277" s="239">
        <v>251367.89083333331</v>
      </c>
      <c r="AL277" s="239">
        <v>56557.775437499993</v>
      </c>
      <c r="AM277" s="239">
        <v>6284.1972708333324</v>
      </c>
      <c r="AN277" s="239">
        <v>236848</v>
      </c>
      <c r="AO277" s="239">
        <v>53290</v>
      </c>
      <c r="AP277" s="239">
        <v>5922</v>
      </c>
      <c r="AQ277" s="239">
        <v>14520</v>
      </c>
      <c r="AR277" s="239">
        <v>3268</v>
      </c>
      <c r="AS277" s="239">
        <v>362</v>
      </c>
      <c r="AT277" s="239">
        <v>0</v>
      </c>
      <c r="AU277" s="239">
        <v>0</v>
      </c>
      <c r="AV277" s="239">
        <v>0</v>
      </c>
      <c r="AW277" s="239">
        <v>0</v>
      </c>
      <c r="AX277" s="239">
        <v>0</v>
      </c>
      <c r="AY277" s="239">
        <v>0</v>
      </c>
      <c r="AZ277" s="239">
        <v>0</v>
      </c>
      <c r="BA277" s="239">
        <v>0</v>
      </c>
      <c r="BB277" s="239">
        <v>0</v>
      </c>
      <c r="BC277" s="239">
        <v>0</v>
      </c>
      <c r="BD277" s="239">
        <v>0</v>
      </c>
      <c r="BE277" s="239">
        <v>0</v>
      </c>
      <c r="BF277" s="239">
        <v>0</v>
      </c>
      <c r="BG277" s="239">
        <v>0</v>
      </c>
      <c r="BH277" s="239">
        <v>0</v>
      </c>
      <c r="BI277" s="239">
        <v>0</v>
      </c>
      <c r="BJ277" s="239">
        <v>0</v>
      </c>
      <c r="BK277" s="239">
        <v>0</v>
      </c>
      <c r="BL277" s="239">
        <v>27754.535833333335</v>
      </c>
      <c r="BM277" s="239">
        <v>6244.7705624999999</v>
      </c>
      <c r="BN277" s="239">
        <v>693.86339583333336</v>
      </c>
      <c r="BO277" s="239">
        <v>28408</v>
      </c>
      <c r="BP277" s="239">
        <v>6392</v>
      </c>
      <c r="BQ277" s="239">
        <v>710</v>
      </c>
      <c r="BR277" s="239">
        <v>-653</v>
      </c>
      <c r="BS277" s="239">
        <v>-147</v>
      </c>
      <c r="BT277" s="239">
        <v>-16</v>
      </c>
      <c r="BU277" s="239">
        <v>118447.73416666666</v>
      </c>
      <c r="BV277" s="239">
        <v>26650.7401875</v>
      </c>
      <c r="BW277" s="239">
        <v>2961.1933541666663</v>
      </c>
      <c r="BX277" s="239">
        <v>81858</v>
      </c>
      <c r="BY277" s="239">
        <v>18418</v>
      </c>
      <c r="BZ277" s="239">
        <v>2046</v>
      </c>
      <c r="CA277" s="239">
        <v>36590</v>
      </c>
      <c r="CB277" s="239">
        <v>8233</v>
      </c>
      <c r="CC277" s="239">
        <v>915</v>
      </c>
      <c r="CD277" s="239">
        <v>0</v>
      </c>
      <c r="CE277" s="239">
        <v>0</v>
      </c>
      <c r="CF277" s="239">
        <v>0</v>
      </c>
      <c r="CG277" s="239">
        <v>0</v>
      </c>
      <c r="CH277" s="239">
        <v>0</v>
      </c>
      <c r="CI277" s="239">
        <v>0</v>
      </c>
      <c r="CJ277" s="239">
        <v>0</v>
      </c>
      <c r="CK277" s="239">
        <v>0</v>
      </c>
      <c r="CL277" s="239">
        <v>0</v>
      </c>
      <c r="CM277" s="239">
        <v>4.0583333333333336</v>
      </c>
      <c r="CN277" s="239">
        <v>0.91312499999999996</v>
      </c>
      <c r="CO277" s="239">
        <v>0.10145833333333334</v>
      </c>
      <c r="CP277" s="239">
        <v>0</v>
      </c>
      <c r="CQ277" s="239">
        <v>0</v>
      </c>
      <c r="CR277" s="239">
        <v>0</v>
      </c>
      <c r="CS277" s="239">
        <v>4</v>
      </c>
      <c r="CT277" s="239">
        <v>1</v>
      </c>
      <c r="CU277" s="239">
        <v>0</v>
      </c>
      <c r="CV277" s="239">
        <v>194708.94333333333</v>
      </c>
      <c r="CW277" s="239">
        <v>43809.51225</v>
      </c>
      <c r="CX277" s="239">
        <v>4867.7235833333343</v>
      </c>
      <c r="CY277" s="239">
        <v>192225</v>
      </c>
      <c r="CZ277" s="239">
        <v>43251</v>
      </c>
      <c r="DA277" s="239">
        <v>4806</v>
      </c>
      <c r="DB277" s="239">
        <v>2484</v>
      </c>
      <c r="DC277" s="239">
        <v>559</v>
      </c>
      <c r="DD277" s="239">
        <v>62</v>
      </c>
      <c r="DE277" s="214">
        <v>0.5</v>
      </c>
      <c r="DF277" s="214">
        <v>0.4</v>
      </c>
      <c r="DG277" s="214">
        <v>0.09</v>
      </c>
      <c r="DH277" s="214">
        <v>0.01</v>
      </c>
      <c r="DI277" s="214" t="s">
        <v>1294</v>
      </c>
    </row>
    <row r="278" spans="2:113" s="214" customFormat="1" x14ac:dyDescent="0.2">
      <c r="B278" s="610" t="s">
        <v>639</v>
      </c>
      <c r="C278" s="610" t="s">
        <v>638</v>
      </c>
      <c r="D278" s="239">
        <v>-8634</v>
      </c>
      <c r="E278" s="239">
        <v>0</v>
      </c>
      <c r="F278" s="239">
        <v>-8634</v>
      </c>
      <c r="G278" s="239">
        <v>0</v>
      </c>
      <c r="H278" s="239">
        <v>0</v>
      </c>
      <c r="I278" s="239">
        <v>0</v>
      </c>
      <c r="J278" s="239">
        <v>-8634</v>
      </c>
      <c r="K278" s="239">
        <v>0</v>
      </c>
      <c r="L278" s="239">
        <v>-8634</v>
      </c>
      <c r="M278" s="239">
        <v>126117</v>
      </c>
      <c r="N278" s="239">
        <v>126117</v>
      </c>
      <c r="O278" s="239">
        <v>0</v>
      </c>
      <c r="P278" s="239">
        <v>0</v>
      </c>
      <c r="Q278" s="239">
        <v>0</v>
      </c>
      <c r="R278" s="239">
        <v>0</v>
      </c>
      <c r="S278" s="239">
        <v>0</v>
      </c>
      <c r="T278" s="239">
        <v>0</v>
      </c>
      <c r="U278" s="239">
        <v>0</v>
      </c>
      <c r="V278" s="239">
        <v>0</v>
      </c>
      <c r="W278" s="239">
        <v>0</v>
      </c>
      <c r="X278" s="239">
        <v>0</v>
      </c>
      <c r="Y278" s="239">
        <v>0</v>
      </c>
      <c r="Z278" s="239">
        <v>0</v>
      </c>
      <c r="AA278" s="239">
        <v>0</v>
      </c>
      <c r="AB278" s="239">
        <v>0</v>
      </c>
      <c r="AC278" s="239">
        <v>0</v>
      </c>
      <c r="AD278" s="239">
        <v>0</v>
      </c>
      <c r="AE278" s="239">
        <v>0</v>
      </c>
      <c r="AF278" s="239">
        <v>0</v>
      </c>
      <c r="AG278" s="239">
        <v>0</v>
      </c>
      <c r="AH278" s="239">
        <v>0</v>
      </c>
      <c r="AI278" s="239">
        <v>0</v>
      </c>
      <c r="AJ278" s="239">
        <v>0</v>
      </c>
      <c r="AK278" s="239">
        <v>431252.70416666666</v>
      </c>
      <c r="AL278" s="239">
        <v>107813.17604166667</v>
      </c>
      <c r="AM278" s="239">
        <v>0</v>
      </c>
      <c r="AN278" s="239">
        <v>406672</v>
      </c>
      <c r="AO278" s="239">
        <v>101668</v>
      </c>
      <c r="AP278" s="239">
        <v>0</v>
      </c>
      <c r="AQ278" s="239">
        <v>24581</v>
      </c>
      <c r="AR278" s="239">
        <v>6145</v>
      </c>
      <c r="AS278" s="239">
        <v>0</v>
      </c>
      <c r="AT278" s="239">
        <v>1163.93</v>
      </c>
      <c r="AU278" s="239">
        <v>290.98250000000002</v>
      </c>
      <c r="AV278" s="239">
        <v>0</v>
      </c>
      <c r="AW278" s="239">
        <v>0</v>
      </c>
      <c r="AX278" s="239">
        <v>0</v>
      </c>
      <c r="AY278" s="239">
        <v>0</v>
      </c>
      <c r="AZ278" s="239">
        <v>1164</v>
      </c>
      <c r="BA278" s="239">
        <v>291</v>
      </c>
      <c r="BB278" s="239">
        <v>0</v>
      </c>
      <c r="BC278" s="239">
        <v>0</v>
      </c>
      <c r="BD278" s="239">
        <v>0</v>
      </c>
      <c r="BE278" s="239">
        <v>0</v>
      </c>
      <c r="BF278" s="239">
        <v>0</v>
      </c>
      <c r="BG278" s="239">
        <v>0</v>
      </c>
      <c r="BH278" s="239">
        <v>0</v>
      </c>
      <c r="BI278" s="239">
        <v>0</v>
      </c>
      <c r="BJ278" s="239">
        <v>0</v>
      </c>
      <c r="BK278" s="239">
        <v>0</v>
      </c>
      <c r="BL278" s="239">
        <v>0</v>
      </c>
      <c r="BM278" s="239">
        <v>0</v>
      </c>
      <c r="BN278" s="239">
        <v>0</v>
      </c>
      <c r="BO278" s="239">
        <v>0</v>
      </c>
      <c r="BP278" s="239">
        <v>0</v>
      </c>
      <c r="BQ278" s="239">
        <v>0</v>
      </c>
      <c r="BR278" s="239">
        <v>0</v>
      </c>
      <c r="BS278" s="239">
        <v>0</v>
      </c>
      <c r="BT278" s="239">
        <v>0</v>
      </c>
      <c r="BU278" s="239">
        <v>183851.42833333334</v>
      </c>
      <c r="BV278" s="239">
        <v>45962.857083333336</v>
      </c>
      <c r="BW278" s="239">
        <v>0</v>
      </c>
      <c r="BX278" s="239">
        <v>148235</v>
      </c>
      <c r="BY278" s="239">
        <v>37060</v>
      </c>
      <c r="BZ278" s="239">
        <v>0</v>
      </c>
      <c r="CA278" s="239">
        <v>35616</v>
      </c>
      <c r="CB278" s="239">
        <v>8903</v>
      </c>
      <c r="CC278" s="239">
        <v>0</v>
      </c>
      <c r="CD278" s="239">
        <v>0</v>
      </c>
      <c r="CE278" s="239">
        <v>0</v>
      </c>
      <c r="CF278" s="239">
        <v>0</v>
      </c>
      <c r="CG278" s="239">
        <v>0</v>
      </c>
      <c r="CH278" s="239">
        <v>0</v>
      </c>
      <c r="CI278" s="239">
        <v>0</v>
      </c>
      <c r="CJ278" s="239">
        <v>0</v>
      </c>
      <c r="CK278" s="239">
        <v>0</v>
      </c>
      <c r="CL278" s="239">
        <v>0</v>
      </c>
      <c r="CM278" s="239">
        <v>3048.2141666666666</v>
      </c>
      <c r="CN278" s="239">
        <v>762.05354166666666</v>
      </c>
      <c r="CO278" s="239">
        <v>0</v>
      </c>
      <c r="CP278" s="239">
        <v>0</v>
      </c>
      <c r="CQ278" s="239">
        <v>0</v>
      </c>
      <c r="CR278" s="239">
        <v>0</v>
      </c>
      <c r="CS278" s="239">
        <v>3048</v>
      </c>
      <c r="CT278" s="239">
        <v>762</v>
      </c>
      <c r="CU278" s="239">
        <v>0</v>
      </c>
      <c r="CV278" s="239">
        <v>115630.47416666668</v>
      </c>
      <c r="CW278" s="239">
        <v>28907.61854166667</v>
      </c>
      <c r="CX278" s="239">
        <v>0</v>
      </c>
      <c r="CY278" s="239">
        <v>116620</v>
      </c>
      <c r="CZ278" s="239">
        <v>29155</v>
      </c>
      <c r="DA278" s="239">
        <v>0</v>
      </c>
      <c r="DB278" s="239">
        <v>-990</v>
      </c>
      <c r="DC278" s="239">
        <v>-247</v>
      </c>
      <c r="DD278" s="239">
        <v>0</v>
      </c>
      <c r="DE278" s="214">
        <v>0.5</v>
      </c>
      <c r="DF278" s="214">
        <v>0.4</v>
      </c>
      <c r="DG278" s="214">
        <v>0.1</v>
      </c>
      <c r="DH278" s="214">
        <v>0</v>
      </c>
      <c r="DI278" s="214" t="s">
        <v>1294</v>
      </c>
    </row>
    <row r="279" spans="2:113" s="214" customFormat="1" x14ac:dyDescent="0.2">
      <c r="B279" s="610" t="s">
        <v>641</v>
      </c>
      <c r="C279" s="610" t="s">
        <v>640</v>
      </c>
      <c r="D279" s="239">
        <v>177309</v>
      </c>
      <c r="E279" s="239">
        <v>0</v>
      </c>
      <c r="F279" s="239">
        <v>177309</v>
      </c>
      <c r="G279" s="239">
        <v>0</v>
      </c>
      <c r="H279" s="239">
        <v>0</v>
      </c>
      <c r="I279" s="239">
        <v>0</v>
      </c>
      <c r="J279" s="239">
        <v>177309</v>
      </c>
      <c r="K279" s="239">
        <v>0</v>
      </c>
      <c r="L279" s="239">
        <v>177309</v>
      </c>
      <c r="M279" s="239">
        <v>163502</v>
      </c>
      <c r="N279" s="239">
        <v>163502</v>
      </c>
      <c r="O279" s="239">
        <v>0</v>
      </c>
      <c r="P279" s="239">
        <v>0</v>
      </c>
      <c r="Q279" s="239">
        <v>0</v>
      </c>
      <c r="R279" s="239">
        <v>0</v>
      </c>
      <c r="S279" s="239">
        <v>148334</v>
      </c>
      <c r="T279" s="239">
        <v>0</v>
      </c>
      <c r="U279" s="239">
        <v>120000</v>
      </c>
      <c r="V279" s="239">
        <v>0</v>
      </c>
      <c r="W279" s="239">
        <v>28334</v>
      </c>
      <c r="X279" s="239">
        <v>0</v>
      </c>
      <c r="Y279" s="239">
        <v>0</v>
      </c>
      <c r="Z279" s="239">
        <v>0</v>
      </c>
      <c r="AA279" s="239">
        <v>0</v>
      </c>
      <c r="AB279" s="239">
        <v>0</v>
      </c>
      <c r="AC279" s="239">
        <v>0</v>
      </c>
      <c r="AD279" s="239">
        <v>0</v>
      </c>
      <c r="AE279" s="239">
        <v>0</v>
      </c>
      <c r="AF279" s="239">
        <v>0</v>
      </c>
      <c r="AG279" s="239">
        <v>0</v>
      </c>
      <c r="AH279" s="239">
        <v>0</v>
      </c>
      <c r="AI279" s="239">
        <v>0</v>
      </c>
      <c r="AJ279" s="239">
        <v>0</v>
      </c>
      <c r="AK279" s="239">
        <v>498255.17875000002</v>
      </c>
      <c r="AL279" s="239">
        <v>112107.41521875</v>
      </c>
      <c r="AM279" s="239">
        <v>12456.379468750001</v>
      </c>
      <c r="AN279" s="239">
        <v>490432</v>
      </c>
      <c r="AO279" s="239">
        <v>110346</v>
      </c>
      <c r="AP279" s="239">
        <v>12260</v>
      </c>
      <c r="AQ279" s="239">
        <v>7823</v>
      </c>
      <c r="AR279" s="239">
        <v>1761</v>
      </c>
      <c r="AS279" s="239">
        <v>196</v>
      </c>
      <c r="AT279" s="239">
        <v>14138.421666666667</v>
      </c>
      <c r="AU279" s="239">
        <v>3181.144875</v>
      </c>
      <c r="AV279" s="239">
        <v>353.4605416666667</v>
      </c>
      <c r="AW279" s="239">
        <v>0</v>
      </c>
      <c r="AX279" s="239">
        <v>0</v>
      </c>
      <c r="AY279" s="239">
        <v>0</v>
      </c>
      <c r="AZ279" s="239">
        <v>14138</v>
      </c>
      <c r="BA279" s="239">
        <v>3181</v>
      </c>
      <c r="BB279" s="239">
        <v>353</v>
      </c>
      <c r="BC279" s="239">
        <v>1007.2783333333339</v>
      </c>
      <c r="BD279" s="239">
        <v>226.63762500000007</v>
      </c>
      <c r="BE279" s="239">
        <v>25.181958333333341</v>
      </c>
      <c r="BF279" s="239">
        <v>5832</v>
      </c>
      <c r="BG279" s="239">
        <v>1312</v>
      </c>
      <c r="BH279" s="239">
        <v>146</v>
      </c>
      <c r="BI279" s="239">
        <v>-4825</v>
      </c>
      <c r="BJ279" s="239">
        <v>-1085</v>
      </c>
      <c r="BK279" s="239">
        <v>-121</v>
      </c>
      <c r="BL279" s="239">
        <v>0</v>
      </c>
      <c r="BM279" s="239">
        <v>0</v>
      </c>
      <c r="BN279" s="239">
        <v>0</v>
      </c>
      <c r="BO279" s="239">
        <v>7192</v>
      </c>
      <c r="BP279" s="239">
        <v>1618</v>
      </c>
      <c r="BQ279" s="239">
        <v>180</v>
      </c>
      <c r="BR279" s="239">
        <v>-7192</v>
      </c>
      <c r="BS279" s="239">
        <v>-1618</v>
      </c>
      <c r="BT279" s="239">
        <v>-180</v>
      </c>
      <c r="BU279" s="239">
        <v>249196.2766666667</v>
      </c>
      <c r="BV279" s="239">
        <v>56069.162250000001</v>
      </c>
      <c r="BW279" s="239">
        <v>6229.9069166666668</v>
      </c>
      <c r="BX279" s="239">
        <v>162122</v>
      </c>
      <c r="BY279" s="239">
        <v>36478</v>
      </c>
      <c r="BZ279" s="239">
        <v>4054</v>
      </c>
      <c r="CA279" s="239">
        <v>87074</v>
      </c>
      <c r="CB279" s="239">
        <v>19591</v>
      </c>
      <c r="CC279" s="239">
        <v>2176</v>
      </c>
      <c r="CD279" s="239">
        <v>0</v>
      </c>
      <c r="CE279" s="239">
        <v>0</v>
      </c>
      <c r="CF279" s="239">
        <v>0</v>
      </c>
      <c r="CG279" s="239">
        <v>0</v>
      </c>
      <c r="CH279" s="239">
        <v>0</v>
      </c>
      <c r="CI279" s="239">
        <v>0</v>
      </c>
      <c r="CJ279" s="239">
        <v>0</v>
      </c>
      <c r="CK279" s="239">
        <v>0</v>
      </c>
      <c r="CL279" s="239">
        <v>0</v>
      </c>
      <c r="CM279" s="239">
        <v>8190.934166666666</v>
      </c>
      <c r="CN279" s="239">
        <v>1842.9601874999998</v>
      </c>
      <c r="CO279" s="239">
        <v>204.77335416666665</v>
      </c>
      <c r="CP279" s="239">
        <v>0</v>
      </c>
      <c r="CQ279" s="239">
        <v>0</v>
      </c>
      <c r="CR279" s="239">
        <v>0</v>
      </c>
      <c r="CS279" s="239">
        <v>8191</v>
      </c>
      <c r="CT279" s="239">
        <v>1843</v>
      </c>
      <c r="CU279" s="239">
        <v>205</v>
      </c>
      <c r="CV279" s="239">
        <v>241931.88250000001</v>
      </c>
      <c r="CW279" s="239">
        <v>53947.952624999998</v>
      </c>
      <c r="CX279" s="239">
        <v>5994.2169583333334</v>
      </c>
      <c r="CY279" s="239">
        <v>233967</v>
      </c>
      <c r="CZ279" s="239">
        <v>52249</v>
      </c>
      <c r="DA279" s="239">
        <v>5805</v>
      </c>
      <c r="DB279" s="239">
        <v>7965</v>
      </c>
      <c r="DC279" s="239">
        <v>1699</v>
      </c>
      <c r="DD279" s="239">
        <v>189</v>
      </c>
      <c r="DE279" s="214">
        <v>0.5</v>
      </c>
      <c r="DF279" s="214">
        <v>0.4</v>
      </c>
      <c r="DG279" s="214">
        <v>0.09</v>
      </c>
      <c r="DH279" s="214">
        <v>0.01</v>
      </c>
      <c r="DI279" s="214" t="s">
        <v>1294</v>
      </c>
    </row>
    <row r="280" spans="2:113" s="214" customFormat="1" x14ac:dyDescent="0.2">
      <c r="B280" s="610" t="s">
        <v>643</v>
      </c>
      <c r="C280" s="610" t="s">
        <v>642</v>
      </c>
      <c r="D280" s="239">
        <v>157050</v>
      </c>
      <c r="E280" s="239">
        <v>0</v>
      </c>
      <c r="F280" s="239">
        <v>157050</v>
      </c>
      <c r="G280" s="239">
        <v>0</v>
      </c>
      <c r="H280" s="239">
        <v>0</v>
      </c>
      <c r="I280" s="239">
        <v>0</v>
      </c>
      <c r="J280" s="239">
        <v>157050</v>
      </c>
      <c r="K280" s="239">
        <v>0</v>
      </c>
      <c r="L280" s="239">
        <v>157050</v>
      </c>
      <c r="M280" s="239">
        <v>191444</v>
      </c>
      <c r="N280" s="239">
        <v>191444</v>
      </c>
      <c r="O280" s="239">
        <v>0</v>
      </c>
      <c r="P280" s="239">
        <v>0</v>
      </c>
      <c r="Q280" s="239">
        <v>0</v>
      </c>
      <c r="R280" s="239">
        <v>0</v>
      </c>
      <c r="S280" s="239">
        <v>158534</v>
      </c>
      <c r="T280" s="239">
        <v>0</v>
      </c>
      <c r="U280" s="239">
        <v>0</v>
      </c>
      <c r="V280" s="239">
        <v>0</v>
      </c>
      <c r="W280" s="239">
        <v>158534</v>
      </c>
      <c r="X280" s="239">
        <v>0</v>
      </c>
      <c r="Y280" s="239">
        <v>0</v>
      </c>
      <c r="Z280" s="239">
        <v>0</v>
      </c>
      <c r="AA280" s="239">
        <v>0</v>
      </c>
      <c r="AB280" s="239">
        <v>0</v>
      </c>
      <c r="AC280" s="239">
        <v>0</v>
      </c>
      <c r="AD280" s="239">
        <v>0</v>
      </c>
      <c r="AE280" s="239">
        <v>0</v>
      </c>
      <c r="AF280" s="239">
        <v>0</v>
      </c>
      <c r="AG280" s="239">
        <v>0</v>
      </c>
      <c r="AH280" s="239">
        <v>0</v>
      </c>
      <c r="AI280" s="239">
        <v>0</v>
      </c>
      <c r="AJ280" s="239">
        <v>0</v>
      </c>
      <c r="AK280" s="239">
        <v>772874.07291666674</v>
      </c>
      <c r="AL280" s="239">
        <v>173896.66640625001</v>
      </c>
      <c r="AM280" s="239">
        <v>19321.851822916669</v>
      </c>
      <c r="AN280" s="239">
        <v>758882</v>
      </c>
      <c r="AO280" s="239">
        <v>170748</v>
      </c>
      <c r="AP280" s="239">
        <v>18972</v>
      </c>
      <c r="AQ280" s="239">
        <v>13992</v>
      </c>
      <c r="AR280" s="239">
        <v>3149</v>
      </c>
      <c r="AS280" s="239">
        <v>350</v>
      </c>
      <c r="AT280" s="239">
        <v>6733.9925000000003</v>
      </c>
      <c r="AU280" s="239">
        <v>1515.1483125</v>
      </c>
      <c r="AV280" s="239">
        <v>168.34981250000001</v>
      </c>
      <c r="AW280" s="239">
        <v>4057</v>
      </c>
      <c r="AX280" s="239">
        <v>914</v>
      </c>
      <c r="AY280" s="239">
        <v>102</v>
      </c>
      <c r="AZ280" s="239">
        <v>2677</v>
      </c>
      <c r="BA280" s="239">
        <v>601</v>
      </c>
      <c r="BB280" s="239">
        <v>66</v>
      </c>
      <c r="BC280" s="239">
        <v>0</v>
      </c>
      <c r="BD280" s="239">
        <v>0</v>
      </c>
      <c r="BE280" s="239">
        <v>0</v>
      </c>
      <c r="BF280" s="239">
        <v>0</v>
      </c>
      <c r="BG280" s="239">
        <v>0</v>
      </c>
      <c r="BH280" s="239">
        <v>0</v>
      </c>
      <c r="BI280" s="239">
        <v>0</v>
      </c>
      <c r="BJ280" s="239">
        <v>0</v>
      </c>
      <c r="BK280" s="239">
        <v>0</v>
      </c>
      <c r="BL280" s="239">
        <v>310.46250000000003</v>
      </c>
      <c r="BM280" s="239">
        <v>69.854062499999998</v>
      </c>
      <c r="BN280" s="239">
        <v>7.7615625000000001</v>
      </c>
      <c r="BO280" s="239">
        <v>4057</v>
      </c>
      <c r="BP280" s="239">
        <v>914</v>
      </c>
      <c r="BQ280" s="239">
        <v>102</v>
      </c>
      <c r="BR280" s="239">
        <v>-3747</v>
      </c>
      <c r="BS280" s="239">
        <v>-844</v>
      </c>
      <c r="BT280" s="239">
        <v>-94</v>
      </c>
      <c r="BU280" s="239">
        <v>345341.84583333333</v>
      </c>
      <c r="BV280" s="239">
        <v>77701.915312499987</v>
      </c>
      <c r="BW280" s="239">
        <v>8633.5461458333339</v>
      </c>
      <c r="BX280" s="239">
        <v>232111</v>
      </c>
      <c r="BY280" s="239">
        <v>52224</v>
      </c>
      <c r="BZ280" s="239">
        <v>5802</v>
      </c>
      <c r="CA280" s="239">
        <v>113231</v>
      </c>
      <c r="CB280" s="239">
        <v>25478</v>
      </c>
      <c r="CC280" s="239">
        <v>2832</v>
      </c>
      <c r="CD280" s="239">
        <v>0</v>
      </c>
      <c r="CE280" s="239">
        <v>0</v>
      </c>
      <c r="CF280" s="239">
        <v>0</v>
      </c>
      <c r="CG280" s="239">
        <v>0</v>
      </c>
      <c r="CH280" s="239">
        <v>0</v>
      </c>
      <c r="CI280" s="239">
        <v>0</v>
      </c>
      <c r="CJ280" s="239">
        <v>0</v>
      </c>
      <c r="CK280" s="239">
        <v>0</v>
      </c>
      <c r="CL280" s="239">
        <v>0</v>
      </c>
      <c r="CM280" s="239">
        <v>14681.832500000002</v>
      </c>
      <c r="CN280" s="239">
        <v>3303.4123125000001</v>
      </c>
      <c r="CO280" s="239">
        <v>367.04581250000001</v>
      </c>
      <c r="CP280" s="239">
        <v>0</v>
      </c>
      <c r="CQ280" s="239">
        <v>0</v>
      </c>
      <c r="CR280" s="239">
        <v>0</v>
      </c>
      <c r="CS280" s="239">
        <v>14682</v>
      </c>
      <c r="CT280" s="239">
        <v>3303</v>
      </c>
      <c r="CU280" s="239">
        <v>367</v>
      </c>
      <c r="CV280" s="239">
        <v>184288.97083333333</v>
      </c>
      <c r="CW280" s="239">
        <v>40944.828750000001</v>
      </c>
      <c r="CX280" s="239">
        <v>4549.4254166666669</v>
      </c>
      <c r="CY280" s="239">
        <v>188724</v>
      </c>
      <c r="CZ280" s="239">
        <v>42463</v>
      </c>
      <c r="DA280" s="239">
        <v>4718</v>
      </c>
      <c r="DB280" s="239">
        <v>-4435</v>
      </c>
      <c r="DC280" s="239">
        <v>-1518</v>
      </c>
      <c r="DD280" s="239">
        <v>-169</v>
      </c>
      <c r="DE280" s="214">
        <v>0.5</v>
      </c>
      <c r="DF280" s="214">
        <v>0.4</v>
      </c>
      <c r="DG280" s="214">
        <v>0.09</v>
      </c>
      <c r="DH280" s="214">
        <v>0.01</v>
      </c>
      <c r="DI280" s="214" t="s">
        <v>1294</v>
      </c>
    </row>
    <row r="281" spans="2:113" s="214" customFormat="1" x14ac:dyDescent="0.2">
      <c r="B281" s="610" t="s">
        <v>645</v>
      </c>
      <c r="C281" s="610" t="s">
        <v>644</v>
      </c>
      <c r="D281" s="239">
        <v>73455</v>
      </c>
      <c r="E281" s="239">
        <v>0</v>
      </c>
      <c r="F281" s="239">
        <v>73455</v>
      </c>
      <c r="G281" s="239">
        <v>0</v>
      </c>
      <c r="H281" s="239">
        <v>0</v>
      </c>
      <c r="I281" s="239">
        <v>0</v>
      </c>
      <c r="J281" s="239">
        <v>73455</v>
      </c>
      <c r="K281" s="239">
        <v>0</v>
      </c>
      <c r="L281" s="239">
        <v>73455</v>
      </c>
      <c r="M281" s="239">
        <v>214432</v>
      </c>
      <c r="N281" s="239">
        <v>234432</v>
      </c>
      <c r="O281" s="239">
        <v>-20000</v>
      </c>
      <c r="P281" s="239">
        <v>0</v>
      </c>
      <c r="Q281" s="239">
        <v>0</v>
      </c>
      <c r="R281" s="239">
        <v>0</v>
      </c>
      <c r="S281" s="239">
        <v>61706</v>
      </c>
      <c r="T281" s="239">
        <v>0</v>
      </c>
      <c r="U281" s="239">
        <v>0</v>
      </c>
      <c r="V281" s="239">
        <v>0</v>
      </c>
      <c r="W281" s="239">
        <v>61706</v>
      </c>
      <c r="X281" s="239">
        <v>0</v>
      </c>
      <c r="Y281" s="239">
        <v>0</v>
      </c>
      <c r="Z281" s="239">
        <v>0</v>
      </c>
      <c r="AA281" s="239">
        <v>0</v>
      </c>
      <c r="AB281" s="239">
        <v>0</v>
      </c>
      <c r="AC281" s="239">
        <v>0</v>
      </c>
      <c r="AD281" s="239">
        <v>0</v>
      </c>
      <c r="AE281" s="239">
        <v>0</v>
      </c>
      <c r="AF281" s="239">
        <v>0</v>
      </c>
      <c r="AG281" s="239">
        <v>0</v>
      </c>
      <c r="AH281" s="239">
        <v>0</v>
      </c>
      <c r="AI281" s="239">
        <v>0</v>
      </c>
      <c r="AJ281" s="239">
        <v>0</v>
      </c>
      <c r="AK281" s="239">
        <v>722924.1163958332</v>
      </c>
      <c r="AL281" s="239">
        <v>0</v>
      </c>
      <c r="AM281" s="239">
        <v>14753.553395833333</v>
      </c>
      <c r="AN281" s="239">
        <v>664062</v>
      </c>
      <c r="AO281" s="239">
        <v>0</v>
      </c>
      <c r="AP281" s="239">
        <v>13552</v>
      </c>
      <c r="AQ281" s="239">
        <v>58862</v>
      </c>
      <c r="AR281" s="239">
        <v>0</v>
      </c>
      <c r="AS281" s="239">
        <v>1202</v>
      </c>
      <c r="AT281" s="239">
        <v>6941.6472708333331</v>
      </c>
      <c r="AU281" s="239">
        <v>0</v>
      </c>
      <c r="AV281" s="239">
        <v>141.66627083333333</v>
      </c>
      <c r="AW281" s="239">
        <v>11289</v>
      </c>
      <c r="AX281" s="239">
        <v>0</v>
      </c>
      <c r="AY281" s="239">
        <v>230</v>
      </c>
      <c r="AZ281" s="239">
        <v>-4347</v>
      </c>
      <c r="BA281" s="239">
        <v>0</v>
      </c>
      <c r="BB281" s="239">
        <v>-88</v>
      </c>
      <c r="BC281" s="239">
        <v>13422.9375</v>
      </c>
      <c r="BD281" s="239">
        <v>0</v>
      </c>
      <c r="BE281" s="239">
        <v>273.9375</v>
      </c>
      <c r="BF281" s="239">
        <v>26777</v>
      </c>
      <c r="BG281" s="239">
        <v>0</v>
      </c>
      <c r="BH281" s="239">
        <v>546</v>
      </c>
      <c r="BI281" s="239">
        <v>-13354</v>
      </c>
      <c r="BJ281" s="239">
        <v>0</v>
      </c>
      <c r="BK281" s="239">
        <v>-272</v>
      </c>
      <c r="BL281" s="239">
        <v>18140.851458333331</v>
      </c>
      <c r="BM281" s="239">
        <v>0</v>
      </c>
      <c r="BN281" s="239">
        <v>370.22145833333332</v>
      </c>
      <c r="BO281" s="239">
        <v>0</v>
      </c>
      <c r="BP281" s="239">
        <v>0</v>
      </c>
      <c r="BQ281" s="239">
        <v>0</v>
      </c>
      <c r="BR281" s="239">
        <v>18141</v>
      </c>
      <c r="BS281" s="239">
        <v>0</v>
      </c>
      <c r="BT281" s="239">
        <v>370</v>
      </c>
      <c r="BU281" s="239">
        <v>241279.78729166667</v>
      </c>
      <c r="BV281" s="239">
        <v>0</v>
      </c>
      <c r="BW281" s="239">
        <v>4924.0772916666665</v>
      </c>
      <c r="BX281" s="239">
        <v>190269</v>
      </c>
      <c r="BY281" s="239">
        <v>0</v>
      </c>
      <c r="BZ281" s="239">
        <v>3884</v>
      </c>
      <c r="CA281" s="239">
        <v>51011</v>
      </c>
      <c r="CB281" s="239">
        <v>0</v>
      </c>
      <c r="CC281" s="239">
        <v>1040</v>
      </c>
      <c r="CD281" s="239">
        <v>0</v>
      </c>
      <c r="CE281" s="239">
        <v>0</v>
      </c>
      <c r="CF281" s="239">
        <v>0</v>
      </c>
      <c r="CG281" s="239">
        <v>0</v>
      </c>
      <c r="CH281" s="239">
        <v>0</v>
      </c>
      <c r="CI281" s="239">
        <v>0</v>
      </c>
      <c r="CJ281" s="239">
        <v>0</v>
      </c>
      <c r="CK281" s="239">
        <v>0</v>
      </c>
      <c r="CL281" s="239">
        <v>0</v>
      </c>
      <c r="CM281" s="239">
        <v>5648.5709583333328</v>
      </c>
      <c r="CN281" s="239">
        <v>0</v>
      </c>
      <c r="CO281" s="239">
        <v>115.27695833333334</v>
      </c>
      <c r="CP281" s="239">
        <v>0</v>
      </c>
      <c r="CQ281" s="239">
        <v>0</v>
      </c>
      <c r="CR281" s="239">
        <v>0</v>
      </c>
      <c r="CS281" s="239">
        <v>5649</v>
      </c>
      <c r="CT281" s="239">
        <v>0</v>
      </c>
      <c r="CU281" s="239">
        <v>115</v>
      </c>
      <c r="CV281" s="239">
        <v>514237.76658333337</v>
      </c>
      <c r="CW281" s="239">
        <v>0</v>
      </c>
      <c r="CX281" s="239">
        <v>10476.283416666667</v>
      </c>
      <c r="CY281" s="239">
        <v>492504</v>
      </c>
      <c r="CZ281" s="239">
        <v>0</v>
      </c>
      <c r="DA281" s="239">
        <v>10051</v>
      </c>
      <c r="DB281" s="239">
        <v>21734</v>
      </c>
      <c r="DC281" s="239">
        <v>0</v>
      </c>
      <c r="DD281" s="239">
        <v>425</v>
      </c>
      <c r="DE281" s="214">
        <v>0.5</v>
      </c>
      <c r="DF281" s="214">
        <v>0.49</v>
      </c>
      <c r="DG281" s="214">
        <v>0</v>
      </c>
      <c r="DH281" s="214">
        <v>0.01</v>
      </c>
      <c r="DI281" s="214" t="s">
        <v>748</v>
      </c>
    </row>
    <row r="282" spans="2:113" s="214" customFormat="1" x14ac:dyDescent="0.2">
      <c r="B282" s="610" t="s">
        <v>647</v>
      </c>
      <c r="C282" s="610" t="s">
        <v>646</v>
      </c>
      <c r="D282" s="239">
        <v>-63126</v>
      </c>
      <c r="E282" s="239">
        <v>0</v>
      </c>
      <c r="F282" s="239">
        <v>-63126</v>
      </c>
      <c r="G282" s="239">
        <v>0</v>
      </c>
      <c r="H282" s="239">
        <v>0</v>
      </c>
      <c r="I282" s="239">
        <v>0</v>
      </c>
      <c r="J282" s="239">
        <v>-63126</v>
      </c>
      <c r="K282" s="239">
        <v>0</v>
      </c>
      <c r="L282" s="239">
        <v>-63126</v>
      </c>
      <c r="M282" s="239">
        <v>294938</v>
      </c>
      <c r="N282" s="239">
        <v>294938</v>
      </c>
      <c r="O282" s="239">
        <v>0</v>
      </c>
      <c r="P282" s="239">
        <v>0</v>
      </c>
      <c r="Q282" s="239">
        <v>0</v>
      </c>
      <c r="R282" s="239">
        <v>0</v>
      </c>
      <c r="S282" s="239">
        <v>220454</v>
      </c>
      <c r="T282" s="239">
        <v>0</v>
      </c>
      <c r="U282" s="239">
        <v>186847</v>
      </c>
      <c r="V282" s="239">
        <v>0</v>
      </c>
      <c r="W282" s="239">
        <v>33607</v>
      </c>
      <c r="X282" s="239">
        <v>0</v>
      </c>
      <c r="Y282" s="239">
        <v>0</v>
      </c>
      <c r="Z282" s="239">
        <v>0</v>
      </c>
      <c r="AA282" s="239">
        <v>0</v>
      </c>
      <c r="AB282" s="239">
        <v>0</v>
      </c>
      <c r="AC282" s="239">
        <v>0</v>
      </c>
      <c r="AD282" s="239">
        <v>0</v>
      </c>
      <c r="AE282" s="239">
        <v>0</v>
      </c>
      <c r="AF282" s="239">
        <v>0</v>
      </c>
      <c r="AG282" s="239">
        <v>0</v>
      </c>
      <c r="AH282" s="239">
        <v>0</v>
      </c>
      <c r="AI282" s="239">
        <v>0</v>
      </c>
      <c r="AJ282" s="239">
        <v>0</v>
      </c>
      <c r="AK282" s="239">
        <v>916966.41541666666</v>
      </c>
      <c r="AL282" s="239">
        <v>206317.44346874999</v>
      </c>
      <c r="AM282" s="239">
        <v>22924.160385416668</v>
      </c>
      <c r="AN282" s="239">
        <v>891807</v>
      </c>
      <c r="AO282" s="239">
        <v>200656</v>
      </c>
      <c r="AP282" s="239">
        <v>22296</v>
      </c>
      <c r="AQ282" s="239">
        <v>25159</v>
      </c>
      <c r="AR282" s="239">
        <v>5661</v>
      </c>
      <c r="AS282" s="239">
        <v>628</v>
      </c>
      <c r="AT282" s="239">
        <v>2927.6816666666673</v>
      </c>
      <c r="AU282" s="239">
        <v>658.72837500000003</v>
      </c>
      <c r="AV282" s="239">
        <v>73.192041666666682</v>
      </c>
      <c r="AW282" s="239">
        <v>1169</v>
      </c>
      <c r="AX282" s="239">
        <v>262</v>
      </c>
      <c r="AY282" s="239">
        <v>30</v>
      </c>
      <c r="AZ282" s="239">
        <v>1759</v>
      </c>
      <c r="BA282" s="239">
        <v>397</v>
      </c>
      <c r="BB282" s="239">
        <v>43</v>
      </c>
      <c r="BC282" s="239">
        <v>0</v>
      </c>
      <c r="BD282" s="239">
        <v>0</v>
      </c>
      <c r="BE282" s="239">
        <v>0</v>
      </c>
      <c r="BF282" s="239">
        <v>0</v>
      </c>
      <c r="BG282" s="239">
        <v>0</v>
      </c>
      <c r="BH282" s="239">
        <v>0</v>
      </c>
      <c r="BI282" s="239">
        <v>0</v>
      </c>
      <c r="BJ282" s="239">
        <v>0</v>
      </c>
      <c r="BK282" s="239">
        <v>0</v>
      </c>
      <c r="BL282" s="239">
        <v>4962.935833333333</v>
      </c>
      <c r="BM282" s="239">
        <v>1116.6605625</v>
      </c>
      <c r="BN282" s="239">
        <v>124.07339583333332</v>
      </c>
      <c r="BO282" s="239">
        <v>0</v>
      </c>
      <c r="BP282" s="239">
        <v>0</v>
      </c>
      <c r="BQ282" s="239">
        <v>0</v>
      </c>
      <c r="BR282" s="239">
        <v>4963</v>
      </c>
      <c r="BS282" s="239">
        <v>1117</v>
      </c>
      <c r="BT282" s="239">
        <v>124</v>
      </c>
      <c r="BU282" s="239">
        <v>299797.20000000007</v>
      </c>
      <c r="BV282" s="239">
        <v>67454.37000000001</v>
      </c>
      <c r="BW282" s="239">
        <v>7494.93</v>
      </c>
      <c r="BX282" s="239">
        <v>222482</v>
      </c>
      <c r="BY282" s="239">
        <v>50058</v>
      </c>
      <c r="BZ282" s="239">
        <v>5562</v>
      </c>
      <c r="CA282" s="239">
        <v>77315</v>
      </c>
      <c r="CB282" s="239">
        <v>17396</v>
      </c>
      <c r="CC282" s="239">
        <v>1933</v>
      </c>
      <c r="CD282" s="239">
        <v>0</v>
      </c>
      <c r="CE282" s="239">
        <v>0</v>
      </c>
      <c r="CF282" s="239">
        <v>0</v>
      </c>
      <c r="CG282" s="239">
        <v>0</v>
      </c>
      <c r="CH282" s="239">
        <v>0</v>
      </c>
      <c r="CI282" s="239">
        <v>0</v>
      </c>
      <c r="CJ282" s="239">
        <v>0</v>
      </c>
      <c r="CK282" s="239">
        <v>0</v>
      </c>
      <c r="CL282" s="239">
        <v>0</v>
      </c>
      <c r="CM282" s="239">
        <v>6526.2058333333334</v>
      </c>
      <c r="CN282" s="239">
        <v>1468.3963125</v>
      </c>
      <c r="CO282" s="239">
        <v>163.15514583333334</v>
      </c>
      <c r="CP282" s="239">
        <v>0</v>
      </c>
      <c r="CQ282" s="239">
        <v>0</v>
      </c>
      <c r="CR282" s="239">
        <v>0</v>
      </c>
      <c r="CS282" s="239">
        <v>6526</v>
      </c>
      <c r="CT282" s="239">
        <v>1468</v>
      </c>
      <c r="CU282" s="239">
        <v>163</v>
      </c>
      <c r="CV282" s="239">
        <v>147524.03166666668</v>
      </c>
      <c r="CW282" s="239">
        <v>32469.542437500004</v>
      </c>
      <c r="CX282" s="239">
        <v>3607.7269375000001</v>
      </c>
      <c r="CY282" s="239">
        <v>150582</v>
      </c>
      <c r="CZ282" s="239">
        <v>33268</v>
      </c>
      <c r="DA282" s="239">
        <v>3696</v>
      </c>
      <c r="DB282" s="239">
        <v>-3058</v>
      </c>
      <c r="DC282" s="239">
        <v>-798</v>
      </c>
      <c r="DD282" s="239">
        <v>-88</v>
      </c>
      <c r="DE282" s="214">
        <v>0.5</v>
      </c>
      <c r="DF282" s="214">
        <v>0.4</v>
      </c>
      <c r="DG282" s="214">
        <v>0.09</v>
      </c>
      <c r="DH282" s="214">
        <v>0.01</v>
      </c>
      <c r="DI282" s="214" t="s">
        <v>1294</v>
      </c>
    </row>
    <row r="283" spans="2:113" s="214" customFormat="1" x14ac:dyDescent="0.2">
      <c r="B283" s="610" t="s">
        <v>649</v>
      </c>
      <c r="C283" s="610" t="s">
        <v>648</v>
      </c>
      <c r="D283" s="239">
        <v>233798</v>
      </c>
      <c r="E283" s="239">
        <v>0</v>
      </c>
      <c r="F283" s="239">
        <v>233798</v>
      </c>
      <c r="G283" s="239">
        <v>0</v>
      </c>
      <c r="H283" s="239">
        <v>0</v>
      </c>
      <c r="I283" s="239">
        <v>0</v>
      </c>
      <c r="J283" s="239">
        <v>233798</v>
      </c>
      <c r="K283" s="239">
        <v>0</v>
      </c>
      <c r="L283" s="239">
        <v>233798</v>
      </c>
      <c r="M283" s="239">
        <v>189487</v>
      </c>
      <c r="N283" s="239">
        <v>189487</v>
      </c>
      <c r="O283" s="239">
        <v>0</v>
      </c>
      <c r="P283" s="239">
        <v>0</v>
      </c>
      <c r="Q283" s="239">
        <v>0</v>
      </c>
      <c r="R283" s="239">
        <v>0</v>
      </c>
      <c r="S283" s="239">
        <v>23171</v>
      </c>
      <c r="T283" s="239">
        <v>0</v>
      </c>
      <c r="U283" s="239">
        <v>0</v>
      </c>
      <c r="V283" s="239">
        <v>0</v>
      </c>
      <c r="W283" s="239">
        <v>23171</v>
      </c>
      <c r="X283" s="239">
        <v>0</v>
      </c>
      <c r="Y283" s="239">
        <v>0</v>
      </c>
      <c r="Z283" s="239">
        <v>0</v>
      </c>
      <c r="AA283" s="239">
        <v>0</v>
      </c>
      <c r="AB283" s="239">
        <v>0</v>
      </c>
      <c r="AC283" s="239">
        <v>0</v>
      </c>
      <c r="AD283" s="239">
        <v>0</v>
      </c>
      <c r="AE283" s="239">
        <v>0</v>
      </c>
      <c r="AF283" s="239">
        <v>0</v>
      </c>
      <c r="AG283" s="239">
        <v>0</v>
      </c>
      <c r="AH283" s="239">
        <v>0</v>
      </c>
      <c r="AI283" s="239">
        <v>0</v>
      </c>
      <c r="AJ283" s="239">
        <v>0</v>
      </c>
      <c r="AK283" s="239">
        <v>541635.92125000001</v>
      </c>
      <c r="AL283" s="239">
        <v>121868.08228125</v>
      </c>
      <c r="AM283" s="239">
        <v>13540.898031249999</v>
      </c>
      <c r="AN283" s="239">
        <v>504484</v>
      </c>
      <c r="AO283" s="239">
        <v>113510</v>
      </c>
      <c r="AP283" s="239">
        <v>12612</v>
      </c>
      <c r="AQ283" s="239">
        <v>37152</v>
      </c>
      <c r="AR283" s="239">
        <v>8358</v>
      </c>
      <c r="AS283" s="239">
        <v>929</v>
      </c>
      <c r="AT283" s="239">
        <v>8368.689166666667</v>
      </c>
      <c r="AU283" s="239">
        <v>1882.9550624999999</v>
      </c>
      <c r="AV283" s="239">
        <v>209.21722916666667</v>
      </c>
      <c r="AW283" s="239">
        <v>4057</v>
      </c>
      <c r="AX283" s="239">
        <v>914</v>
      </c>
      <c r="AY283" s="239">
        <v>102</v>
      </c>
      <c r="AZ283" s="239">
        <v>4312</v>
      </c>
      <c r="BA283" s="239">
        <v>969</v>
      </c>
      <c r="BB283" s="239">
        <v>107</v>
      </c>
      <c r="BC283" s="239">
        <v>0</v>
      </c>
      <c r="BD283" s="239">
        <v>0</v>
      </c>
      <c r="BE283" s="239">
        <v>0</v>
      </c>
      <c r="BF283" s="239">
        <v>0</v>
      </c>
      <c r="BG283" s="239">
        <v>0</v>
      </c>
      <c r="BH283" s="239">
        <v>0</v>
      </c>
      <c r="BI283" s="239">
        <v>0</v>
      </c>
      <c r="BJ283" s="239">
        <v>0</v>
      </c>
      <c r="BK283" s="239">
        <v>0</v>
      </c>
      <c r="BL283" s="239">
        <v>12288.227499999999</v>
      </c>
      <c r="BM283" s="239">
        <v>2764.8511874999999</v>
      </c>
      <c r="BN283" s="239">
        <v>307.20568750000001</v>
      </c>
      <c r="BO283" s="239">
        <v>10146</v>
      </c>
      <c r="BP283" s="239">
        <v>2282</v>
      </c>
      <c r="BQ283" s="239">
        <v>254</v>
      </c>
      <c r="BR283" s="239">
        <v>2142</v>
      </c>
      <c r="BS283" s="239">
        <v>483</v>
      </c>
      <c r="BT283" s="239">
        <v>53</v>
      </c>
      <c r="BU283" s="239">
        <v>183485.77250000002</v>
      </c>
      <c r="BV283" s="239">
        <v>41284.298812500005</v>
      </c>
      <c r="BW283" s="239">
        <v>4587.1443125000005</v>
      </c>
      <c r="BX283" s="239">
        <v>172479</v>
      </c>
      <c r="BY283" s="239">
        <v>38808</v>
      </c>
      <c r="BZ283" s="239">
        <v>4312</v>
      </c>
      <c r="CA283" s="239">
        <v>11007</v>
      </c>
      <c r="CB283" s="239">
        <v>2476</v>
      </c>
      <c r="CC283" s="239">
        <v>275</v>
      </c>
      <c r="CD283" s="239">
        <v>230.51333333333332</v>
      </c>
      <c r="CE283" s="239">
        <v>51.865499999999997</v>
      </c>
      <c r="CF283" s="239">
        <v>5.762833333333333</v>
      </c>
      <c r="CG283" s="239">
        <v>0</v>
      </c>
      <c r="CH283" s="239">
        <v>0</v>
      </c>
      <c r="CI283" s="239">
        <v>0</v>
      </c>
      <c r="CJ283" s="239">
        <v>231</v>
      </c>
      <c r="CK283" s="239">
        <v>52</v>
      </c>
      <c r="CL283" s="239">
        <v>6</v>
      </c>
      <c r="CM283" s="239">
        <v>0</v>
      </c>
      <c r="CN283" s="239">
        <v>0</v>
      </c>
      <c r="CO283" s="239">
        <v>0</v>
      </c>
      <c r="CP283" s="239">
        <v>0</v>
      </c>
      <c r="CQ283" s="239">
        <v>0</v>
      </c>
      <c r="CR283" s="239">
        <v>0</v>
      </c>
      <c r="CS283" s="239">
        <v>0</v>
      </c>
      <c r="CT283" s="239">
        <v>0</v>
      </c>
      <c r="CU283" s="239">
        <v>0</v>
      </c>
      <c r="CV283" s="239">
        <v>304130.68874999997</v>
      </c>
      <c r="CW283" s="239">
        <v>68353.375125000006</v>
      </c>
      <c r="CX283" s="239">
        <v>7594.8194583333334</v>
      </c>
      <c r="CY283" s="239">
        <v>277976</v>
      </c>
      <c r="CZ283" s="239">
        <v>62545</v>
      </c>
      <c r="DA283" s="239">
        <v>6949</v>
      </c>
      <c r="DB283" s="239">
        <v>26155</v>
      </c>
      <c r="DC283" s="239">
        <v>5808</v>
      </c>
      <c r="DD283" s="239">
        <v>646</v>
      </c>
      <c r="DE283" s="214">
        <v>0.5</v>
      </c>
      <c r="DF283" s="214">
        <v>0.4</v>
      </c>
      <c r="DG283" s="214">
        <v>0.09</v>
      </c>
      <c r="DH283" s="214">
        <v>0.01</v>
      </c>
      <c r="DI283" s="214" t="s">
        <v>1294</v>
      </c>
    </row>
    <row r="284" spans="2:113" s="214" customFormat="1" x14ac:dyDescent="0.2">
      <c r="B284" s="610" t="s">
        <v>651</v>
      </c>
      <c r="C284" s="610" t="s">
        <v>650</v>
      </c>
      <c r="D284" s="239">
        <v>644294</v>
      </c>
      <c r="E284" s="239">
        <v>0</v>
      </c>
      <c r="F284" s="239">
        <v>644294</v>
      </c>
      <c r="G284" s="239">
        <v>0</v>
      </c>
      <c r="H284" s="239">
        <v>0</v>
      </c>
      <c r="I284" s="239">
        <v>0</v>
      </c>
      <c r="J284" s="239">
        <v>644294</v>
      </c>
      <c r="K284" s="239">
        <v>0</v>
      </c>
      <c r="L284" s="239">
        <v>644294</v>
      </c>
      <c r="M284" s="239">
        <v>123912</v>
      </c>
      <c r="N284" s="239">
        <v>123912</v>
      </c>
      <c r="O284" s="239">
        <v>0</v>
      </c>
      <c r="P284" s="239">
        <v>0</v>
      </c>
      <c r="Q284" s="239">
        <v>0</v>
      </c>
      <c r="R284" s="239">
        <v>0</v>
      </c>
      <c r="S284" s="239">
        <v>0</v>
      </c>
      <c r="T284" s="239">
        <v>0</v>
      </c>
      <c r="U284" s="239">
        <v>0</v>
      </c>
      <c r="V284" s="239">
        <v>0</v>
      </c>
      <c r="W284" s="239">
        <v>0</v>
      </c>
      <c r="X284" s="239">
        <v>0</v>
      </c>
      <c r="Y284" s="239">
        <v>0</v>
      </c>
      <c r="Z284" s="239">
        <v>0</v>
      </c>
      <c r="AA284" s="239">
        <v>0</v>
      </c>
      <c r="AB284" s="239">
        <v>0</v>
      </c>
      <c r="AC284" s="239">
        <v>0</v>
      </c>
      <c r="AD284" s="239">
        <v>0</v>
      </c>
      <c r="AE284" s="239">
        <v>0</v>
      </c>
      <c r="AF284" s="239">
        <v>0</v>
      </c>
      <c r="AG284" s="239">
        <v>0</v>
      </c>
      <c r="AH284" s="239">
        <v>0</v>
      </c>
      <c r="AI284" s="239">
        <v>0</v>
      </c>
      <c r="AJ284" s="239">
        <v>0</v>
      </c>
      <c r="AK284" s="239">
        <v>377815.8175</v>
      </c>
      <c r="AL284" s="239">
        <v>94453.954375000001</v>
      </c>
      <c r="AM284" s="239">
        <v>0</v>
      </c>
      <c r="AN284" s="239">
        <v>357116</v>
      </c>
      <c r="AO284" s="239">
        <v>89280</v>
      </c>
      <c r="AP284" s="239">
        <v>0</v>
      </c>
      <c r="AQ284" s="239">
        <v>20700</v>
      </c>
      <c r="AR284" s="239">
        <v>5174</v>
      </c>
      <c r="AS284" s="239">
        <v>0</v>
      </c>
      <c r="AT284" s="239">
        <v>0</v>
      </c>
      <c r="AU284" s="239">
        <v>0</v>
      </c>
      <c r="AV284" s="239">
        <v>0</v>
      </c>
      <c r="AW284" s="239">
        <v>0</v>
      </c>
      <c r="AX284" s="239">
        <v>0</v>
      </c>
      <c r="AY284" s="239">
        <v>0</v>
      </c>
      <c r="AZ284" s="239">
        <v>0</v>
      </c>
      <c r="BA284" s="239">
        <v>0</v>
      </c>
      <c r="BB284" s="239">
        <v>0</v>
      </c>
      <c r="BC284" s="239">
        <v>0</v>
      </c>
      <c r="BD284" s="239">
        <v>0</v>
      </c>
      <c r="BE284" s="239">
        <v>0</v>
      </c>
      <c r="BF284" s="239">
        <v>0</v>
      </c>
      <c r="BG284" s="239">
        <v>0</v>
      </c>
      <c r="BH284" s="239">
        <v>0</v>
      </c>
      <c r="BI284" s="239">
        <v>0</v>
      </c>
      <c r="BJ284" s="239">
        <v>0</v>
      </c>
      <c r="BK284" s="239">
        <v>0</v>
      </c>
      <c r="BL284" s="239">
        <v>10514.735833333334</v>
      </c>
      <c r="BM284" s="239">
        <v>2628.6839583333335</v>
      </c>
      <c r="BN284" s="239">
        <v>0</v>
      </c>
      <c r="BO284" s="239">
        <v>3252</v>
      </c>
      <c r="BP284" s="239">
        <v>812</v>
      </c>
      <c r="BQ284" s="239">
        <v>0</v>
      </c>
      <c r="BR284" s="239">
        <v>7263</v>
      </c>
      <c r="BS284" s="239">
        <v>1817</v>
      </c>
      <c r="BT284" s="239">
        <v>0</v>
      </c>
      <c r="BU284" s="239">
        <v>132551.25416666668</v>
      </c>
      <c r="BV284" s="239">
        <v>33137.81354166667</v>
      </c>
      <c r="BW284" s="239">
        <v>0</v>
      </c>
      <c r="BX284" s="239">
        <v>121204</v>
      </c>
      <c r="BY284" s="239">
        <v>30300</v>
      </c>
      <c r="BZ284" s="239">
        <v>0</v>
      </c>
      <c r="CA284" s="239">
        <v>11347</v>
      </c>
      <c r="CB284" s="239">
        <v>2838</v>
      </c>
      <c r="CC284" s="239">
        <v>0</v>
      </c>
      <c r="CD284" s="239">
        <v>0</v>
      </c>
      <c r="CE284" s="239">
        <v>0</v>
      </c>
      <c r="CF284" s="239">
        <v>0</v>
      </c>
      <c r="CG284" s="239">
        <v>0</v>
      </c>
      <c r="CH284" s="239">
        <v>0</v>
      </c>
      <c r="CI284" s="239">
        <v>0</v>
      </c>
      <c r="CJ284" s="239">
        <v>0</v>
      </c>
      <c r="CK284" s="239">
        <v>0</v>
      </c>
      <c r="CL284" s="239">
        <v>0</v>
      </c>
      <c r="CM284" s="239">
        <v>1994.2650000000003</v>
      </c>
      <c r="CN284" s="239">
        <v>498.56625000000008</v>
      </c>
      <c r="CO284" s="239">
        <v>0</v>
      </c>
      <c r="CP284" s="239">
        <v>0</v>
      </c>
      <c r="CQ284" s="239">
        <v>0</v>
      </c>
      <c r="CR284" s="239">
        <v>0</v>
      </c>
      <c r="CS284" s="239">
        <v>1994</v>
      </c>
      <c r="CT284" s="239">
        <v>499</v>
      </c>
      <c r="CU284" s="239">
        <v>0</v>
      </c>
      <c r="CV284" s="239">
        <v>191268.28583333336</v>
      </c>
      <c r="CW284" s="239">
        <v>47817.071458333339</v>
      </c>
      <c r="CX284" s="239">
        <v>0</v>
      </c>
      <c r="CY284" s="239">
        <v>204327</v>
      </c>
      <c r="CZ284" s="239">
        <v>51082</v>
      </c>
      <c r="DA284" s="239">
        <v>0</v>
      </c>
      <c r="DB284" s="239">
        <v>-13059</v>
      </c>
      <c r="DC284" s="239">
        <v>-3265</v>
      </c>
      <c r="DD284" s="239">
        <v>0</v>
      </c>
      <c r="DE284" s="214">
        <v>0.5</v>
      </c>
      <c r="DF284" s="214">
        <v>0.4</v>
      </c>
      <c r="DG284" s="214">
        <v>0.1</v>
      </c>
      <c r="DH284" s="214">
        <v>0</v>
      </c>
      <c r="DI284" s="214" t="s">
        <v>1294</v>
      </c>
    </row>
    <row r="285" spans="2:113" s="214" customFormat="1" x14ac:dyDescent="0.2">
      <c r="B285" s="610" t="s">
        <v>653</v>
      </c>
      <c r="C285" s="610" t="s">
        <v>652</v>
      </c>
      <c r="D285" s="239">
        <v>113073</v>
      </c>
      <c r="E285" s="239">
        <v>0</v>
      </c>
      <c r="F285" s="239">
        <v>113073</v>
      </c>
      <c r="G285" s="239">
        <v>0</v>
      </c>
      <c r="H285" s="239">
        <v>0</v>
      </c>
      <c r="I285" s="239">
        <v>0</v>
      </c>
      <c r="J285" s="239">
        <v>113073</v>
      </c>
      <c r="K285" s="239">
        <v>0</v>
      </c>
      <c r="L285" s="239">
        <v>113073</v>
      </c>
      <c r="M285" s="239">
        <v>191716</v>
      </c>
      <c r="N285" s="239">
        <v>191716</v>
      </c>
      <c r="O285" s="239">
        <v>0</v>
      </c>
      <c r="P285" s="239">
        <v>0</v>
      </c>
      <c r="Q285" s="239">
        <v>0</v>
      </c>
      <c r="R285" s="239">
        <v>0</v>
      </c>
      <c r="S285" s="239">
        <v>0</v>
      </c>
      <c r="T285" s="239">
        <v>0</v>
      </c>
      <c r="U285" s="239">
        <v>0</v>
      </c>
      <c r="V285" s="239">
        <v>0</v>
      </c>
      <c r="W285" s="239">
        <v>0</v>
      </c>
      <c r="X285" s="239">
        <v>0</v>
      </c>
      <c r="Y285" s="239">
        <v>0</v>
      </c>
      <c r="Z285" s="239">
        <v>0</v>
      </c>
      <c r="AA285" s="239">
        <v>0</v>
      </c>
      <c r="AB285" s="239">
        <v>0</v>
      </c>
      <c r="AC285" s="239">
        <v>0</v>
      </c>
      <c r="AD285" s="239">
        <v>0</v>
      </c>
      <c r="AE285" s="239">
        <v>0</v>
      </c>
      <c r="AF285" s="239">
        <v>0</v>
      </c>
      <c r="AG285" s="239">
        <v>0</v>
      </c>
      <c r="AH285" s="239">
        <v>0</v>
      </c>
      <c r="AI285" s="239">
        <v>0</v>
      </c>
      <c r="AJ285" s="239">
        <v>0</v>
      </c>
      <c r="AK285" s="239">
        <v>789697.28500000003</v>
      </c>
      <c r="AL285" s="239">
        <v>177681.88912499999</v>
      </c>
      <c r="AM285" s="239">
        <v>19742.432124999999</v>
      </c>
      <c r="AN285" s="239">
        <v>796891</v>
      </c>
      <c r="AO285" s="239">
        <v>179300</v>
      </c>
      <c r="AP285" s="239">
        <v>19922</v>
      </c>
      <c r="AQ285" s="239">
        <v>-7194</v>
      </c>
      <c r="AR285" s="239">
        <v>-1618</v>
      </c>
      <c r="AS285" s="239">
        <v>-180</v>
      </c>
      <c r="AT285" s="239">
        <v>-2193.1233333333334</v>
      </c>
      <c r="AU285" s="239">
        <v>-493.45274999999998</v>
      </c>
      <c r="AV285" s="239">
        <v>-54.828083333333332</v>
      </c>
      <c r="AW285" s="239">
        <v>3928</v>
      </c>
      <c r="AX285" s="239">
        <v>884</v>
      </c>
      <c r="AY285" s="239">
        <v>98</v>
      </c>
      <c r="AZ285" s="239">
        <v>-6121</v>
      </c>
      <c r="BA285" s="239">
        <v>-1377</v>
      </c>
      <c r="BB285" s="239">
        <v>-153</v>
      </c>
      <c r="BC285" s="239">
        <v>9214.4458333333332</v>
      </c>
      <c r="BD285" s="239">
        <v>2073.2503124999998</v>
      </c>
      <c r="BE285" s="239">
        <v>230.36114583333332</v>
      </c>
      <c r="BF285" s="239">
        <v>13825</v>
      </c>
      <c r="BG285" s="239">
        <v>3110</v>
      </c>
      <c r="BH285" s="239">
        <v>346</v>
      </c>
      <c r="BI285" s="239">
        <v>-4611</v>
      </c>
      <c r="BJ285" s="239">
        <v>-1037</v>
      </c>
      <c r="BK285" s="239">
        <v>-116</v>
      </c>
      <c r="BL285" s="239">
        <v>8793.190833333334</v>
      </c>
      <c r="BM285" s="239">
        <v>1978.4679374999998</v>
      </c>
      <c r="BN285" s="239">
        <v>219.82977083333336</v>
      </c>
      <c r="BO285" s="239">
        <v>1774</v>
      </c>
      <c r="BP285" s="239">
        <v>398</v>
      </c>
      <c r="BQ285" s="239">
        <v>44</v>
      </c>
      <c r="BR285" s="239">
        <v>7019</v>
      </c>
      <c r="BS285" s="239">
        <v>1580</v>
      </c>
      <c r="BT285" s="239">
        <v>176</v>
      </c>
      <c r="BU285" s="239">
        <v>333231.37333333335</v>
      </c>
      <c r="BV285" s="239">
        <v>74977.059000000008</v>
      </c>
      <c r="BW285" s="239">
        <v>8330.7843333333331</v>
      </c>
      <c r="BX285" s="239">
        <v>339093</v>
      </c>
      <c r="BY285" s="239">
        <v>76296</v>
      </c>
      <c r="BZ285" s="239">
        <v>8478</v>
      </c>
      <c r="CA285" s="239">
        <v>-5862</v>
      </c>
      <c r="CB285" s="239">
        <v>-1319</v>
      </c>
      <c r="CC285" s="239">
        <v>-147</v>
      </c>
      <c r="CD285" s="239">
        <v>0</v>
      </c>
      <c r="CE285" s="239">
        <v>0</v>
      </c>
      <c r="CF285" s="239">
        <v>0</v>
      </c>
      <c r="CG285" s="239">
        <v>0</v>
      </c>
      <c r="CH285" s="239">
        <v>0</v>
      </c>
      <c r="CI285" s="239">
        <v>0</v>
      </c>
      <c r="CJ285" s="239">
        <v>0</v>
      </c>
      <c r="CK285" s="239">
        <v>0</v>
      </c>
      <c r="CL285" s="239">
        <v>0</v>
      </c>
      <c r="CM285" s="239">
        <v>6469.3891666666677</v>
      </c>
      <c r="CN285" s="239">
        <v>1455.6125625</v>
      </c>
      <c r="CO285" s="239">
        <v>161.73472916666668</v>
      </c>
      <c r="CP285" s="239">
        <v>0</v>
      </c>
      <c r="CQ285" s="239">
        <v>0</v>
      </c>
      <c r="CR285" s="239">
        <v>0</v>
      </c>
      <c r="CS285" s="239">
        <v>6469</v>
      </c>
      <c r="CT285" s="239">
        <v>1456</v>
      </c>
      <c r="CU285" s="239">
        <v>162</v>
      </c>
      <c r="CV285" s="239">
        <v>183928.16750000001</v>
      </c>
      <c r="CW285" s="239">
        <v>41383.837687500003</v>
      </c>
      <c r="CX285" s="239">
        <v>4598.2041874999995</v>
      </c>
      <c r="CY285" s="239">
        <v>180494</v>
      </c>
      <c r="CZ285" s="239">
        <v>40611</v>
      </c>
      <c r="DA285" s="239">
        <v>4512</v>
      </c>
      <c r="DB285" s="239">
        <v>3434</v>
      </c>
      <c r="DC285" s="239">
        <v>773</v>
      </c>
      <c r="DD285" s="239">
        <v>86</v>
      </c>
      <c r="DE285" s="214">
        <v>0.5</v>
      </c>
      <c r="DF285" s="214">
        <v>0.4</v>
      </c>
      <c r="DG285" s="214">
        <v>0.09</v>
      </c>
      <c r="DH285" s="214">
        <v>0.01</v>
      </c>
      <c r="DI285" s="214" t="s">
        <v>1294</v>
      </c>
    </row>
    <row r="286" spans="2:113" s="214" customFormat="1" x14ac:dyDescent="0.2">
      <c r="B286" s="610" t="s">
        <v>655</v>
      </c>
      <c r="C286" s="610" t="s">
        <v>654</v>
      </c>
      <c r="D286" s="239">
        <v>-47147</v>
      </c>
      <c r="E286" s="239">
        <v>0</v>
      </c>
      <c r="F286" s="239">
        <v>-47147</v>
      </c>
      <c r="G286" s="239">
        <v>0</v>
      </c>
      <c r="H286" s="239">
        <v>0</v>
      </c>
      <c r="I286" s="239">
        <v>0</v>
      </c>
      <c r="J286" s="239">
        <v>-47147</v>
      </c>
      <c r="K286" s="239">
        <v>0</v>
      </c>
      <c r="L286" s="239">
        <v>-47147</v>
      </c>
      <c r="M286" s="239">
        <v>95987</v>
      </c>
      <c r="N286" s="239">
        <v>95987</v>
      </c>
      <c r="O286" s="239">
        <v>0</v>
      </c>
      <c r="P286" s="239">
        <v>0</v>
      </c>
      <c r="Q286" s="239">
        <v>0</v>
      </c>
      <c r="R286" s="239">
        <v>0</v>
      </c>
      <c r="S286" s="239">
        <v>0</v>
      </c>
      <c r="T286" s="239">
        <v>0</v>
      </c>
      <c r="U286" s="239">
        <v>0</v>
      </c>
      <c r="V286" s="239">
        <v>0</v>
      </c>
      <c r="W286" s="239">
        <v>0</v>
      </c>
      <c r="X286" s="239">
        <v>0</v>
      </c>
      <c r="Y286" s="239">
        <v>0</v>
      </c>
      <c r="Z286" s="239">
        <v>0</v>
      </c>
      <c r="AA286" s="239">
        <v>0</v>
      </c>
      <c r="AB286" s="239">
        <v>0</v>
      </c>
      <c r="AC286" s="239">
        <v>0</v>
      </c>
      <c r="AD286" s="239">
        <v>0</v>
      </c>
      <c r="AE286" s="239">
        <v>0</v>
      </c>
      <c r="AF286" s="239">
        <v>0</v>
      </c>
      <c r="AG286" s="239">
        <v>0</v>
      </c>
      <c r="AH286" s="239">
        <v>0</v>
      </c>
      <c r="AI286" s="239">
        <v>0</v>
      </c>
      <c r="AJ286" s="239">
        <v>0</v>
      </c>
      <c r="AK286" s="239">
        <v>206301.31666666668</v>
      </c>
      <c r="AL286" s="239">
        <v>51575.32916666667</v>
      </c>
      <c r="AM286" s="239">
        <v>0</v>
      </c>
      <c r="AN286" s="239">
        <v>183074</v>
      </c>
      <c r="AO286" s="239">
        <v>45768</v>
      </c>
      <c r="AP286" s="239">
        <v>0</v>
      </c>
      <c r="AQ286" s="239">
        <v>23227</v>
      </c>
      <c r="AR286" s="239">
        <v>5807</v>
      </c>
      <c r="AS286" s="239">
        <v>0</v>
      </c>
      <c r="AT286" s="239">
        <v>0</v>
      </c>
      <c r="AU286" s="239">
        <v>0</v>
      </c>
      <c r="AV286" s="239">
        <v>0</v>
      </c>
      <c r="AW286" s="239">
        <v>0</v>
      </c>
      <c r="AX286" s="239">
        <v>0</v>
      </c>
      <c r="AY286" s="239">
        <v>0</v>
      </c>
      <c r="AZ286" s="239">
        <v>0</v>
      </c>
      <c r="BA286" s="239">
        <v>0</v>
      </c>
      <c r="BB286" s="239">
        <v>0</v>
      </c>
      <c r="BC286" s="239">
        <v>0</v>
      </c>
      <c r="BD286" s="239">
        <v>0</v>
      </c>
      <c r="BE286" s="239">
        <v>0</v>
      </c>
      <c r="BF286" s="239">
        <v>0</v>
      </c>
      <c r="BG286" s="239">
        <v>0</v>
      </c>
      <c r="BH286" s="239">
        <v>0</v>
      </c>
      <c r="BI286" s="239">
        <v>0</v>
      </c>
      <c r="BJ286" s="239">
        <v>0</v>
      </c>
      <c r="BK286" s="239">
        <v>0</v>
      </c>
      <c r="BL286" s="239">
        <v>2423.2308333333335</v>
      </c>
      <c r="BM286" s="239">
        <v>605.80770833333338</v>
      </c>
      <c r="BN286" s="239">
        <v>0</v>
      </c>
      <c r="BO286" s="239">
        <v>0</v>
      </c>
      <c r="BP286" s="239">
        <v>0</v>
      </c>
      <c r="BQ286" s="239">
        <v>0</v>
      </c>
      <c r="BR286" s="239">
        <v>2423</v>
      </c>
      <c r="BS286" s="239">
        <v>606</v>
      </c>
      <c r="BT286" s="239">
        <v>0</v>
      </c>
      <c r="BU286" s="239">
        <v>212653.01416666669</v>
      </c>
      <c r="BV286" s="239">
        <v>53163.253541666672</v>
      </c>
      <c r="BW286" s="239">
        <v>0</v>
      </c>
      <c r="BX286" s="239">
        <v>261763</v>
      </c>
      <c r="BY286" s="239">
        <v>65440</v>
      </c>
      <c r="BZ286" s="239">
        <v>0</v>
      </c>
      <c r="CA286" s="239">
        <v>-49110</v>
      </c>
      <c r="CB286" s="239">
        <v>-12277</v>
      </c>
      <c r="CC286" s="239">
        <v>0</v>
      </c>
      <c r="CD286" s="239">
        <v>0</v>
      </c>
      <c r="CE286" s="239">
        <v>0</v>
      </c>
      <c r="CF286" s="239">
        <v>0</v>
      </c>
      <c r="CG286" s="239">
        <v>0</v>
      </c>
      <c r="CH286" s="239">
        <v>0</v>
      </c>
      <c r="CI286" s="239">
        <v>0</v>
      </c>
      <c r="CJ286" s="239">
        <v>0</v>
      </c>
      <c r="CK286" s="239">
        <v>0</v>
      </c>
      <c r="CL286" s="239">
        <v>0</v>
      </c>
      <c r="CM286" s="239">
        <v>3913.0450000000001</v>
      </c>
      <c r="CN286" s="239">
        <v>978.26125000000002</v>
      </c>
      <c r="CO286" s="239">
        <v>0</v>
      </c>
      <c r="CP286" s="239">
        <v>0</v>
      </c>
      <c r="CQ286" s="239">
        <v>0</v>
      </c>
      <c r="CR286" s="239">
        <v>0</v>
      </c>
      <c r="CS286" s="239">
        <v>3913</v>
      </c>
      <c r="CT286" s="239">
        <v>978</v>
      </c>
      <c r="CU286" s="239">
        <v>0</v>
      </c>
      <c r="CV286" s="239">
        <v>170426.10666666672</v>
      </c>
      <c r="CW286" s="239">
        <v>42606.526666666679</v>
      </c>
      <c r="CX286" s="239">
        <v>0</v>
      </c>
      <c r="CY286" s="239">
        <v>164646</v>
      </c>
      <c r="CZ286" s="239">
        <v>41162</v>
      </c>
      <c r="DA286" s="239">
        <v>0</v>
      </c>
      <c r="DB286" s="239">
        <v>5780</v>
      </c>
      <c r="DC286" s="239">
        <v>1445</v>
      </c>
      <c r="DD286" s="239">
        <v>0</v>
      </c>
      <c r="DE286" s="214">
        <v>0.5</v>
      </c>
      <c r="DF286" s="214">
        <v>0.4</v>
      </c>
      <c r="DG286" s="214">
        <v>0.1</v>
      </c>
      <c r="DH286" s="214">
        <v>0</v>
      </c>
      <c r="DI286" s="214" t="s">
        <v>1294</v>
      </c>
    </row>
    <row r="287" spans="2:113" s="214" customFormat="1" x14ac:dyDescent="0.2">
      <c r="B287" s="610" t="s">
        <v>657</v>
      </c>
      <c r="C287" s="610" t="s">
        <v>656</v>
      </c>
      <c r="D287" s="239">
        <v>-452313</v>
      </c>
      <c r="E287" s="239">
        <v>0</v>
      </c>
      <c r="F287" s="239">
        <v>-452313</v>
      </c>
      <c r="G287" s="239">
        <v>0</v>
      </c>
      <c r="H287" s="239">
        <v>0</v>
      </c>
      <c r="I287" s="239">
        <v>0</v>
      </c>
      <c r="J287" s="239">
        <v>-452313</v>
      </c>
      <c r="K287" s="239">
        <v>0</v>
      </c>
      <c r="L287" s="239">
        <v>-452313</v>
      </c>
      <c r="M287" s="239">
        <v>234584</v>
      </c>
      <c r="N287" s="239">
        <v>234584</v>
      </c>
      <c r="O287" s="239">
        <v>0</v>
      </c>
      <c r="P287" s="239">
        <v>0</v>
      </c>
      <c r="Q287" s="239">
        <v>0</v>
      </c>
      <c r="R287" s="239">
        <v>0</v>
      </c>
      <c r="S287" s="239">
        <v>0</v>
      </c>
      <c r="T287" s="239">
        <v>0</v>
      </c>
      <c r="U287" s="239">
        <v>0</v>
      </c>
      <c r="V287" s="239">
        <v>0</v>
      </c>
      <c r="W287" s="239">
        <v>0</v>
      </c>
      <c r="X287" s="239">
        <v>0</v>
      </c>
      <c r="Y287" s="239">
        <v>0</v>
      </c>
      <c r="Z287" s="239">
        <v>0</v>
      </c>
      <c r="AA287" s="239">
        <v>0</v>
      </c>
      <c r="AB287" s="239">
        <v>0</v>
      </c>
      <c r="AC287" s="239">
        <v>0</v>
      </c>
      <c r="AD287" s="239">
        <v>0</v>
      </c>
      <c r="AE287" s="239">
        <v>0</v>
      </c>
      <c r="AF287" s="239">
        <v>0</v>
      </c>
      <c r="AG287" s="239">
        <v>0</v>
      </c>
      <c r="AH287" s="239">
        <v>0</v>
      </c>
      <c r="AI287" s="239">
        <v>0</v>
      </c>
      <c r="AJ287" s="239">
        <v>0</v>
      </c>
      <c r="AK287" s="239">
        <v>559154.33597916667</v>
      </c>
      <c r="AL287" s="239">
        <v>0</v>
      </c>
      <c r="AM287" s="239">
        <v>11411.312979166667</v>
      </c>
      <c r="AN287" s="239">
        <v>526129</v>
      </c>
      <c r="AO287" s="239">
        <v>0</v>
      </c>
      <c r="AP287" s="239">
        <v>10738</v>
      </c>
      <c r="AQ287" s="239">
        <v>33025</v>
      </c>
      <c r="AR287" s="239">
        <v>0</v>
      </c>
      <c r="AS287" s="239">
        <v>673</v>
      </c>
      <c r="AT287" s="239">
        <v>6006.5159583333334</v>
      </c>
      <c r="AU287" s="239">
        <v>0</v>
      </c>
      <c r="AV287" s="239">
        <v>122.58195833333333</v>
      </c>
      <c r="AW287" s="239">
        <v>55382</v>
      </c>
      <c r="AX287" s="239">
        <v>0</v>
      </c>
      <c r="AY287" s="239">
        <v>1130</v>
      </c>
      <c r="AZ287" s="239">
        <v>-49375</v>
      </c>
      <c r="BA287" s="239">
        <v>0</v>
      </c>
      <c r="BB287" s="239">
        <v>-1007</v>
      </c>
      <c r="BC287" s="239">
        <v>0</v>
      </c>
      <c r="BD287" s="239">
        <v>0</v>
      </c>
      <c r="BE287" s="239">
        <v>0</v>
      </c>
      <c r="BF287" s="239">
        <v>35521</v>
      </c>
      <c r="BG287" s="239">
        <v>0</v>
      </c>
      <c r="BH287" s="239">
        <v>724</v>
      </c>
      <c r="BI287" s="239">
        <v>-35521</v>
      </c>
      <c r="BJ287" s="239">
        <v>0</v>
      </c>
      <c r="BK287" s="239">
        <v>-724</v>
      </c>
      <c r="BL287" s="239">
        <v>935.62845833333336</v>
      </c>
      <c r="BM287" s="239">
        <v>0</v>
      </c>
      <c r="BN287" s="239">
        <v>19.094458333333336</v>
      </c>
      <c r="BO287" s="239">
        <v>11837</v>
      </c>
      <c r="BP287" s="239">
        <v>0</v>
      </c>
      <c r="BQ287" s="239">
        <v>242</v>
      </c>
      <c r="BR287" s="239">
        <v>-10901</v>
      </c>
      <c r="BS287" s="239">
        <v>0</v>
      </c>
      <c r="BT287" s="239">
        <v>-223</v>
      </c>
      <c r="BU287" s="239">
        <v>206585.47102083336</v>
      </c>
      <c r="BV287" s="239">
        <v>0</v>
      </c>
      <c r="BW287" s="239">
        <v>4216.0300208333338</v>
      </c>
      <c r="BX287" s="239">
        <v>176638</v>
      </c>
      <c r="BY287" s="239">
        <v>0</v>
      </c>
      <c r="BZ287" s="239">
        <v>3604</v>
      </c>
      <c r="CA287" s="239">
        <v>29947</v>
      </c>
      <c r="CB287" s="239">
        <v>0</v>
      </c>
      <c r="CC287" s="239">
        <v>612</v>
      </c>
      <c r="CD287" s="239">
        <v>0</v>
      </c>
      <c r="CE287" s="239">
        <v>0</v>
      </c>
      <c r="CF287" s="239">
        <v>0</v>
      </c>
      <c r="CG287" s="239">
        <v>0</v>
      </c>
      <c r="CH287" s="239">
        <v>0</v>
      </c>
      <c r="CI287" s="239">
        <v>0</v>
      </c>
      <c r="CJ287" s="239">
        <v>0</v>
      </c>
      <c r="CK287" s="239">
        <v>0</v>
      </c>
      <c r="CL287" s="239">
        <v>0</v>
      </c>
      <c r="CM287" s="239">
        <v>7328.4267291666665</v>
      </c>
      <c r="CN287" s="239">
        <v>0</v>
      </c>
      <c r="CO287" s="239">
        <v>149.55972916666667</v>
      </c>
      <c r="CP287" s="239">
        <v>0</v>
      </c>
      <c r="CQ287" s="239">
        <v>0</v>
      </c>
      <c r="CR287" s="239">
        <v>0</v>
      </c>
      <c r="CS287" s="239">
        <v>7328</v>
      </c>
      <c r="CT287" s="239">
        <v>0</v>
      </c>
      <c r="CU287" s="239">
        <v>150</v>
      </c>
      <c r="CV287" s="239">
        <v>774777.25368749991</v>
      </c>
      <c r="CW287" s="239">
        <v>0</v>
      </c>
      <c r="CX287" s="239">
        <v>15811.780687500001</v>
      </c>
      <c r="CY287" s="239">
        <v>779482</v>
      </c>
      <c r="CZ287" s="239">
        <v>0</v>
      </c>
      <c r="DA287" s="239">
        <v>15908</v>
      </c>
      <c r="DB287" s="239">
        <v>-4705</v>
      </c>
      <c r="DC287" s="239">
        <v>0</v>
      </c>
      <c r="DD287" s="239">
        <v>-96</v>
      </c>
      <c r="DE287" s="214">
        <v>0.5</v>
      </c>
      <c r="DF287" s="214">
        <v>0.49</v>
      </c>
      <c r="DG287" s="214">
        <v>0</v>
      </c>
      <c r="DH287" s="214">
        <v>0.01</v>
      </c>
      <c r="DI287" s="214" t="s">
        <v>748</v>
      </c>
    </row>
    <row r="288" spans="2:113" s="214" customFormat="1" x14ac:dyDescent="0.2">
      <c r="B288" s="610" t="s">
        <v>659</v>
      </c>
      <c r="C288" s="610" t="s">
        <v>658</v>
      </c>
      <c r="D288" s="239">
        <v>-51680</v>
      </c>
      <c r="E288" s="239">
        <v>0</v>
      </c>
      <c r="F288" s="239">
        <v>-51680</v>
      </c>
      <c r="G288" s="239">
        <v>0</v>
      </c>
      <c r="H288" s="239">
        <v>0</v>
      </c>
      <c r="I288" s="239">
        <v>0</v>
      </c>
      <c r="J288" s="239">
        <v>-51680</v>
      </c>
      <c r="K288" s="239">
        <v>0</v>
      </c>
      <c r="L288" s="239">
        <v>-51680</v>
      </c>
      <c r="M288" s="239">
        <v>165385</v>
      </c>
      <c r="N288" s="239">
        <v>165385</v>
      </c>
      <c r="O288" s="239">
        <v>0</v>
      </c>
      <c r="P288" s="239">
        <v>0</v>
      </c>
      <c r="Q288" s="239">
        <v>0</v>
      </c>
      <c r="R288" s="239">
        <v>0</v>
      </c>
      <c r="S288" s="239">
        <v>0</v>
      </c>
      <c r="T288" s="239">
        <v>0</v>
      </c>
      <c r="U288" s="239">
        <v>0</v>
      </c>
      <c r="V288" s="239">
        <v>0</v>
      </c>
      <c r="W288" s="239">
        <v>0</v>
      </c>
      <c r="X288" s="239">
        <v>0</v>
      </c>
      <c r="Y288" s="239">
        <v>0</v>
      </c>
      <c r="Z288" s="239">
        <v>0</v>
      </c>
      <c r="AA288" s="239">
        <v>0</v>
      </c>
      <c r="AB288" s="239">
        <v>0</v>
      </c>
      <c r="AC288" s="239">
        <v>0</v>
      </c>
      <c r="AD288" s="239">
        <v>0</v>
      </c>
      <c r="AE288" s="239">
        <v>0</v>
      </c>
      <c r="AF288" s="239">
        <v>0</v>
      </c>
      <c r="AG288" s="239">
        <v>0</v>
      </c>
      <c r="AH288" s="239">
        <v>0</v>
      </c>
      <c r="AI288" s="239">
        <v>0</v>
      </c>
      <c r="AJ288" s="239">
        <v>0</v>
      </c>
      <c r="AK288" s="239">
        <v>370348.89</v>
      </c>
      <c r="AL288" s="239">
        <v>83328.500249999997</v>
      </c>
      <c r="AM288" s="239">
        <v>9258.7222500000007</v>
      </c>
      <c r="AN288" s="239">
        <v>376422</v>
      </c>
      <c r="AO288" s="239">
        <v>84696</v>
      </c>
      <c r="AP288" s="239">
        <v>9410</v>
      </c>
      <c r="AQ288" s="239">
        <v>-6073</v>
      </c>
      <c r="AR288" s="239">
        <v>-1367</v>
      </c>
      <c r="AS288" s="239">
        <v>-151</v>
      </c>
      <c r="AT288" s="239">
        <v>0</v>
      </c>
      <c r="AU288" s="239">
        <v>0</v>
      </c>
      <c r="AV288" s="239">
        <v>0</v>
      </c>
      <c r="AW288" s="239">
        <v>0</v>
      </c>
      <c r="AX288" s="239">
        <v>0</v>
      </c>
      <c r="AY288" s="239">
        <v>0</v>
      </c>
      <c r="AZ288" s="239">
        <v>0</v>
      </c>
      <c r="BA288" s="239">
        <v>0</v>
      </c>
      <c r="BB288" s="239">
        <v>0</v>
      </c>
      <c r="BC288" s="239">
        <v>5220.6400000000003</v>
      </c>
      <c r="BD288" s="239">
        <v>1174.6439999999998</v>
      </c>
      <c r="BE288" s="239">
        <v>130.51599999999999</v>
      </c>
      <c r="BF288" s="239">
        <v>143888</v>
      </c>
      <c r="BG288" s="239">
        <v>32374</v>
      </c>
      <c r="BH288" s="239">
        <v>3598</v>
      </c>
      <c r="BI288" s="239">
        <v>-138667</v>
      </c>
      <c r="BJ288" s="239">
        <v>-31199</v>
      </c>
      <c r="BK288" s="239">
        <v>-3467</v>
      </c>
      <c r="BL288" s="239">
        <v>7986.8000000000011</v>
      </c>
      <c r="BM288" s="239">
        <v>1797.0300000000002</v>
      </c>
      <c r="BN288" s="239">
        <v>199.67000000000004</v>
      </c>
      <c r="BO288" s="239">
        <v>1530</v>
      </c>
      <c r="BP288" s="239">
        <v>344</v>
      </c>
      <c r="BQ288" s="239">
        <v>38</v>
      </c>
      <c r="BR288" s="239">
        <v>6457</v>
      </c>
      <c r="BS288" s="239">
        <v>1453</v>
      </c>
      <c r="BT288" s="239">
        <v>162</v>
      </c>
      <c r="BU288" s="239">
        <v>233824.52750000003</v>
      </c>
      <c r="BV288" s="239">
        <v>52610.5186875</v>
      </c>
      <c r="BW288" s="239">
        <v>5845.6131875000001</v>
      </c>
      <c r="BX288" s="239">
        <v>274036</v>
      </c>
      <c r="BY288" s="239">
        <v>61658</v>
      </c>
      <c r="BZ288" s="239">
        <v>6850</v>
      </c>
      <c r="CA288" s="239">
        <v>-40211</v>
      </c>
      <c r="CB288" s="239">
        <v>-9047</v>
      </c>
      <c r="CC288" s="239">
        <v>-1004</v>
      </c>
      <c r="CD288" s="239">
        <v>-142.85333333333332</v>
      </c>
      <c r="CE288" s="239">
        <v>-32.141999999999996</v>
      </c>
      <c r="CF288" s="239">
        <v>-3.5713333333333335</v>
      </c>
      <c r="CG288" s="239">
        <v>0</v>
      </c>
      <c r="CH288" s="239">
        <v>0</v>
      </c>
      <c r="CI288" s="239">
        <v>0</v>
      </c>
      <c r="CJ288" s="239">
        <v>-143</v>
      </c>
      <c r="CK288" s="239">
        <v>-32</v>
      </c>
      <c r="CL288" s="239">
        <v>-4</v>
      </c>
      <c r="CM288" s="239">
        <v>0</v>
      </c>
      <c r="CN288" s="239">
        <v>0</v>
      </c>
      <c r="CO288" s="239">
        <v>0</v>
      </c>
      <c r="CP288" s="239">
        <v>0</v>
      </c>
      <c r="CQ288" s="239">
        <v>0</v>
      </c>
      <c r="CR288" s="239">
        <v>0</v>
      </c>
      <c r="CS288" s="239">
        <v>0</v>
      </c>
      <c r="CT288" s="239">
        <v>0</v>
      </c>
      <c r="CU288" s="239">
        <v>0</v>
      </c>
      <c r="CV288" s="239">
        <v>308320.07500000001</v>
      </c>
      <c r="CW288" s="239">
        <v>69372.016875000001</v>
      </c>
      <c r="CX288" s="239">
        <v>7708.001874999999</v>
      </c>
      <c r="CY288" s="239">
        <v>314757</v>
      </c>
      <c r="CZ288" s="239">
        <v>70820</v>
      </c>
      <c r="DA288" s="239">
        <v>7869</v>
      </c>
      <c r="DB288" s="239">
        <v>-6437</v>
      </c>
      <c r="DC288" s="239">
        <v>-1448</v>
      </c>
      <c r="DD288" s="239">
        <v>-161</v>
      </c>
      <c r="DE288" s="214">
        <v>0.5</v>
      </c>
      <c r="DF288" s="214">
        <v>0.4</v>
      </c>
      <c r="DG288" s="214">
        <v>0.09</v>
      </c>
      <c r="DH288" s="214">
        <v>0.01</v>
      </c>
      <c r="DI288" s="214" t="s">
        <v>1294</v>
      </c>
    </row>
    <row r="289" spans="2:113" s="214" customFormat="1" x14ac:dyDescent="0.2">
      <c r="B289" s="610" t="s">
        <v>661</v>
      </c>
      <c r="C289" s="610" t="s">
        <v>660</v>
      </c>
      <c r="D289" s="239">
        <v>248101</v>
      </c>
      <c r="E289" s="239">
        <v>0</v>
      </c>
      <c r="F289" s="239">
        <v>248101</v>
      </c>
      <c r="G289" s="239">
        <v>0</v>
      </c>
      <c r="H289" s="239">
        <v>0</v>
      </c>
      <c r="I289" s="239">
        <v>0</v>
      </c>
      <c r="J289" s="239">
        <v>248101</v>
      </c>
      <c r="K289" s="239">
        <v>0</v>
      </c>
      <c r="L289" s="239">
        <v>248101</v>
      </c>
      <c r="M289" s="239">
        <v>202829</v>
      </c>
      <c r="N289" s="239">
        <v>202829</v>
      </c>
      <c r="O289" s="239">
        <v>0</v>
      </c>
      <c r="P289" s="239">
        <v>0</v>
      </c>
      <c r="Q289" s="239">
        <v>0</v>
      </c>
      <c r="R289" s="239">
        <v>0</v>
      </c>
      <c r="S289" s="239">
        <v>0</v>
      </c>
      <c r="T289" s="239">
        <v>0</v>
      </c>
      <c r="U289" s="239">
        <v>0</v>
      </c>
      <c r="V289" s="239">
        <v>0</v>
      </c>
      <c r="W289" s="239">
        <v>0</v>
      </c>
      <c r="X289" s="239">
        <v>0</v>
      </c>
      <c r="Y289" s="239">
        <v>0</v>
      </c>
      <c r="Z289" s="239">
        <v>0</v>
      </c>
      <c r="AA289" s="239">
        <v>0</v>
      </c>
      <c r="AB289" s="239">
        <v>0</v>
      </c>
      <c r="AC289" s="239">
        <v>0</v>
      </c>
      <c r="AD289" s="239">
        <v>0</v>
      </c>
      <c r="AE289" s="239">
        <v>0</v>
      </c>
      <c r="AF289" s="239">
        <v>0</v>
      </c>
      <c r="AG289" s="239">
        <v>0</v>
      </c>
      <c r="AH289" s="239">
        <v>0</v>
      </c>
      <c r="AI289" s="239">
        <v>0</v>
      </c>
      <c r="AJ289" s="239">
        <v>0</v>
      </c>
      <c r="AK289" s="239">
        <v>1043792.2287187501</v>
      </c>
      <c r="AL289" s="239">
        <v>0</v>
      </c>
      <c r="AM289" s="239">
        <v>21301.882218750001</v>
      </c>
      <c r="AN289" s="239">
        <v>999361</v>
      </c>
      <c r="AO289" s="239">
        <v>0</v>
      </c>
      <c r="AP289" s="239">
        <v>20396</v>
      </c>
      <c r="AQ289" s="239">
        <v>44431</v>
      </c>
      <c r="AR289" s="239">
        <v>0</v>
      </c>
      <c r="AS289" s="239">
        <v>906</v>
      </c>
      <c r="AT289" s="239">
        <v>73803.287541666665</v>
      </c>
      <c r="AU289" s="239">
        <v>0</v>
      </c>
      <c r="AV289" s="239">
        <v>1506.1895416666666</v>
      </c>
      <c r="AW289" s="239">
        <v>104401</v>
      </c>
      <c r="AX289" s="239">
        <v>0</v>
      </c>
      <c r="AY289" s="239">
        <v>2130</v>
      </c>
      <c r="AZ289" s="239">
        <v>-30598</v>
      </c>
      <c r="BA289" s="239">
        <v>0</v>
      </c>
      <c r="BB289" s="239">
        <v>-624</v>
      </c>
      <c r="BC289" s="239">
        <v>29772.075374999997</v>
      </c>
      <c r="BD289" s="239">
        <v>0</v>
      </c>
      <c r="BE289" s="239">
        <v>607.59337499999992</v>
      </c>
      <c r="BF289" s="239">
        <v>24019</v>
      </c>
      <c r="BG289" s="239">
        <v>0</v>
      </c>
      <c r="BH289" s="239">
        <v>490</v>
      </c>
      <c r="BI289" s="239">
        <v>5753</v>
      </c>
      <c r="BJ289" s="239">
        <v>0</v>
      </c>
      <c r="BK289" s="239">
        <v>118</v>
      </c>
      <c r="BL289" s="239">
        <v>32003.265875000001</v>
      </c>
      <c r="BM289" s="239">
        <v>0</v>
      </c>
      <c r="BN289" s="239">
        <v>653.12787500000013</v>
      </c>
      <c r="BO289" s="239">
        <v>0</v>
      </c>
      <c r="BP289" s="239">
        <v>0</v>
      </c>
      <c r="BQ289" s="239">
        <v>0</v>
      </c>
      <c r="BR289" s="239">
        <v>32003</v>
      </c>
      <c r="BS289" s="239">
        <v>0</v>
      </c>
      <c r="BT289" s="239">
        <v>653</v>
      </c>
      <c r="BU289" s="239">
        <v>525057.09185416671</v>
      </c>
      <c r="BV289" s="239">
        <v>0</v>
      </c>
      <c r="BW289" s="239">
        <v>10715.450854166667</v>
      </c>
      <c r="BX289" s="239">
        <v>328645</v>
      </c>
      <c r="BY289" s="239">
        <v>0</v>
      </c>
      <c r="BZ289" s="239">
        <v>6708</v>
      </c>
      <c r="CA289" s="239">
        <v>196412</v>
      </c>
      <c r="CB289" s="239">
        <v>0</v>
      </c>
      <c r="CC289" s="239">
        <v>4007</v>
      </c>
      <c r="CD289" s="239">
        <v>0</v>
      </c>
      <c r="CE289" s="239">
        <v>0</v>
      </c>
      <c r="CF289" s="239">
        <v>0</v>
      </c>
      <c r="CG289" s="239">
        <v>0</v>
      </c>
      <c r="CH289" s="239">
        <v>0</v>
      </c>
      <c r="CI289" s="239">
        <v>0</v>
      </c>
      <c r="CJ289" s="239">
        <v>0</v>
      </c>
      <c r="CK289" s="239">
        <v>0</v>
      </c>
      <c r="CL289" s="239">
        <v>0</v>
      </c>
      <c r="CM289" s="239">
        <v>8663.7604374999992</v>
      </c>
      <c r="CN289" s="239">
        <v>0</v>
      </c>
      <c r="CO289" s="239">
        <v>176.81143749999998</v>
      </c>
      <c r="CP289" s="239">
        <v>0</v>
      </c>
      <c r="CQ289" s="239">
        <v>0</v>
      </c>
      <c r="CR289" s="239">
        <v>0</v>
      </c>
      <c r="CS289" s="239">
        <v>8664</v>
      </c>
      <c r="CT289" s="239">
        <v>0</v>
      </c>
      <c r="CU289" s="239">
        <v>177</v>
      </c>
      <c r="CV289" s="239">
        <v>243543.64854166665</v>
      </c>
      <c r="CW289" s="239">
        <v>0</v>
      </c>
      <c r="CX289" s="239">
        <v>4970.2785416666675</v>
      </c>
      <c r="CY289" s="239">
        <v>260071</v>
      </c>
      <c r="CZ289" s="239">
        <v>0</v>
      </c>
      <c r="DA289" s="239">
        <v>5308</v>
      </c>
      <c r="DB289" s="239">
        <v>-16527</v>
      </c>
      <c r="DC289" s="239">
        <v>0</v>
      </c>
      <c r="DD289" s="239">
        <v>-338</v>
      </c>
      <c r="DE289" s="214">
        <v>0.5</v>
      </c>
      <c r="DF289" s="214">
        <v>0.49</v>
      </c>
      <c r="DG289" s="214">
        <v>0</v>
      </c>
      <c r="DH289" s="214">
        <v>0.01</v>
      </c>
      <c r="DI289" s="214" t="s">
        <v>748</v>
      </c>
    </row>
    <row r="290" spans="2:113" s="214" customFormat="1" x14ac:dyDescent="0.2">
      <c r="B290" s="610" t="s">
        <v>663</v>
      </c>
      <c r="C290" s="610" t="s">
        <v>662</v>
      </c>
      <c r="D290" s="239">
        <v>182989</v>
      </c>
      <c r="E290" s="239">
        <v>0</v>
      </c>
      <c r="F290" s="239">
        <v>182989</v>
      </c>
      <c r="G290" s="239">
        <v>0</v>
      </c>
      <c r="H290" s="239">
        <v>0</v>
      </c>
      <c r="I290" s="239">
        <v>0</v>
      </c>
      <c r="J290" s="239">
        <v>182989</v>
      </c>
      <c r="K290" s="239">
        <v>0</v>
      </c>
      <c r="L290" s="239">
        <v>182989</v>
      </c>
      <c r="M290" s="239">
        <v>128301</v>
      </c>
      <c r="N290" s="239">
        <v>128301</v>
      </c>
      <c r="O290" s="239">
        <v>0</v>
      </c>
      <c r="P290" s="239">
        <v>0</v>
      </c>
      <c r="Q290" s="239">
        <v>0</v>
      </c>
      <c r="R290" s="239">
        <v>0</v>
      </c>
      <c r="S290" s="239">
        <v>477523</v>
      </c>
      <c r="T290" s="239">
        <v>0</v>
      </c>
      <c r="U290" s="239">
        <v>510790</v>
      </c>
      <c r="V290" s="239">
        <v>0</v>
      </c>
      <c r="W290" s="239">
        <v>-33267</v>
      </c>
      <c r="X290" s="239">
        <v>0</v>
      </c>
      <c r="Y290" s="239">
        <v>0</v>
      </c>
      <c r="Z290" s="239">
        <v>0</v>
      </c>
      <c r="AA290" s="239">
        <v>0</v>
      </c>
      <c r="AB290" s="239">
        <v>0</v>
      </c>
      <c r="AC290" s="239">
        <v>0</v>
      </c>
      <c r="AD290" s="239">
        <v>0</v>
      </c>
      <c r="AE290" s="239">
        <v>0</v>
      </c>
      <c r="AF290" s="239">
        <v>0</v>
      </c>
      <c r="AG290" s="239">
        <v>0</v>
      </c>
      <c r="AH290" s="239">
        <v>0</v>
      </c>
      <c r="AI290" s="239">
        <v>0</v>
      </c>
      <c r="AJ290" s="239">
        <v>0</v>
      </c>
      <c r="AK290" s="239">
        <v>629635.60375000001</v>
      </c>
      <c r="AL290" s="239">
        <v>141668.01084375</v>
      </c>
      <c r="AM290" s="239">
        <v>15740.89009375</v>
      </c>
      <c r="AN290" s="239">
        <v>567241</v>
      </c>
      <c r="AO290" s="239">
        <v>127630</v>
      </c>
      <c r="AP290" s="239">
        <v>14182</v>
      </c>
      <c r="AQ290" s="239">
        <v>62395</v>
      </c>
      <c r="AR290" s="239">
        <v>14038</v>
      </c>
      <c r="AS290" s="239">
        <v>1559</v>
      </c>
      <c r="AT290" s="239">
        <v>2290.1174999999998</v>
      </c>
      <c r="AU290" s="239">
        <v>515.27643749999993</v>
      </c>
      <c r="AV290" s="239">
        <v>57.252937500000002</v>
      </c>
      <c r="AW290" s="239">
        <v>1095</v>
      </c>
      <c r="AX290" s="239">
        <v>246</v>
      </c>
      <c r="AY290" s="239">
        <v>28</v>
      </c>
      <c r="AZ290" s="239">
        <v>1195</v>
      </c>
      <c r="BA290" s="239">
        <v>269</v>
      </c>
      <c r="BB290" s="239">
        <v>29</v>
      </c>
      <c r="BC290" s="239">
        <v>2061.6333333333332</v>
      </c>
      <c r="BD290" s="239">
        <v>463.86749999999995</v>
      </c>
      <c r="BE290" s="239">
        <v>51.540833333333339</v>
      </c>
      <c r="BF290" s="239">
        <v>1879</v>
      </c>
      <c r="BG290" s="239">
        <v>424</v>
      </c>
      <c r="BH290" s="239">
        <v>48</v>
      </c>
      <c r="BI290" s="239">
        <v>183</v>
      </c>
      <c r="BJ290" s="239">
        <v>40</v>
      </c>
      <c r="BK290" s="239">
        <v>4</v>
      </c>
      <c r="BL290" s="239">
        <v>4206.8683333333338</v>
      </c>
      <c r="BM290" s="239">
        <v>946.54537499999992</v>
      </c>
      <c r="BN290" s="239">
        <v>105.17170833333333</v>
      </c>
      <c r="BO290" s="239">
        <v>1389</v>
      </c>
      <c r="BP290" s="239">
        <v>312</v>
      </c>
      <c r="BQ290" s="239">
        <v>34</v>
      </c>
      <c r="BR290" s="239">
        <v>2818</v>
      </c>
      <c r="BS290" s="239">
        <v>635</v>
      </c>
      <c r="BT290" s="239">
        <v>71</v>
      </c>
      <c r="BU290" s="239">
        <v>132234.70416666666</v>
      </c>
      <c r="BV290" s="239">
        <v>29752.8084375</v>
      </c>
      <c r="BW290" s="239">
        <v>3305.8676041666668</v>
      </c>
      <c r="BX290" s="239">
        <v>128308</v>
      </c>
      <c r="BY290" s="239">
        <v>28870</v>
      </c>
      <c r="BZ290" s="239">
        <v>3208</v>
      </c>
      <c r="CA290" s="239">
        <v>3927</v>
      </c>
      <c r="CB290" s="239">
        <v>883</v>
      </c>
      <c r="CC290" s="239">
        <v>98</v>
      </c>
      <c r="CD290" s="239">
        <v>0</v>
      </c>
      <c r="CE290" s="239">
        <v>0</v>
      </c>
      <c r="CF290" s="239">
        <v>0</v>
      </c>
      <c r="CG290" s="239">
        <v>0</v>
      </c>
      <c r="CH290" s="239">
        <v>0</v>
      </c>
      <c r="CI290" s="239">
        <v>0</v>
      </c>
      <c r="CJ290" s="239">
        <v>0</v>
      </c>
      <c r="CK290" s="239">
        <v>0</v>
      </c>
      <c r="CL290" s="239">
        <v>0</v>
      </c>
      <c r="CM290" s="239">
        <v>3477.5858333333331</v>
      </c>
      <c r="CN290" s="239">
        <v>782.45681249999984</v>
      </c>
      <c r="CO290" s="239">
        <v>86.93964583333333</v>
      </c>
      <c r="CP290" s="239">
        <v>0</v>
      </c>
      <c r="CQ290" s="239">
        <v>0</v>
      </c>
      <c r="CR290" s="239">
        <v>0</v>
      </c>
      <c r="CS290" s="239">
        <v>3478</v>
      </c>
      <c r="CT290" s="239">
        <v>782</v>
      </c>
      <c r="CU290" s="239">
        <v>87</v>
      </c>
      <c r="CV290" s="239">
        <v>58002.323750000003</v>
      </c>
      <c r="CW290" s="239">
        <v>11483.650499999998</v>
      </c>
      <c r="CX290" s="239">
        <v>1275.9611666666667</v>
      </c>
      <c r="CY290" s="239">
        <v>71392</v>
      </c>
      <c r="CZ290" s="239">
        <v>14387</v>
      </c>
      <c r="DA290" s="239">
        <v>1599</v>
      </c>
      <c r="DB290" s="239">
        <v>-13390</v>
      </c>
      <c r="DC290" s="239">
        <v>-2903</v>
      </c>
      <c r="DD290" s="239">
        <v>-323</v>
      </c>
      <c r="DE290" s="214">
        <v>0.5</v>
      </c>
      <c r="DF290" s="214">
        <v>0.4</v>
      </c>
      <c r="DG290" s="214">
        <v>0.09</v>
      </c>
      <c r="DH290" s="214">
        <v>0.01</v>
      </c>
      <c r="DI290" s="214" t="s">
        <v>1294</v>
      </c>
    </row>
    <row r="291" spans="2:113" s="214" customFormat="1" x14ac:dyDescent="0.2">
      <c r="B291" s="610" t="s">
        <v>665</v>
      </c>
      <c r="C291" s="610" t="s">
        <v>664</v>
      </c>
      <c r="D291" s="239">
        <v>40991</v>
      </c>
      <c r="E291" s="239">
        <v>0</v>
      </c>
      <c r="F291" s="239">
        <v>40991</v>
      </c>
      <c r="G291" s="239">
        <v>0</v>
      </c>
      <c r="H291" s="239">
        <v>0</v>
      </c>
      <c r="I291" s="239">
        <v>0</v>
      </c>
      <c r="J291" s="239">
        <v>40991</v>
      </c>
      <c r="K291" s="239">
        <v>0</v>
      </c>
      <c r="L291" s="239">
        <v>40991</v>
      </c>
      <c r="M291" s="239">
        <v>965370</v>
      </c>
      <c r="N291" s="239">
        <v>973370</v>
      </c>
      <c r="O291" s="239">
        <v>-8000</v>
      </c>
      <c r="P291" s="239">
        <v>0</v>
      </c>
      <c r="Q291" s="239">
        <v>0</v>
      </c>
      <c r="R291" s="239">
        <v>0</v>
      </c>
      <c r="S291" s="239">
        <v>0</v>
      </c>
      <c r="T291" s="239">
        <v>0</v>
      </c>
      <c r="U291" s="239">
        <v>0</v>
      </c>
      <c r="V291" s="239">
        <v>0</v>
      </c>
      <c r="W291" s="239">
        <v>0</v>
      </c>
      <c r="X291" s="239">
        <v>0</v>
      </c>
      <c r="Y291" s="239">
        <v>0</v>
      </c>
      <c r="Z291" s="239">
        <v>0</v>
      </c>
      <c r="AA291" s="239">
        <v>0</v>
      </c>
      <c r="AB291" s="239">
        <v>0</v>
      </c>
      <c r="AC291" s="239">
        <v>0</v>
      </c>
      <c r="AD291" s="239">
        <v>0</v>
      </c>
      <c r="AE291" s="239">
        <v>0</v>
      </c>
      <c r="AF291" s="239">
        <v>0</v>
      </c>
      <c r="AG291" s="239">
        <v>0</v>
      </c>
      <c r="AH291" s="239">
        <v>0</v>
      </c>
      <c r="AI291" s="239">
        <v>0</v>
      </c>
      <c r="AJ291" s="239">
        <v>0</v>
      </c>
      <c r="AK291" s="239">
        <v>1044703.1165625</v>
      </c>
      <c r="AL291" s="239">
        <v>696468.74437500001</v>
      </c>
      <c r="AM291" s="239">
        <v>0</v>
      </c>
      <c r="AN291" s="239">
        <v>920378</v>
      </c>
      <c r="AO291" s="239">
        <v>613586</v>
      </c>
      <c r="AP291" s="239">
        <v>0</v>
      </c>
      <c r="AQ291" s="239">
        <v>124325</v>
      </c>
      <c r="AR291" s="239">
        <v>82883</v>
      </c>
      <c r="AS291" s="239">
        <v>0</v>
      </c>
      <c r="AT291" s="239">
        <v>0</v>
      </c>
      <c r="AU291" s="239">
        <v>0</v>
      </c>
      <c r="AV291" s="239">
        <v>0</v>
      </c>
      <c r="AW291" s="239">
        <v>0</v>
      </c>
      <c r="AX291" s="239">
        <v>0</v>
      </c>
      <c r="AY291" s="239">
        <v>0</v>
      </c>
      <c r="AZ291" s="239">
        <v>0</v>
      </c>
      <c r="BA291" s="239">
        <v>0</v>
      </c>
      <c r="BB291" s="239">
        <v>0</v>
      </c>
      <c r="BC291" s="239">
        <v>1964.7406249999999</v>
      </c>
      <c r="BD291" s="239">
        <v>1309.8270833333336</v>
      </c>
      <c r="BE291" s="239">
        <v>0</v>
      </c>
      <c r="BF291" s="239">
        <v>4411</v>
      </c>
      <c r="BG291" s="239">
        <v>2942</v>
      </c>
      <c r="BH291" s="239">
        <v>0</v>
      </c>
      <c r="BI291" s="239">
        <v>-2446</v>
      </c>
      <c r="BJ291" s="239">
        <v>-1632</v>
      </c>
      <c r="BK291" s="239">
        <v>0</v>
      </c>
      <c r="BL291" s="239">
        <v>7821.8287499999997</v>
      </c>
      <c r="BM291" s="239">
        <v>5214.5525000000007</v>
      </c>
      <c r="BN291" s="239">
        <v>0</v>
      </c>
      <c r="BO291" s="239">
        <v>895</v>
      </c>
      <c r="BP291" s="239">
        <v>596</v>
      </c>
      <c r="BQ291" s="239">
        <v>0</v>
      </c>
      <c r="BR291" s="239">
        <v>6927</v>
      </c>
      <c r="BS291" s="239">
        <v>4619</v>
      </c>
      <c r="BT291" s="239">
        <v>0</v>
      </c>
      <c r="BU291" s="239">
        <v>845245.41812499997</v>
      </c>
      <c r="BV291" s="239">
        <v>563496.94541666657</v>
      </c>
      <c r="BW291" s="239">
        <v>0</v>
      </c>
      <c r="BX291" s="239">
        <v>880708</v>
      </c>
      <c r="BY291" s="239">
        <v>587140</v>
      </c>
      <c r="BZ291" s="239">
        <v>0</v>
      </c>
      <c r="CA291" s="239">
        <v>-35463</v>
      </c>
      <c r="CB291" s="239">
        <v>-23643</v>
      </c>
      <c r="CC291" s="239">
        <v>0</v>
      </c>
      <c r="CD291" s="239">
        <v>0</v>
      </c>
      <c r="CE291" s="239">
        <v>0</v>
      </c>
      <c r="CF291" s="239">
        <v>0</v>
      </c>
      <c r="CG291" s="239">
        <v>0</v>
      </c>
      <c r="CH291" s="239">
        <v>0</v>
      </c>
      <c r="CI291" s="239">
        <v>0</v>
      </c>
      <c r="CJ291" s="239">
        <v>0</v>
      </c>
      <c r="CK291" s="239">
        <v>0</v>
      </c>
      <c r="CL291" s="239">
        <v>0</v>
      </c>
      <c r="CM291" s="239">
        <v>39448.217499999992</v>
      </c>
      <c r="CN291" s="239">
        <v>26298.811666666665</v>
      </c>
      <c r="CO291" s="239">
        <v>0</v>
      </c>
      <c r="CP291" s="239">
        <v>0</v>
      </c>
      <c r="CQ291" s="239">
        <v>0</v>
      </c>
      <c r="CR291" s="239">
        <v>0</v>
      </c>
      <c r="CS291" s="239">
        <v>39448</v>
      </c>
      <c r="CT291" s="239">
        <v>26299</v>
      </c>
      <c r="CU291" s="239">
        <v>0</v>
      </c>
      <c r="CV291" s="239">
        <v>1640524.6637500001</v>
      </c>
      <c r="CW291" s="239">
        <v>1093683.1091666666</v>
      </c>
      <c r="CX291" s="239">
        <v>0</v>
      </c>
      <c r="CY291" s="239">
        <v>1673265</v>
      </c>
      <c r="CZ291" s="239">
        <v>1115510</v>
      </c>
      <c r="DA291" s="239">
        <v>0</v>
      </c>
      <c r="DB291" s="239">
        <v>-32740</v>
      </c>
      <c r="DC291" s="239">
        <v>-21827</v>
      </c>
      <c r="DD291" s="239">
        <v>0</v>
      </c>
      <c r="DE291" s="214">
        <v>0.5</v>
      </c>
      <c r="DF291" s="214">
        <v>0.3</v>
      </c>
      <c r="DG291" s="214">
        <v>0.2</v>
      </c>
      <c r="DH291" s="214">
        <v>0</v>
      </c>
      <c r="DI291" s="214" t="s">
        <v>1297</v>
      </c>
    </row>
    <row r="292" spans="2:113" s="214" customFormat="1" x14ac:dyDescent="0.2">
      <c r="B292" s="610" t="s">
        <v>667</v>
      </c>
      <c r="C292" s="610" t="s">
        <v>666</v>
      </c>
      <c r="D292" s="239">
        <v>-735955</v>
      </c>
      <c r="E292" s="239">
        <v>0</v>
      </c>
      <c r="F292" s="239">
        <v>-735955</v>
      </c>
      <c r="G292" s="239">
        <v>0</v>
      </c>
      <c r="H292" s="239">
        <v>0</v>
      </c>
      <c r="I292" s="239">
        <v>0</v>
      </c>
      <c r="J292" s="239">
        <v>-735955</v>
      </c>
      <c r="K292" s="239">
        <v>0</v>
      </c>
      <c r="L292" s="239">
        <v>-735955</v>
      </c>
      <c r="M292" s="239">
        <v>462189</v>
      </c>
      <c r="N292" s="239">
        <v>462189</v>
      </c>
      <c r="O292" s="239">
        <v>0</v>
      </c>
      <c r="P292" s="239">
        <v>0</v>
      </c>
      <c r="Q292" s="239">
        <v>0</v>
      </c>
      <c r="R292" s="239">
        <v>0</v>
      </c>
      <c r="S292" s="239">
        <v>76908</v>
      </c>
      <c r="T292" s="239">
        <v>0</v>
      </c>
      <c r="U292" s="239">
        <v>76908</v>
      </c>
      <c r="V292" s="239">
        <v>0</v>
      </c>
      <c r="W292" s="239">
        <v>0</v>
      </c>
      <c r="X292" s="239">
        <v>0</v>
      </c>
      <c r="Y292" s="239">
        <v>0</v>
      </c>
      <c r="Z292" s="239">
        <v>0</v>
      </c>
      <c r="AA292" s="239">
        <v>0</v>
      </c>
      <c r="AB292" s="239">
        <v>0</v>
      </c>
      <c r="AC292" s="239">
        <v>0</v>
      </c>
      <c r="AD292" s="239">
        <v>0</v>
      </c>
      <c r="AE292" s="239">
        <v>0</v>
      </c>
      <c r="AF292" s="239">
        <v>0</v>
      </c>
      <c r="AG292" s="239">
        <v>0</v>
      </c>
      <c r="AH292" s="239">
        <v>0</v>
      </c>
      <c r="AI292" s="239">
        <v>0</v>
      </c>
      <c r="AJ292" s="239">
        <v>0</v>
      </c>
      <c r="AK292" s="239">
        <v>1134156.6868333335</v>
      </c>
      <c r="AL292" s="239">
        <v>0</v>
      </c>
      <c r="AM292" s="239">
        <v>23146.054833333335</v>
      </c>
      <c r="AN292" s="239">
        <v>1052854</v>
      </c>
      <c r="AO292" s="239">
        <v>0</v>
      </c>
      <c r="AP292" s="239">
        <v>21486</v>
      </c>
      <c r="AQ292" s="239">
        <v>81303</v>
      </c>
      <c r="AR292" s="239">
        <v>0</v>
      </c>
      <c r="AS292" s="239">
        <v>1660</v>
      </c>
      <c r="AT292" s="239">
        <v>0</v>
      </c>
      <c r="AU292" s="239">
        <v>0</v>
      </c>
      <c r="AV292" s="239">
        <v>0</v>
      </c>
      <c r="AW292" s="239">
        <v>0</v>
      </c>
      <c r="AX292" s="239">
        <v>0</v>
      </c>
      <c r="AY292" s="239">
        <v>0</v>
      </c>
      <c r="AZ292" s="239">
        <v>0</v>
      </c>
      <c r="BA292" s="239">
        <v>0</v>
      </c>
      <c r="BB292" s="239">
        <v>0</v>
      </c>
      <c r="BC292" s="239">
        <v>197.36689583333339</v>
      </c>
      <c r="BD292" s="239">
        <v>0</v>
      </c>
      <c r="BE292" s="239">
        <v>4.0278958333333357</v>
      </c>
      <c r="BF292" s="239">
        <v>0</v>
      </c>
      <c r="BG292" s="239">
        <v>0</v>
      </c>
      <c r="BH292" s="239">
        <v>0</v>
      </c>
      <c r="BI292" s="239">
        <v>197</v>
      </c>
      <c r="BJ292" s="239">
        <v>0</v>
      </c>
      <c r="BK292" s="239">
        <v>4</v>
      </c>
      <c r="BL292" s="239">
        <v>43394.368354166669</v>
      </c>
      <c r="BM292" s="239">
        <v>0</v>
      </c>
      <c r="BN292" s="239">
        <v>885.59935416666667</v>
      </c>
      <c r="BO292" s="239">
        <v>14135</v>
      </c>
      <c r="BP292" s="239">
        <v>0</v>
      </c>
      <c r="BQ292" s="239">
        <v>288</v>
      </c>
      <c r="BR292" s="239">
        <v>29259</v>
      </c>
      <c r="BS292" s="239">
        <v>0</v>
      </c>
      <c r="BT292" s="239">
        <v>598</v>
      </c>
      <c r="BU292" s="239">
        <v>781917.92670833343</v>
      </c>
      <c r="BV292" s="239">
        <v>0</v>
      </c>
      <c r="BW292" s="239">
        <v>15957.508708333333</v>
      </c>
      <c r="BX292" s="239">
        <v>619965</v>
      </c>
      <c r="BY292" s="239">
        <v>0</v>
      </c>
      <c r="BZ292" s="239">
        <v>12652</v>
      </c>
      <c r="CA292" s="239">
        <v>161953</v>
      </c>
      <c r="CB292" s="239">
        <v>0</v>
      </c>
      <c r="CC292" s="239">
        <v>3306</v>
      </c>
      <c r="CD292" s="239">
        <v>0</v>
      </c>
      <c r="CE292" s="239">
        <v>0</v>
      </c>
      <c r="CF292" s="239">
        <v>0</v>
      </c>
      <c r="CG292" s="239">
        <v>1246</v>
      </c>
      <c r="CH292" s="239">
        <v>0</v>
      </c>
      <c r="CI292" s="239">
        <v>0</v>
      </c>
      <c r="CJ292" s="239">
        <v>-1246</v>
      </c>
      <c r="CK292" s="239">
        <v>0</v>
      </c>
      <c r="CL292" s="239">
        <v>0</v>
      </c>
      <c r="CM292" s="239">
        <v>2898.8573541666665</v>
      </c>
      <c r="CN292" s="239">
        <v>0</v>
      </c>
      <c r="CO292" s="239">
        <v>59.160354166666664</v>
      </c>
      <c r="CP292" s="239">
        <v>0</v>
      </c>
      <c r="CQ292" s="239">
        <v>0</v>
      </c>
      <c r="CR292" s="239">
        <v>0</v>
      </c>
      <c r="CS292" s="239">
        <v>2899</v>
      </c>
      <c r="CT292" s="239">
        <v>0</v>
      </c>
      <c r="CU292" s="239">
        <v>59</v>
      </c>
      <c r="CV292" s="239">
        <v>1164240.1273125</v>
      </c>
      <c r="CW292" s="239">
        <v>0</v>
      </c>
      <c r="CX292" s="239">
        <v>23737.113312500001</v>
      </c>
      <c r="CY292" s="239">
        <v>1153300</v>
      </c>
      <c r="CZ292" s="239">
        <v>0</v>
      </c>
      <c r="DA292" s="239">
        <v>23514</v>
      </c>
      <c r="DB292" s="239">
        <v>10940</v>
      </c>
      <c r="DC292" s="239">
        <v>0</v>
      </c>
      <c r="DD292" s="239">
        <v>223</v>
      </c>
      <c r="DE292" s="214">
        <v>0.5</v>
      </c>
      <c r="DF292" s="214">
        <v>0.49</v>
      </c>
      <c r="DG292" s="214">
        <v>0</v>
      </c>
      <c r="DH292" s="214">
        <v>0.01</v>
      </c>
      <c r="DI292" s="214" t="s">
        <v>1296</v>
      </c>
    </row>
    <row r="293" spans="2:113" s="214" customFormat="1" x14ac:dyDescent="0.2">
      <c r="B293" s="610" t="s">
        <v>669</v>
      </c>
      <c r="C293" s="610" t="s">
        <v>668</v>
      </c>
      <c r="D293" s="239">
        <v>-55138</v>
      </c>
      <c r="E293" s="239">
        <v>0</v>
      </c>
      <c r="F293" s="239">
        <v>-55138</v>
      </c>
      <c r="G293" s="239">
        <v>0</v>
      </c>
      <c r="H293" s="239">
        <v>0</v>
      </c>
      <c r="I293" s="239">
        <v>0</v>
      </c>
      <c r="J293" s="239">
        <v>-55138</v>
      </c>
      <c r="K293" s="239">
        <v>0</v>
      </c>
      <c r="L293" s="239">
        <v>-55138</v>
      </c>
      <c r="M293" s="239">
        <v>177239</v>
      </c>
      <c r="N293" s="239">
        <v>177239</v>
      </c>
      <c r="O293" s="239">
        <v>0</v>
      </c>
      <c r="P293" s="239">
        <v>0</v>
      </c>
      <c r="Q293" s="239">
        <v>0</v>
      </c>
      <c r="R293" s="239">
        <v>0</v>
      </c>
      <c r="S293" s="239">
        <v>0</v>
      </c>
      <c r="T293" s="239">
        <v>0</v>
      </c>
      <c r="U293" s="239">
        <v>0</v>
      </c>
      <c r="V293" s="239">
        <v>0</v>
      </c>
      <c r="W293" s="239">
        <v>0</v>
      </c>
      <c r="X293" s="239">
        <v>0</v>
      </c>
      <c r="Y293" s="239">
        <v>0</v>
      </c>
      <c r="Z293" s="239">
        <v>0</v>
      </c>
      <c r="AA293" s="239">
        <v>0</v>
      </c>
      <c r="AB293" s="239">
        <v>0</v>
      </c>
      <c r="AC293" s="239">
        <v>0</v>
      </c>
      <c r="AD293" s="239">
        <v>0</v>
      </c>
      <c r="AE293" s="239">
        <v>0</v>
      </c>
      <c r="AF293" s="239">
        <v>0</v>
      </c>
      <c r="AG293" s="239">
        <v>0</v>
      </c>
      <c r="AH293" s="239">
        <v>0</v>
      </c>
      <c r="AI293" s="239">
        <v>0</v>
      </c>
      <c r="AJ293" s="239">
        <v>0</v>
      </c>
      <c r="AK293" s="239">
        <v>520168.55541666673</v>
      </c>
      <c r="AL293" s="239">
        <v>117037.92496875001</v>
      </c>
      <c r="AM293" s="239">
        <v>13004.213885416668</v>
      </c>
      <c r="AN293" s="239">
        <v>474590</v>
      </c>
      <c r="AO293" s="239">
        <v>106782</v>
      </c>
      <c r="AP293" s="239">
        <v>11864</v>
      </c>
      <c r="AQ293" s="239">
        <v>45579</v>
      </c>
      <c r="AR293" s="239">
        <v>10256</v>
      </c>
      <c r="AS293" s="239">
        <v>1140</v>
      </c>
      <c r="AT293" s="239">
        <v>1111.1716666666669</v>
      </c>
      <c r="AU293" s="239">
        <v>250.01362499999999</v>
      </c>
      <c r="AV293" s="239">
        <v>27.779291666666669</v>
      </c>
      <c r="AW293" s="239">
        <v>1305</v>
      </c>
      <c r="AX293" s="239">
        <v>294</v>
      </c>
      <c r="AY293" s="239">
        <v>32</v>
      </c>
      <c r="AZ293" s="239">
        <v>-194</v>
      </c>
      <c r="BA293" s="239">
        <v>-44</v>
      </c>
      <c r="BB293" s="239">
        <v>-4</v>
      </c>
      <c r="BC293" s="239">
        <v>0</v>
      </c>
      <c r="BD293" s="239">
        <v>0</v>
      </c>
      <c r="BE293" s="239">
        <v>0</v>
      </c>
      <c r="BF293" s="239">
        <v>0</v>
      </c>
      <c r="BG293" s="239">
        <v>0</v>
      </c>
      <c r="BH293" s="239">
        <v>0</v>
      </c>
      <c r="BI293" s="239">
        <v>0</v>
      </c>
      <c r="BJ293" s="239">
        <v>0</v>
      </c>
      <c r="BK293" s="239">
        <v>0</v>
      </c>
      <c r="BL293" s="239">
        <v>13246.400000000001</v>
      </c>
      <c r="BM293" s="239">
        <v>2980.44</v>
      </c>
      <c r="BN293" s="239">
        <v>331.16</v>
      </c>
      <c r="BO293" s="239">
        <v>1365</v>
      </c>
      <c r="BP293" s="239">
        <v>306</v>
      </c>
      <c r="BQ293" s="239">
        <v>34</v>
      </c>
      <c r="BR293" s="239">
        <v>11881</v>
      </c>
      <c r="BS293" s="239">
        <v>2674</v>
      </c>
      <c r="BT293" s="239">
        <v>297</v>
      </c>
      <c r="BU293" s="239">
        <v>400442.64916666667</v>
      </c>
      <c r="BV293" s="239">
        <v>90099.596062500001</v>
      </c>
      <c r="BW293" s="239">
        <v>10011.066229166667</v>
      </c>
      <c r="BX293" s="239">
        <v>397879</v>
      </c>
      <c r="BY293" s="239">
        <v>89524</v>
      </c>
      <c r="BZ293" s="239">
        <v>9948</v>
      </c>
      <c r="CA293" s="239">
        <v>2564</v>
      </c>
      <c r="CB293" s="239">
        <v>576</v>
      </c>
      <c r="CC293" s="239">
        <v>63</v>
      </c>
      <c r="CD293" s="239">
        <v>0</v>
      </c>
      <c r="CE293" s="239">
        <v>0</v>
      </c>
      <c r="CF293" s="239">
        <v>0</v>
      </c>
      <c r="CG293" s="239">
        <v>0</v>
      </c>
      <c r="CH293" s="239">
        <v>0</v>
      </c>
      <c r="CI293" s="239">
        <v>0</v>
      </c>
      <c r="CJ293" s="239">
        <v>0</v>
      </c>
      <c r="CK293" s="239">
        <v>0</v>
      </c>
      <c r="CL293" s="239">
        <v>0</v>
      </c>
      <c r="CM293" s="239">
        <v>2779.9583333333335</v>
      </c>
      <c r="CN293" s="239">
        <v>625.49062499999991</v>
      </c>
      <c r="CO293" s="239">
        <v>69.498958333333334</v>
      </c>
      <c r="CP293" s="239">
        <v>0</v>
      </c>
      <c r="CQ293" s="239">
        <v>0</v>
      </c>
      <c r="CR293" s="239">
        <v>0</v>
      </c>
      <c r="CS293" s="239">
        <v>2780</v>
      </c>
      <c r="CT293" s="239">
        <v>625</v>
      </c>
      <c r="CU293" s="239">
        <v>69</v>
      </c>
      <c r="CV293" s="239">
        <v>291178.31166666665</v>
      </c>
      <c r="CW293" s="239">
        <v>65515.120125000001</v>
      </c>
      <c r="CX293" s="239">
        <v>7279.4577916666667</v>
      </c>
      <c r="CY293" s="239">
        <v>297393</v>
      </c>
      <c r="CZ293" s="239">
        <v>66913</v>
      </c>
      <c r="DA293" s="239">
        <v>7435</v>
      </c>
      <c r="DB293" s="239">
        <v>-6215</v>
      </c>
      <c r="DC293" s="239">
        <v>-1398</v>
      </c>
      <c r="DD293" s="239">
        <v>-156</v>
      </c>
      <c r="DE293" s="214">
        <v>0.5</v>
      </c>
      <c r="DF293" s="214">
        <v>0.4</v>
      </c>
      <c r="DG293" s="214">
        <v>0.09</v>
      </c>
      <c r="DH293" s="214">
        <v>0.01</v>
      </c>
      <c r="DI293" s="214" t="s">
        <v>1294</v>
      </c>
    </row>
    <row r="294" spans="2:113" s="214" customFormat="1" x14ac:dyDescent="0.2">
      <c r="B294" s="610" t="s">
        <v>671</v>
      </c>
      <c r="C294" s="610" t="s">
        <v>670</v>
      </c>
      <c r="D294" s="239">
        <v>-158353</v>
      </c>
      <c r="E294" s="239">
        <v>0</v>
      </c>
      <c r="F294" s="239">
        <v>-158353</v>
      </c>
      <c r="G294" s="239">
        <v>0</v>
      </c>
      <c r="H294" s="239">
        <v>0</v>
      </c>
      <c r="I294" s="239">
        <v>0</v>
      </c>
      <c r="J294" s="239">
        <v>-158353</v>
      </c>
      <c r="K294" s="239">
        <v>0</v>
      </c>
      <c r="L294" s="239">
        <v>-158353</v>
      </c>
      <c r="M294" s="239">
        <v>137952</v>
      </c>
      <c r="N294" s="239">
        <v>137952</v>
      </c>
      <c r="O294" s="239">
        <v>0</v>
      </c>
      <c r="P294" s="239">
        <v>0</v>
      </c>
      <c r="Q294" s="239">
        <v>0</v>
      </c>
      <c r="R294" s="239">
        <v>0</v>
      </c>
      <c r="S294" s="239">
        <v>198369</v>
      </c>
      <c r="T294" s="239">
        <v>0</v>
      </c>
      <c r="U294" s="239">
        <v>0</v>
      </c>
      <c r="V294" s="239">
        <v>0</v>
      </c>
      <c r="W294" s="239">
        <v>198369</v>
      </c>
      <c r="X294" s="239">
        <v>0</v>
      </c>
      <c r="Y294" s="239">
        <v>0</v>
      </c>
      <c r="Z294" s="239">
        <v>0</v>
      </c>
      <c r="AA294" s="239">
        <v>0</v>
      </c>
      <c r="AB294" s="239">
        <v>0</v>
      </c>
      <c r="AC294" s="239">
        <v>0</v>
      </c>
      <c r="AD294" s="239">
        <v>0</v>
      </c>
      <c r="AE294" s="239">
        <v>0</v>
      </c>
      <c r="AF294" s="239">
        <v>0</v>
      </c>
      <c r="AG294" s="239">
        <v>0</v>
      </c>
      <c r="AH294" s="239">
        <v>0</v>
      </c>
      <c r="AI294" s="239">
        <v>0</v>
      </c>
      <c r="AJ294" s="239">
        <v>0</v>
      </c>
      <c r="AK294" s="239">
        <v>431761.21333333338</v>
      </c>
      <c r="AL294" s="239">
        <v>97146.273000000001</v>
      </c>
      <c r="AM294" s="239">
        <v>10794.030333333332</v>
      </c>
      <c r="AN294" s="239">
        <v>364878</v>
      </c>
      <c r="AO294" s="239">
        <v>82098</v>
      </c>
      <c r="AP294" s="239">
        <v>9122</v>
      </c>
      <c r="AQ294" s="239">
        <v>66883</v>
      </c>
      <c r="AR294" s="239">
        <v>15048</v>
      </c>
      <c r="AS294" s="239">
        <v>1672</v>
      </c>
      <c r="AT294" s="239">
        <v>6131.7358333333341</v>
      </c>
      <c r="AU294" s="239">
        <v>1379.6405624999998</v>
      </c>
      <c r="AV294" s="239">
        <v>153.29339583333331</v>
      </c>
      <c r="AW294" s="239">
        <v>0</v>
      </c>
      <c r="AX294" s="239">
        <v>0</v>
      </c>
      <c r="AY294" s="239">
        <v>0</v>
      </c>
      <c r="AZ294" s="239">
        <v>6132</v>
      </c>
      <c r="BA294" s="239">
        <v>1380</v>
      </c>
      <c r="BB294" s="239">
        <v>153</v>
      </c>
      <c r="BC294" s="239">
        <v>1316.9291666666668</v>
      </c>
      <c r="BD294" s="239">
        <v>296.30906249999998</v>
      </c>
      <c r="BE294" s="239">
        <v>32.923229166666665</v>
      </c>
      <c r="BF294" s="239">
        <v>0</v>
      </c>
      <c r="BG294" s="239">
        <v>0</v>
      </c>
      <c r="BH294" s="239">
        <v>0</v>
      </c>
      <c r="BI294" s="239">
        <v>1317</v>
      </c>
      <c r="BJ294" s="239">
        <v>296</v>
      </c>
      <c r="BK294" s="239">
        <v>33</v>
      </c>
      <c r="BL294" s="239">
        <v>5313.5758333333333</v>
      </c>
      <c r="BM294" s="239">
        <v>1195.5545625</v>
      </c>
      <c r="BN294" s="239">
        <v>132.83939583333333</v>
      </c>
      <c r="BO294" s="239">
        <v>2609</v>
      </c>
      <c r="BP294" s="239">
        <v>588</v>
      </c>
      <c r="BQ294" s="239">
        <v>66</v>
      </c>
      <c r="BR294" s="239">
        <v>2705</v>
      </c>
      <c r="BS294" s="239">
        <v>608</v>
      </c>
      <c r="BT294" s="239">
        <v>67</v>
      </c>
      <c r="BU294" s="239">
        <v>178498.48666666666</v>
      </c>
      <c r="BV294" s="239">
        <v>40162.159500000002</v>
      </c>
      <c r="BW294" s="239">
        <v>4462.4621666666662</v>
      </c>
      <c r="BX294" s="239">
        <v>177499</v>
      </c>
      <c r="BY294" s="239">
        <v>39938</v>
      </c>
      <c r="BZ294" s="239">
        <v>4438</v>
      </c>
      <c r="CA294" s="239">
        <v>999</v>
      </c>
      <c r="CB294" s="239">
        <v>224</v>
      </c>
      <c r="CC294" s="239">
        <v>24</v>
      </c>
      <c r="CD294" s="239">
        <v>0</v>
      </c>
      <c r="CE294" s="239">
        <v>0</v>
      </c>
      <c r="CF294" s="239">
        <v>0</v>
      </c>
      <c r="CG294" s="239">
        <v>0</v>
      </c>
      <c r="CH294" s="239">
        <v>0</v>
      </c>
      <c r="CI294" s="239">
        <v>0</v>
      </c>
      <c r="CJ294" s="239">
        <v>0</v>
      </c>
      <c r="CK294" s="239">
        <v>0</v>
      </c>
      <c r="CL294" s="239">
        <v>0</v>
      </c>
      <c r="CM294" s="239">
        <v>6694.2208333333328</v>
      </c>
      <c r="CN294" s="239">
        <v>1506.1996874999998</v>
      </c>
      <c r="CO294" s="239">
        <v>167.35552083333332</v>
      </c>
      <c r="CP294" s="239">
        <v>0</v>
      </c>
      <c r="CQ294" s="239">
        <v>0</v>
      </c>
      <c r="CR294" s="239">
        <v>0</v>
      </c>
      <c r="CS294" s="239">
        <v>6694</v>
      </c>
      <c r="CT294" s="239">
        <v>1506</v>
      </c>
      <c r="CU294" s="239">
        <v>167</v>
      </c>
      <c r="CV294" s="239">
        <v>247990.22208333336</v>
      </c>
      <c r="CW294" s="239">
        <v>55146.901687500002</v>
      </c>
      <c r="CX294" s="239">
        <v>6127.4335208333332</v>
      </c>
      <c r="CY294" s="239">
        <v>240295</v>
      </c>
      <c r="CZ294" s="239">
        <v>54066</v>
      </c>
      <c r="DA294" s="239">
        <v>6007</v>
      </c>
      <c r="DB294" s="239">
        <v>7695</v>
      </c>
      <c r="DC294" s="239">
        <v>1081</v>
      </c>
      <c r="DD294" s="239">
        <v>120</v>
      </c>
      <c r="DE294" s="214">
        <v>0.5</v>
      </c>
      <c r="DF294" s="214">
        <v>0.4</v>
      </c>
      <c r="DG294" s="214">
        <v>0.09</v>
      </c>
      <c r="DH294" s="214">
        <v>0.01</v>
      </c>
      <c r="DI294" s="214" t="s">
        <v>1294</v>
      </c>
    </row>
    <row r="295" spans="2:113" s="214" customFormat="1" x14ac:dyDescent="0.2">
      <c r="B295" s="610" t="s">
        <v>673</v>
      </c>
      <c r="C295" s="610" t="s">
        <v>672</v>
      </c>
      <c r="D295" s="239">
        <v>-512878</v>
      </c>
      <c r="E295" s="239">
        <v>24</v>
      </c>
      <c r="F295" s="239">
        <v>-512854</v>
      </c>
      <c r="G295" s="239">
        <v>0</v>
      </c>
      <c r="H295" s="239">
        <v>0</v>
      </c>
      <c r="I295" s="239">
        <v>0</v>
      </c>
      <c r="J295" s="239">
        <v>-512878</v>
      </c>
      <c r="K295" s="239">
        <v>24</v>
      </c>
      <c r="L295" s="239">
        <v>-512854</v>
      </c>
      <c r="M295" s="239">
        <v>184722</v>
      </c>
      <c r="N295" s="239">
        <v>184722</v>
      </c>
      <c r="O295" s="239">
        <v>0</v>
      </c>
      <c r="P295" s="239">
        <v>306242</v>
      </c>
      <c r="Q295" s="239">
        <v>0</v>
      </c>
      <c r="R295" s="239">
        <v>306242</v>
      </c>
      <c r="S295" s="239">
        <v>241262</v>
      </c>
      <c r="T295" s="239">
        <v>0</v>
      </c>
      <c r="U295" s="239">
        <v>121278</v>
      </c>
      <c r="V295" s="239">
        <v>0</v>
      </c>
      <c r="W295" s="239">
        <v>119984</v>
      </c>
      <c r="X295" s="239">
        <v>0</v>
      </c>
      <c r="Y295" s="239">
        <v>537045.33750000002</v>
      </c>
      <c r="Z295" s="239">
        <v>537045.33750000002</v>
      </c>
      <c r="AA295" s="239">
        <v>0</v>
      </c>
      <c r="AB295" s="239">
        <v>0</v>
      </c>
      <c r="AC295" s="239">
        <v>373238</v>
      </c>
      <c r="AD295" s="239">
        <v>373238</v>
      </c>
      <c r="AE295" s="239">
        <v>0</v>
      </c>
      <c r="AF295" s="239">
        <v>0</v>
      </c>
      <c r="AG295" s="239">
        <v>163807</v>
      </c>
      <c r="AH295" s="239">
        <v>163807</v>
      </c>
      <c r="AI295" s="239">
        <v>0</v>
      </c>
      <c r="AJ295" s="239">
        <v>0</v>
      </c>
      <c r="AK295" s="239">
        <v>366857.30291666661</v>
      </c>
      <c r="AL295" s="239">
        <v>88261.191354166658</v>
      </c>
      <c r="AM295" s="239">
        <v>0</v>
      </c>
      <c r="AN295" s="239">
        <v>340168</v>
      </c>
      <c r="AO295" s="239">
        <v>85042</v>
      </c>
      <c r="AP295" s="239">
        <v>0</v>
      </c>
      <c r="AQ295" s="239">
        <v>26689</v>
      </c>
      <c r="AR295" s="239">
        <v>3219</v>
      </c>
      <c r="AS295" s="239">
        <v>0</v>
      </c>
      <c r="AT295" s="239">
        <v>920.0241666666667</v>
      </c>
      <c r="AU295" s="239">
        <v>230.00604166666668</v>
      </c>
      <c r="AV295" s="239">
        <v>0</v>
      </c>
      <c r="AW295" s="239">
        <v>0</v>
      </c>
      <c r="AX295" s="239">
        <v>0</v>
      </c>
      <c r="AY295" s="239">
        <v>0</v>
      </c>
      <c r="AZ295" s="239">
        <v>920</v>
      </c>
      <c r="BA295" s="239">
        <v>230</v>
      </c>
      <c r="BB295" s="239">
        <v>0</v>
      </c>
      <c r="BC295" s="239">
        <v>0</v>
      </c>
      <c r="BD295" s="239">
        <v>0</v>
      </c>
      <c r="BE295" s="239">
        <v>0</v>
      </c>
      <c r="BF295" s="239">
        <v>0</v>
      </c>
      <c r="BG295" s="239">
        <v>0</v>
      </c>
      <c r="BH295" s="239">
        <v>0</v>
      </c>
      <c r="BI295" s="239">
        <v>0</v>
      </c>
      <c r="BJ295" s="239">
        <v>0</v>
      </c>
      <c r="BK295" s="239">
        <v>0</v>
      </c>
      <c r="BL295" s="239">
        <v>2801.4675000000002</v>
      </c>
      <c r="BM295" s="239">
        <v>700.36687500000005</v>
      </c>
      <c r="BN295" s="239">
        <v>0</v>
      </c>
      <c r="BO295" s="239">
        <v>0</v>
      </c>
      <c r="BP295" s="239">
        <v>0</v>
      </c>
      <c r="BQ295" s="239">
        <v>0</v>
      </c>
      <c r="BR295" s="239">
        <v>2801</v>
      </c>
      <c r="BS295" s="239">
        <v>700</v>
      </c>
      <c r="BT295" s="239">
        <v>0</v>
      </c>
      <c r="BU295" s="239">
        <v>193439.64666666667</v>
      </c>
      <c r="BV295" s="239">
        <v>47979.442916666667</v>
      </c>
      <c r="BW295" s="239">
        <v>0</v>
      </c>
      <c r="BX295" s="239">
        <v>163262</v>
      </c>
      <c r="BY295" s="239">
        <v>40816</v>
      </c>
      <c r="BZ295" s="239">
        <v>0</v>
      </c>
      <c r="CA295" s="239">
        <v>30178</v>
      </c>
      <c r="CB295" s="239">
        <v>7163</v>
      </c>
      <c r="CC295" s="239">
        <v>0</v>
      </c>
      <c r="CD295" s="239">
        <v>0</v>
      </c>
      <c r="CE295" s="239">
        <v>0</v>
      </c>
      <c r="CF295" s="239">
        <v>0</v>
      </c>
      <c r="CG295" s="239">
        <v>0</v>
      </c>
      <c r="CH295" s="239">
        <v>0</v>
      </c>
      <c r="CI295" s="239">
        <v>0</v>
      </c>
      <c r="CJ295" s="239">
        <v>0</v>
      </c>
      <c r="CK295" s="239">
        <v>0</v>
      </c>
      <c r="CL295" s="239">
        <v>0</v>
      </c>
      <c r="CM295" s="239">
        <v>2574.2008333333338</v>
      </c>
      <c r="CN295" s="239">
        <v>643.55020833333344</v>
      </c>
      <c r="CO295" s="239">
        <v>0</v>
      </c>
      <c r="CP295" s="239">
        <v>0</v>
      </c>
      <c r="CQ295" s="239">
        <v>0</v>
      </c>
      <c r="CR295" s="239">
        <v>0</v>
      </c>
      <c r="CS295" s="239">
        <v>2574</v>
      </c>
      <c r="CT295" s="239">
        <v>644</v>
      </c>
      <c r="CU295" s="239">
        <v>0</v>
      </c>
      <c r="CV295" s="239">
        <v>306145.66500000004</v>
      </c>
      <c r="CW295" s="239">
        <v>74540.307916666672</v>
      </c>
      <c r="CX295" s="239">
        <v>0</v>
      </c>
      <c r="CY295" s="239">
        <v>339890</v>
      </c>
      <c r="CZ295" s="239">
        <v>83170</v>
      </c>
      <c r="DA295" s="239">
        <v>0</v>
      </c>
      <c r="DB295" s="239">
        <v>-33744</v>
      </c>
      <c r="DC295" s="239">
        <v>-8630</v>
      </c>
      <c r="DD295" s="239">
        <v>0</v>
      </c>
      <c r="DE295" s="214">
        <v>0.5</v>
      </c>
      <c r="DF295" s="214">
        <v>0.4</v>
      </c>
      <c r="DG295" s="214">
        <v>0.1</v>
      </c>
      <c r="DH295" s="214">
        <v>0</v>
      </c>
      <c r="DI295" s="214" t="s">
        <v>1294</v>
      </c>
    </row>
    <row r="296" spans="2:113" s="214" customFormat="1" x14ac:dyDescent="0.2">
      <c r="B296" s="610" t="s">
        <v>675</v>
      </c>
      <c r="C296" s="610" t="s">
        <v>674</v>
      </c>
      <c r="D296" s="239">
        <v>-753794</v>
      </c>
      <c r="E296" s="239">
        <v>0</v>
      </c>
      <c r="F296" s="239">
        <v>-753794</v>
      </c>
      <c r="G296" s="239">
        <v>0</v>
      </c>
      <c r="H296" s="239">
        <v>0</v>
      </c>
      <c r="I296" s="239">
        <v>0</v>
      </c>
      <c r="J296" s="239">
        <v>-753794</v>
      </c>
      <c r="K296" s="239">
        <v>0</v>
      </c>
      <c r="L296" s="239">
        <v>-753794</v>
      </c>
      <c r="M296" s="239">
        <v>461041</v>
      </c>
      <c r="N296" s="239">
        <v>461041</v>
      </c>
      <c r="O296" s="239">
        <v>0</v>
      </c>
      <c r="P296" s="239">
        <v>0</v>
      </c>
      <c r="Q296" s="239">
        <v>0</v>
      </c>
      <c r="R296" s="239">
        <v>0</v>
      </c>
      <c r="S296" s="239">
        <v>0</v>
      </c>
      <c r="T296" s="239">
        <v>0</v>
      </c>
      <c r="U296" s="239">
        <v>0</v>
      </c>
      <c r="V296" s="239">
        <v>0</v>
      </c>
      <c r="W296" s="239">
        <v>0</v>
      </c>
      <c r="X296" s="239">
        <v>0</v>
      </c>
      <c r="Y296" s="239">
        <v>0</v>
      </c>
      <c r="Z296" s="239">
        <v>0</v>
      </c>
      <c r="AA296" s="239">
        <v>0</v>
      </c>
      <c r="AB296" s="239">
        <v>0</v>
      </c>
      <c r="AC296" s="239">
        <v>0</v>
      </c>
      <c r="AD296" s="239">
        <v>0</v>
      </c>
      <c r="AE296" s="239">
        <v>0</v>
      </c>
      <c r="AF296" s="239">
        <v>0</v>
      </c>
      <c r="AG296" s="239">
        <v>0</v>
      </c>
      <c r="AH296" s="239">
        <v>0</v>
      </c>
      <c r="AI296" s="239">
        <v>0</v>
      </c>
      <c r="AJ296" s="239">
        <v>0</v>
      </c>
      <c r="AK296" s="239">
        <v>1985028.4920520834</v>
      </c>
      <c r="AL296" s="239">
        <v>0</v>
      </c>
      <c r="AM296" s="239">
        <v>40510.78555208334</v>
      </c>
      <c r="AN296" s="239">
        <v>1886668</v>
      </c>
      <c r="AO296" s="239">
        <v>0</v>
      </c>
      <c r="AP296" s="239">
        <v>38504</v>
      </c>
      <c r="AQ296" s="239">
        <v>98360</v>
      </c>
      <c r="AR296" s="239">
        <v>0</v>
      </c>
      <c r="AS296" s="239">
        <v>2007</v>
      </c>
      <c r="AT296" s="239">
        <v>2734.3020833333335</v>
      </c>
      <c r="AU296" s="239">
        <v>0</v>
      </c>
      <c r="AV296" s="239">
        <v>55.802083333333336</v>
      </c>
      <c r="AW296" s="239">
        <v>4971</v>
      </c>
      <c r="AX296" s="239">
        <v>0</v>
      </c>
      <c r="AY296" s="239">
        <v>102</v>
      </c>
      <c r="AZ296" s="239">
        <v>-2237</v>
      </c>
      <c r="BA296" s="239">
        <v>0</v>
      </c>
      <c r="BB296" s="239">
        <v>-46</v>
      </c>
      <c r="BC296" s="239">
        <v>0</v>
      </c>
      <c r="BD296" s="239">
        <v>0</v>
      </c>
      <c r="BE296" s="239">
        <v>0</v>
      </c>
      <c r="BF296" s="239">
        <v>644</v>
      </c>
      <c r="BG296" s="239">
        <v>0</v>
      </c>
      <c r="BH296" s="239">
        <v>14</v>
      </c>
      <c r="BI296" s="239">
        <v>-644</v>
      </c>
      <c r="BJ296" s="239">
        <v>0</v>
      </c>
      <c r="BK296" s="239">
        <v>-14</v>
      </c>
      <c r="BL296" s="239">
        <v>92524.308187499992</v>
      </c>
      <c r="BM296" s="239">
        <v>0</v>
      </c>
      <c r="BN296" s="239">
        <v>1888.2511875</v>
      </c>
      <c r="BO296" s="239">
        <v>49069</v>
      </c>
      <c r="BP296" s="239">
        <v>0</v>
      </c>
      <c r="BQ296" s="239">
        <v>1002</v>
      </c>
      <c r="BR296" s="239">
        <v>43455</v>
      </c>
      <c r="BS296" s="239">
        <v>0</v>
      </c>
      <c r="BT296" s="239">
        <v>886</v>
      </c>
      <c r="BU296" s="239">
        <v>872550.59499999997</v>
      </c>
      <c r="BV296" s="239">
        <v>0</v>
      </c>
      <c r="BW296" s="239">
        <v>17807.154999999999</v>
      </c>
      <c r="BX296" s="239">
        <v>870004</v>
      </c>
      <c r="BY296" s="239">
        <v>0</v>
      </c>
      <c r="BZ296" s="239">
        <v>17756</v>
      </c>
      <c r="CA296" s="239">
        <v>2547</v>
      </c>
      <c r="CB296" s="239">
        <v>0</v>
      </c>
      <c r="CC296" s="239">
        <v>51</v>
      </c>
      <c r="CD296" s="239">
        <v>116.82927083333334</v>
      </c>
      <c r="CE296" s="239">
        <v>0</v>
      </c>
      <c r="CF296" s="239">
        <v>2.3842708333333333</v>
      </c>
      <c r="CG296" s="239">
        <v>37380</v>
      </c>
      <c r="CH296" s="239">
        <v>0</v>
      </c>
      <c r="CI296" s="239">
        <v>0</v>
      </c>
      <c r="CJ296" s="239">
        <v>-37263</v>
      </c>
      <c r="CK296" s="239">
        <v>0</v>
      </c>
      <c r="CL296" s="239">
        <v>2</v>
      </c>
      <c r="CM296" s="239">
        <v>20059.834374999999</v>
      </c>
      <c r="CN296" s="239">
        <v>0</v>
      </c>
      <c r="CO296" s="239">
        <v>409.38437500000003</v>
      </c>
      <c r="CP296" s="239">
        <v>0</v>
      </c>
      <c r="CQ296" s="239">
        <v>0</v>
      </c>
      <c r="CR296" s="239">
        <v>0</v>
      </c>
      <c r="CS296" s="239">
        <v>20060</v>
      </c>
      <c r="CT296" s="239">
        <v>0</v>
      </c>
      <c r="CU296" s="239">
        <v>409</v>
      </c>
      <c r="CV296" s="239">
        <v>809275.55770833336</v>
      </c>
      <c r="CW296" s="239">
        <v>0</v>
      </c>
      <c r="CX296" s="239">
        <v>16515.827708333334</v>
      </c>
      <c r="CY296" s="239">
        <v>862989</v>
      </c>
      <c r="CZ296" s="239">
        <v>0</v>
      </c>
      <c r="DA296" s="239">
        <v>17612</v>
      </c>
      <c r="DB296" s="239">
        <v>-53713</v>
      </c>
      <c r="DC296" s="239">
        <v>0</v>
      </c>
      <c r="DD296" s="239">
        <v>-1096</v>
      </c>
      <c r="DE296" s="214">
        <v>0.5</v>
      </c>
      <c r="DF296" s="214">
        <v>0.49</v>
      </c>
      <c r="DG296" s="214">
        <v>0</v>
      </c>
      <c r="DH296" s="214">
        <v>0.01</v>
      </c>
      <c r="DI296" s="214" t="s">
        <v>1296</v>
      </c>
    </row>
    <row r="297" spans="2:113" s="214" customFormat="1" x14ac:dyDescent="0.2">
      <c r="B297" s="610" t="s">
        <v>677</v>
      </c>
      <c r="C297" s="610" t="s">
        <v>676</v>
      </c>
      <c r="D297" s="239">
        <v>-919501</v>
      </c>
      <c r="E297" s="239">
        <v>0</v>
      </c>
      <c r="F297" s="239">
        <v>-919501</v>
      </c>
      <c r="G297" s="239">
        <v>0</v>
      </c>
      <c r="H297" s="239">
        <v>0</v>
      </c>
      <c r="I297" s="239">
        <v>0</v>
      </c>
      <c r="J297" s="239">
        <v>-919501</v>
      </c>
      <c r="K297" s="239">
        <v>0</v>
      </c>
      <c r="L297" s="239">
        <v>-919501</v>
      </c>
      <c r="M297" s="239">
        <v>340097</v>
      </c>
      <c r="N297" s="239">
        <v>340097</v>
      </c>
      <c r="O297" s="239">
        <v>0</v>
      </c>
      <c r="P297" s="239">
        <v>15459</v>
      </c>
      <c r="Q297" s="239">
        <v>10990</v>
      </c>
      <c r="R297" s="239">
        <v>4469</v>
      </c>
      <c r="S297" s="239">
        <v>0</v>
      </c>
      <c r="T297" s="239">
        <v>0</v>
      </c>
      <c r="U297" s="239">
        <v>0</v>
      </c>
      <c r="V297" s="239">
        <v>0</v>
      </c>
      <c r="W297" s="239">
        <v>0</v>
      </c>
      <c r="X297" s="239">
        <v>0</v>
      </c>
      <c r="Y297" s="239">
        <v>0</v>
      </c>
      <c r="Z297" s="239">
        <v>0</v>
      </c>
      <c r="AA297" s="239">
        <v>0</v>
      </c>
      <c r="AB297" s="239">
        <v>0</v>
      </c>
      <c r="AC297" s="239">
        <v>0</v>
      </c>
      <c r="AD297" s="239">
        <v>0</v>
      </c>
      <c r="AE297" s="239">
        <v>0</v>
      </c>
      <c r="AF297" s="239">
        <v>0</v>
      </c>
      <c r="AG297" s="239">
        <v>0</v>
      </c>
      <c r="AH297" s="239">
        <v>0</v>
      </c>
      <c r="AI297" s="239">
        <v>0</v>
      </c>
      <c r="AJ297" s="239">
        <v>0</v>
      </c>
      <c r="AK297" s="239">
        <v>1508833.58134375</v>
      </c>
      <c r="AL297" s="239">
        <v>0</v>
      </c>
      <c r="AM297" s="239">
        <v>30784.198343749998</v>
      </c>
      <c r="AN297" s="239">
        <v>1395094</v>
      </c>
      <c r="AO297" s="239">
        <v>0</v>
      </c>
      <c r="AP297" s="239">
        <v>28472</v>
      </c>
      <c r="AQ297" s="239">
        <v>113740</v>
      </c>
      <c r="AR297" s="239">
        <v>0</v>
      </c>
      <c r="AS297" s="239">
        <v>2312</v>
      </c>
      <c r="AT297" s="239">
        <v>6219.7915208333343</v>
      </c>
      <c r="AU297" s="239">
        <v>0</v>
      </c>
      <c r="AV297" s="239">
        <v>126.93452083333332</v>
      </c>
      <c r="AW297" s="239">
        <v>9706</v>
      </c>
      <c r="AX297" s="239">
        <v>0</v>
      </c>
      <c r="AY297" s="239">
        <v>198</v>
      </c>
      <c r="AZ297" s="239">
        <v>-3486</v>
      </c>
      <c r="BA297" s="239">
        <v>0</v>
      </c>
      <c r="BB297" s="239">
        <v>-71</v>
      </c>
      <c r="BC297" s="239">
        <v>0</v>
      </c>
      <c r="BD297" s="239">
        <v>0</v>
      </c>
      <c r="BE297" s="239">
        <v>0</v>
      </c>
      <c r="BF297" s="239">
        <v>0</v>
      </c>
      <c r="BG297" s="239">
        <v>0</v>
      </c>
      <c r="BH297" s="239">
        <v>0</v>
      </c>
      <c r="BI297" s="239">
        <v>0</v>
      </c>
      <c r="BJ297" s="239">
        <v>0</v>
      </c>
      <c r="BK297" s="239">
        <v>0</v>
      </c>
      <c r="BL297" s="239">
        <v>30285.129874999995</v>
      </c>
      <c r="BM297" s="239">
        <v>0</v>
      </c>
      <c r="BN297" s="239">
        <v>618.06387500000005</v>
      </c>
      <c r="BO297" s="239">
        <v>12526</v>
      </c>
      <c r="BP297" s="239">
        <v>0</v>
      </c>
      <c r="BQ297" s="239">
        <v>256</v>
      </c>
      <c r="BR297" s="239">
        <v>17759</v>
      </c>
      <c r="BS297" s="239">
        <v>0</v>
      </c>
      <c r="BT297" s="239">
        <v>362</v>
      </c>
      <c r="BU297" s="239">
        <v>481870.53045833338</v>
      </c>
      <c r="BV297" s="239">
        <v>0</v>
      </c>
      <c r="BW297" s="239">
        <v>9834.0924583333344</v>
      </c>
      <c r="BX297" s="239">
        <v>332819</v>
      </c>
      <c r="BY297" s="239">
        <v>0</v>
      </c>
      <c r="BZ297" s="239">
        <v>6792</v>
      </c>
      <c r="CA297" s="239">
        <v>149052</v>
      </c>
      <c r="CB297" s="239">
        <v>0</v>
      </c>
      <c r="CC297" s="239">
        <v>3042</v>
      </c>
      <c r="CD297" s="239">
        <v>0</v>
      </c>
      <c r="CE297" s="239">
        <v>0</v>
      </c>
      <c r="CF297" s="239">
        <v>0</v>
      </c>
      <c r="CG297" s="239">
        <v>0</v>
      </c>
      <c r="CH297" s="239">
        <v>0</v>
      </c>
      <c r="CI297" s="239">
        <v>0</v>
      </c>
      <c r="CJ297" s="239">
        <v>0</v>
      </c>
      <c r="CK297" s="239">
        <v>0</v>
      </c>
      <c r="CL297" s="239">
        <v>0</v>
      </c>
      <c r="CM297" s="239">
        <v>0</v>
      </c>
      <c r="CN297" s="239">
        <v>0</v>
      </c>
      <c r="CO297" s="239">
        <v>0</v>
      </c>
      <c r="CP297" s="239">
        <v>0</v>
      </c>
      <c r="CQ297" s="239">
        <v>0</v>
      </c>
      <c r="CR297" s="239">
        <v>0</v>
      </c>
      <c r="CS297" s="239">
        <v>0</v>
      </c>
      <c r="CT297" s="239">
        <v>0</v>
      </c>
      <c r="CU297" s="239">
        <v>0</v>
      </c>
      <c r="CV297" s="239">
        <v>451600.88852083334</v>
      </c>
      <c r="CW297" s="239">
        <v>0</v>
      </c>
      <c r="CX297" s="239">
        <v>9211.7437708333346</v>
      </c>
      <c r="CY297" s="239">
        <v>500523</v>
      </c>
      <c r="CZ297" s="239">
        <v>0</v>
      </c>
      <c r="DA297" s="239">
        <v>10211</v>
      </c>
      <c r="DB297" s="239">
        <v>-48922</v>
      </c>
      <c r="DC297" s="239">
        <v>0</v>
      </c>
      <c r="DD297" s="239">
        <v>-999</v>
      </c>
      <c r="DE297" s="214">
        <v>0.5</v>
      </c>
      <c r="DF297" s="214">
        <v>0.49</v>
      </c>
      <c r="DG297" s="214">
        <v>0</v>
      </c>
      <c r="DH297" s="214">
        <v>0.01</v>
      </c>
      <c r="DI297" s="214" t="s">
        <v>1296</v>
      </c>
    </row>
    <row r="298" spans="2:113" s="214" customFormat="1" x14ac:dyDescent="0.2">
      <c r="B298" s="610" t="s">
        <v>679</v>
      </c>
      <c r="C298" s="610" t="s">
        <v>678</v>
      </c>
      <c r="D298" s="239">
        <v>-314140</v>
      </c>
      <c r="E298" s="239">
        <v>0</v>
      </c>
      <c r="F298" s="239">
        <v>-314140</v>
      </c>
      <c r="G298" s="239">
        <v>0</v>
      </c>
      <c r="H298" s="239">
        <v>0</v>
      </c>
      <c r="I298" s="239">
        <v>0</v>
      </c>
      <c r="J298" s="239">
        <v>-314140</v>
      </c>
      <c r="K298" s="239">
        <v>0</v>
      </c>
      <c r="L298" s="239">
        <v>-314140</v>
      </c>
      <c r="M298" s="239">
        <v>290876</v>
      </c>
      <c r="N298" s="239">
        <v>290876</v>
      </c>
      <c r="O298" s="239">
        <v>0</v>
      </c>
      <c r="P298" s="239">
        <v>0</v>
      </c>
      <c r="Q298" s="239">
        <v>0</v>
      </c>
      <c r="R298" s="239">
        <v>0</v>
      </c>
      <c r="S298" s="239">
        <v>0</v>
      </c>
      <c r="T298" s="239">
        <v>0</v>
      </c>
      <c r="U298" s="239">
        <v>0</v>
      </c>
      <c r="V298" s="239">
        <v>0</v>
      </c>
      <c r="W298" s="239">
        <v>0</v>
      </c>
      <c r="X298" s="239">
        <v>0</v>
      </c>
      <c r="Y298" s="239">
        <v>0</v>
      </c>
      <c r="Z298" s="239">
        <v>0</v>
      </c>
      <c r="AA298" s="239">
        <v>0</v>
      </c>
      <c r="AB298" s="239">
        <v>0</v>
      </c>
      <c r="AC298" s="239">
        <v>0</v>
      </c>
      <c r="AD298" s="239">
        <v>0</v>
      </c>
      <c r="AE298" s="239">
        <v>0</v>
      </c>
      <c r="AF298" s="239">
        <v>0</v>
      </c>
      <c r="AG298" s="239">
        <v>0</v>
      </c>
      <c r="AH298" s="239">
        <v>0</v>
      </c>
      <c r="AI298" s="239">
        <v>0</v>
      </c>
      <c r="AJ298" s="239">
        <v>0</v>
      </c>
      <c r="AK298" s="239">
        <v>828535.68718749995</v>
      </c>
      <c r="AL298" s="239">
        <v>552357.12479166675</v>
      </c>
      <c r="AM298" s="239">
        <v>0</v>
      </c>
      <c r="AN298" s="239">
        <v>816288</v>
      </c>
      <c r="AO298" s="239">
        <v>544192</v>
      </c>
      <c r="AP298" s="239">
        <v>0</v>
      </c>
      <c r="AQ298" s="239">
        <v>12248</v>
      </c>
      <c r="AR298" s="239">
        <v>8165</v>
      </c>
      <c r="AS298" s="239">
        <v>0</v>
      </c>
      <c r="AT298" s="239">
        <v>539.04812500000003</v>
      </c>
      <c r="AU298" s="239">
        <v>359.3654166666667</v>
      </c>
      <c r="AV298" s="239">
        <v>0</v>
      </c>
      <c r="AW298" s="239">
        <v>436</v>
      </c>
      <c r="AX298" s="239">
        <v>292</v>
      </c>
      <c r="AY298" s="239">
        <v>0</v>
      </c>
      <c r="AZ298" s="239">
        <v>103</v>
      </c>
      <c r="BA298" s="239">
        <v>67</v>
      </c>
      <c r="BB298" s="239">
        <v>0</v>
      </c>
      <c r="BC298" s="239">
        <v>25246.993125000001</v>
      </c>
      <c r="BD298" s="239">
        <v>16831.328750000001</v>
      </c>
      <c r="BE298" s="239">
        <v>0</v>
      </c>
      <c r="BF298" s="239">
        <v>18262</v>
      </c>
      <c r="BG298" s="239">
        <v>12176</v>
      </c>
      <c r="BH298" s="239">
        <v>0</v>
      </c>
      <c r="BI298" s="239">
        <v>6985</v>
      </c>
      <c r="BJ298" s="239">
        <v>4655</v>
      </c>
      <c r="BK298" s="239">
        <v>0</v>
      </c>
      <c r="BL298" s="239">
        <v>1992.4387499999998</v>
      </c>
      <c r="BM298" s="239">
        <v>1328.2925</v>
      </c>
      <c r="BN298" s="239">
        <v>0</v>
      </c>
      <c r="BO298" s="239">
        <v>12176</v>
      </c>
      <c r="BP298" s="239">
        <v>8116</v>
      </c>
      <c r="BQ298" s="239">
        <v>0</v>
      </c>
      <c r="BR298" s="239">
        <v>-10184</v>
      </c>
      <c r="BS298" s="239">
        <v>-6788</v>
      </c>
      <c r="BT298" s="239">
        <v>0</v>
      </c>
      <c r="BU298" s="239">
        <v>574985.68124999991</v>
      </c>
      <c r="BV298" s="239">
        <v>383323.78750000003</v>
      </c>
      <c r="BW298" s="239">
        <v>0</v>
      </c>
      <c r="BX298" s="239">
        <v>608749</v>
      </c>
      <c r="BY298" s="239">
        <v>405834</v>
      </c>
      <c r="BZ298" s="239">
        <v>0</v>
      </c>
      <c r="CA298" s="239">
        <v>-33763</v>
      </c>
      <c r="CB298" s="239">
        <v>-22510</v>
      </c>
      <c r="CC298" s="239">
        <v>0</v>
      </c>
      <c r="CD298" s="239">
        <v>0</v>
      </c>
      <c r="CE298" s="239">
        <v>0</v>
      </c>
      <c r="CF298" s="239">
        <v>0</v>
      </c>
      <c r="CG298" s="239">
        <v>0</v>
      </c>
      <c r="CH298" s="239">
        <v>0</v>
      </c>
      <c r="CI298" s="239">
        <v>0</v>
      </c>
      <c r="CJ298" s="239">
        <v>0</v>
      </c>
      <c r="CK298" s="239">
        <v>0</v>
      </c>
      <c r="CL298" s="239">
        <v>0</v>
      </c>
      <c r="CM298" s="239">
        <v>3876.52</v>
      </c>
      <c r="CN298" s="239">
        <v>2584.3466666666668</v>
      </c>
      <c r="CO298" s="239">
        <v>0</v>
      </c>
      <c r="CP298" s="239">
        <v>0</v>
      </c>
      <c r="CQ298" s="239">
        <v>0</v>
      </c>
      <c r="CR298" s="239">
        <v>0</v>
      </c>
      <c r="CS298" s="239">
        <v>3877</v>
      </c>
      <c r="CT298" s="239">
        <v>2584</v>
      </c>
      <c r="CU298" s="239">
        <v>0</v>
      </c>
      <c r="CV298" s="239">
        <v>238204.00625000001</v>
      </c>
      <c r="CW298" s="239">
        <v>158802.67083333334</v>
      </c>
      <c r="CX298" s="239">
        <v>0</v>
      </c>
      <c r="CY298" s="239">
        <v>237206</v>
      </c>
      <c r="CZ298" s="239">
        <v>158137</v>
      </c>
      <c r="DA298" s="239">
        <v>0</v>
      </c>
      <c r="DB298" s="239">
        <v>998</v>
      </c>
      <c r="DC298" s="239">
        <v>666</v>
      </c>
      <c r="DD298" s="239">
        <v>0</v>
      </c>
      <c r="DE298" s="214">
        <v>0.5</v>
      </c>
      <c r="DF298" s="214">
        <v>0.3</v>
      </c>
      <c r="DG298" s="214">
        <v>0.2</v>
      </c>
      <c r="DH298" s="214">
        <v>0</v>
      </c>
      <c r="DI298" s="214" t="s">
        <v>1295</v>
      </c>
    </row>
    <row r="299" spans="2:113" s="214" customFormat="1" x14ac:dyDescent="0.2">
      <c r="B299" s="610" t="s">
        <v>681</v>
      </c>
      <c r="C299" s="610" t="s">
        <v>680</v>
      </c>
      <c r="D299" s="239">
        <v>-1633609</v>
      </c>
      <c r="E299" s="239">
        <v>0</v>
      </c>
      <c r="F299" s="239">
        <v>-1633609</v>
      </c>
      <c r="G299" s="239">
        <v>0</v>
      </c>
      <c r="H299" s="239">
        <v>0</v>
      </c>
      <c r="I299" s="239">
        <v>0</v>
      </c>
      <c r="J299" s="239">
        <v>-1633609</v>
      </c>
      <c r="K299" s="239">
        <v>0</v>
      </c>
      <c r="L299" s="239">
        <v>-1633609</v>
      </c>
      <c r="M299" s="239">
        <v>468827</v>
      </c>
      <c r="N299" s="239">
        <v>468827</v>
      </c>
      <c r="O299" s="239">
        <v>0</v>
      </c>
      <c r="P299" s="239">
        <v>0</v>
      </c>
      <c r="Q299" s="239">
        <v>0</v>
      </c>
      <c r="R299" s="239">
        <v>0</v>
      </c>
      <c r="S299" s="239">
        <v>0</v>
      </c>
      <c r="T299" s="239">
        <v>0</v>
      </c>
      <c r="U299" s="239">
        <v>0</v>
      </c>
      <c r="V299" s="239">
        <v>0</v>
      </c>
      <c r="W299" s="239">
        <v>0</v>
      </c>
      <c r="X299" s="239">
        <v>0</v>
      </c>
      <c r="Y299" s="239">
        <v>0</v>
      </c>
      <c r="Z299" s="239">
        <v>0</v>
      </c>
      <c r="AA299" s="239">
        <v>0</v>
      </c>
      <c r="AB299" s="239">
        <v>0</v>
      </c>
      <c r="AC299" s="239">
        <v>0</v>
      </c>
      <c r="AD299" s="239">
        <v>0</v>
      </c>
      <c r="AE299" s="239">
        <v>0</v>
      </c>
      <c r="AF299" s="239">
        <v>0</v>
      </c>
      <c r="AG299" s="239">
        <v>0</v>
      </c>
      <c r="AH299" s="239">
        <v>0</v>
      </c>
      <c r="AI299" s="239">
        <v>0</v>
      </c>
      <c r="AJ299" s="239">
        <v>0</v>
      </c>
      <c r="AK299" s="239">
        <v>625762.73624999996</v>
      </c>
      <c r="AL299" s="239">
        <v>417175.15750000003</v>
      </c>
      <c r="AM299" s="239">
        <v>0</v>
      </c>
      <c r="AN299" s="239">
        <v>568628</v>
      </c>
      <c r="AO299" s="239">
        <v>379086</v>
      </c>
      <c r="AP299" s="239">
        <v>0</v>
      </c>
      <c r="AQ299" s="239">
        <v>57135</v>
      </c>
      <c r="AR299" s="239">
        <v>38089</v>
      </c>
      <c r="AS299" s="239">
        <v>0</v>
      </c>
      <c r="AT299" s="239">
        <v>7701.2962499999994</v>
      </c>
      <c r="AU299" s="239">
        <v>5134.1975000000002</v>
      </c>
      <c r="AV299" s="239">
        <v>0</v>
      </c>
      <c r="AW299" s="239">
        <v>1907</v>
      </c>
      <c r="AX299" s="239">
        <v>1270</v>
      </c>
      <c r="AY299" s="239">
        <v>0</v>
      </c>
      <c r="AZ299" s="239">
        <v>5794</v>
      </c>
      <c r="BA299" s="239">
        <v>3864</v>
      </c>
      <c r="BB299" s="239">
        <v>0</v>
      </c>
      <c r="BC299" s="239">
        <v>2924.7393750000001</v>
      </c>
      <c r="BD299" s="239">
        <v>1949.8262500000001</v>
      </c>
      <c r="BE299" s="239">
        <v>0</v>
      </c>
      <c r="BF299" s="239">
        <v>0</v>
      </c>
      <c r="BG299" s="239">
        <v>0</v>
      </c>
      <c r="BH299" s="239">
        <v>0</v>
      </c>
      <c r="BI299" s="239">
        <v>2925</v>
      </c>
      <c r="BJ299" s="239">
        <v>1950</v>
      </c>
      <c r="BK299" s="239">
        <v>0</v>
      </c>
      <c r="BL299" s="239">
        <v>15302.14875</v>
      </c>
      <c r="BM299" s="239">
        <v>10201.432500000001</v>
      </c>
      <c r="BN299" s="239">
        <v>0</v>
      </c>
      <c r="BO299" s="239">
        <v>0</v>
      </c>
      <c r="BP299" s="239">
        <v>0</v>
      </c>
      <c r="BQ299" s="239">
        <v>0</v>
      </c>
      <c r="BR299" s="239">
        <v>15302</v>
      </c>
      <c r="BS299" s="239">
        <v>10201</v>
      </c>
      <c r="BT299" s="239">
        <v>0</v>
      </c>
      <c r="BU299" s="239">
        <v>827072.40437500004</v>
      </c>
      <c r="BV299" s="239">
        <v>551381.60291666677</v>
      </c>
      <c r="BW299" s="239">
        <v>0</v>
      </c>
      <c r="BX299" s="239">
        <v>715961</v>
      </c>
      <c r="BY299" s="239">
        <v>477308</v>
      </c>
      <c r="BZ299" s="239">
        <v>0</v>
      </c>
      <c r="CA299" s="239">
        <v>111111</v>
      </c>
      <c r="CB299" s="239">
        <v>74074</v>
      </c>
      <c r="CC299" s="239">
        <v>0</v>
      </c>
      <c r="CD299" s="239">
        <v>0</v>
      </c>
      <c r="CE299" s="239">
        <v>0</v>
      </c>
      <c r="CF299" s="239">
        <v>0</v>
      </c>
      <c r="CG299" s="239">
        <v>0</v>
      </c>
      <c r="CH299" s="239">
        <v>0</v>
      </c>
      <c r="CI299" s="239">
        <v>0</v>
      </c>
      <c r="CJ299" s="239">
        <v>0</v>
      </c>
      <c r="CK299" s="239">
        <v>0</v>
      </c>
      <c r="CL299" s="239">
        <v>0</v>
      </c>
      <c r="CM299" s="239">
        <v>13732.486875000001</v>
      </c>
      <c r="CN299" s="239">
        <v>9154.9912500000009</v>
      </c>
      <c r="CO299" s="239">
        <v>0</v>
      </c>
      <c r="CP299" s="239">
        <v>0</v>
      </c>
      <c r="CQ299" s="239">
        <v>0</v>
      </c>
      <c r="CR299" s="239">
        <v>0</v>
      </c>
      <c r="CS299" s="239">
        <v>13732</v>
      </c>
      <c r="CT299" s="239">
        <v>9155</v>
      </c>
      <c r="CU299" s="239">
        <v>0</v>
      </c>
      <c r="CV299" s="239">
        <v>414645.15312500001</v>
      </c>
      <c r="CW299" s="239">
        <v>276430.10208333336</v>
      </c>
      <c r="CX299" s="239">
        <v>0</v>
      </c>
      <c r="CY299" s="239">
        <v>452642</v>
      </c>
      <c r="CZ299" s="239">
        <v>301762</v>
      </c>
      <c r="DA299" s="239">
        <v>0</v>
      </c>
      <c r="DB299" s="239">
        <v>-37997</v>
      </c>
      <c r="DC299" s="239">
        <v>-25332</v>
      </c>
      <c r="DD299" s="239">
        <v>0</v>
      </c>
      <c r="DE299" s="214">
        <v>0.5</v>
      </c>
      <c r="DF299" s="214">
        <v>0.3</v>
      </c>
      <c r="DG299" s="214">
        <v>0.2</v>
      </c>
      <c r="DH299" s="214">
        <v>0</v>
      </c>
      <c r="DI299" s="214" t="s">
        <v>1297</v>
      </c>
    </row>
    <row r="300" spans="2:113" s="214" customFormat="1" x14ac:dyDescent="0.2">
      <c r="B300" s="610" t="s">
        <v>683</v>
      </c>
      <c r="C300" s="610" t="s">
        <v>682</v>
      </c>
      <c r="D300" s="239">
        <v>-816609</v>
      </c>
      <c r="E300" s="239">
        <v>0</v>
      </c>
      <c r="F300" s="239">
        <v>-816609</v>
      </c>
      <c r="G300" s="239">
        <v>0</v>
      </c>
      <c r="H300" s="239">
        <v>0</v>
      </c>
      <c r="I300" s="239">
        <v>0</v>
      </c>
      <c r="J300" s="239">
        <v>-816609</v>
      </c>
      <c r="K300" s="239">
        <v>0</v>
      </c>
      <c r="L300" s="239">
        <v>-816609</v>
      </c>
      <c r="M300" s="239">
        <v>307797</v>
      </c>
      <c r="N300" s="239">
        <v>307797</v>
      </c>
      <c r="O300" s="239">
        <v>0</v>
      </c>
      <c r="P300" s="239">
        <v>0</v>
      </c>
      <c r="Q300" s="239">
        <v>0</v>
      </c>
      <c r="R300" s="239">
        <v>0</v>
      </c>
      <c r="S300" s="239">
        <v>0</v>
      </c>
      <c r="T300" s="239">
        <v>0</v>
      </c>
      <c r="U300" s="239">
        <v>0</v>
      </c>
      <c r="V300" s="239">
        <v>0</v>
      </c>
      <c r="W300" s="239">
        <v>0</v>
      </c>
      <c r="X300" s="239">
        <v>0</v>
      </c>
      <c r="Y300" s="239">
        <v>0</v>
      </c>
      <c r="Z300" s="239">
        <v>0</v>
      </c>
      <c r="AA300" s="239">
        <v>0</v>
      </c>
      <c r="AB300" s="239">
        <v>0</v>
      </c>
      <c r="AC300" s="239">
        <v>0</v>
      </c>
      <c r="AD300" s="239">
        <v>0</v>
      </c>
      <c r="AE300" s="239">
        <v>0</v>
      </c>
      <c r="AF300" s="239">
        <v>0</v>
      </c>
      <c r="AG300" s="239">
        <v>0</v>
      </c>
      <c r="AH300" s="239">
        <v>0</v>
      </c>
      <c r="AI300" s="239">
        <v>0</v>
      </c>
      <c r="AJ300" s="239">
        <v>0</v>
      </c>
      <c r="AK300" s="239">
        <v>791952.81535416667</v>
      </c>
      <c r="AL300" s="239">
        <v>0</v>
      </c>
      <c r="AM300" s="239">
        <v>16162.302354166666</v>
      </c>
      <c r="AN300" s="239">
        <v>731166</v>
      </c>
      <c r="AO300" s="239">
        <v>0</v>
      </c>
      <c r="AP300" s="239">
        <v>14922</v>
      </c>
      <c r="AQ300" s="239">
        <v>60787</v>
      </c>
      <c r="AR300" s="239">
        <v>0</v>
      </c>
      <c r="AS300" s="239">
        <v>1240</v>
      </c>
      <c r="AT300" s="239">
        <v>0</v>
      </c>
      <c r="AU300" s="239">
        <v>0</v>
      </c>
      <c r="AV300" s="239">
        <v>0</v>
      </c>
      <c r="AW300" s="239">
        <v>0</v>
      </c>
      <c r="AX300" s="239">
        <v>0</v>
      </c>
      <c r="AY300" s="239">
        <v>0</v>
      </c>
      <c r="AZ300" s="239">
        <v>0</v>
      </c>
      <c r="BA300" s="239">
        <v>0</v>
      </c>
      <c r="BB300" s="239">
        <v>0</v>
      </c>
      <c r="BC300" s="239">
        <v>26179.699583333335</v>
      </c>
      <c r="BD300" s="239">
        <v>0</v>
      </c>
      <c r="BE300" s="239">
        <v>534.27958333333345</v>
      </c>
      <c r="BF300" s="239">
        <v>0</v>
      </c>
      <c r="BG300" s="239">
        <v>0</v>
      </c>
      <c r="BH300" s="239">
        <v>0</v>
      </c>
      <c r="BI300" s="239">
        <v>26180</v>
      </c>
      <c r="BJ300" s="239">
        <v>0</v>
      </c>
      <c r="BK300" s="239">
        <v>534</v>
      </c>
      <c r="BL300" s="239">
        <v>15246.468416666667</v>
      </c>
      <c r="BM300" s="239">
        <v>0</v>
      </c>
      <c r="BN300" s="239">
        <v>311.15241666666668</v>
      </c>
      <c r="BO300" s="239">
        <v>0</v>
      </c>
      <c r="BP300" s="239">
        <v>0</v>
      </c>
      <c r="BQ300" s="239">
        <v>0</v>
      </c>
      <c r="BR300" s="239">
        <v>15246</v>
      </c>
      <c r="BS300" s="239">
        <v>0</v>
      </c>
      <c r="BT300" s="239">
        <v>311</v>
      </c>
      <c r="BU300" s="239">
        <v>413995.7069791666</v>
      </c>
      <c r="BV300" s="239">
        <v>0</v>
      </c>
      <c r="BW300" s="239">
        <v>8448.8919791666667</v>
      </c>
      <c r="BX300" s="239">
        <v>425604</v>
      </c>
      <c r="BY300" s="239">
        <v>0</v>
      </c>
      <c r="BZ300" s="239">
        <v>8686</v>
      </c>
      <c r="CA300" s="239">
        <v>-11608</v>
      </c>
      <c r="CB300" s="239">
        <v>0</v>
      </c>
      <c r="CC300" s="239">
        <v>-237</v>
      </c>
      <c r="CD300" s="239">
        <v>622.92372916666659</v>
      </c>
      <c r="CE300" s="239">
        <v>0</v>
      </c>
      <c r="CF300" s="239">
        <v>12.712729166666666</v>
      </c>
      <c r="CG300" s="239">
        <v>40503</v>
      </c>
      <c r="CH300" s="239">
        <v>0</v>
      </c>
      <c r="CI300" s="239">
        <v>0</v>
      </c>
      <c r="CJ300" s="239">
        <v>-39880</v>
      </c>
      <c r="CK300" s="239">
        <v>0</v>
      </c>
      <c r="CL300" s="239">
        <v>13</v>
      </c>
      <c r="CM300" s="239">
        <v>6089.0421666666662</v>
      </c>
      <c r="CN300" s="239">
        <v>0</v>
      </c>
      <c r="CO300" s="239">
        <v>124.26616666666668</v>
      </c>
      <c r="CP300" s="239">
        <v>0</v>
      </c>
      <c r="CQ300" s="239">
        <v>0</v>
      </c>
      <c r="CR300" s="239">
        <v>0</v>
      </c>
      <c r="CS300" s="239">
        <v>6089</v>
      </c>
      <c r="CT300" s="239">
        <v>0</v>
      </c>
      <c r="CU300" s="239">
        <v>124</v>
      </c>
      <c r="CV300" s="239">
        <v>768700.41558333335</v>
      </c>
      <c r="CW300" s="239">
        <v>0</v>
      </c>
      <c r="CX300" s="239">
        <v>15687.763583333335</v>
      </c>
      <c r="CY300" s="239">
        <v>803560</v>
      </c>
      <c r="CZ300" s="239">
        <v>0</v>
      </c>
      <c r="DA300" s="239">
        <v>16399</v>
      </c>
      <c r="DB300" s="239">
        <v>-34860</v>
      </c>
      <c r="DC300" s="239">
        <v>0</v>
      </c>
      <c r="DD300" s="239">
        <v>-711</v>
      </c>
      <c r="DE300" s="214">
        <v>0.5</v>
      </c>
      <c r="DF300" s="214">
        <v>0.49</v>
      </c>
      <c r="DG300" s="214">
        <v>0</v>
      </c>
      <c r="DH300" s="214">
        <v>0.01</v>
      </c>
      <c r="DI300" s="214" t="s">
        <v>748</v>
      </c>
    </row>
    <row r="301" spans="2:113" s="214" customFormat="1" x14ac:dyDescent="0.2">
      <c r="B301" s="610" t="s">
        <v>685</v>
      </c>
      <c r="C301" s="610" t="s">
        <v>684</v>
      </c>
      <c r="D301" s="239">
        <v>-465325</v>
      </c>
      <c r="E301" s="239">
        <v>0</v>
      </c>
      <c r="F301" s="239">
        <v>-465325</v>
      </c>
      <c r="G301" s="239">
        <v>0</v>
      </c>
      <c r="H301" s="239">
        <v>0</v>
      </c>
      <c r="I301" s="239">
        <v>0</v>
      </c>
      <c r="J301" s="239">
        <v>-465325</v>
      </c>
      <c r="K301" s="239">
        <v>0</v>
      </c>
      <c r="L301" s="239">
        <v>-465325</v>
      </c>
      <c r="M301" s="239">
        <v>214945</v>
      </c>
      <c r="N301" s="239">
        <v>214945</v>
      </c>
      <c r="O301" s="239">
        <v>0</v>
      </c>
      <c r="P301" s="239">
        <v>0</v>
      </c>
      <c r="Q301" s="239">
        <v>0</v>
      </c>
      <c r="R301" s="239">
        <v>0</v>
      </c>
      <c r="S301" s="239">
        <v>14913</v>
      </c>
      <c r="T301" s="239">
        <v>0</v>
      </c>
      <c r="U301" s="239">
        <v>0</v>
      </c>
      <c r="V301" s="239">
        <v>0</v>
      </c>
      <c r="W301" s="239">
        <v>14913</v>
      </c>
      <c r="X301" s="239">
        <v>0</v>
      </c>
      <c r="Y301" s="239">
        <v>0</v>
      </c>
      <c r="Z301" s="239">
        <v>0</v>
      </c>
      <c r="AA301" s="239">
        <v>0</v>
      </c>
      <c r="AB301" s="239">
        <v>0</v>
      </c>
      <c r="AC301" s="239">
        <v>0</v>
      </c>
      <c r="AD301" s="239">
        <v>0</v>
      </c>
      <c r="AE301" s="239">
        <v>0</v>
      </c>
      <c r="AF301" s="239">
        <v>0</v>
      </c>
      <c r="AG301" s="239">
        <v>0</v>
      </c>
      <c r="AH301" s="239">
        <v>0</v>
      </c>
      <c r="AI301" s="239">
        <v>0</v>
      </c>
      <c r="AJ301" s="239">
        <v>0</v>
      </c>
      <c r="AK301" s="239">
        <v>610450.03583333339</v>
      </c>
      <c r="AL301" s="239">
        <v>152612.50895833335</v>
      </c>
      <c r="AM301" s="239">
        <v>0</v>
      </c>
      <c r="AN301" s="239">
        <v>447695</v>
      </c>
      <c r="AO301" s="239">
        <v>111924</v>
      </c>
      <c r="AP301" s="239">
        <v>0</v>
      </c>
      <c r="AQ301" s="239">
        <v>162755</v>
      </c>
      <c r="AR301" s="239">
        <v>40689</v>
      </c>
      <c r="AS301" s="239">
        <v>0</v>
      </c>
      <c r="AT301" s="239">
        <v>12175.000000000002</v>
      </c>
      <c r="AU301" s="239">
        <v>3043.7500000000005</v>
      </c>
      <c r="AV301" s="239">
        <v>0</v>
      </c>
      <c r="AW301" s="239">
        <v>6087</v>
      </c>
      <c r="AX301" s="239">
        <v>1522</v>
      </c>
      <c r="AY301" s="239">
        <v>0</v>
      </c>
      <c r="AZ301" s="239">
        <v>6088</v>
      </c>
      <c r="BA301" s="239">
        <v>1522</v>
      </c>
      <c r="BB301" s="239">
        <v>0</v>
      </c>
      <c r="BC301" s="239">
        <v>0</v>
      </c>
      <c r="BD301" s="239">
        <v>0</v>
      </c>
      <c r="BE301" s="239">
        <v>0</v>
      </c>
      <c r="BF301" s="239">
        <v>0</v>
      </c>
      <c r="BG301" s="239">
        <v>0</v>
      </c>
      <c r="BH301" s="239">
        <v>0</v>
      </c>
      <c r="BI301" s="239">
        <v>0</v>
      </c>
      <c r="BJ301" s="239">
        <v>0</v>
      </c>
      <c r="BK301" s="239">
        <v>0</v>
      </c>
      <c r="BL301" s="239">
        <v>22977.065833333334</v>
      </c>
      <c r="BM301" s="239">
        <v>5744.2664583333335</v>
      </c>
      <c r="BN301" s="239">
        <v>0</v>
      </c>
      <c r="BO301" s="239">
        <v>28408</v>
      </c>
      <c r="BP301" s="239">
        <v>7102</v>
      </c>
      <c r="BQ301" s="239">
        <v>0</v>
      </c>
      <c r="BR301" s="239">
        <v>-5431</v>
      </c>
      <c r="BS301" s="239">
        <v>-1358</v>
      </c>
      <c r="BT301" s="239">
        <v>0</v>
      </c>
      <c r="BU301" s="239">
        <v>369738.11083333334</v>
      </c>
      <c r="BV301" s="239">
        <v>92434.527708333335</v>
      </c>
      <c r="BW301" s="239">
        <v>0</v>
      </c>
      <c r="BX301" s="239">
        <v>405834</v>
      </c>
      <c r="BY301" s="239">
        <v>101458</v>
      </c>
      <c r="BZ301" s="239">
        <v>0</v>
      </c>
      <c r="CA301" s="239">
        <v>-36096</v>
      </c>
      <c r="CB301" s="239">
        <v>-9023</v>
      </c>
      <c r="CC301" s="239">
        <v>0</v>
      </c>
      <c r="CD301" s="239">
        <v>0</v>
      </c>
      <c r="CE301" s="239">
        <v>0</v>
      </c>
      <c r="CF301" s="239">
        <v>0</v>
      </c>
      <c r="CG301" s="239">
        <v>0</v>
      </c>
      <c r="CH301" s="239">
        <v>0</v>
      </c>
      <c r="CI301" s="239">
        <v>0</v>
      </c>
      <c r="CJ301" s="239">
        <v>0</v>
      </c>
      <c r="CK301" s="239">
        <v>0</v>
      </c>
      <c r="CL301" s="239">
        <v>0</v>
      </c>
      <c r="CM301" s="239">
        <v>4167.5025000000005</v>
      </c>
      <c r="CN301" s="239">
        <v>1041.8756250000001</v>
      </c>
      <c r="CO301" s="239">
        <v>0</v>
      </c>
      <c r="CP301" s="239">
        <v>0</v>
      </c>
      <c r="CQ301" s="239">
        <v>0</v>
      </c>
      <c r="CR301" s="239">
        <v>0</v>
      </c>
      <c r="CS301" s="239">
        <v>4168</v>
      </c>
      <c r="CT301" s="239">
        <v>1042</v>
      </c>
      <c r="CU301" s="239">
        <v>0</v>
      </c>
      <c r="CV301" s="239">
        <v>383737.93791666668</v>
      </c>
      <c r="CW301" s="239">
        <v>95880.114166666681</v>
      </c>
      <c r="CX301" s="239">
        <v>0</v>
      </c>
      <c r="CY301" s="239">
        <v>399280</v>
      </c>
      <c r="CZ301" s="239">
        <v>99820</v>
      </c>
      <c r="DA301" s="239">
        <v>0</v>
      </c>
      <c r="DB301" s="239">
        <v>-15542</v>
      </c>
      <c r="DC301" s="239">
        <v>-3940</v>
      </c>
      <c r="DD301" s="239">
        <v>0</v>
      </c>
      <c r="DE301" s="214">
        <v>0.5</v>
      </c>
      <c r="DF301" s="214">
        <v>0.4</v>
      </c>
      <c r="DG301" s="214">
        <v>0.1</v>
      </c>
      <c r="DH301" s="214">
        <v>0</v>
      </c>
      <c r="DI301" s="214" t="s">
        <v>1294</v>
      </c>
    </row>
    <row r="302" spans="2:113" s="214" customFormat="1" x14ac:dyDescent="0.2">
      <c r="B302" s="610" t="s">
        <v>687</v>
      </c>
      <c r="C302" s="610" t="s">
        <v>686</v>
      </c>
      <c r="D302" s="239">
        <v>-241191</v>
      </c>
      <c r="E302" s="239">
        <v>0</v>
      </c>
      <c r="F302" s="239">
        <v>-241191</v>
      </c>
      <c r="G302" s="239">
        <v>0</v>
      </c>
      <c r="H302" s="239">
        <v>0</v>
      </c>
      <c r="I302" s="239">
        <v>0</v>
      </c>
      <c r="J302" s="239">
        <v>-241191</v>
      </c>
      <c r="K302" s="239">
        <v>0</v>
      </c>
      <c r="L302" s="239">
        <v>-241191</v>
      </c>
      <c r="M302" s="239">
        <v>171837</v>
      </c>
      <c r="N302" s="239">
        <v>171837</v>
      </c>
      <c r="O302" s="239">
        <v>0</v>
      </c>
      <c r="P302" s="239">
        <v>0</v>
      </c>
      <c r="Q302" s="239">
        <v>0</v>
      </c>
      <c r="R302" s="239">
        <v>0</v>
      </c>
      <c r="S302" s="239">
        <v>0</v>
      </c>
      <c r="T302" s="239">
        <v>0</v>
      </c>
      <c r="U302" s="239">
        <v>0</v>
      </c>
      <c r="V302" s="239">
        <v>0</v>
      </c>
      <c r="W302" s="239">
        <v>0</v>
      </c>
      <c r="X302" s="239">
        <v>0</v>
      </c>
      <c r="Y302" s="239">
        <v>0</v>
      </c>
      <c r="Z302" s="239">
        <v>0</v>
      </c>
      <c r="AA302" s="239">
        <v>0</v>
      </c>
      <c r="AB302" s="239">
        <v>0</v>
      </c>
      <c r="AC302" s="239">
        <v>0</v>
      </c>
      <c r="AD302" s="239">
        <v>0</v>
      </c>
      <c r="AE302" s="239">
        <v>0</v>
      </c>
      <c r="AF302" s="239">
        <v>0</v>
      </c>
      <c r="AG302" s="239">
        <v>0</v>
      </c>
      <c r="AH302" s="239">
        <v>0</v>
      </c>
      <c r="AI302" s="239">
        <v>0</v>
      </c>
      <c r="AJ302" s="239">
        <v>0</v>
      </c>
      <c r="AK302" s="239">
        <v>295107.18708333332</v>
      </c>
      <c r="AL302" s="239">
        <v>73776.796770833331</v>
      </c>
      <c r="AM302" s="239">
        <v>0</v>
      </c>
      <c r="AN302" s="239">
        <v>265270</v>
      </c>
      <c r="AO302" s="239">
        <v>66318</v>
      </c>
      <c r="AP302" s="239">
        <v>0</v>
      </c>
      <c r="AQ302" s="239">
        <v>29837</v>
      </c>
      <c r="AR302" s="239">
        <v>7459</v>
      </c>
      <c r="AS302" s="239">
        <v>0</v>
      </c>
      <c r="AT302" s="239">
        <v>972.37666666666667</v>
      </c>
      <c r="AU302" s="239">
        <v>243.09416666666667</v>
      </c>
      <c r="AV302" s="239">
        <v>0</v>
      </c>
      <c r="AW302" s="239">
        <v>0</v>
      </c>
      <c r="AX302" s="239">
        <v>0</v>
      </c>
      <c r="AY302" s="239">
        <v>0</v>
      </c>
      <c r="AZ302" s="239">
        <v>972</v>
      </c>
      <c r="BA302" s="239">
        <v>243</v>
      </c>
      <c r="BB302" s="239">
        <v>0</v>
      </c>
      <c r="BC302" s="239">
        <v>0</v>
      </c>
      <c r="BD302" s="239">
        <v>0</v>
      </c>
      <c r="BE302" s="239">
        <v>0</v>
      </c>
      <c r="BF302" s="239">
        <v>0</v>
      </c>
      <c r="BG302" s="239">
        <v>0</v>
      </c>
      <c r="BH302" s="239">
        <v>0</v>
      </c>
      <c r="BI302" s="239">
        <v>0</v>
      </c>
      <c r="BJ302" s="239">
        <v>0</v>
      </c>
      <c r="BK302" s="239">
        <v>0</v>
      </c>
      <c r="BL302" s="239">
        <v>15973.194166666666</v>
      </c>
      <c r="BM302" s="239">
        <v>3993.2985416666666</v>
      </c>
      <c r="BN302" s="239">
        <v>0</v>
      </c>
      <c r="BO302" s="239">
        <v>95372</v>
      </c>
      <c r="BP302" s="239">
        <v>23842</v>
      </c>
      <c r="BQ302" s="239">
        <v>0</v>
      </c>
      <c r="BR302" s="239">
        <v>-79399</v>
      </c>
      <c r="BS302" s="239">
        <v>-19849</v>
      </c>
      <c r="BT302" s="239">
        <v>0</v>
      </c>
      <c r="BU302" s="239">
        <v>282968.10333333333</v>
      </c>
      <c r="BV302" s="239">
        <v>70742.025833333333</v>
      </c>
      <c r="BW302" s="239">
        <v>0</v>
      </c>
      <c r="BX302" s="239">
        <v>366468</v>
      </c>
      <c r="BY302" s="239">
        <v>91616</v>
      </c>
      <c r="BZ302" s="239">
        <v>0</v>
      </c>
      <c r="CA302" s="239">
        <v>-83500</v>
      </c>
      <c r="CB302" s="239">
        <v>-20874</v>
      </c>
      <c r="CC302" s="239">
        <v>0</v>
      </c>
      <c r="CD302" s="239">
        <v>0</v>
      </c>
      <c r="CE302" s="239">
        <v>0</v>
      </c>
      <c r="CF302" s="239">
        <v>0</v>
      </c>
      <c r="CG302" s="239">
        <v>0</v>
      </c>
      <c r="CH302" s="239">
        <v>0</v>
      </c>
      <c r="CI302" s="239">
        <v>0</v>
      </c>
      <c r="CJ302" s="239">
        <v>0</v>
      </c>
      <c r="CK302" s="239">
        <v>0</v>
      </c>
      <c r="CL302" s="239">
        <v>0</v>
      </c>
      <c r="CM302" s="239">
        <v>5492.1425000000008</v>
      </c>
      <c r="CN302" s="239">
        <v>1373.0356250000002</v>
      </c>
      <c r="CO302" s="239">
        <v>0</v>
      </c>
      <c r="CP302" s="239">
        <v>0</v>
      </c>
      <c r="CQ302" s="239">
        <v>0</v>
      </c>
      <c r="CR302" s="239">
        <v>0</v>
      </c>
      <c r="CS302" s="239">
        <v>5492</v>
      </c>
      <c r="CT302" s="239">
        <v>1373</v>
      </c>
      <c r="CU302" s="239">
        <v>0</v>
      </c>
      <c r="CV302" s="239">
        <v>346670.43833333341</v>
      </c>
      <c r="CW302" s="239">
        <v>86667.609583333353</v>
      </c>
      <c r="CX302" s="239">
        <v>0</v>
      </c>
      <c r="CY302" s="239">
        <v>390713</v>
      </c>
      <c r="CZ302" s="239">
        <v>97678</v>
      </c>
      <c r="DA302" s="239">
        <v>0</v>
      </c>
      <c r="DB302" s="239">
        <v>-44043</v>
      </c>
      <c r="DC302" s="239">
        <v>-11010</v>
      </c>
      <c r="DD302" s="239">
        <v>0</v>
      </c>
      <c r="DE302" s="214">
        <v>0.5</v>
      </c>
      <c r="DF302" s="214">
        <v>0.4</v>
      </c>
      <c r="DG302" s="214">
        <v>0.1</v>
      </c>
      <c r="DH302" s="214">
        <v>0</v>
      </c>
      <c r="DI302" s="214" t="s">
        <v>1294</v>
      </c>
    </row>
    <row r="303" spans="2:113" s="214" customFormat="1" x14ac:dyDescent="0.2">
      <c r="B303" s="610" t="s">
        <v>689</v>
      </c>
      <c r="C303" s="610" t="s">
        <v>688</v>
      </c>
      <c r="D303" s="239">
        <v>-271474</v>
      </c>
      <c r="E303" s="239">
        <v>0</v>
      </c>
      <c r="F303" s="239">
        <v>-271474</v>
      </c>
      <c r="G303" s="239">
        <v>0</v>
      </c>
      <c r="H303" s="239">
        <v>0</v>
      </c>
      <c r="I303" s="239">
        <v>0</v>
      </c>
      <c r="J303" s="239">
        <v>-271474</v>
      </c>
      <c r="K303" s="239">
        <v>0</v>
      </c>
      <c r="L303" s="239">
        <v>-271474</v>
      </c>
      <c r="M303" s="239">
        <v>203983</v>
      </c>
      <c r="N303" s="239">
        <v>203983</v>
      </c>
      <c r="O303" s="239">
        <v>0</v>
      </c>
      <c r="P303" s="239">
        <v>213114</v>
      </c>
      <c r="Q303" s="239">
        <v>33247</v>
      </c>
      <c r="R303" s="239">
        <v>179867</v>
      </c>
      <c r="S303" s="239">
        <v>125527</v>
      </c>
      <c r="T303" s="239">
        <v>0</v>
      </c>
      <c r="U303" s="239">
        <v>0</v>
      </c>
      <c r="V303" s="239">
        <v>0</v>
      </c>
      <c r="W303" s="239">
        <v>125527</v>
      </c>
      <c r="X303" s="239">
        <v>0</v>
      </c>
      <c r="Y303" s="239">
        <v>139126.76875000002</v>
      </c>
      <c r="Z303" s="239">
        <v>139126.76875000002</v>
      </c>
      <c r="AA303" s="239">
        <v>0</v>
      </c>
      <c r="AB303" s="239">
        <v>0</v>
      </c>
      <c r="AC303" s="239">
        <v>82624</v>
      </c>
      <c r="AD303" s="239">
        <v>82624</v>
      </c>
      <c r="AE303" s="239">
        <v>0</v>
      </c>
      <c r="AF303" s="239">
        <v>0</v>
      </c>
      <c r="AG303" s="239">
        <v>56503</v>
      </c>
      <c r="AH303" s="239">
        <v>56503</v>
      </c>
      <c r="AI303" s="239">
        <v>0</v>
      </c>
      <c r="AJ303" s="239">
        <v>0</v>
      </c>
      <c r="AK303" s="239">
        <v>697229.37750000006</v>
      </c>
      <c r="AL303" s="239">
        <v>174307.34437500002</v>
      </c>
      <c r="AM303" s="239">
        <v>0</v>
      </c>
      <c r="AN303" s="239">
        <v>639267</v>
      </c>
      <c r="AO303" s="239">
        <v>159816</v>
      </c>
      <c r="AP303" s="239">
        <v>0</v>
      </c>
      <c r="AQ303" s="239">
        <v>57962</v>
      </c>
      <c r="AR303" s="239">
        <v>14491</v>
      </c>
      <c r="AS303" s="239">
        <v>0</v>
      </c>
      <c r="AT303" s="239">
        <v>166.79750000000001</v>
      </c>
      <c r="AU303" s="239">
        <v>41.699375000000003</v>
      </c>
      <c r="AV303" s="239">
        <v>0</v>
      </c>
      <c r="AW303" s="239">
        <v>0</v>
      </c>
      <c r="AX303" s="239">
        <v>0</v>
      </c>
      <c r="AY303" s="239">
        <v>0</v>
      </c>
      <c r="AZ303" s="239">
        <v>167</v>
      </c>
      <c r="BA303" s="239">
        <v>42</v>
      </c>
      <c r="BB303" s="239">
        <v>0</v>
      </c>
      <c r="BC303" s="239">
        <v>356.11874999999998</v>
      </c>
      <c r="BD303" s="239">
        <v>0</v>
      </c>
      <c r="BE303" s="239">
        <v>0</v>
      </c>
      <c r="BF303" s="239">
        <v>0</v>
      </c>
      <c r="BG303" s="239">
        <v>0</v>
      </c>
      <c r="BH303" s="239">
        <v>0</v>
      </c>
      <c r="BI303" s="239">
        <v>356</v>
      </c>
      <c r="BJ303" s="239">
        <v>0</v>
      </c>
      <c r="BK303" s="239">
        <v>0</v>
      </c>
      <c r="BL303" s="239">
        <v>4578.2058333333334</v>
      </c>
      <c r="BM303" s="239">
        <v>1144.5514583333334</v>
      </c>
      <c r="BN303" s="239">
        <v>0</v>
      </c>
      <c r="BO303" s="239">
        <v>0</v>
      </c>
      <c r="BP303" s="239">
        <v>0</v>
      </c>
      <c r="BQ303" s="239">
        <v>0</v>
      </c>
      <c r="BR303" s="239">
        <v>4578</v>
      </c>
      <c r="BS303" s="239">
        <v>1145</v>
      </c>
      <c r="BT303" s="239">
        <v>0</v>
      </c>
      <c r="BU303" s="239">
        <v>268757.44333333336</v>
      </c>
      <c r="BV303" s="239">
        <v>67189.36083333334</v>
      </c>
      <c r="BW303" s="239">
        <v>0</v>
      </c>
      <c r="BX303" s="239">
        <v>275403</v>
      </c>
      <c r="BY303" s="239">
        <v>68852</v>
      </c>
      <c r="BZ303" s="239">
        <v>0</v>
      </c>
      <c r="CA303" s="239">
        <v>-6646</v>
      </c>
      <c r="CB303" s="239">
        <v>-1663</v>
      </c>
      <c r="CC303" s="239">
        <v>0</v>
      </c>
      <c r="CD303" s="239">
        <v>13.392500000000002</v>
      </c>
      <c r="CE303" s="239">
        <v>3.3481250000000005</v>
      </c>
      <c r="CF303" s="239">
        <v>0</v>
      </c>
      <c r="CG303" s="239">
        <v>0</v>
      </c>
      <c r="CH303" s="239">
        <v>0</v>
      </c>
      <c r="CI303" s="239">
        <v>0</v>
      </c>
      <c r="CJ303" s="239">
        <v>13</v>
      </c>
      <c r="CK303" s="239">
        <v>3</v>
      </c>
      <c r="CL303" s="239">
        <v>0</v>
      </c>
      <c r="CM303" s="239">
        <v>1749.1416666666669</v>
      </c>
      <c r="CN303" s="239">
        <v>437.28541666666672</v>
      </c>
      <c r="CO303" s="239">
        <v>0</v>
      </c>
      <c r="CP303" s="239">
        <v>0</v>
      </c>
      <c r="CQ303" s="239">
        <v>0</v>
      </c>
      <c r="CR303" s="239">
        <v>0</v>
      </c>
      <c r="CS303" s="239">
        <v>1749</v>
      </c>
      <c r="CT303" s="239">
        <v>437</v>
      </c>
      <c r="CU303" s="239">
        <v>0</v>
      </c>
      <c r="CV303" s="239">
        <v>144864.32625000001</v>
      </c>
      <c r="CW303" s="239">
        <v>34981.452916666669</v>
      </c>
      <c r="CX303" s="239">
        <v>0</v>
      </c>
      <c r="CY303" s="239">
        <v>155287</v>
      </c>
      <c r="CZ303" s="239">
        <v>38399</v>
      </c>
      <c r="DA303" s="239">
        <v>0</v>
      </c>
      <c r="DB303" s="239">
        <v>-10423</v>
      </c>
      <c r="DC303" s="239">
        <v>-3418</v>
      </c>
      <c r="DD303" s="239">
        <v>0</v>
      </c>
      <c r="DE303" s="214">
        <v>0.5</v>
      </c>
      <c r="DF303" s="214">
        <v>0.4</v>
      </c>
      <c r="DG303" s="214">
        <v>0.1</v>
      </c>
      <c r="DH303" s="214">
        <v>0</v>
      </c>
      <c r="DI303" s="214" t="s">
        <v>1294</v>
      </c>
    </row>
    <row r="304" spans="2:113" s="214" customFormat="1" x14ac:dyDescent="0.2">
      <c r="B304" s="610" t="s">
        <v>691</v>
      </c>
      <c r="C304" s="610" t="s">
        <v>690</v>
      </c>
      <c r="D304" s="239">
        <v>11012</v>
      </c>
      <c r="E304" s="239">
        <v>0</v>
      </c>
      <c r="F304" s="239">
        <v>11012</v>
      </c>
      <c r="G304" s="239">
        <v>0</v>
      </c>
      <c r="H304" s="239">
        <v>0</v>
      </c>
      <c r="I304" s="239">
        <v>0</v>
      </c>
      <c r="J304" s="239">
        <v>11012</v>
      </c>
      <c r="K304" s="239">
        <v>0</v>
      </c>
      <c r="L304" s="239">
        <v>11012</v>
      </c>
      <c r="M304" s="239">
        <v>180761</v>
      </c>
      <c r="N304" s="239">
        <v>180761</v>
      </c>
      <c r="O304" s="239">
        <v>0</v>
      </c>
      <c r="P304" s="239">
        <v>0</v>
      </c>
      <c r="Q304" s="239">
        <v>0</v>
      </c>
      <c r="R304" s="239">
        <v>0</v>
      </c>
      <c r="S304" s="239">
        <v>0</v>
      </c>
      <c r="T304" s="239">
        <v>0</v>
      </c>
      <c r="U304" s="239">
        <v>0</v>
      </c>
      <c r="V304" s="239">
        <v>0</v>
      </c>
      <c r="W304" s="239">
        <v>0</v>
      </c>
      <c r="X304" s="239">
        <v>0</v>
      </c>
      <c r="Y304" s="239">
        <v>0</v>
      </c>
      <c r="Z304" s="239">
        <v>0</v>
      </c>
      <c r="AA304" s="239">
        <v>0</v>
      </c>
      <c r="AB304" s="239">
        <v>0</v>
      </c>
      <c r="AC304" s="239">
        <v>0</v>
      </c>
      <c r="AD304" s="239">
        <v>0</v>
      </c>
      <c r="AE304" s="239">
        <v>0</v>
      </c>
      <c r="AF304" s="239">
        <v>0</v>
      </c>
      <c r="AG304" s="239">
        <v>0</v>
      </c>
      <c r="AH304" s="239">
        <v>0</v>
      </c>
      <c r="AI304" s="239">
        <v>0</v>
      </c>
      <c r="AJ304" s="239">
        <v>0</v>
      </c>
      <c r="AK304" s="239">
        <v>472436.87375000003</v>
      </c>
      <c r="AL304" s="239">
        <v>118109.21843750001</v>
      </c>
      <c r="AM304" s="239">
        <v>0</v>
      </c>
      <c r="AN304" s="239">
        <v>432796</v>
      </c>
      <c r="AO304" s="239">
        <v>108200</v>
      </c>
      <c r="AP304" s="239">
        <v>0</v>
      </c>
      <c r="AQ304" s="239">
        <v>39641</v>
      </c>
      <c r="AR304" s="239">
        <v>9909</v>
      </c>
      <c r="AS304" s="239">
        <v>0</v>
      </c>
      <c r="AT304" s="239">
        <v>6392.6866666666674</v>
      </c>
      <c r="AU304" s="239">
        <v>1598.1716666666669</v>
      </c>
      <c r="AV304" s="239">
        <v>0</v>
      </c>
      <c r="AW304" s="239">
        <v>8116</v>
      </c>
      <c r="AX304" s="239">
        <v>2030</v>
      </c>
      <c r="AY304" s="239">
        <v>0</v>
      </c>
      <c r="AZ304" s="239">
        <v>-1723</v>
      </c>
      <c r="BA304" s="239">
        <v>-432</v>
      </c>
      <c r="BB304" s="239">
        <v>0</v>
      </c>
      <c r="BC304" s="239">
        <v>8129.2475000000013</v>
      </c>
      <c r="BD304" s="239">
        <v>2032.3118750000003</v>
      </c>
      <c r="BE304" s="239">
        <v>0</v>
      </c>
      <c r="BF304" s="239">
        <v>9914</v>
      </c>
      <c r="BG304" s="239">
        <v>2478</v>
      </c>
      <c r="BH304" s="239">
        <v>0</v>
      </c>
      <c r="BI304" s="239">
        <v>-1785</v>
      </c>
      <c r="BJ304" s="239">
        <v>-446</v>
      </c>
      <c r="BK304" s="239">
        <v>0</v>
      </c>
      <c r="BL304" s="239">
        <v>10517.982500000002</v>
      </c>
      <c r="BM304" s="239">
        <v>2629.4956250000005</v>
      </c>
      <c r="BN304" s="239">
        <v>0</v>
      </c>
      <c r="BO304" s="239">
        <v>2075</v>
      </c>
      <c r="BP304" s="239">
        <v>520</v>
      </c>
      <c r="BQ304" s="239">
        <v>0</v>
      </c>
      <c r="BR304" s="239">
        <v>8443</v>
      </c>
      <c r="BS304" s="239">
        <v>2109</v>
      </c>
      <c r="BT304" s="239">
        <v>0</v>
      </c>
      <c r="BU304" s="239">
        <v>463836.25083333335</v>
      </c>
      <c r="BV304" s="239">
        <v>115959.06270833334</v>
      </c>
      <c r="BW304" s="239">
        <v>0</v>
      </c>
      <c r="BX304" s="239">
        <v>464052</v>
      </c>
      <c r="BY304" s="239">
        <v>116012</v>
      </c>
      <c r="BZ304" s="239">
        <v>0</v>
      </c>
      <c r="CA304" s="239">
        <v>-216</v>
      </c>
      <c r="CB304" s="239">
        <v>-53</v>
      </c>
      <c r="CC304" s="239">
        <v>0</v>
      </c>
      <c r="CD304" s="239">
        <v>0</v>
      </c>
      <c r="CE304" s="239">
        <v>0</v>
      </c>
      <c r="CF304" s="239">
        <v>0</v>
      </c>
      <c r="CG304" s="239">
        <v>0</v>
      </c>
      <c r="CH304" s="239">
        <v>0</v>
      </c>
      <c r="CI304" s="239">
        <v>0</v>
      </c>
      <c r="CJ304" s="239">
        <v>0</v>
      </c>
      <c r="CK304" s="239">
        <v>0</v>
      </c>
      <c r="CL304" s="239">
        <v>0</v>
      </c>
      <c r="CM304" s="239">
        <v>726.84750000000008</v>
      </c>
      <c r="CN304" s="239">
        <v>181.71187500000002</v>
      </c>
      <c r="CO304" s="239">
        <v>0</v>
      </c>
      <c r="CP304" s="239">
        <v>0</v>
      </c>
      <c r="CQ304" s="239">
        <v>0</v>
      </c>
      <c r="CR304" s="239">
        <v>0</v>
      </c>
      <c r="CS304" s="239">
        <v>727</v>
      </c>
      <c r="CT304" s="239">
        <v>182</v>
      </c>
      <c r="CU304" s="239">
        <v>0</v>
      </c>
      <c r="CV304" s="239">
        <v>199808.18083333332</v>
      </c>
      <c r="CW304" s="239">
        <v>49952.045208333329</v>
      </c>
      <c r="CX304" s="239">
        <v>0</v>
      </c>
      <c r="CY304" s="239">
        <v>214265</v>
      </c>
      <c r="CZ304" s="239">
        <v>53566</v>
      </c>
      <c r="DA304" s="239">
        <v>0</v>
      </c>
      <c r="DB304" s="239">
        <v>-14457</v>
      </c>
      <c r="DC304" s="239">
        <v>-3614</v>
      </c>
      <c r="DD304" s="239">
        <v>0</v>
      </c>
      <c r="DE304" s="214">
        <v>0.5</v>
      </c>
      <c r="DF304" s="214">
        <v>0.4</v>
      </c>
      <c r="DG304" s="214">
        <v>0.1</v>
      </c>
      <c r="DH304" s="214">
        <v>0</v>
      </c>
      <c r="DI304" s="214" t="s">
        <v>1294</v>
      </c>
    </row>
    <row r="305" spans="2:113" s="214" customFormat="1" x14ac:dyDescent="0.2">
      <c r="B305" s="610" t="s">
        <v>693</v>
      </c>
      <c r="C305" s="610" t="s">
        <v>692</v>
      </c>
      <c r="D305" s="239">
        <v>-29692</v>
      </c>
      <c r="E305" s="239">
        <v>0</v>
      </c>
      <c r="F305" s="239">
        <v>-29692</v>
      </c>
      <c r="G305" s="239">
        <v>0</v>
      </c>
      <c r="H305" s="239">
        <v>0</v>
      </c>
      <c r="I305" s="239">
        <v>0</v>
      </c>
      <c r="J305" s="239">
        <v>-29692</v>
      </c>
      <c r="K305" s="239">
        <v>0</v>
      </c>
      <c r="L305" s="239">
        <v>-29692</v>
      </c>
      <c r="M305" s="239">
        <v>208385</v>
      </c>
      <c r="N305" s="239">
        <v>208385</v>
      </c>
      <c r="O305" s="239">
        <v>0</v>
      </c>
      <c r="P305" s="239">
        <v>0</v>
      </c>
      <c r="Q305" s="239">
        <v>0</v>
      </c>
      <c r="R305" s="239">
        <v>0</v>
      </c>
      <c r="S305" s="239">
        <v>173290</v>
      </c>
      <c r="T305" s="239">
        <v>0</v>
      </c>
      <c r="U305" s="239">
        <v>148000</v>
      </c>
      <c r="V305" s="239">
        <v>0</v>
      </c>
      <c r="W305" s="239">
        <v>25290</v>
      </c>
      <c r="X305" s="239">
        <v>0</v>
      </c>
      <c r="Y305" s="239">
        <v>0</v>
      </c>
      <c r="Z305" s="239">
        <v>0</v>
      </c>
      <c r="AA305" s="239">
        <v>0</v>
      </c>
      <c r="AB305" s="239">
        <v>0</v>
      </c>
      <c r="AC305" s="239">
        <v>0</v>
      </c>
      <c r="AD305" s="239">
        <v>0</v>
      </c>
      <c r="AE305" s="239">
        <v>0</v>
      </c>
      <c r="AF305" s="239">
        <v>0</v>
      </c>
      <c r="AG305" s="239">
        <v>0</v>
      </c>
      <c r="AH305" s="239">
        <v>0</v>
      </c>
      <c r="AI305" s="239">
        <v>0</v>
      </c>
      <c r="AJ305" s="239">
        <v>0</v>
      </c>
      <c r="AK305" s="239">
        <v>1041536.1454166668</v>
      </c>
      <c r="AL305" s="239">
        <v>234345.63271875001</v>
      </c>
      <c r="AM305" s="239">
        <v>26038.403635416667</v>
      </c>
      <c r="AN305" s="239">
        <v>932733</v>
      </c>
      <c r="AO305" s="239">
        <v>209866</v>
      </c>
      <c r="AP305" s="239">
        <v>23318</v>
      </c>
      <c r="AQ305" s="239">
        <v>108803</v>
      </c>
      <c r="AR305" s="239">
        <v>24480</v>
      </c>
      <c r="AS305" s="239">
        <v>2720</v>
      </c>
      <c r="AT305" s="239">
        <v>4330.6475000000009</v>
      </c>
      <c r="AU305" s="239">
        <v>974.39568750000012</v>
      </c>
      <c r="AV305" s="239">
        <v>108.2661875</v>
      </c>
      <c r="AW305" s="239">
        <v>1723</v>
      </c>
      <c r="AX305" s="239">
        <v>388</v>
      </c>
      <c r="AY305" s="239">
        <v>44</v>
      </c>
      <c r="AZ305" s="239">
        <v>2608</v>
      </c>
      <c r="BA305" s="239">
        <v>586</v>
      </c>
      <c r="BB305" s="239">
        <v>64</v>
      </c>
      <c r="BC305" s="239">
        <v>0</v>
      </c>
      <c r="BD305" s="239">
        <v>0</v>
      </c>
      <c r="BE305" s="239">
        <v>0</v>
      </c>
      <c r="BF305" s="239">
        <v>29221</v>
      </c>
      <c r="BG305" s="239">
        <v>6574</v>
      </c>
      <c r="BH305" s="239">
        <v>730</v>
      </c>
      <c r="BI305" s="239">
        <v>-29221</v>
      </c>
      <c r="BJ305" s="239">
        <v>-6574</v>
      </c>
      <c r="BK305" s="239">
        <v>-730</v>
      </c>
      <c r="BL305" s="239">
        <v>2816.4833333333336</v>
      </c>
      <c r="BM305" s="239">
        <v>633.7087499999999</v>
      </c>
      <c r="BN305" s="239">
        <v>70.412083333333328</v>
      </c>
      <c r="BO305" s="239">
        <v>4057</v>
      </c>
      <c r="BP305" s="239">
        <v>914</v>
      </c>
      <c r="BQ305" s="239">
        <v>102</v>
      </c>
      <c r="BR305" s="239">
        <v>-1241</v>
      </c>
      <c r="BS305" s="239">
        <v>-280</v>
      </c>
      <c r="BT305" s="239">
        <v>-32</v>
      </c>
      <c r="BU305" s="239">
        <v>442091.70083333337</v>
      </c>
      <c r="BV305" s="239">
        <v>99470.632687500009</v>
      </c>
      <c r="BW305" s="239">
        <v>11052.292520833334</v>
      </c>
      <c r="BX305" s="239">
        <v>410045</v>
      </c>
      <c r="BY305" s="239">
        <v>92260</v>
      </c>
      <c r="BZ305" s="239">
        <v>10252</v>
      </c>
      <c r="CA305" s="239">
        <v>32047</v>
      </c>
      <c r="CB305" s="239">
        <v>7211</v>
      </c>
      <c r="CC305" s="239">
        <v>800</v>
      </c>
      <c r="CD305" s="239">
        <v>0</v>
      </c>
      <c r="CE305" s="239">
        <v>0</v>
      </c>
      <c r="CF305" s="239">
        <v>0</v>
      </c>
      <c r="CG305" s="239">
        <v>0</v>
      </c>
      <c r="CH305" s="239">
        <v>0</v>
      </c>
      <c r="CI305" s="239">
        <v>0</v>
      </c>
      <c r="CJ305" s="239">
        <v>0</v>
      </c>
      <c r="CK305" s="239">
        <v>0</v>
      </c>
      <c r="CL305" s="239">
        <v>0</v>
      </c>
      <c r="CM305" s="239">
        <v>5100.5133333333333</v>
      </c>
      <c r="CN305" s="239">
        <v>1147.6154999999999</v>
      </c>
      <c r="CO305" s="239">
        <v>127.51283333333333</v>
      </c>
      <c r="CP305" s="239">
        <v>0</v>
      </c>
      <c r="CQ305" s="239">
        <v>0</v>
      </c>
      <c r="CR305" s="239">
        <v>0</v>
      </c>
      <c r="CS305" s="239">
        <v>5101</v>
      </c>
      <c r="CT305" s="239">
        <v>1148</v>
      </c>
      <c r="CU305" s="239">
        <v>128</v>
      </c>
      <c r="CV305" s="239">
        <v>172035.10333333336</v>
      </c>
      <c r="CW305" s="239">
        <v>38139.2904375</v>
      </c>
      <c r="CX305" s="239">
        <v>4237.6989375000003</v>
      </c>
      <c r="CY305" s="239">
        <v>171973</v>
      </c>
      <c r="CZ305" s="239">
        <v>38208</v>
      </c>
      <c r="DA305" s="239">
        <v>4245</v>
      </c>
      <c r="DB305" s="239">
        <v>62</v>
      </c>
      <c r="DC305" s="239">
        <v>-69</v>
      </c>
      <c r="DD305" s="239">
        <v>-7</v>
      </c>
      <c r="DE305" s="214">
        <v>0.5</v>
      </c>
      <c r="DF305" s="214">
        <v>0.4</v>
      </c>
      <c r="DG305" s="214">
        <v>0.09</v>
      </c>
      <c r="DH305" s="214">
        <v>0.01</v>
      </c>
      <c r="DI305" s="214" t="s">
        <v>1294</v>
      </c>
    </row>
    <row r="306" spans="2:113" s="214" customFormat="1" x14ac:dyDescent="0.2">
      <c r="B306" s="610" t="s">
        <v>695</v>
      </c>
      <c r="C306" s="610" t="s">
        <v>694</v>
      </c>
      <c r="D306" s="239">
        <v>-39026</v>
      </c>
      <c r="E306" s="239">
        <v>0</v>
      </c>
      <c r="F306" s="239">
        <v>-39026</v>
      </c>
      <c r="G306" s="239">
        <v>0</v>
      </c>
      <c r="H306" s="239">
        <v>0</v>
      </c>
      <c r="I306" s="239">
        <v>0</v>
      </c>
      <c r="J306" s="239">
        <v>-39026</v>
      </c>
      <c r="K306" s="239">
        <v>0</v>
      </c>
      <c r="L306" s="239">
        <v>-39026</v>
      </c>
      <c r="M306" s="239">
        <v>111686</v>
      </c>
      <c r="N306" s="239">
        <v>111686</v>
      </c>
      <c r="O306" s="239">
        <v>0</v>
      </c>
      <c r="P306" s="239">
        <v>0</v>
      </c>
      <c r="Q306" s="239">
        <v>0</v>
      </c>
      <c r="R306" s="239">
        <v>0</v>
      </c>
      <c r="S306" s="239">
        <v>34314</v>
      </c>
      <c r="T306" s="239">
        <v>0</v>
      </c>
      <c r="U306" s="239">
        <v>33432</v>
      </c>
      <c r="V306" s="239">
        <v>0</v>
      </c>
      <c r="W306" s="239">
        <v>882</v>
      </c>
      <c r="X306" s="239">
        <v>0</v>
      </c>
      <c r="Y306" s="239">
        <v>0</v>
      </c>
      <c r="Z306" s="239">
        <v>0</v>
      </c>
      <c r="AA306" s="239">
        <v>0</v>
      </c>
      <c r="AB306" s="239">
        <v>0</v>
      </c>
      <c r="AC306" s="239">
        <v>0</v>
      </c>
      <c r="AD306" s="239">
        <v>0</v>
      </c>
      <c r="AE306" s="239">
        <v>0</v>
      </c>
      <c r="AF306" s="239">
        <v>0</v>
      </c>
      <c r="AG306" s="239">
        <v>0</v>
      </c>
      <c r="AH306" s="239">
        <v>0</v>
      </c>
      <c r="AI306" s="239">
        <v>0</v>
      </c>
      <c r="AJ306" s="239">
        <v>0</v>
      </c>
      <c r="AK306" s="239">
        <v>413726.18291666673</v>
      </c>
      <c r="AL306" s="239">
        <v>103431.54572916668</v>
      </c>
      <c r="AM306" s="239">
        <v>0</v>
      </c>
      <c r="AN306" s="239">
        <v>391724</v>
      </c>
      <c r="AO306" s="239">
        <v>97932</v>
      </c>
      <c r="AP306" s="239">
        <v>0</v>
      </c>
      <c r="AQ306" s="239">
        <v>22002</v>
      </c>
      <c r="AR306" s="239">
        <v>5500</v>
      </c>
      <c r="AS306" s="239">
        <v>0</v>
      </c>
      <c r="AT306" s="239">
        <v>0</v>
      </c>
      <c r="AU306" s="239">
        <v>0</v>
      </c>
      <c r="AV306" s="239">
        <v>0</v>
      </c>
      <c r="AW306" s="239">
        <v>0</v>
      </c>
      <c r="AX306" s="239">
        <v>0</v>
      </c>
      <c r="AY306" s="239">
        <v>0</v>
      </c>
      <c r="AZ306" s="239">
        <v>0</v>
      </c>
      <c r="BA306" s="239">
        <v>0</v>
      </c>
      <c r="BB306" s="239">
        <v>0</v>
      </c>
      <c r="BC306" s="239">
        <v>0</v>
      </c>
      <c r="BD306" s="239">
        <v>0</v>
      </c>
      <c r="BE306" s="239">
        <v>0</v>
      </c>
      <c r="BF306" s="239">
        <v>0</v>
      </c>
      <c r="BG306" s="239">
        <v>0</v>
      </c>
      <c r="BH306" s="239">
        <v>0</v>
      </c>
      <c r="BI306" s="239">
        <v>0</v>
      </c>
      <c r="BJ306" s="239">
        <v>0</v>
      </c>
      <c r="BK306" s="239">
        <v>0</v>
      </c>
      <c r="BL306" s="239">
        <v>34567.26</v>
      </c>
      <c r="BM306" s="239">
        <v>8641.8150000000005</v>
      </c>
      <c r="BN306" s="239">
        <v>0</v>
      </c>
      <c r="BO306" s="239">
        <v>2948</v>
      </c>
      <c r="BP306" s="239">
        <v>736</v>
      </c>
      <c r="BQ306" s="239">
        <v>0</v>
      </c>
      <c r="BR306" s="239">
        <v>31619</v>
      </c>
      <c r="BS306" s="239">
        <v>7906</v>
      </c>
      <c r="BT306" s="239">
        <v>0</v>
      </c>
      <c r="BU306" s="239">
        <v>159655.64499999999</v>
      </c>
      <c r="BV306" s="239">
        <v>39913.911249999997</v>
      </c>
      <c r="BW306" s="239">
        <v>0</v>
      </c>
      <c r="BX306" s="239">
        <v>151101</v>
      </c>
      <c r="BY306" s="239">
        <v>37776</v>
      </c>
      <c r="BZ306" s="239">
        <v>0</v>
      </c>
      <c r="CA306" s="239">
        <v>8555</v>
      </c>
      <c r="CB306" s="239">
        <v>2138</v>
      </c>
      <c r="CC306" s="239">
        <v>0</v>
      </c>
      <c r="CD306" s="239">
        <v>0</v>
      </c>
      <c r="CE306" s="239">
        <v>0</v>
      </c>
      <c r="CF306" s="239">
        <v>0</v>
      </c>
      <c r="CG306" s="239">
        <v>0</v>
      </c>
      <c r="CH306" s="239">
        <v>0</v>
      </c>
      <c r="CI306" s="239">
        <v>0</v>
      </c>
      <c r="CJ306" s="239">
        <v>0</v>
      </c>
      <c r="CK306" s="239">
        <v>0</v>
      </c>
      <c r="CL306" s="239">
        <v>0</v>
      </c>
      <c r="CM306" s="239">
        <v>0</v>
      </c>
      <c r="CN306" s="239">
        <v>0</v>
      </c>
      <c r="CO306" s="239">
        <v>0</v>
      </c>
      <c r="CP306" s="239">
        <v>0</v>
      </c>
      <c r="CQ306" s="239">
        <v>0</v>
      </c>
      <c r="CR306" s="239">
        <v>0</v>
      </c>
      <c r="CS306" s="239">
        <v>0</v>
      </c>
      <c r="CT306" s="239">
        <v>0</v>
      </c>
      <c r="CU306" s="239">
        <v>0</v>
      </c>
      <c r="CV306" s="239">
        <v>164822.4375</v>
      </c>
      <c r="CW306" s="239">
        <v>41080.506249999999</v>
      </c>
      <c r="CX306" s="239">
        <v>0</v>
      </c>
      <c r="CY306" s="239">
        <v>172306</v>
      </c>
      <c r="CZ306" s="239">
        <v>42955</v>
      </c>
      <c r="DA306" s="239">
        <v>0</v>
      </c>
      <c r="DB306" s="239">
        <v>-7484</v>
      </c>
      <c r="DC306" s="239">
        <v>-1874</v>
      </c>
      <c r="DD306" s="239">
        <v>0</v>
      </c>
      <c r="DE306" s="214">
        <v>0.5</v>
      </c>
      <c r="DF306" s="214">
        <v>0.4</v>
      </c>
      <c r="DG306" s="214">
        <v>0.1</v>
      </c>
      <c r="DH306" s="214">
        <v>0</v>
      </c>
      <c r="DI306" s="214" t="s">
        <v>1294</v>
      </c>
    </row>
    <row r="307" spans="2:113" s="214" customFormat="1" x14ac:dyDescent="0.2">
      <c r="B307" s="610" t="s">
        <v>697</v>
      </c>
      <c r="C307" s="610" t="s">
        <v>696</v>
      </c>
      <c r="D307" s="239">
        <v>-51311</v>
      </c>
      <c r="E307" s="239">
        <v>0</v>
      </c>
      <c r="F307" s="239">
        <v>-51311</v>
      </c>
      <c r="G307" s="239">
        <v>0</v>
      </c>
      <c r="H307" s="239">
        <v>0</v>
      </c>
      <c r="I307" s="239">
        <v>0</v>
      </c>
      <c r="J307" s="239">
        <v>-51311</v>
      </c>
      <c r="K307" s="239">
        <v>0</v>
      </c>
      <c r="L307" s="239">
        <v>-51311</v>
      </c>
      <c r="M307" s="239">
        <v>154681</v>
      </c>
      <c r="N307" s="239">
        <v>154681</v>
      </c>
      <c r="O307" s="239">
        <v>0</v>
      </c>
      <c r="P307" s="239">
        <v>0</v>
      </c>
      <c r="Q307" s="239">
        <v>0</v>
      </c>
      <c r="R307" s="239">
        <v>0</v>
      </c>
      <c r="S307" s="239">
        <v>0</v>
      </c>
      <c r="T307" s="239">
        <v>0</v>
      </c>
      <c r="U307" s="239">
        <v>0</v>
      </c>
      <c r="V307" s="239">
        <v>0</v>
      </c>
      <c r="W307" s="239">
        <v>0</v>
      </c>
      <c r="X307" s="239">
        <v>0</v>
      </c>
      <c r="Y307" s="239">
        <v>0</v>
      </c>
      <c r="Z307" s="239">
        <v>0</v>
      </c>
      <c r="AA307" s="239">
        <v>0</v>
      </c>
      <c r="AB307" s="239">
        <v>0</v>
      </c>
      <c r="AC307" s="239">
        <v>0</v>
      </c>
      <c r="AD307" s="239">
        <v>0</v>
      </c>
      <c r="AE307" s="239">
        <v>0</v>
      </c>
      <c r="AF307" s="239">
        <v>0</v>
      </c>
      <c r="AG307" s="239">
        <v>0</v>
      </c>
      <c r="AH307" s="239">
        <v>0</v>
      </c>
      <c r="AI307" s="239">
        <v>0</v>
      </c>
      <c r="AJ307" s="239">
        <v>0</v>
      </c>
      <c r="AK307" s="239">
        <v>278738.91416666668</v>
      </c>
      <c r="AL307" s="239">
        <v>69684.728541666671</v>
      </c>
      <c r="AM307" s="239">
        <v>0</v>
      </c>
      <c r="AN307" s="239">
        <v>265111</v>
      </c>
      <c r="AO307" s="239">
        <v>66278</v>
      </c>
      <c r="AP307" s="239">
        <v>0</v>
      </c>
      <c r="AQ307" s="239">
        <v>13628</v>
      </c>
      <c r="AR307" s="239">
        <v>3407</v>
      </c>
      <c r="AS307" s="239">
        <v>0</v>
      </c>
      <c r="AT307" s="239">
        <v>0</v>
      </c>
      <c r="AU307" s="239">
        <v>0</v>
      </c>
      <c r="AV307" s="239">
        <v>0</v>
      </c>
      <c r="AW307" s="239">
        <v>0</v>
      </c>
      <c r="AX307" s="239">
        <v>0</v>
      </c>
      <c r="AY307" s="239">
        <v>0</v>
      </c>
      <c r="AZ307" s="239">
        <v>0</v>
      </c>
      <c r="BA307" s="239">
        <v>0</v>
      </c>
      <c r="BB307" s="239">
        <v>0</v>
      </c>
      <c r="BC307" s="239">
        <v>-473.20166666666665</v>
      </c>
      <c r="BD307" s="239">
        <v>-118.30041666666666</v>
      </c>
      <c r="BE307" s="239">
        <v>0</v>
      </c>
      <c r="BF307" s="239">
        <v>7444</v>
      </c>
      <c r="BG307" s="239">
        <v>1860</v>
      </c>
      <c r="BH307" s="239">
        <v>0</v>
      </c>
      <c r="BI307" s="239">
        <v>-7917</v>
      </c>
      <c r="BJ307" s="239">
        <v>-1978</v>
      </c>
      <c r="BK307" s="239">
        <v>0</v>
      </c>
      <c r="BL307" s="239">
        <v>4334.3</v>
      </c>
      <c r="BM307" s="239">
        <v>1083.575</v>
      </c>
      <c r="BN307" s="239">
        <v>0</v>
      </c>
      <c r="BO307" s="239">
        <v>33219</v>
      </c>
      <c r="BP307" s="239">
        <v>8304</v>
      </c>
      <c r="BQ307" s="239">
        <v>0</v>
      </c>
      <c r="BR307" s="239">
        <v>-28885</v>
      </c>
      <c r="BS307" s="239">
        <v>-7220</v>
      </c>
      <c r="BT307" s="239">
        <v>0</v>
      </c>
      <c r="BU307" s="239">
        <v>177571.15750000003</v>
      </c>
      <c r="BV307" s="239">
        <v>44392.789375000008</v>
      </c>
      <c r="BW307" s="239">
        <v>0</v>
      </c>
      <c r="BX307" s="239">
        <v>190537</v>
      </c>
      <c r="BY307" s="239">
        <v>47634</v>
      </c>
      <c r="BZ307" s="239">
        <v>0</v>
      </c>
      <c r="CA307" s="239">
        <v>-12966</v>
      </c>
      <c r="CB307" s="239">
        <v>-3241</v>
      </c>
      <c r="CC307" s="239">
        <v>0</v>
      </c>
      <c r="CD307" s="239">
        <v>0</v>
      </c>
      <c r="CE307" s="239">
        <v>0</v>
      </c>
      <c r="CF307" s="239">
        <v>0</v>
      </c>
      <c r="CG307" s="239">
        <v>0</v>
      </c>
      <c r="CH307" s="239">
        <v>0</v>
      </c>
      <c r="CI307" s="239">
        <v>0</v>
      </c>
      <c r="CJ307" s="239">
        <v>0</v>
      </c>
      <c r="CK307" s="239">
        <v>0</v>
      </c>
      <c r="CL307" s="239">
        <v>0</v>
      </c>
      <c r="CM307" s="239">
        <v>2280.3775000000001</v>
      </c>
      <c r="CN307" s="239">
        <v>570.09437500000001</v>
      </c>
      <c r="CO307" s="239">
        <v>0</v>
      </c>
      <c r="CP307" s="239">
        <v>0</v>
      </c>
      <c r="CQ307" s="239">
        <v>0</v>
      </c>
      <c r="CR307" s="239">
        <v>0</v>
      </c>
      <c r="CS307" s="239">
        <v>2280</v>
      </c>
      <c r="CT307" s="239">
        <v>570</v>
      </c>
      <c r="CU307" s="239">
        <v>0</v>
      </c>
      <c r="CV307" s="239">
        <v>338263.64250000007</v>
      </c>
      <c r="CW307" s="239">
        <v>84565.910625000019</v>
      </c>
      <c r="CX307" s="239">
        <v>0</v>
      </c>
      <c r="CY307" s="239">
        <v>336454</v>
      </c>
      <c r="CZ307" s="239">
        <v>84113</v>
      </c>
      <c r="DA307" s="239">
        <v>0</v>
      </c>
      <c r="DB307" s="239">
        <v>1810</v>
      </c>
      <c r="DC307" s="239">
        <v>453</v>
      </c>
      <c r="DD307" s="239">
        <v>0</v>
      </c>
      <c r="DE307" s="214">
        <v>0.5</v>
      </c>
      <c r="DF307" s="214">
        <v>0.4</v>
      </c>
      <c r="DG307" s="214">
        <v>0.1</v>
      </c>
      <c r="DH307" s="214">
        <v>0</v>
      </c>
      <c r="DI307" s="214" t="s">
        <v>1294</v>
      </c>
    </row>
    <row r="308" spans="2:113" s="214" customFormat="1" x14ac:dyDescent="0.2">
      <c r="B308" s="610" t="s">
        <v>699</v>
      </c>
      <c r="C308" s="610" t="s">
        <v>698</v>
      </c>
      <c r="D308" s="239">
        <v>-95358</v>
      </c>
      <c r="E308" s="239">
        <v>0</v>
      </c>
      <c r="F308" s="239">
        <v>-95358</v>
      </c>
      <c r="G308" s="239">
        <v>0</v>
      </c>
      <c r="H308" s="239">
        <v>0</v>
      </c>
      <c r="I308" s="239">
        <v>0</v>
      </c>
      <c r="J308" s="239">
        <v>-95358</v>
      </c>
      <c r="K308" s="239">
        <v>0</v>
      </c>
      <c r="L308" s="239">
        <v>-95358</v>
      </c>
      <c r="M308" s="239">
        <v>258585</v>
      </c>
      <c r="N308" s="239">
        <v>258585</v>
      </c>
      <c r="O308" s="239">
        <v>0</v>
      </c>
      <c r="P308" s="239">
        <v>0</v>
      </c>
      <c r="Q308" s="239">
        <v>0</v>
      </c>
      <c r="R308" s="239">
        <v>0</v>
      </c>
      <c r="S308" s="239">
        <v>0</v>
      </c>
      <c r="T308" s="239">
        <v>0</v>
      </c>
      <c r="U308" s="239">
        <v>0</v>
      </c>
      <c r="V308" s="239">
        <v>0</v>
      </c>
      <c r="W308" s="239">
        <v>0</v>
      </c>
      <c r="X308" s="239">
        <v>0</v>
      </c>
      <c r="Y308" s="239">
        <v>0</v>
      </c>
      <c r="Z308" s="239">
        <v>0</v>
      </c>
      <c r="AA308" s="239">
        <v>0</v>
      </c>
      <c r="AB308" s="239">
        <v>0</v>
      </c>
      <c r="AC308" s="239">
        <v>0</v>
      </c>
      <c r="AD308" s="239">
        <v>0</v>
      </c>
      <c r="AE308" s="239">
        <v>0</v>
      </c>
      <c r="AF308" s="239">
        <v>0</v>
      </c>
      <c r="AG308" s="239">
        <v>0</v>
      </c>
      <c r="AH308" s="239">
        <v>0</v>
      </c>
      <c r="AI308" s="239">
        <v>0</v>
      </c>
      <c r="AJ308" s="239">
        <v>0</v>
      </c>
      <c r="AK308" s="239">
        <v>623046.77276041661</v>
      </c>
      <c r="AL308" s="239">
        <v>0</v>
      </c>
      <c r="AM308" s="239">
        <v>12715.240260416665</v>
      </c>
      <c r="AN308" s="239">
        <v>560713</v>
      </c>
      <c r="AO308" s="239">
        <v>0</v>
      </c>
      <c r="AP308" s="239">
        <v>11444</v>
      </c>
      <c r="AQ308" s="239">
        <v>62334</v>
      </c>
      <c r="AR308" s="239">
        <v>0</v>
      </c>
      <c r="AS308" s="239">
        <v>1271</v>
      </c>
      <c r="AT308" s="239">
        <v>3569.0099375</v>
      </c>
      <c r="AU308" s="239">
        <v>0</v>
      </c>
      <c r="AV308" s="239">
        <v>72.836937500000005</v>
      </c>
      <c r="AW308" s="239">
        <v>0</v>
      </c>
      <c r="AX308" s="239">
        <v>0</v>
      </c>
      <c r="AY308" s="239">
        <v>0</v>
      </c>
      <c r="AZ308" s="239">
        <v>3569</v>
      </c>
      <c r="BA308" s="239">
        <v>0</v>
      </c>
      <c r="BB308" s="239">
        <v>73</v>
      </c>
      <c r="BC308" s="239">
        <v>1144.9268541666668</v>
      </c>
      <c r="BD308" s="239">
        <v>0</v>
      </c>
      <c r="BE308" s="239">
        <v>23.365854166666669</v>
      </c>
      <c r="BF308" s="239">
        <v>8833</v>
      </c>
      <c r="BG308" s="239">
        <v>0</v>
      </c>
      <c r="BH308" s="239">
        <v>180</v>
      </c>
      <c r="BI308" s="239">
        <v>-7688</v>
      </c>
      <c r="BJ308" s="239">
        <v>0</v>
      </c>
      <c r="BK308" s="239">
        <v>-157</v>
      </c>
      <c r="BL308" s="239">
        <v>3587.4043333333329</v>
      </c>
      <c r="BM308" s="239">
        <v>0</v>
      </c>
      <c r="BN308" s="239">
        <v>73.212333333333333</v>
      </c>
      <c r="BO308" s="239">
        <v>68456</v>
      </c>
      <c r="BP308" s="239">
        <v>0</v>
      </c>
      <c r="BQ308" s="239">
        <v>1398</v>
      </c>
      <c r="BR308" s="239">
        <v>-64869</v>
      </c>
      <c r="BS308" s="239">
        <v>0</v>
      </c>
      <c r="BT308" s="239">
        <v>-1325</v>
      </c>
      <c r="BU308" s="239">
        <v>293916.59383333329</v>
      </c>
      <c r="BV308" s="239">
        <v>0</v>
      </c>
      <c r="BW308" s="239">
        <v>5998.297833333334</v>
      </c>
      <c r="BX308" s="239">
        <v>220150</v>
      </c>
      <c r="BY308" s="239">
        <v>0</v>
      </c>
      <c r="BZ308" s="239">
        <v>4492</v>
      </c>
      <c r="CA308" s="239">
        <v>73767</v>
      </c>
      <c r="CB308" s="239">
        <v>0</v>
      </c>
      <c r="CC308" s="239">
        <v>1506</v>
      </c>
      <c r="CD308" s="239">
        <v>647.28387499999997</v>
      </c>
      <c r="CE308" s="239">
        <v>0</v>
      </c>
      <c r="CF308" s="239">
        <v>13.209875</v>
      </c>
      <c r="CG308" s="239">
        <v>0</v>
      </c>
      <c r="CH308" s="239">
        <v>0</v>
      </c>
      <c r="CI308" s="239">
        <v>0</v>
      </c>
      <c r="CJ308" s="239">
        <v>647</v>
      </c>
      <c r="CK308" s="239">
        <v>0</v>
      </c>
      <c r="CL308" s="239">
        <v>13</v>
      </c>
      <c r="CM308" s="239">
        <v>0</v>
      </c>
      <c r="CN308" s="239">
        <v>0</v>
      </c>
      <c r="CO308" s="239">
        <v>0</v>
      </c>
      <c r="CP308" s="239">
        <v>0</v>
      </c>
      <c r="CQ308" s="239">
        <v>0</v>
      </c>
      <c r="CR308" s="239">
        <v>0</v>
      </c>
      <c r="CS308" s="239">
        <v>0</v>
      </c>
      <c r="CT308" s="239">
        <v>0</v>
      </c>
      <c r="CU308" s="239">
        <v>0</v>
      </c>
      <c r="CV308" s="239">
        <v>601993.59762499994</v>
      </c>
      <c r="CW308" s="239">
        <v>0</v>
      </c>
      <c r="CX308" s="239">
        <v>12285.583625000001</v>
      </c>
      <c r="CY308" s="239">
        <v>584462</v>
      </c>
      <c r="CZ308" s="239">
        <v>0</v>
      </c>
      <c r="DA308" s="239">
        <v>11928</v>
      </c>
      <c r="DB308" s="239">
        <v>17532</v>
      </c>
      <c r="DC308" s="239">
        <v>0</v>
      </c>
      <c r="DD308" s="239">
        <v>358</v>
      </c>
      <c r="DE308" s="214">
        <v>0.5</v>
      </c>
      <c r="DF308" s="214">
        <v>0.49</v>
      </c>
      <c r="DG308" s="214">
        <v>0</v>
      </c>
      <c r="DH308" s="214">
        <v>0.01</v>
      </c>
      <c r="DI308" s="214" t="s">
        <v>748</v>
      </c>
    </row>
    <row r="309" spans="2:113" s="214" customFormat="1" x14ac:dyDescent="0.2">
      <c r="B309" s="610" t="s">
        <v>701</v>
      </c>
      <c r="C309" s="610" t="s">
        <v>700</v>
      </c>
      <c r="D309" s="239">
        <v>97838</v>
      </c>
      <c r="E309" s="239">
        <v>0</v>
      </c>
      <c r="F309" s="239">
        <v>97838</v>
      </c>
      <c r="G309" s="239">
        <v>0</v>
      </c>
      <c r="H309" s="239">
        <v>0</v>
      </c>
      <c r="I309" s="239">
        <v>0</v>
      </c>
      <c r="J309" s="239">
        <v>97838</v>
      </c>
      <c r="K309" s="239">
        <v>0</v>
      </c>
      <c r="L309" s="239">
        <v>97838</v>
      </c>
      <c r="M309" s="239">
        <v>83914</v>
      </c>
      <c r="N309" s="239">
        <v>83914</v>
      </c>
      <c r="O309" s="239">
        <v>0</v>
      </c>
      <c r="P309" s="239">
        <v>0</v>
      </c>
      <c r="Q309" s="239">
        <v>0</v>
      </c>
      <c r="R309" s="239">
        <v>0</v>
      </c>
      <c r="S309" s="239">
        <v>0</v>
      </c>
      <c r="T309" s="239">
        <v>0</v>
      </c>
      <c r="U309" s="239">
        <v>0</v>
      </c>
      <c r="V309" s="239">
        <v>0</v>
      </c>
      <c r="W309" s="239">
        <v>0</v>
      </c>
      <c r="X309" s="239">
        <v>0</v>
      </c>
      <c r="Y309" s="239">
        <v>0</v>
      </c>
      <c r="Z309" s="239">
        <v>0</v>
      </c>
      <c r="AA309" s="239">
        <v>0</v>
      </c>
      <c r="AB309" s="239">
        <v>0</v>
      </c>
      <c r="AC309" s="239">
        <v>0</v>
      </c>
      <c r="AD309" s="239">
        <v>0</v>
      </c>
      <c r="AE309" s="239">
        <v>0</v>
      </c>
      <c r="AF309" s="239">
        <v>0</v>
      </c>
      <c r="AG309" s="239">
        <v>0</v>
      </c>
      <c r="AH309" s="239">
        <v>0</v>
      </c>
      <c r="AI309" s="239">
        <v>0</v>
      </c>
      <c r="AJ309" s="239">
        <v>0</v>
      </c>
      <c r="AK309" s="239">
        <v>325687.33749999997</v>
      </c>
      <c r="AL309" s="239">
        <v>73279.650937499988</v>
      </c>
      <c r="AM309" s="239">
        <v>8142.1834374999999</v>
      </c>
      <c r="AN309" s="239">
        <v>322860</v>
      </c>
      <c r="AO309" s="239">
        <v>72644</v>
      </c>
      <c r="AP309" s="239">
        <v>8072</v>
      </c>
      <c r="AQ309" s="239">
        <v>2827</v>
      </c>
      <c r="AR309" s="239">
        <v>636</v>
      </c>
      <c r="AS309" s="239">
        <v>70</v>
      </c>
      <c r="AT309" s="239">
        <v>0</v>
      </c>
      <c r="AU309" s="239">
        <v>0</v>
      </c>
      <c r="AV309" s="239">
        <v>0</v>
      </c>
      <c r="AW309" s="239">
        <v>4057</v>
      </c>
      <c r="AX309" s="239">
        <v>914</v>
      </c>
      <c r="AY309" s="239">
        <v>102</v>
      </c>
      <c r="AZ309" s="239">
        <v>-4057</v>
      </c>
      <c r="BA309" s="239">
        <v>-914</v>
      </c>
      <c r="BB309" s="239">
        <v>-102</v>
      </c>
      <c r="BC309" s="239">
        <v>0</v>
      </c>
      <c r="BD309" s="239">
        <v>0</v>
      </c>
      <c r="BE309" s="239">
        <v>0</v>
      </c>
      <c r="BF309" s="239">
        <v>4057</v>
      </c>
      <c r="BG309" s="239">
        <v>914</v>
      </c>
      <c r="BH309" s="239">
        <v>102</v>
      </c>
      <c r="BI309" s="239">
        <v>-4057</v>
      </c>
      <c r="BJ309" s="239">
        <v>-914</v>
      </c>
      <c r="BK309" s="239">
        <v>-102</v>
      </c>
      <c r="BL309" s="239">
        <v>90.500833333333333</v>
      </c>
      <c r="BM309" s="239">
        <v>20.3626875</v>
      </c>
      <c r="BN309" s="239">
        <v>2.2625208333333333</v>
      </c>
      <c r="BO309" s="239">
        <v>8118</v>
      </c>
      <c r="BP309" s="239">
        <v>1826</v>
      </c>
      <c r="BQ309" s="239">
        <v>202</v>
      </c>
      <c r="BR309" s="239">
        <v>-8027</v>
      </c>
      <c r="BS309" s="239">
        <v>-1806</v>
      </c>
      <c r="BT309" s="239">
        <v>-200</v>
      </c>
      <c r="BU309" s="239">
        <v>189546.48749999999</v>
      </c>
      <c r="BV309" s="239">
        <v>42647.959687499992</v>
      </c>
      <c r="BW309" s="239">
        <v>4738.6621875000001</v>
      </c>
      <c r="BX309" s="239">
        <v>217165</v>
      </c>
      <c r="BY309" s="239">
        <v>48862</v>
      </c>
      <c r="BZ309" s="239">
        <v>5430</v>
      </c>
      <c r="CA309" s="239">
        <v>-27619</v>
      </c>
      <c r="CB309" s="239">
        <v>-6214</v>
      </c>
      <c r="CC309" s="239">
        <v>-691</v>
      </c>
      <c r="CD309" s="239">
        <v>0</v>
      </c>
      <c r="CE309" s="239">
        <v>0</v>
      </c>
      <c r="CF309" s="239">
        <v>0</v>
      </c>
      <c r="CG309" s="239">
        <v>0</v>
      </c>
      <c r="CH309" s="239">
        <v>0</v>
      </c>
      <c r="CI309" s="239">
        <v>0</v>
      </c>
      <c r="CJ309" s="239">
        <v>0</v>
      </c>
      <c r="CK309" s="239">
        <v>0</v>
      </c>
      <c r="CL309" s="239">
        <v>0</v>
      </c>
      <c r="CM309" s="239">
        <v>7332.190833333334</v>
      </c>
      <c r="CN309" s="239">
        <v>1649.7429375000002</v>
      </c>
      <c r="CO309" s="239">
        <v>183.30477083333335</v>
      </c>
      <c r="CP309" s="239">
        <v>0</v>
      </c>
      <c r="CQ309" s="239">
        <v>0</v>
      </c>
      <c r="CR309" s="239">
        <v>0</v>
      </c>
      <c r="CS309" s="239">
        <v>7332</v>
      </c>
      <c r="CT309" s="239">
        <v>1650</v>
      </c>
      <c r="CU309" s="239">
        <v>183</v>
      </c>
      <c r="CV309" s="239">
        <v>54282.695833333331</v>
      </c>
      <c r="CW309" s="239">
        <v>12213.606562499999</v>
      </c>
      <c r="CX309" s="239">
        <v>1357.0673958333332</v>
      </c>
      <c r="CY309" s="239">
        <v>60364</v>
      </c>
      <c r="CZ309" s="239">
        <v>13582</v>
      </c>
      <c r="DA309" s="239">
        <v>1509</v>
      </c>
      <c r="DB309" s="239">
        <v>-6081</v>
      </c>
      <c r="DC309" s="239">
        <v>-1368</v>
      </c>
      <c r="DD309" s="239">
        <v>-152</v>
      </c>
      <c r="DE309" s="214">
        <v>0.5</v>
      </c>
      <c r="DF309" s="214">
        <v>0.4</v>
      </c>
      <c r="DG309" s="214">
        <v>0.09</v>
      </c>
      <c r="DH309" s="214">
        <v>0.01</v>
      </c>
      <c r="DI309" s="214" t="s">
        <v>1294</v>
      </c>
    </row>
    <row r="310" spans="2:113" s="214" customFormat="1" x14ac:dyDescent="0.2">
      <c r="B310" s="610" t="s">
        <v>703</v>
      </c>
      <c r="C310" s="610" t="s">
        <v>702</v>
      </c>
      <c r="D310" s="239">
        <v>-33726</v>
      </c>
      <c r="E310" s="239">
        <v>0</v>
      </c>
      <c r="F310" s="239">
        <v>-33726</v>
      </c>
      <c r="G310" s="239">
        <v>0</v>
      </c>
      <c r="H310" s="239">
        <v>0</v>
      </c>
      <c r="I310" s="239">
        <v>0</v>
      </c>
      <c r="J310" s="239">
        <v>-33726</v>
      </c>
      <c r="K310" s="239">
        <v>0</v>
      </c>
      <c r="L310" s="239">
        <v>-33726</v>
      </c>
      <c r="M310" s="239">
        <v>208248</v>
      </c>
      <c r="N310" s="239">
        <v>208248</v>
      </c>
      <c r="O310" s="239">
        <v>0</v>
      </c>
      <c r="P310" s="239">
        <v>0</v>
      </c>
      <c r="Q310" s="239">
        <v>0</v>
      </c>
      <c r="R310" s="239">
        <v>0</v>
      </c>
      <c r="S310" s="239">
        <v>95790</v>
      </c>
      <c r="T310" s="239">
        <v>0</v>
      </c>
      <c r="U310" s="239">
        <v>112909</v>
      </c>
      <c r="V310" s="239">
        <v>0</v>
      </c>
      <c r="W310" s="239">
        <v>-17119</v>
      </c>
      <c r="X310" s="239">
        <v>0</v>
      </c>
      <c r="Y310" s="239">
        <v>0</v>
      </c>
      <c r="Z310" s="239">
        <v>0</v>
      </c>
      <c r="AA310" s="239">
        <v>0</v>
      </c>
      <c r="AB310" s="239">
        <v>0</v>
      </c>
      <c r="AC310" s="239">
        <v>0</v>
      </c>
      <c r="AD310" s="239">
        <v>0</v>
      </c>
      <c r="AE310" s="239">
        <v>0</v>
      </c>
      <c r="AF310" s="239">
        <v>0</v>
      </c>
      <c r="AG310" s="239">
        <v>0</v>
      </c>
      <c r="AH310" s="239">
        <v>0</v>
      </c>
      <c r="AI310" s="239">
        <v>0</v>
      </c>
      <c r="AJ310" s="239">
        <v>0</v>
      </c>
      <c r="AK310" s="239">
        <v>841080.04625000001</v>
      </c>
      <c r="AL310" s="239">
        <v>189243.01040624999</v>
      </c>
      <c r="AM310" s="239">
        <v>21027.00115625</v>
      </c>
      <c r="AN310" s="239">
        <v>771516</v>
      </c>
      <c r="AO310" s="239">
        <v>173590</v>
      </c>
      <c r="AP310" s="239">
        <v>19288</v>
      </c>
      <c r="AQ310" s="239">
        <v>69564</v>
      </c>
      <c r="AR310" s="239">
        <v>15653</v>
      </c>
      <c r="AS310" s="239">
        <v>1739</v>
      </c>
      <c r="AT310" s="239">
        <v>-1153.3783333333333</v>
      </c>
      <c r="AU310" s="239">
        <v>-259.51012500000002</v>
      </c>
      <c r="AV310" s="239">
        <v>-28.834458333333338</v>
      </c>
      <c r="AW310" s="239">
        <v>5319</v>
      </c>
      <c r="AX310" s="239">
        <v>1196</v>
      </c>
      <c r="AY310" s="239">
        <v>132</v>
      </c>
      <c r="AZ310" s="239">
        <v>-6472</v>
      </c>
      <c r="BA310" s="239">
        <v>-1456</v>
      </c>
      <c r="BB310" s="239">
        <v>-161</v>
      </c>
      <c r="BC310" s="239">
        <v>12279.705000000002</v>
      </c>
      <c r="BD310" s="239">
        <v>2762.9336250000001</v>
      </c>
      <c r="BE310" s="239">
        <v>306.99262500000003</v>
      </c>
      <c r="BF310" s="239">
        <v>32452</v>
      </c>
      <c r="BG310" s="239">
        <v>7302</v>
      </c>
      <c r="BH310" s="239">
        <v>812</v>
      </c>
      <c r="BI310" s="239">
        <v>-20172</v>
      </c>
      <c r="BJ310" s="239">
        <v>-4539</v>
      </c>
      <c r="BK310" s="239">
        <v>-505</v>
      </c>
      <c r="BL310" s="239">
        <v>6482.3758333333344</v>
      </c>
      <c r="BM310" s="239">
        <v>1458.5345625</v>
      </c>
      <c r="BN310" s="239">
        <v>162.05939583333333</v>
      </c>
      <c r="BO310" s="239">
        <v>1389</v>
      </c>
      <c r="BP310" s="239">
        <v>312</v>
      </c>
      <c r="BQ310" s="239">
        <v>34</v>
      </c>
      <c r="BR310" s="239">
        <v>5093</v>
      </c>
      <c r="BS310" s="239">
        <v>1147</v>
      </c>
      <c r="BT310" s="239">
        <v>128</v>
      </c>
      <c r="BU310" s="239">
        <v>416319.66083333333</v>
      </c>
      <c r="BV310" s="239">
        <v>93671.923687500006</v>
      </c>
      <c r="BW310" s="239">
        <v>10407.991520833333</v>
      </c>
      <c r="BX310" s="239">
        <v>426538</v>
      </c>
      <c r="BY310" s="239">
        <v>95970</v>
      </c>
      <c r="BZ310" s="239">
        <v>10664</v>
      </c>
      <c r="CA310" s="239">
        <v>-10218</v>
      </c>
      <c r="CB310" s="239">
        <v>-2298</v>
      </c>
      <c r="CC310" s="239">
        <v>-256</v>
      </c>
      <c r="CD310" s="239">
        <v>577.90666666666664</v>
      </c>
      <c r="CE310" s="239">
        <v>130.029</v>
      </c>
      <c r="CF310" s="239">
        <v>14.447666666666667</v>
      </c>
      <c r="CG310" s="239">
        <v>0</v>
      </c>
      <c r="CH310" s="239">
        <v>0</v>
      </c>
      <c r="CI310" s="239">
        <v>0</v>
      </c>
      <c r="CJ310" s="239">
        <v>578</v>
      </c>
      <c r="CK310" s="239">
        <v>130</v>
      </c>
      <c r="CL310" s="239">
        <v>14</v>
      </c>
      <c r="CM310" s="239">
        <v>5531.1025000000009</v>
      </c>
      <c r="CN310" s="239">
        <v>1244.4980625000001</v>
      </c>
      <c r="CO310" s="239">
        <v>138.27756250000002</v>
      </c>
      <c r="CP310" s="239">
        <v>0</v>
      </c>
      <c r="CQ310" s="239">
        <v>0</v>
      </c>
      <c r="CR310" s="239">
        <v>0</v>
      </c>
      <c r="CS310" s="239">
        <v>5531</v>
      </c>
      <c r="CT310" s="239">
        <v>1244</v>
      </c>
      <c r="CU310" s="239">
        <v>138</v>
      </c>
      <c r="CV310" s="239">
        <v>157335.80333333334</v>
      </c>
      <c r="CW310" s="239">
        <v>35086.244812499994</v>
      </c>
      <c r="CX310" s="239">
        <v>3898.4716458333337</v>
      </c>
      <c r="CY310" s="239">
        <v>161581</v>
      </c>
      <c r="CZ310" s="239">
        <v>35985</v>
      </c>
      <c r="DA310" s="239">
        <v>3998</v>
      </c>
      <c r="DB310" s="239">
        <v>-4245</v>
      </c>
      <c r="DC310" s="239">
        <v>-899</v>
      </c>
      <c r="DD310" s="239">
        <v>-100</v>
      </c>
      <c r="DE310" s="214">
        <v>0.5</v>
      </c>
      <c r="DF310" s="214">
        <v>0.4</v>
      </c>
      <c r="DG310" s="214">
        <v>0.09</v>
      </c>
      <c r="DH310" s="214">
        <v>0.01</v>
      </c>
      <c r="DI310" s="214" t="s">
        <v>1294</v>
      </c>
    </row>
    <row r="311" spans="2:113" s="214" customFormat="1" x14ac:dyDescent="0.2">
      <c r="B311" s="610" t="s">
        <v>705</v>
      </c>
      <c r="C311" s="610" t="s">
        <v>704</v>
      </c>
      <c r="D311" s="239">
        <v>-14078</v>
      </c>
      <c r="E311" s="239">
        <v>0</v>
      </c>
      <c r="F311" s="239">
        <v>-14078</v>
      </c>
      <c r="G311" s="239">
        <v>0</v>
      </c>
      <c r="H311" s="239">
        <v>0</v>
      </c>
      <c r="I311" s="239">
        <v>0</v>
      </c>
      <c r="J311" s="239">
        <v>-14078</v>
      </c>
      <c r="K311" s="239">
        <v>0</v>
      </c>
      <c r="L311" s="239">
        <v>-14078</v>
      </c>
      <c r="M311" s="239">
        <v>132639</v>
      </c>
      <c r="N311" s="239">
        <v>132639</v>
      </c>
      <c r="O311" s="239">
        <v>0</v>
      </c>
      <c r="P311" s="239">
        <v>0</v>
      </c>
      <c r="Q311" s="239">
        <v>0</v>
      </c>
      <c r="R311" s="239">
        <v>0</v>
      </c>
      <c r="S311" s="239">
        <v>0</v>
      </c>
      <c r="T311" s="239">
        <v>0</v>
      </c>
      <c r="U311" s="239">
        <v>0</v>
      </c>
      <c r="V311" s="239">
        <v>0</v>
      </c>
      <c r="W311" s="239">
        <v>0</v>
      </c>
      <c r="X311" s="239">
        <v>0</v>
      </c>
      <c r="Y311" s="239">
        <v>0</v>
      </c>
      <c r="Z311" s="239">
        <v>0</v>
      </c>
      <c r="AA311" s="239">
        <v>0</v>
      </c>
      <c r="AB311" s="239">
        <v>0</v>
      </c>
      <c r="AC311" s="239">
        <v>0</v>
      </c>
      <c r="AD311" s="239">
        <v>0</v>
      </c>
      <c r="AE311" s="239">
        <v>0</v>
      </c>
      <c r="AF311" s="239">
        <v>0</v>
      </c>
      <c r="AG311" s="239">
        <v>0</v>
      </c>
      <c r="AH311" s="239">
        <v>0</v>
      </c>
      <c r="AI311" s="239">
        <v>0</v>
      </c>
      <c r="AJ311" s="239">
        <v>0</v>
      </c>
      <c r="AK311" s="239">
        <v>441267.85916666663</v>
      </c>
      <c r="AL311" s="239">
        <v>99285.268312499989</v>
      </c>
      <c r="AM311" s="239">
        <v>11031.696479166665</v>
      </c>
      <c r="AN311" s="239">
        <v>414049</v>
      </c>
      <c r="AO311" s="239">
        <v>93160</v>
      </c>
      <c r="AP311" s="239">
        <v>10352</v>
      </c>
      <c r="AQ311" s="239">
        <v>27219</v>
      </c>
      <c r="AR311" s="239">
        <v>6125</v>
      </c>
      <c r="AS311" s="239">
        <v>680</v>
      </c>
      <c r="AT311" s="239">
        <v>4615.5425000000005</v>
      </c>
      <c r="AU311" s="239">
        <v>1038.4970625000001</v>
      </c>
      <c r="AV311" s="239">
        <v>115.38856250000001</v>
      </c>
      <c r="AW311" s="239">
        <v>0</v>
      </c>
      <c r="AX311" s="239">
        <v>0</v>
      </c>
      <c r="AY311" s="239">
        <v>0</v>
      </c>
      <c r="AZ311" s="239">
        <v>4616</v>
      </c>
      <c r="BA311" s="239">
        <v>1038</v>
      </c>
      <c r="BB311" s="239">
        <v>115</v>
      </c>
      <c r="BC311" s="239">
        <v>-3570.1158333333333</v>
      </c>
      <c r="BD311" s="239">
        <v>-803.27606249999997</v>
      </c>
      <c r="BE311" s="239">
        <v>-89.252895833333341</v>
      </c>
      <c r="BF311" s="239">
        <v>3650</v>
      </c>
      <c r="BG311" s="239">
        <v>822</v>
      </c>
      <c r="BH311" s="239">
        <v>92</v>
      </c>
      <c r="BI311" s="239">
        <v>-7220</v>
      </c>
      <c r="BJ311" s="239">
        <v>-1625</v>
      </c>
      <c r="BK311" s="239">
        <v>-181</v>
      </c>
      <c r="BL311" s="239">
        <v>13605.968333333334</v>
      </c>
      <c r="BM311" s="239">
        <v>3061.3428749999998</v>
      </c>
      <c r="BN311" s="239">
        <v>340.14920833333338</v>
      </c>
      <c r="BO311" s="239">
        <v>52472</v>
      </c>
      <c r="BP311" s="239">
        <v>11806</v>
      </c>
      <c r="BQ311" s="239">
        <v>1312</v>
      </c>
      <c r="BR311" s="239">
        <v>-38866</v>
      </c>
      <c r="BS311" s="239">
        <v>-8745</v>
      </c>
      <c r="BT311" s="239">
        <v>-972</v>
      </c>
      <c r="BU311" s="239">
        <v>162608.48833333334</v>
      </c>
      <c r="BV311" s="239">
        <v>36586.909875000005</v>
      </c>
      <c r="BW311" s="239">
        <v>4065.2122083333334</v>
      </c>
      <c r="BX311" s="239">
        <v>143329</v>
      </c>
      <c r="BY311" s="239">
        <v>32250</v>
      </c>
      <c r="BZ311" s="239">
        <v>3584</v>
      </c>
      <c r="CA311" s="239">
        <v>19279</v>
      </c>
      <c r="CB311" s="239">
        <v>4337</v>
      </c>
      <c r="CC311" s="239">
        <v>481</v>
      </c>
      <c r="CD311" s="239">
        <v>7162.1466666666665</v>
      </c>
      <c r="CE311" s="239">
        <v>1611.4829999999997</v>
      </c>
      <c r="CF311" s="239">
        <v>179.05366666666666</v>
      </c>
      <c r="CG311" s="239">
        <v>13706</v>
      </c>
      <c r="CH311" s="239">
        <v>0</v>
      </c>
      <c r="CI311" s="239">
        <v>0</v>
      </c>
      <c r="CJ311" s="239">
        <v>-6544</v>
      </c>
      <c r="CK311" s="239">
        <v>1611</v>
      </c>
      <c r="CL311" s="239">
        <v>179</v>
      </c>
      <c r="CM311" s="239">
        <v>3497.0658333333336</v>
      </c>
      <c r="CN311" s="239">
        <v>786.83981249999999</v>
      </c>
      <c r="CO311" s="239">
        <v>87.426645833333339</v>
      </c>
      <c r="CP311" s="239">
        <v>0</v>
      </c>
      <c r="CQ311" s="239">
        <v>0</v>
      </c>
      <c r="CR311" s="239">
        <v>0</v>
      </c>
      <c r="CS311" s="239">
        <v>3497</v>
      </c>
      <c r="CT311" s="239">
        <v>787</v>
      </c>
      <c r="CU311" s="239">
        <v>87</v>
      </c>
      <c r="CV311" s="239">
        <v>167469.0675</v>
      </c>
      <c r="CW311" s="239">
        <v>37680.540187499995</v>
      </c>
      <c r="CX311" s="239">
        <v>4186.7266875000005</v>
      </c>
      <c r="CY311" s="239">
        <v>182100</v>
      </c>
      <c r="CZ311" s="239">
        <v>40973</v>
      </c>
      <c r="DA311" s="239">
        <v>4553</v>
      </c>
      <c r="DB311" s="239">
        <v>-14631</v>
      </c>
      <c r="DC311" s="239">
        <v>-3292</v>
      </c>
      <c r="DD311" s="239">
        <v>-366</v>
      </c>
      <c r="DE311" s="214">
        <v>0.5</v>
      </c>
      <c r="DF311" s="214">
        <v>0.4</v>
      </c>
      <c r="DG311" s="214">
        <v>0.09</v>
      </c>
      <c r="DH311" s="214">
        <v>0.01</v>
      </c>
      <c r="DI311" s="214" t="s">
        <v>1294</v>
      </c>
    </row>
    <row r="312" spans="2:113" s="214" customFormat="1" x14ac:dyDescent="0.2">
      <c r="B312" s="610" t="s">
        <v>707</v>
      </c>
      <c r="C312" s="610" t="s">
        <v>706</v>
      </c>
      <c r="D312" s="239">
        <v>-140742</v>
      </c>
      <c r="E312" s="239">
        <v>0</v>
      </c>
      <c r="F312" s="239">
        <v>-140742</v>
      </c>
      <c r="G312" s="239">
        <v>0</v>
      </c>
      <c r="H312" s="239">
        <v>0</v>
      </c>
      <c r="I312" s="239">
        <v>0</v>
      </c>
      <c r="J312" s="239">
        <v>-140742</v>
      </c>
      <c r="K312" s="239">
        <v>0</v>
      </c>
      <c r="L312" s="239">
        <v>-140742</v>
      </c>
      <c r="M312" s="239">
        <v>105817</v>
      </c>
      <c r="N312" s="239">
        <v>105817</v>
      </c>
      <c r="O312" s="239">
        <v>0</v>
      </c>
      <c r="P312" s="239">
        <v>0</v>
      </c>
      <c r="Q312" s="239">
        <v>0</v>
      </c>
      <c r="R312" s="239">
        <v>0</v>
      </c>
      <c r="S312" s="239">
        <v>20244</v>
      </c>
      <c r="T312" s="239">
        <v>0</v>
      </c>
      <c r="U312" s="239">
        <v>19947</v>
      </c>
      <c r="V312" s="239">
        <v>4987</v>
      </c>
      <c r="W312" s="239">
        <v>297</v>
      </c>
      <c r="X312" s="239">
        <v>-4987</v>
      </c>
      <c r="Y312" s="239">
        <v>0</v>
      </c>
      <c r="Z312" s="239">
        <v>0</v>
      </c>
      <c r="AA312" s="239">
        <v>0</v>
      </c>
      <c r="AB312" s="239">
        <v>0</v>
      </c>
      <c r="AC312" s="239">
        <v>0</v>
      </c>
      <c r="AD312" s="239">
        <v>0</v>
      </c>
      <c r="AE312" s="239">
        <v>0</v>
      </c>
      <c r="AF312" s="239">
        <v>0</v>
      </c>
      <c r="AG312" s="239">
        <v>0</v>
      </c>
      <c r="AH312" s="239">
        <v>0</v>
      </c>
      <c r="AI312" s="239">
        <v>0</v>
      </c>
      <c r="AJ312" s="239">
        <v>0</v>
      </c>
      <c r="AK312" s="239">
        <v>380078.33833333338</v>
      </c>
      <c r="AL312" s="239">
        <v>95019.584583333344</v>
      </c>
      <c r="AM312" s="239">
        <v>0</v>
      </c>
      <c r="AN312" s="239">
        <v>348435</v>
      </c>
      <c r="AO312" s="239">
        <v>87110</v>
      </c>
      <c r="AP312" s="239">
        <v>0</v>
      </c>
      <c r="AQ312" s="239">
        <v>31643</v>
      </c>
      <c r="AR312" s="239">
        <v>7910</v>
      </c>
      <c r="AS312" s="239">
        <v>0</v>
      </c>
      <c r="AT312" s="239">
        <v>1524.7158333333334</v>
      </c>
      <c r="AU312" s="239">
        <v>381.17895833333336</v>
      </c>
      <c r="AV312" s="239">
        <v>0</v>
      </c>
      <c r="AW312" s="239">
        <v>811</v>
      </c>
      <c r="AX312" s="239">
        <v>204</v>
      </c>
      <c r="AY312" s="239">
        <v>0</v>
      </c>
      <c r="AZ312" s="239">
        <v>714</v>
      </c>
      <c r="BA312" s="239">
        <v>177</v>
      </c>
      <c r="BB312" s="239">
        <v>0</v>
      </c>
      <c r="BC312" s="239">
        <v>28999.632500000003</v>
      </c>
      <c r="BD312" s="239">
        <v>7249.9081250000008</v>
      </c>
      <c r="BE312" s="239">
        <v>0</v>
      </c>
      <c r="BF312" s="239">
        <v>12175</v>
      </c>
      <c r="BG312" s="239">
        <v>3044</v>
      </c>
      <c r="BH312" s="239">
        <v>0</v>
      </c>
      <c r="BI312" s="239">
        <v>16825</v>
      </c>
      <c r="BJ312" s="239">
        <v>4206</v>
      </c>
      <c r="BK312" s="239">
        <v>0</v>
      </c>
      <c r="BL312" s="239">
        <v>4473.9066666666668</v>
      </c>
      <c r="BM312" s="239">
        <v>1118.4766666666667</v>
      </c>
      <c r="BN312" s="239">
        <v>0</v>
      </c>
      <c r="BO312" s="239">
        <v>20291</v>
      </c>
      <c r="BP312" s="239">
        <v>5074</v>
      </c>
      <c r="BQ312" s="239">
        <v>0</v>
      </c>
      <c r="BR312" s="239">
        <v>-15817</v>
      </c>
      <c r="BS312" s="239">
        <v>-3956</v>
      </c>
      <c r="BT312" s="239">
        <v>0</v>
      </c>
      <c r="BU312" s="239">
        <v>113495.75583333333</v>
      </c>
      <c r="BV312" s="239">
        <v>28373.938958333332</v>
      </c>
      <c r="BW312" s="239">
        <v>0</v>
      </c>
      <c r="BX312" s="239">
        <v>110206</v>
      </c>
      <c r="BY312" s="239">
        <v>27552</v>
      </c>
      <c r="BZ312" s="239">
        <v>0</v>
      </c>
      <c r="CA312" s="239">
        <v>3290</v>
      </c>
      <c r="CB312" s="239">
        <v>822</v>
      </c>
      <c r="CC312" s="239">
        <v>0</v>
      </c>
      <c r="CD312" s="239">
        <v>0</v>
      </c>
      <c r="CE312" s="239">
        <v>0</v>
      </c>
      <c r="CF312" s="239">
        <v>0</v>
      </c>
      <c r="CG312" s="239">
        <v>0</v>
      </c>
      <c r="CH312" s="239">
        <v>0</v>
      </c>
      <c r="CI312" s="239">
        <v>0</v>
      </c>
      <c r="CJ312" s="239">
        <v>0</v>
      </c>
      <c r="CK312" s="239">
        <v>0</v>
      </c>
      <c r="CL312" s="239">
        <v>0</v>
      </c>
      <c r="CM312" s="239">
        <v>649.73916666666673</v>
      </c>
      <c r="CN312" s="239">
        <v>162.43479166666668</v>
      </c>
      <c r="CO312" s="239">
        <v>0</v>
      </c>
      <c r="CP312" s="239">
        <v>0</v>
      </c>
      <c r="CQ312" s="239">
        <v>0</v>
      </c>
      <c r="CR312" s="239">
        <v>0</v>
      </c>
      <c r="CS312" s="239">
        <v>650</v>
      </c>
      <c r="CT312" s="239">
        <v>162</v>
      </c>
      <c r="CU312" s="239">
        <v>0</v>
      </c>
      <c r="CV312" s="239">
        <v>78421.682500000024</v>
      </c>
      <c r="CW312" s="239">
        <v>19531.614375000005</v>
      </c>
      <c r="CX312" s="239">
        <v>0</v>
      </c>
      <c r="CY312" s="239">
        <v>95247</v>
      </c>
      <c r="CZ312" s="239">
        <v>23812</v>
      </c>
      <c r="DA312" s="239">
        <v>0</v>
      </c>
      <c r="DB312" s="239">
        <v>-16825</v>
      </c>
      <c r="DC312" s="239">
        <v>-4280</v>
      </c>
      <c r="DD312" s="239">
        <v>0</v>
      </c>
      <c r="DE312" s="214">
        <v>0.5</v>
      </c>
      <c r="DF312" s="214">
        <v>0.4</v>
      </c>
      <c r="DG312" s="214">
        <v>0.1</v>
      </c>
      <c r="DH312" s="214">
        <v>0</v>
      </c>
      <c r="DI312" s="214" t="s">
        <v>1294</v>
      </c>
    </row>
    <row r="313" spans="2:113" s="214" customFormat="1" x14ac:dyDescent="0.2">
      <c r="B313" s="610" t="s">
        <v>709</v>
      </c>
      <c r="C313" s="610" t="s">
        <v>708</v>
      </c>
      <c r="D313" s="239">
        <v>-17768</v>
      </c>
      <c r="E313" s="239">
        <v>0</v>
      </c>
      <c r="F313" s="239">
        <v>-17768</v>
      </c>
      <c r="G313" s="239">
        <v>0</v>
      </c>
      <c r="H313" s="239">
        <v>0</v>
      </c>
      <c r="I313" s="239">
        <v>0</v>
      </c>
      <c r="J313" s="239">
        <v>-17768</v>
      </c>
      <c r="K313" s="239">
        <v>0</v>
      </c>
      <c r="L313" s="239">
        <v>-17768</v>
      </c>
      <c r="M313" s="239">
        <v>163844</v>
      </c>
      <c r="N313" s="239">
        <v>163844</v>
      </c>
      <c r="O313" s="239">
        <v>0</v>
      </c>
      <c r="P313" s="239">
        <v>0</v>
      </c>
      <c r="Q313" s="239">
        <v>0</v>
      </c>
      <c r="R313" s="239">
        <v>0</v>
      </c>
      <c r="S313" s="239">
        <v>294335</v>
      </c>
      <c r="T313" s="239">
        <v>0</v>
      </c>
      <c r="U313" s="239">
        <v>198186</v>
      </c>
      <c r="V313" s="239">
        <v>0</v>
      </c>
      <c r="W313" s="239">
        <v>96149</v>
      </c>
      <c r="X313" s="239">
        <v>0</v>
      </c>
      <c r="Y313" s="239">
        <v>0</v>
      </c>
      <c r="Z313" s="239">
        <v>0</v>
      </c>
      <c r="AA313" s="239">
        <v>0</v>
      </c>
      <c r="AB313" s="239">
        <v>0</v>
      </c>
      <c r="AC313" s="239">
        <v>0</v>
      </c>
      <c r="AD313" s="239">
        <v>0</v>
      </c>
      <c r="AE313" s="239">
        <v>0</v>
      </c>
      <c r="AF313" s="239">
        <v>0</v>
      </c>
      <c r="AG313" s="239">
        <v>0</v>
      </c>
      <c r="AH313" s="239">
        <v>0</v>
      </c>
      <c r="AI313" s="239">
        <v>0</v>
      </c>
      <c r="AJ313" s="239">
        <v>0</v>
      </c>
      <c r="AK313" s="239">
        <v>541402.16125</v>
      </c>
      <c r="AL313" s="239">
        <v>135350.5403125</v>
      </c>
      <c r="AM313" s="239">
        <v>0</v>
      </c>
      <c r="AN313" s="239">
        <v>476485</v>
      </c>
      <c r="AO313" s="239">
        <v>119122</v>
      </c>
      <c r="AP313" s="239">
        <v>0</v>
      </c>
      <c r="AQ313" s="239">
        <v>64917</v>
      </c>
      <c r="AR313" s="239">
        <v>16229</v>
      </c>
      <c r="AS313" s="239">
        <v>0</v>
      </c>
      <c r="AT313" s="239">
        <v>5348.0716666666676</v>
      </c>
      <c r="AU313" s="239">
        <v>1337.0179166666669</v>
      </c>
      <c r="AV313" s="239">
        <v>0</v>
      </c>
      <c r="AW313" s="239">
        <v>1161</v>
      </c>
      <c r="AX313" s="239">
        <v>290</v>
      </c>
      <c r="AY313" s="239">
        <v>0</v>
      </c>
      <c r="AZ313" s="239">
        <v>4187</v>
      </c>
      <c r="BA313" s="239">
        <v>1047</v>
      </c>
      <c r="BB313" s="239">
        <v>0</v>
      </c>
      <c r="BC313" s="239">
        <v>0</v>
      </c>
      <c r="BD313" s="239">
        <v>0</v>
      </c>
      <c r="BE313" s="239">
        <v>0</v>
      </c>
      <c r="BF313" s="239">
        <v>0</v>
      </c>
      <c r="BG313" s="239">
        <v>0</v>
      </c>
      <c r="BH313" s="239">
        <v>0</v>
      </c>
      <c r="BI313" s="239">
        <v>0</v>
      </c>
      <c r="BJ313" s="239">
        <v>0</v>
      </c>
      <c r="BK313" s="239">
        <v>0</v>
      </c>
      <c r="BL313" s="239">
        <v>2081.5191666666665</v>
      </c>
      <c r="BM313" s="239">
        <v>520.37979166666662</v>
      </c>
      <c r="BN313" s="239">
        <v>0</v>
      </c>
      <c r="BO313" s="239">
        <v>1475</v>
      </c>
      <c r="BP313" s="239">
        <v>370</v>
      </c>
      <c r="BQ313" s="239">
        <v>0</v>
      </c>
      <c r="BR313" s="239">
        <v>607</v>
      </c>
      <c r="BS313" s="239">
        <v>150</v>
      </c>
      <c r="BT313" s="239">
        <v>0</v>
      </c>
      <c r="BU313" s="239">
        <v>249790.41666666669</v>
      </c>
      <c r="BV313" s="239">
        <v>62447.604166666672</v>
      </c>
      <c r="BW313" s="239">
        <v>0</v>
      </c>
      <c r="BX313" s="239">
        <v>218997</v>
      </c>
      <c r="BY313" s="239">
        <v>54750</v>
      </c>
      <c r="BZ313" s="239">
        <v>0</v>
      </c>
      <c r="CA313" s="239">
        <v>30793</v>
      </c>
      <c r="CB313" s="239">
        <v>7698</v>
      </c>
      <c r="CC313" s="239">
        <v>0</v>
      </c>
      <c r="CD313" s="239">
        <v>0</v>
      </c>
      <c r="CE313" s="239">
        <v>0</v>
      </c>
      <c r="CF313" s="239">
        <v>0</v>
      </c>
      <c r="CG313" s="239">
        <v>0</v>
      </c>
      <c r="CH313" s="239">
        <v>0</v>
      </c>
      <c r="CI313" s="239">
        <v>0</v>
      </c>
      <c r="CJ313" s="239">
        <v>0</v>
      </c>
      <c r="CK313" s="239">
        <v>0</v>
      </c>
      <c r="CL313" s="239">
        <v>0</v>
      </c>
      <c r="CM313" s="239">
        <v>3774.6558333333337</v>
      </c>
      <c r="CN313" s="239">
        <v>943.66395833333343</v>
      </c>
      <c r="CO313" s="239">
        <v>0</v>
      </c>
      <c r="CP313" s="239">
        <v>0</v>
      </c>
      <c r="CQ313" s="239">
        <v>0</v>
      </c>
      <c r="CR313" s="239">
        <v>0</v>
      </c>
      <c r="CS313" s="239">
        <v>3775</v>
      </c>
      <c r="CT313" s="239">
        <v>944</v>
      </c>
      <c r="CU313" s="239">
        <v>0</v>
      </c>
      <c r="CV313" s="239">
        <v>186403.41125</v>
      </c>
      <c r="CW313" s="239">
        <v>45527.756458333337</v>
      </c>
      <c r="CX313" s="239">
        <v>0</v>
      </c>
      <c r="CY313" s="239">
        <v>196858</v>
      </c>
      <c r="CZ313" s="239">
        <v>48492</v>
      </c>
      <c r="DA313" s="239">
        <v>0</v>
      </c>
      <c r="DB313" s="239">
        <v>-10455</v>
      </c>
      <c r="DC313" s="239">
        <v>-2964</v>
      </c>
      <c r="DD313" s="239">
        <v>0</v>
      </c>
      <c r="DE313" s="214">
        <v>0.5</v>
      </c>
      <c r="DF313" s="214">
        <v>0.4</v>
      </c>
      <c r="DG313" s="214">
        <v>0.1</v>
      </c>
      <c r="DH313" s="214">
        <v>0</v>
      </c>
      <c r="DI313" s="214" t="s">
        <v>1294</v>
      </c>
    </row>
    <row r="314" spans="2:113" s="214" customFormat="1" x14ac:dyDescent="0.2">
      <c r="B314" s="610" t="s">
        <v>711</v>
      </c>
      <c r="C314" s="610" t="s">
        <v>710</v>
      </c>
      <c r="D314" s="239">
        <v>-4838666</v>
      </c>
      <c r="E314" s="239">
        <v>0</v>
      </c>
      <c r="F314" s="239">
        <v>-4838666</v>
      </c>
      <c r="G314" s="239">
        <v>0</v>
      </c>
      <c r="H314" s="239">
        <v>0</v>
      </c>
      <c r="I314" s="239">
        <v>0</v>
      </c>
      <c r="J314" s="239">
        <v>-4838666</v>
      </c>
      <c r="K314" s="239">
        <v>0</v>
      </c>
      <c r="L314" s="239">
        <v>-4838666</v>
      </c>
      <c r="M314" s="239">
        <v>74735</v>
      </c>
      <c r="N314" s="239">
        <v>74735</v>
      </c>
      <c r="O314" s="239">
        <v>0</v>
      </c>
      <c r="P314" s="239">
        <v>0</v>
      </c>
      <c r="Q314" s="239">
        <v>0</v>
      </c>
      <c r="R314" s="239">
        <v>0</v>
      </c>
      <c r="S314" s="239">
        <v>26745</v>
      </c>
      <c r="T314" s="239">
        <v>0</v>
      </c>
      <c r="U314" s="239">
        <v>10000</v>
      </c>
      <c r="V314" s="239">
        <v>0</v>
      </c>
      <c r="W314" s="239">
        <v>16745</v>
      </c>
      <c r="X314" s="239">
        <v>0</v>
      </c>
      <c r="Y314" s="239">
        <v>0</v>
      </c>
      <c r="Z314" s="239">
        <v>0</v>
      </c>
      <c r="AA314" s="239">
        <v>0</v>
      </c>
      <c r="AB314" s="239">
        <v>0</v>
      </c>
      <c r="AC314" s="239">
        <v>0</v>
      </c>
      <c r="AD314" s="239">
        <v>0</v>
      </c>
      <c r="AE314" s="239">
        <v>0</v>
      </c>
      <c r="AF314" s="239">
        <v>0</v>
      </c>
      <c r="AG314" s="239">
        <v>0</v>
      </c>
      <c r="AH314" s="239">
        <v>0</v>
      </c>
      <c r="AI314" s="239">
        <v>0</v>
      </c>
      <c r="AJ314" s="239">
        <v>0</v>
      </c>
      <c r="AK314" s="239">
        <v>291934.99083333334</v>
      </c>
      <c r="AL314" s="239">
        <v>65685.372937499997</v>
      </c>
      <c r="AM314" s="239">
        <v>7298.374770833334</v>
      </c>
      <c r="AN314" s="239">
        <v>272266</v>
      </c>
      <c r="AO314" s="239">
        <v>61260</v>
      </c>
      <c r="AP314" s="239">
        <v>6806</v>
      </c>
      <c r="AQ314" s="239">
        <v>19669</v>
      </c>
      <c r="AR314" s="239">
        <v>4425</v>
      </c>
      <c r="AS314" s="239">
        <v>492</v>
      </c>
      <c r="AT314" s="239">
        <v>243.5</v>
      </c>
      <c r="AU314" s="239">
        <v>54.787500000000001</v>
      </c>
      <c r="AV314" s="239">
        <v>6.0875000000000004</v>
      </c>
      <c r="AW314" s="239">
        <v>6108</v>
      </c>
      <c r="AX314" s="239">
        <v>1374</v>
      </c>
      <c r="AY314" s="239">
        <v>152</v>
      </c>
      <c r="AZ314" s="239">
        <v>-5865</v>
      </c>
      <c r="BA314" s="239">
        <v>-1319</v>
      </c>
      <c r="BB314" s="239">
        <v>-146</v>
      </c>
      <c r="BC314" s="239">
        <v>1010.9308333333333</v>
      </c>
      <c r="BD314" s="239">
        <v>227.45943749999998</v>
      </c>
      <c r="BE314" s="239">
        <v>25.273270833333331</v>
      </c>
      <c r="BF314" s="239">
        <v>304</v>
      </c>
      <c r="BG314" s="239">
        <v>68</v>
      </c>
      <c r="BH314" s="239">
        <v>8</v>
      </c>
      <c r="BI314" s="239">
        <v>707</v>
      </c>
      <c r="BJ314" s="239">
        <v>159</v>
      </c>
      <c r="BK314" s="239">
        <v>17</v>
      </c>
      <c r="BL314" s="239">
        <v>0</v>
      </c>
      <c r="BM314" s="239">
        <v>0</v>
      </c>
      <c r="BN314" s="239">
        <v>0</v>
      </c>
      <c r="BO314" s="239">
        <v>1420</v>
      </c>
      <c r="BP314" s="239">
        <v>320</v>
      </c>
      <c r="BQ314" s="239">
        <v>36</v>
      </c>
      <c r="BR314" s="239">
        <v>-1420</v>
      </c>
      <c r="BS314" s="239">
        <v>-320</v>
      </c>
      <c r="BT314" s="239">
        <v>-36</v>
      </c>
      <c r="BU314" s="239">
        <v>110417.91583333333</v>
      </c>
      <c r="BV314" s="239">
        <v>24844.031062499998</v>
      </c>
      <c r="BW314" s="239">
        <v>2760.4478958333334</v>
      </c>
      <c r="BX314" s="239">
        <v>110012</v>
      </c>
      <c r="BY314" s="239">
        <v>24752</v>
      </c>
      <c r="BZ314" s="239">
        <v>2750</v>
      </c>
      <c r="CA314" s="239">
        <v>406</v>
      </c>
      <c r="CB314" s="239">
        <v>92</v>
      </c>
      <c r="CC314" s="239">
        <v>10</v>
      </c>
      <c r="CD314" s="239">
        <v>0</v>
      </c>
      <c r="CE314" s="239">
        <v>0</v>
      </c>
      <c r="CF314" s="239">
        <v>0</v>
      </c>
      <c r="CG314" s="239">
        <v>0</v>
      </c>
      <c r="CH314" s="239">
        <v>0</v>
      </c>
      <c r="CI314" s="239">
        <v>0</v>
      </c>
      <c r="CJ314" s="239">
        <v>0</v>
      </c>
      <c r="CK314" s="239">
        <v>0</v>
      </c>
      <c r="CL314" s="239">
        <v>0</v>
      </c>
      <c r="CM314" s="239">
        <v>5809.0983333333334</v>
      </c>
      <c r="CN314" s="239">
        <v>1307.0471249999998</v>
      </c>
      <c r="CO314" s="239">
        <v>145.22745833333332</v>
      </c>
      <c r="CP314" s="239">
        <v>0</v>
      </c>
      <c r="CQ314" s="239">
        <v>0</v>
      </c>
      <c r="CR314" s="239">
        <v>0</v>
      </c>
      <c r="CS314" s="239">
        <v>5809</v>
      </c>
      <c r="CT314" s="239">
        <v>1307</v>
      </c>
      <c r="CU314" s="239">
        <v>145</v>
      </c>
      <c r="CV314" s="239">
        <v>57661.721249999995</v>
      </c>
      <c r="CW314" s="239">
        <v>12886.130249999998</v>
      </c>
      <c r="CX314" s="239">
        <v>1431.79225</v>
      </c>
      <c r="CY314" s="239">
        <v>67340</v>
      </c>
      <c r="CZ314" s="239">
        <v>15119</v>
      </c>
      <c r="DA314" s="239">
        <v>1680</v>
      </c>
      <c r="DB314" s="239">
        <v>-9678</v>
      </c>
      <c r="DC314" s="239">
        <v>-2233</v>
      </c>
      <c r="DD314" s="239">
        <v>-248</v>
      </c>
      <c r="DE314" s="214">
        <v>0.5</v>
      </c>
      <c r="DF314" s="214">
        <v>0.4</v>
      </c>
      <c r="DG314" s="214">
        <v>0.09</v>
      </c>
      <c r="DH314" s="214">
        <v>0.01</v>
      </c>
      <c r="DI314" s="214" t="s">
        <v>1294</v>
      </c>
    </row>
    <row r="315" spans="2:113" s="214" customFormat="1" x14ac:dyDescent="0.2">
      <c r="B315" s="610" t="s">
        <v>713</v>
      </c>
      <c r="C315" s="610" t="s">
        <v>712</v>
      </c>
      <c r="D315" s="239">
        <v>-39323569</v>
      </c>
      <c r="E315" s="239">
        <v>0</v>
      </c>
      <c r="F315" s="239">
        <v>-39323569</v>
      </c>
      <c r="G315" s="239">
        <v>0</v>
      </c>
      <c r="H315" s="239">
        <v>0</v>
      </c>
      <c r="I315" s="239">
        <v>0</v>
      </c>
      <c r="J315" s="239">
        <v>-39323569</v>
      </c>
      <c r="K315" s="239">
        <v>0</v>
      </c>
      <c r="L315" s="239">
        <v>-39323569</v>
      </c>
      <c r="M315" s="239">
        <v>3129174</v>
      </c>
      <c r="N315" s="239">
        <v>3129174</v>
      </c>
      <c r="O315" s="239">
        <v>0</v>
      </c>
      <c r="P315" s="239">
        <v>0</v>
      </c>
      <c r="Q315" s="239">
        <v>0</v>
      </c>
      <c r="R315" s="239">
        <v>0</v>
      </c>
      <c r="S315" s="239">
        <v>0</v>
      </c>
      <c r="T315" s="239">
        <v>0</v>
      </c>
      <c r="U315" s="239">
        <v>0</v>
      </c>
      <c r="V315" s="239">
        <v>0</v>
      </c>
      <c r="W315" s="239">
        <v>0</v>
      </c>
      <c r="X315" s="239">
        <v>0</v>
      </c>
      <c r="Y315" s="239">
        <v>0</v>
      </c>
      <c r="Z315" s="239">
        <v>0</v>
      </c>
      <c r="AA315" s="239">
        <v>0</v>
      </c>
      <c r="AB315" s="239">
        <v>0</v>
      </c>
      <c r="AC315" s="239">
        <v>0</v>
      </c>
      <c r="AD315" s="239">
        <v>0</v>
      </c>
      <c r="AE315" s="239">
        <v>0</v>
      </c>
      <c r="AF315" s="239">
        <v>0</v>
      </c>
      <c r="AG315" s="239">
        <v>0</v>
      </c>
      <c r="AH315" s="239">
        <v>0</v>
      </c>
      <c r="AI315" s="239">
        <v>0</v>
      </c>
      <c r="AJ315" s="239">
        <v>0</v>
      </c>
      <c r="AK315" s="239">
        <v>403919.16968749999</v>
      </c>
      <c r="AL315" s="239">
        <v>269279.44645833335</v>
      </c>
      <c r="AM315" s="239">
        <v>0</v>
      </c>
      <c r="AN315" s="239">
        <v>326866</v>
      </c>
      <c r="AO315" s="239">
        <v>217912</v>
      </c>
      <c r="AP315" s="239">
        <v>0</v>
      </c>
      <c r="AQ315" s="239">
        <v>77053</v>
      </c>
      <c r="AR315" s="239">
        <v>51367</v>
      </c>
      <c r="AS315" s="239">
        <v>0</v>
      </c>
      <c r="AT315" s="239">
        <v>0</v>
      </c>
      <c r="AU315" s="239">
        <v>0</v>
      </c>
      <c r="AV315" s="239">
        <v>0</v>
      </c>
      <c r="AW315" s="239">
        <v>0</v>
      </c>
      <c r="AX315" s="239">
        <v>0</v>
      </c>
      <c r="AY315" s="239">
        <v>0</v>
      </c>
      <c r="AZ315" s="239">
        <v>0</v>
      </c>
      <c r="BA315" s="239">
        <v>0</v>
      </c>
      <c r="BB315" s="239">
        <v>0</v>
      </c>
      <c r="BC315" s="239">
        <v>62451.662499999999</v>
      </c>
      <c r="BD315" s="239">
        <v>41634.441666666673</v>
      </c>
      <c r="BE315" s="239">
        <v>0</v>
      </c>
      <c r="BF315" s="239">
        <v>0</v>
      </c>
      <c r="BG315" s="239">
        <v>0</v>
      </c>
      <c r="BH315" s="239">
        <v>0</v>
      </c>
      <c r="BI315" s="239">
        <v>62452</v>
      </c>
      <c r="BJ315" s="239">
        <v>41634</v>
      </c>
      <c r="BK315" s="239">
        <v>0</v>
      </c>
      <c r="BL315" s="239">
        <v>69544.513124999998</v>
      </c>
      <c r="BM315" s="239">
        <v>46363.008750000008</v>
      </c>
      <c r="BN315" s="239">
        <v>0</v>
      </c>
      <c r="BO315" s="239">
        <v>7441</v>
      </c>
      <c r="BP315" s="239">
        <v>4962</v>
      </c>
      <c r="BQ315" s="239">
        <v>0</v>
      </c>
      <c r="BR315" s="239">
        <v>62104</v>
      </c>
      <c r="BS315" s="239">
        <v>41401</v>
      </c>
      <c r="BT315" s="239">
        <v>0</v>
      </c>
      <c r="BU315" s="239">
        <v>1044779.3624999999</v>
      </c>
      <c r="BV315" s="239">
        <v>696519.57499999995</v>
      </c>
      <c r="BW315" s="239">
        <v>0</v>
      </c>
      <c r="BX315" s="239">
        <v>1001388</v>
      </c>
      <c r="BY315" s="239">
        <v>667592</v>
      </c>
      <c r="BZ315" s="239">
        <v>0</v>
      </c>
      <c r="CA315" s="239">
        <v>43391</v>
      </c>
      <c r="CB315" s="239">
        <v>28928</v>
      </c>
      <c r="CC315" s="239">
        <v>0</v>
      </c>
      <c r="CD315" s="239">
        <v>0</v>
      </c>
      <c r="CE315" s="239">
        <v>0</v>
      </c>
      <c r="CF315" s="239">
        <v>0</v>
      </c>
      <c r="CG315" s="239">
        <v>0</v>
      </c>
      <c r="CH315" s="239">
        <v>0</v>
      </c>
      <c r="CI315" s="239">
        <v>0</v>
      </c>
      <c r="CJ315" s="239">
        <v>0</v>
      </c>
      <c r="CK315" s="239">
        <v>0</v>
      </c>
      <c r="CL315" s="239">
        <v>0</v>
      </c>
      <c r="CM315" s="239">
        <v>12230.700624999999</v>
      </c>
      <c r="CN315" s="239">
        <v>8153.8004166666669</v>
      </c>
      <c r="CO315" s="239">
        <v>0</v>
      </c>
      <c r="CP315" s="239">
        <v>0</v>
      </c>
      <c r="CQ315" s="239">
        <v>0</v>
      </c>
      <c r="CR315" s="239">
        <v>0</v>
      </c>
      <c r="CS315" s="239">
        <v>12231</v>
      </c>
      <c r="CT315" s="239">
        <v>8154</v>
      </c>
      <c r="CU315" s="239">
        <v>0</v>
      </c>
      <c r="CV315" s="239">
        <v>6987380.1462499993</v>
      </c>
      <c r="CW315" s="239">
        <v>4658253.4308333341</v>
      </c>
      <c r="CX315" s="239">
        <v>0</v>
      </c>
      <c r="CY315" s="239">
        <v>7903371</v>
      </c>
      <c r="CZ315" s="239">
        <v>5268914</v>
      </c>
      <c r="DA315" s="239">
        <v>0</v>
      </c>
      <c r="DB315" s="239">
        <v>-915991</v>
      </c>
      <c r="DC315" s="239">
        <v>-610661</v>
      </c>
      <c r="DD315" s="239">
        <v>0</v>
      </c>
      <c r="DE315" s="214">
        <v>0.5</v>
      </c>
      <c r="DF315" s="214">
        <v>0.3</v>
      </c>
      <c r="DG315" s="214">
        <v>0.2</v>
      </c>
      <c r="DH315" s="214">
        <v>0</v>
      </c>
      <c r="DI315" s="214" t="s">
        <v>1297</v>
      </c>
    </row>
    <row r="316" spans="2:113" s="214" customFormat="1" x14ac:dyDescent="0.2">
      <c r="B316" s="610" t="s">
        <v>715</v>
      </c>
      <c r="C316" s="610" t="s">
        <v>714</v>
      </c>
      <c r="D316" s="239">
        <v>11569</v>
      </c>
      <c r="E316" s="239">
        <v>0</v>
      </c>
      <c r="F316" s="239">
        <v>11569</v>
      </c>
      <c r="G316" s="239">
        <v>0</v>
      </c>
      <c r="H316" s="239">
        <v>0</v>
      </c>
      <c r="I316" s="239">
        <v>0</v>
      </c>
      <c r="J316" s="239">
        <v>11569</v>
      </c>
      <c r="K316" s="239">
        <v>0</v>
      </c>
      <c r="L316" s="239">
        <v>11569</v>
      </c>
      <c r="M316" s="239">
        <v>107702</v>
      </c>
      <c r="N316" s="239">
        <v>107702</v>
      </c>
      <c r="O316" s="239">
        <v>0</v>
      </c>
      <c r="P316" s="239">
        <v>0</v>
      </c>
      <c r="Q316" s="239">
        <v>0</v>
      </c>
      <c r="R316" s="239">
        <v>0</v>
      </c>
      <c r="S316" s="239">
        <v>0</v>
      </c>
      <c r="T316" s="239">
        <v>0</v>
      </c>
      <c r="U316" s="239">
        <v>0</v>
      </c>
      <c r="V316" s="239">
        <v>0</v>
      </c>
      <c r="W316" s="239">
        <v>0</v>
      </c>
      <c r="X316" s="239">
        <v>0</v>
      </c>
      <c r="Y316" s="239">
        <v>0</v>
      </c>
      <c r="Z316" s="239">
        <v>0</v>
      </c>
      <c r="AA316" s="239">
        <v>0</v>
      </c>
      <c r="AB316" s="239">
        <v>0</v>
      </c>
      <c r="AC316" s="239">
        <v>0</v>
      </c>
      <c r="AD316" s="239">
        <v>0</v>
      </c>
      <c r="AE316" s="239">
        <v>0</v>
      </c>
      <c r="AF316" s="239">
        <v>0</v>
      </c>
      <c r="AG316" s="239">
        <v>0</v>
      </c>
      <c r="AH316" s="239">
        <v>0</v>
      </c>
      <c r="AI316" s="239">
        <v>0</v>
      </c>
      <c r="AJ316" s="239">
        <v>0</v>
      </c>
      <c r="AK316" s="239">
        <v>342013.80958333338</v>
      </c>
      <c r="AL316" s="239">
        <v>76953.10715625</v>
      </c>
      <c r="AM316" s="239">
        <v>8550.3452395833338</v>
      </c>
      <c r="AN316" s="239">
        <v>319809</v>
      </c>
      <c r="AO316" s="239">
        <v>71956</v>
      </c>
      <c r="AP316" s="239">
        <v>7996</v>
      </c>
      <c r="AQ316" s="239">
        <v>22205</v>
      </c>
      <c r="AR316" s="239">
        <v>4997</v>
      </c>
      <c r="AS316" s="239">
        <v>554</v>
      </c>
      <c r="AT316" s="239">
        <v>1383.08</v>
      </c>
      <c r="AU316" s="239">
        <v>311.19299999999998</v>
      </c>
      <c r="AV316" s="239">
        <v>34.576999999999998</v>
      </c>
      <c r="AW316" s="239">
        <v>0</v>
      </c>
      <c r="AX316" s="239">
        <v>0</v>
      </c>
      <c r="AY316" s="239">
        <v>0</v>
      </c>
      <c r="AZ316" s="239">
        <v>1383</v>
      </c>
      <c r="BA316" s="239">
        <v>311</v>
      </c>
      <c r="BB316" s="239">
        <v>35</v>
      </c>
      <c r="BC316" s="239">
        <v>0</v>
      </c>
      <c r="BD316" s="239">
        <v>0</v>
      </c>
      <c r="BE316" s="239">
        <v>0</v>
      </c>
      <c r="BF316" s="239">
        <v>0</v>
      </c>
      <c r="BG316" s="239">
        <v>0</v>
      </c>
      <c r="BH316" s="239">
        <v>0</v>
      </c>
      <c r="BI316" s="239">
        <v>0</v>
      </c>
      <c r="BJ316" s="239">
        <v>0</v>
      </c>
      <c r="BK316" s="239">
        <v>0</v>
      </c>
      <c r="BL316" s="239">
        <v>5445.8775000000005</v>
      </c>
      <c r="BM316" s="239">
        <v>1225.3224375</v>
      </c>
      <c r="BN316" s="239">
        <v>136.14693750000001</v>
      </c>
      <c r="BO316" s="239">
        <v>5948</v>
      </c>
      <c r="BP316" s="239">
        <v>1338</v>
      </c>
      <c r="BQ316" s="239">
        <v>148</v>
      </c>
      <c r="BR316" s="239">
        <v>-502</v>
      </c>
      <c r="BS316" s="239">
        <v>-113</v>
      </c>
      <c r="BT316" s="239">
        <v>-12</v>
      </c>
      <c r="BU316" s="239">
        <v>224850.74083333334</v>
      </c>
      <c r="BV316" s="239">
        <v>50591.416687500001</v>
      </c>
      <c r="BW316" s="239">
        <v>5621.2685208333342</v>
      </c>
      <c r="BX316" s="239">
        <v>230784</v>
      </c>
      <c r="BY316" s="239">
        <v>51926</v>
      </c>
      <c r="BZ316" s="239">
        <v>5770</v>
      </c>
      <c r="CA316" s="239">
        <v>-5933</v>
      </c>
      <c r="CB316" s="239">
        <v>-1335</v>
      </c>
      <c r="CC316" s="239">
        <v>-149</v>
      </c>
      <c r="CD316" s="239">
        <v>0</v>
      </c>
      <c r="CE316" s="239">
        <v>0</v>
      </c>
      <c r="CF316" s="239">
        <v>0</v>
      </c>
      <c r="CG316" s="239">
        <v>0</v>
      </c>
      <c r="CH316" s="239">
        <v>0</v>
      </c>
      <c r="CI316" s="239">
        <v>0</v>
      </c>
      <c r="CJ316" s="239">
        <v>0</v>
      </c>
      <c r="CK316" s="239">
        <v>0</v>
      </c>
      <c r="CL316" s="239">
        <v>0</v>
      </c>
      <c r="CM316" s="239">
        <v>831.95833333333348</v>
      </c>
      <c r="CN316" s="239">
        <v>187.19062500000001</v>
      </c>
      <c r="CO316" s="239">
        <v>20.798958333333335</v>
      </c>
      <c r="CP316" s="239">
        <v>0</v>
      </c>
      <c r="CQ316" s="239">
        <v>0</v>
      </c>
      <c r="CR316" s="239">
        <v>0</v>
      </c>
      <c r="CS316" s="239">
        <v>832</v>
      </c>
      <c r="CT316" s="239">
        <v>187</v>
      </c>
      <c r="CU316" s="239">
        <v>21</v>
      </c>
      <c r="CV316" s="239">
        <v>89069.732500000013</v>
      </c>
      <c r="CW316" s="239">
        <v>20040.689812499997</v>
      </c>
      <c r="CX316" s="239">
        <v>2226.7433125000002</v>
      </c>
      <c r="CY316" s="239">
        <v>89910</v>
      </c>
      <c r="CZ316" s="239">
        <v>20230</v>
      </c>
      <c r="DA316" s="239">
        <v>2248</v>
      </c>
      <c r="DB316" s="239">
        <v>-840</v>
      </c>
      <c r="DC316" s="239">
        <v>-189</v>
      </c>
      <c r="DD316" s="239">
        <v>-21</v>
      </c>
      <c r="DE316" s="214">
        <v>0.5</v>
      </c>
      <c r="DF316" s="214">
        <v>0.4</v>
      </c>
      <c r="DG316" s="214">
        <v>0.09</v>
      </c>
      <c r="DH316" s="214">
        <v>0.01</v>
      </c>
      <c r="DI316" s="214" t="s">
        <v>1294</v>
      </c>
    </row>
    <row r="317" spans="2:113" s="214" customFormat="1" x14ac:dyDescent="0.2">
      <c r="B317" s="610" t="s">
        <v>717</v>
      </c>
      <c r="C317" s="610" t="s">
        <v>716</v>
      </c>
      <c r="D317" s="239">
        <v>-327159</v>
      </c>
      <c r="E317" s="239">
        <v>0</v>
      </c>
      <c r="F317" s="239">
        <v>-327159</v>
      </c>
      <c r="G317" s="239">
        <v>0</v>
      </c>
      <c r="H317" s="239">
        <v>0</v>
      </c>
      <c r="I317" s="239">
        <v>0</v>
      </c>
      <c r="J317" s="239">
        <v>-327159</v>
      </c>
      <c r="K317" s="239">
        <v>0</v>
      </c>
      <c r="L317" s="239">
        <v>-327159</v>
      </c>
      <c r="M317" s="239">
        <v>387365</v>
      </c>
      <c r="N317" s="239">
        <v>387365</v>
      </c>
      <c r="O317" s="239">
        <v>0</v>
      </c>
      <c r="P317" s="239">
        <v>0</v>
      </c>
      <c r="Q317" s="239">
        <v>0</v>
      </c>
      <c r="R317" s="239">
        <v>0</v>
      </c>
      <c r="S317" s="239">
        <v>0</v>
      </c>
      <c r="T317" s="239">
        <v>0</v>
      </c>
      <c r="U317" s="239">
        <v>0</v>
      </c>
      <c r="V317" s="239">
        <v>0</v>
      </c>
      <c r="W317" s="239">
        <v>0</v>
      </c>
      <c r="X317" s="239">
        <v>0</v>
      </c>
      <c r="Y317" s="239">
        <v>0</v>
      </c>
      <c r="Z317" s="239">
        <v>0</v>
      </c>
      <c r="AA317" s="239">
        <v>0</v>
      </c>
      <c r="AB317" s="239">
        <v>0</v>
      </c>
      <c r="AC317" s="239">
        <v>0</v>
      </c>
      <c r="AD317" s="239">
        <v>0</v>
      </c>
      <c r="AE317" s="239">
        <v>0</v>
      </c>
      <c r="AF317" s="239">
        <v>0</v>
      </c>
      <c r="AG317" s="239">
        <v>0</v>
      </c>
      <c r="AH317" s="239">
        <v>0</v>
      </c>
      <c r="AI317" s="239">
        <v>0</v>
      </c>
      <c r="AJ317" s="239">
        <v>0</v>
      </c>
      <c r="AK317" s="239">
        <v>1739925.6533020833</v>
      </c>
      <c r="AL317" s="239">
        <v>0</v>
      </c>
      <c r="AM317" s="239">
        <v>35508.686802083335</v>
      </c>
      <c r="AN317" s="239">
        <v>1709213</v>
      </c>
      <c r="AO317" s="239">
        <v>0</v>
      </c>
      <c r="AP317" s="239">
        <v>34882</v>
      </c>
      <c r="AQ317" s="239">
        <v>30713</v>
      </c>
      <c r="AR317" s="239">
        <v>0</v>
      </c>
      <c r="AS317" s="239">
        <v>627</v>
      </c>
      <c r="AT317" s="239">
        <v>19597.985895833332</v>
      </c>
      <c r="AU317" s="239">
        <v>0</v>
      </c>
      <c r="AV317" s="239">
        <v>399.95889583333332</v>
      </c>
      <c r="AW317" s="239">
        <v>0</v>
      </c>
      <c r="AX317" s="239">
        <v>0</v>
      </c>
      <c r="AY317" s="239">
        <v>0</v>
      </c>
      <c r="AZ317" s="239">
        <v>19598</v>
      </c>
      <c r="BA317" s="239">
        <v>0</v>
      </c>
      <c r="BB317" s="239">
        <v>400</v>
      </c>
      <c r="BC317" s="239">
        <v>1363.173875</v>
      </c>
      <c r="BD317" s="239">
        <v>0</v>
      </c>
      <c r="BE317" s="239">
        <v>27.819875000000003</v>
      </c>
      <c r="BF317" s="239">
        <v>0</v>
      </c>
      <c r="BG317" s="239">
        <v>0</v>
      </c>
      <c r="BH317" s="239">
        <v>0</v>
      </c>
      <c r="BI317" s="239">
        <v>1363</v>
      </c>
      <c r="BJ317" s="239">
        <v>0</v>
      </c>
      <c r="BK317" s="239">
        <v>28</v>
      </c>
      <c r="BL317" s="239">
        <v>46177.390729166662</v>
      </c>
      <c r="BM317" s="239">
        <v>0</v>
      </c>
      <c r="BN317" s="239">
        <v>942.3957291666668</v>
      </c>
      <c r="BO317" s="239">
        <v>11779</v>
      </c>
      <c r="BP317" s="239">
        <v>0</v>
      </c>
      <c r="BQ317" s="239">
        <v>240</v>
      </c>
      <c r="BR317" s="239">
        <v>34398</v>
      </c>
      <c r="BS317" s="239">
        <v>0</v>
      </c>
      <c r="BT317" s="239">
        <v>702</v>
      </c>
      <c r="BU317" s="239">
        <v>895771.77972916665</v>
      </c>
      <c r="BV317" s="239">
        <v>0</v>
      </c>
      <c r="BW317" s="239">
        <v>18281.056729166667</v>
      </c>
      <c r="BX317" s="239">
        <v>978849</v>
      </c>
      <c r="BY317" s="239">
        <v>0</v>
      </c>
      <c r="BZ317" s="239">
        <v>19976</v>
      </c>
      <c r="CA317" s="239">
        <v>-83077</v>
      </c>
      <c r="CB317" s="239">
        <v>0</v>
      </c>
      <c r="CC317" s="239">
        <v>-1695</v>
      </c>
      <c r="CD317" s="239">
        <v>3932.9206874999995</v>
      </c>
      <c r="CE317" s="239">
        <v>0</v>
      </c>
      <c r="CF317" s="239">
        <v>80.263687500000003</v>
      </c>
      <c r="CG317" s="239">
        <v>14952</v>
      </c>
      <c r="CH317" s="239">
        <v>0</v>
      </c>
      <c r="CI317" s="239">
        <v>0</v>
      </c>
      <c r="CJ317" s="239">
        <v>-11019</v>
      </c>
      <c r="CK317" s="239">
        <v>0</v>
      </c>
      <c r="CL317" s="239">
        <v>80</v>
      </c>
      <c r="CM317" s="239">
        <v>0</v>
      </c>
      <c r="CN317" s="239">
        <v>0</v>
      </c>
      <c r="CO317" s="239">
        <v>0</v>
      </c>
      <c r="CP317" s="239">
        <v>0</v>
      </c>
      <c r="CQ317" s="239">
        <v>0</v>
      </c>
      <c r="CR317" s="239">
        <v>0</v>
      </c>
      <c r="CS317" s="239">
        <v>0</v>
      </c>
      <c r="CT317" s="239">
        <v>0</v>
      </c>
      <c r="CU317" s="239">
        <v>0</v>
      </c>
      <c r="CV317" s="239">
        <v>544690.68850000005</v>
      </c>
      <c r="CW317" s="239">
        <v>0</v>
      </c>
      <c r="CX317" s="239">
        <v>11116.136499999999</v>
      </c>
      <c r="CY317" s="239">
        <v>580261</v>
      </c>
      <c r="CZ317" s="239">
        <v>0</v>
      </c>
      <c r="DA317" s="239">
        <v>11842</v>
      </c>
      <c r="DB317" s="239">
        <v>-35570</v>
      </c>
      <c r="DC317" s="239">
        <v>0</v>
      </c>
      <c r="DD317" s="239">
        <v>-726</v>
      </c>
      <c r="DE317" s="214">
        <v>0.5</v>
      </c>
      <c r="DF317" s="214">
        <v>0.49</v>
      </c>
      <c r="DG317" s="214">
        <v>0</v>
      </c>
      <c r="DH317" s="214">
        <v>0.01</v>
      </c>
      <c r="DI317" s="214" t="s">
        <v>1296</v>
      </c>
    </row>
    <row r="318" spans="2:113" s="214" customFormat="1" x14ac:dyDescent="0.2">
      <c r="B318" s="610" t="s">
        <v>719</v>
      </c>
      <c r="C318" s="610" t="s">
        <v>718</v>
      </c>
      <c r="D318" s="239">
        <v>-935829</v>
      </c>
      <c r="E318" s="239">
        <v>0</v>
      </c>
      <c r="F318" s="239">
        <v>-935829</v>
      </c>
      <c r="G318" s="239">
        <v>0</v>
      </c>
      <c r="H318" s="239">
        <v>0</v>
      </c>
      <c r="I318" s="239">
        <v>0</v>
      </c>
      <c r="J318" s="239">
        <v>-935829</v>
      </c>
      <c r="K318" s="239">
        <v>0</v>
      </c>
      <c r="L318" s="239">
        <v>-935829</v>
      </c>
      <c r="M318" s="239">
        <v>622066</v>
      </c>
      <c r="N318" s="239">
        <v>622066</v>
      </c>
      <c r="O318" s="239">
        <v>0</v>
      </c>
      <c r="P318" s="239">
        <v>0</v>
      </c>
      <c r="Q318" s="239">
        <v>0</v>
      </c>
      <c r="R318" s="239">
        <v>0</v>
      </c>
      <c r="S318" s="239">
        <v>922623</v>
      </c>
      <c r="T318" s="239">
        <v>0</v>
      </c>
      <c r="U318" s="239">
        <v>440000</v>
      </c>
      <c r="V318" s="239">
        <v>0</v>
      </c>
      <c r="W318" s="239">
        <v>482623</v>
      </c>
      <c r="X318" s="239">
        <v>0</v>
      </c>
      <c r="Y318" s="239">
        <v>0</v>
      </c>
      <c r="Z318" s="239">
        <v>0</v>
      </c>
      <c r="AA318" s="239">
        <v>0</v>
      </c>
      <c r="AB318" s="239">
        <v>0</v>
      </c>
      <c r="AC318" s="239">
        <v>0</v>
      </c>
      <c r="AD318" s="239">
        <v>0</v>
      </c>
      <c r="AE318" s="239">
        <v>0</v>
      </c>
      <c r="AF318" s="239">
        <v>0</v>
      </c>
      <c r="AG318" s="239">
        <v>0</v>
      </c>
      <c r="AH318" s="239">
        <v>0</v>
      </c>
      <c r="AI318" s="239">
        <v>0</v>
      </c>
      <c r="AJ318" s="239">
        <v>0</v>
      </c>
      <c r="AK318" s="239">
        <v>2575287.5028124996</v>
      </c>
      <c r="AL318" s="239">
        <v>0</v>
      </c>
      <c r="AM318" s="239">
        <v>52556.887812500005</v>
      </c>
      <c r="AN318" s="239">
        <v>2389399</v>
      </c>
      <c r="AO318" s="239">
        <v>0</v>
      </c>
      <c r="AP318" s="239">
        <v>48764</v>
      </c>
      <c r="AQ318" s="239">
        <v>185889</v>
      </c>
      <c r="AR318" s="239">
        <v>0</v>
      </c>
      <c r="AS318" s="239">
        <v>3793</v>
      </c>
      <c r="AT318" s="239">
        <v>22072.280708333332</v>
      </c>
      <c r="AU318" s="239">
        <v>0</v>
      </c>
      <c r="AV318" s="239">
        <v>450.45470833333331</v>
      </c>
      <c r="AW318" s="239">
        <v>8677</v>
      </c>
      <c r="AX318" s="239">
        <v>0</v>
      </c>
      <c r="AY318" s="239">
        <v>178</v>
      </c>
      <c r="AZ318" s="239">
        <v>13395</v>
      </c>
      <c r="BA318" s="239">
        <v>0</v>
      </c>
      <c r="BB318" s="239">
        <v>272</v>
      </c>
      <c r="BC318" s="239">
        <v>143646.80852083332</v>
      </c>
      <c r="BD318" s="239">
        <v>0</v>
      </c>
      <c r="BE318" s="239">
        <v>2931.5675208333332</v>
      </c>
      <c r="BF318" s="239">
        <v>167165</v>
      </c>
      <c r="BG318" s="239">
        <v>0</v>
      </c>
      <c r="BH318" s="239">
        <v>3412</v>
      </c>
      <c r="BI318" s="239">
        <v>-23518</v>
      </c>
      <c r="BJ318" s="239">
        <v>0</v>
      </c>
      <c r="BK318" s="239">
        <v>-480</v>
      </c>
      <c r="BL318" s="239">
        <v>21298.721791666663</v>
      </c>
      <c r="BM318" s="239">
        <v>0</v>
      </c>
      <c r="BN318" s="239">
        <v>434.66779166666669</v>
      </c>
      <c r="BO318" s="239">
        <v>8770</v>
      </c>
      <c r="BP318" s="239">
        <v>0</v>
      </c>
      <c r="BQ318" s="239">
        <v>180</v>
      </c>
      <c r="BR318" s="239">
        <v>12529</v>
      </c>
      <c r="BS318" s="239">
        <v>0</v>
      </c>
      <c r="BT318" s="239">
        <v>255</v>
      </c>
      <c r="BU318" s="239">
        <v>1242962.5210625001</v>
      </c>
      <c r="BV318" s="239">
        <v>0</v>
      </c>
      <c r="BW318" s="239">
        <v>25366.582062500001</v>
      </c>
      <c r="BX318" s="239">
        <v>1326695</v>
      </c>
      <c r="BY318" s="239">
        <v>0</v>
      </c>
      <c r="BZ318" s="239">
        <v>27076</v>
      </c>
      <c r="CA318" s="239">
        <v>-83732</v>
      </c>
      <c r="CB318" s="239">
        <v>0</v>
      </c>
      <c r="CC318" s="239">
        <v>-1709</v>
      </c>
      <c r="CD318" s="239">
        <v>0</v>
      </c>
      <c r="CE318" s="239">
        <v>0</v>
      </c>
      <c r="CF318" s="239">
        <v>0</v>
      </c>
      <c r="CG318" s="239">
        <v>0</v>
      </c>
      <c r="CH318" s="239">
        <v>0</v>
      </c>
      <c r="CI318" s="239">
        <v>0</v>
      </c>
      <c r="CJ318" s="239">
        <v>0</v>
      </c>
      <c r="CK318" s="239">
        <v>0</v>
      </c>
      <c r="CL318" s="239">
        <v>0</v>
      </c>
      <c r="CM318" s="239">
        <v>6914.8013958333331</v>
      </c>
      <c r="CN318" s="239">
        <v>0</v>
      </c>
      <c r="CO318" s="239">
        <v>141.11839583333332</v>
      </c>
      <c r="CP318" s="239">
        <v>0</v>
      </c>
      <c r="CQ318" s="239">
        <v>0</v>
      </c>
      <c r="CR318" s="239">
        <v>0</v>
      </c>
      <c r="CS318" s="239">
        <v>6915</v>
      </c>
      <c r="CT318" s="239">
        <v>0</v>
      </c>
      <c r="CU318" s="239">
        <v>141</v>
      </c>
      <c r="CV318" s="239">
        <v>1007295.0963541666</v>
      </c>
      <c r="CW318" s="239">
        <v>0</v>
      </c>
      <c r="CX318" s="239">
        <v>20282.452604166665</v>
      </c>
      <c r="CY318" s="239">
        <v>1005844</v>
      </c>
      <c r="CZ318" s="239">
        <v>0</v>
      </c>
      <c r="DA318" s="239">
        <v>20396</v>
      </c>
      <c r="DB318" s="239">
        <v>1451</v>
      </c>
      <c r="DC318" s="239">
        <v>0</v>
      </c>
      <c r="DD318" s="239">
        <v>-114</v>
      </c>
      <c r="DE318" s="214">
        <v>0.5</v>
      </c>
      <c r="DF318" s="214">
        <v>0.49</v>
      </c>
      <c r="DG318" s="214">
        <v>0</v>
      </c>
      <c r="DH318" s="214">
        <v>0.01</v>
      </c>
      <c r="DI318" s="214" t="s">
        <v>748</v>
      </c>
    </row>
    <row r="319" spans="2:113" s="214" customFormat="1" x14ac:dyDescent="0.2">
      <c r="B319" s="610" t="s">
        <v>721</v>
      </c>
      <c r="C319" s="610" t="s">
        <v>720</v>
      </c>
      <c r="D319" s="239">
        <v>343777</v>
      </c>
      <c r="E319" s="239">
        <v>0</v>
      </c>
      <c r="F319" s="239">
        <v>343777</v>
      </c>
      <c r="G319" s="239">
        <v>0</v>
      </c>
      <c r="H319" s="239">
        <v>0</v>
      </c>
      <c r="I319" s="239">
        <v>0</v>
      </c>
      <c r="J319" s="239">
        <v>343777</v>
      </c>
      <c r="K319" s="239">
        <v>0</v>
      </c>
      <c r="L319" s="239">
        <v>343777</v>
      </c>
      <c r="M319" s="239">
        <v>198414</v>
      </c>
      <c r="N319" s="239">
        <v>198414</v>
      </c>
      <c r="O319" s="239">
        <v>0</v>
      </c>
      <c r="P319" s="239">
        <v>0</v>
      </c>
      <c r="Q319" s="239">
        <v>0</v>
      </c>
      <c r="R319" s="239">
        <v>0</v>
      </c>
      <c r="S319" s="239">
        <v>285775</v>
      </c>
      <c r="T319" s="239">
        <v>0</v>
      </c>
      <c r="U319" s="239">
        <v>129659</v>
      </c>
      <c r="V319" s="239">
        <v>0</v>
      </c>
      <c r="W319" s="239">
        <v>156116</v>
      </c>
      <c r="X319" s="239">
        <v>0</v>
      </c>
      <c r="Y319" s="239">
        <v>0</v>
      </c>
      <c r="Z319" s="239">
        <v>0</v>
      </c>
      <c r="AA319" s="239">
        <v>0</v>
      </c>
      <c r="AB319" s="239">
        <v>0</v>
      </c>
      <c r="AC319" s="239">
        <v>0</v>
      </c>
      <c r="AD319" s="239">
        <v>0</v>
      </c>
      <c r="AE319" s="239">
        <v>0</v>
      </c>
      <c r="AF319" s="239">
        <v>0</v>
      </c>
      <c r="AG319" s="239">
        <v>0</v>
      </c>
      <c r="AH319" s="239">
        <v>0</v>
      </c>
      <c r="AI319" s="239">
        <v>0</v>
      </c>
      <c r="AJ319" s="239">
        <v>0</v>
      </c>
      <c r="AK319" s="239">
        <v>553455.61416666664</v>
      </c>
      <c r="AL319" s="239">
        <v>124527.51318749999</v>
      </c>
      <c r="AM319" s="239">
        <v>13836.390354166668</v>
      </c>
      <c r="AN319" s="239">
        <v>490023</v>
      </c>
      <c r="AO319" s="239">
        <v>110256</v>
      </c>
      <c r="AP319" s="239">
        <v>12250</v>
      </c>
      <c r="AQ319" s="239">
        <v>63433</v>
      </c>
      <c r="AR319" s="239">
        <v>14272</v>
      </c>
      <c r="AS319" s="239">
        <v>1586</v>
      </c>
      <c r="AT319" s="239">
        <v>0</v>
      </c>
      <c r="AU319" s="239">
        <v>0</v>
      </c>
      <c r="AV319" s="239">
        <v>0</v>
      </c>
      <c r="AW319" s="239">
        <v>0</v>
      </c>
      <c r="AX319" s="239">
        <v>0</v>
      </c>
      <c r="AY319" s="239">
        <v>0</v>
      </c>
      <c r="AZ319" s="239">
        <v>0</v>
      </c>
      <c r="BA319" s="239">
        <v>0</v>
      </c>
      <c r="BB319" s="239">
        <v>0</v>
      </c>
      <c r="BC319" s="239">
        <v>0</v>
      </c>
      <c r="BD319" s="239">
        <v>0</v>
      </c>
      <c r="BE319" s="239">
        <v>0</v>
      </c>
      <c r="BF319" s="239">
        <v>0</v>
      </c>
      <c r="BG319" s="239">
        <v>0</v>
      </c>
      <c r="BH319" s="239">
        <v>0</v>
      </c>
      <c r="BI319" s="239">
        <v>0</v>
      </c>
      <c r="BJ319" s="239">
        <v>0</v>
      </c>
      <c r="BK319" s="239">
        <v>0</v>
      </c>
      <c r="BL319" s="239">
        <v>11670.955</v>
      </c>
      <c r="BM319" s="239">
        <v>2625.9648749999997</v>
      </c>
      <c r="BN319" s="239">
        <v>291.77387499999998</v>
      </c>
      <c r="BO319" s="239">
        <v>0</v>
      </c>
      <c r="BP319" s="239">
        <v>0</v>
      </c>
      <c r="BQ319" s="239">
        <v>0</v>
      </c>
      <c r="BR319" s="239">
        <v>11671</v>
      </c>
      <c r="BS319" s="239">
        <v>2626</v>
      </c>
      <c r="BT319" s="239">
        <v>292</v>
      </c>
      <c r="BU319" s="239">
        <v>269967.63833333337</v>
      </c>
      <c r="BV319" s="239">
        <v>60742.718625000001</v>
      </c>
      <c r="BW319" s="239">
        <v>6749.1909583333345</v>
      </c>
      <c r="BX319" s="239">
        <v>271327</v>
      </c>
      <c r="BY319" s="239">
        <v>61048</v>
      </c>
      <c r="BZ319" s="239">
        <v>6784</v>
      </c>
      <c r="CA319" s="239">
        <v>-1359</v>
      </c>
      <c r="CB319" s="239">
        <v>-305</v>
      </c>
      <c r="CC319" s="239">
        <v>-35</v>
      </c>
      <c r="CD319" s="239">
        <v>0</v>
      </c>
      <c r="CE319" s="239">
        <v>0</v>
      </c>
      <c r="CF319" s="239">
        <v>0</v>
      </c>
      <c r="CG319" s="239">
        <v>0</v>
      </c>
      <c r="CH319" s="239">
        <v>0</v>
      </c>
      <c r="CI319" s="239">
        <v>0</v>
      </c>
      <c r="CJ319" s="239">
        <v>0</v>
      </c>
      <c r="CK319" s="239">
        <v>0</v>
      </c>
      <c r="CL319" s="239">
        <v>0</v>
      </c>
      <c r="CM319" s="239">
        <v>6178.0008333333335</v>
      </c>
      <c r="CN319" s="239">
        <v>1390.0501875</v>
      </c>
      <c r="CO319" s="239">
        <v>154.45002083333333</v>
      </c>
      <c r="CP319" s="239">
        <v>0</v>
      </c>
      <c r="CQ319" s="239">
        <v>0</v>
      </c>
      <c r="CR319" s="239">
        <v>0</v>
      </c>
      <c r="CS319" s="239">
        <v>6178</v>
      </c>
      <c r="CT319" s="239">
        <v>1390</v>
      </c>
      <c r="CU319" s="239">
        <v>154</v>
      </c>
      <c r="CV319" s="239">
        <v>323016.19291666668</v>
      </c>
      <c r="CW319" s="239">
        <v>71740.944187500005</v>
      </c>
      <c r="CX319" s="239">
        <v>7971.2160208333344</v>
      </c>
      <c r="CY319" s="239">
        <v>332668</v>
      </c>
      <c r="CZ319" s="239">
        <v>74425</v>
      </c>
      <c r="DA319" s="239">
        <v>8269</v>
      </c>
      <c r="DB319" s="239">
        <v>-9652</v>
      </c>
      <c r="DC319" s="239">
        <v>-2684</v>
      </c>
      <c r="DD319" s="239">
        <v>-298</v>
      </c>
      <c r="DE319" s="214">
        <v>0.5</v>
      </c>
      <c r="DF319" s="214">
        <v>0.4</v>
      </c>
      <c r="DG319" s="214">
        <v>0.09</v>
      </c>
      <c r="DH319" s="214">
        <v>0.01</v>
      </c>
      <c r="DI319" s="214" t="s">
        <v>1294</v>
      </c>
    </row>
    <row r="320" spans="2:113" s="214" customFormat="1" x14ac:dyDescent="0.2">
      <c r="B320" s="610" t="s">
        <v>723</v>
      </c>
      <c r="C320" s="610" t="s">
        <v>722</v>
      </c>
      <c r="D320" s="239">
        <v>-23580</v>
      </c>
      <c r="E320" s="239">
        <v>0</v>
      </c>
      <c r="F320" s="239">
        <v>-23580</v>
      </c>
      <c r="G320" s="239">
        <v>0</v>
      </c>
      <c r="H320" s="239">
        <v>0</v>
      </c>
      <c r="I320" s="239">
        <v>0</v>
      </c>
      <c r="J320" s="239">
        <v>-23580</v>
      </c>
      <c r="K320" s="239">
        <v>0</v>
      </c>
      <c r="L320" s="239">
        <v>-23580</v>
      </c>
      <c r="M320" s="239">
        <v>246447</v>
      </c>
      <c r="N320" s="239">
        <v>246447</v>
      </c>
      <c r="O320" s="239">
        <v>0</v>
      </c>
      <c r="P320" s="239">
        <v>0</v>
      </c>
      <c r="Q320" s="239">
        <v>0</v>
      </c>
      <c r="R320" s="239">
        <v>0</v>
      </c>
      <c r="S320" s="239">
        <v>7296</v>
      </c>
      <c r="T320" s="239">
        <v>0</v>
      </c>
      <c r="U320" s="239">
        <v>7159</v>
      </c>
      <c r="V320" s="239">
        <v>0</v>
      </c>
      <c r="W320" s="239">
        <v>137</v>
      </c>
      <c r="X320" s="239">
        <v>0</v>
      </c>
      <c r="Y320" s="239">
        <v>0</v>
      </c>
      <c r="Z320" s="239">
        <v>0</v>
      </c>
      <c r="AA320" s="239">
        <v>0</v>
      </c>
      <c r="AB320" s="239">
        <v>0</v>
      </c>
      <c r="AC320" s="239">
        <v>0</v>
      </c>
      <c r="AD320" s="239">
        <v>0</v>
      </c>
      <c r="AE320" s="239">
        <v>0</v>
      </c>
      <c r="AF320" s="239">
        <v>0</v>
      </c>
      <c r="AG320" s="239">
        <v>0</v>
      </c>
      <c r="AH320" s="239">
        <v>0</v>
      </c>
      <c r="AI320" s="239">
        <v>0</v>
      </c>
      <c r="AJ320" s="239">
        <v>0</v>
      </c>
      <c r="AK320" s="239">
        <v>462871.35671874997</v>
      </c>
      <c r="AL320" s="239">
        <v>0</v>
      </c>
      <c r="AM320" s="239">
        <v>9446.3542187500007</v>
      </c>
      <c r="AN320" s="239">
        <v>435763</v>
      </c>
      <c r="AO320" s="239">
        <v>0</v>
      </c>
      <c r="AP320" s="239">
        <v>8894</v>
      </c>
      <c r="AQ320" s="239">
        <v>27108</v>
      </c>
      <c r="AR320" s="239">
        <v>0</v>
      </c>
      <c r="AS320" s="239">
        <v>552</v>
      </c>
      <c r="AT320" s="239">
        <v>0</v>
      </c>
      <c r="AU320" s="239">
        <v>0</v>
      </c>
      <c r="AV320" s="239">
        <v>0</v>
      </c>
      <c r="AW320" s="239">
        <v>0</v>
      </c>
      <c r="AX320" s="239">
        <v>0</v>
      </c>
      <c r="AY320" s="239">
        <v>0</v>
      </c>
      <c r="AZ320" s="239">
        <v>0</v>
      </c>
      <c r="BA320" s="239">
        <v>0</v>
      </c>
      <c r="BB320" s="239">
        <v>0</v>
      </c>
      <c r="BC320" s="239">
        <v>0</v>
      </c>
      <c r="BD320" s="239">
        <v>0</v>
      </c>
      <c r="BE320" s="239">
        <v>0</v>
      </c>
      <c r="BF320" s="239">
        <v>248574</v>
      </c>
      <c r="BG320" s="239">
        <v>0</v>
      </c>
      <c r="BH320" s="239">
        <v>5072</v>
      </c>
      <c r="BI320" s="239">
        <v>-248574</v>
      </c>
      <c r="BJ320" s="239">
        <v>0</v>
      </c>
      <c r="BK320" s="239">
        <v>-5072</v>
      </c>
      <c r="BL320" s="239">
        <v>60582.191249999996</v>
      </c>
      <c r="BM320" s="239">
        <v>0</v>
      </c>
      <c r="BN320" s="239">
        <v>1236.3712499999999</v>
      </c>
      <c r="BO320" s="239">
        <v>23862</v>
      </c>
      <c r="BP320" s="239">
        <v>0</v>
      </c>
      <c r="BQ320" s="239">
        <v>488</v>
      </c>
      <c r="BR320" s="239">
        <v>36720</v>
      </c>
      <c r="BS320" s="239">
        <v>0</v>
      </c>
      <c r="BT320" s="239">
        <v>748</v>
      </c>
      <c r="BU320" s="239">
        <v>618528.46285416663</v>
      </c>
      <c r="BV320" s="239">
        <v>0</v>
      </c>
      <c r="BW320" s="239">
        <v>12623.029854166667</v>
      </c>
      <c r="BX320" s="239">
        <v>639785</v>
      </c>
      <c r="BY320" s="239">
        <v>0</v>
      </c>
      <c r="BZ320" s="239">
        <v>13056</v>
      </c>
      <c r="CA320" s="239">
        <v>-21257</v>
      </c>
      <c r="CB320" s="239">
        <v>0</v>
      </c>
      <c r="CC320" s="239">
        <v>-433</v>
      </c>
      <c r="CD320" s="239">
        <v>0</v>
      </c>
      <c r="CE320" s="239">
        <v>0</v>
      </c>
      <c r="CF320" s="239">
        <v>0</v>
      </c>
      <c r="CG320" s="239">
        <v>0</v>
      </c>
      <c r="CH320" s="239">
        <v>0</v>
      </c>
      <c r="CI320" s="239">
        <v>0</v>
      </c>
      <c r="CJ320" s="239">
        <v>0</v>
      </c>
      <c r="CK320" s="239">
        <v>0</v>
      </c>
      <c r="CL320" s="239">
        <v>0</v>
      </c>
      <c r="CM320" s="239">
        <v>14588.247333333333</v>
      </c>
      <c r="CN320" s="239">
        <v>0</v>
      </c>
      <c r="CO320" s="239">
        <v>297.71933333333334</v>
      </c>
      <c r="CP320" s="239">
        <v>0</v>
      </c>
      <c r="CQ320" s="239">
        <v>0</v>
      </c>
      <c r="CR320" s="239">
        <v>0</v>
      </c>
      <c r="CS320" s="239">
        <v>14588</v>
      </c>
      <c r="CT320" s="239">
        <v>0</v>
      </c>
      <c r="CU320" s="239">
        <v>298</v>
      </c>
      <c r="CV320" s="239">
        <v>566122.06306249998</v>
      </c>
      <c r="CW320" s="239">
        <v>0</v>
      </c>
      <c r="CX320" s="239">
        <v>11551.340062500001</v>
      </c>
      <c r="CY320" s="239">
        <v>557917</v>
      </c>
      <c r="CZ320" s="239">
        <v>0</v>
      </c>
      <c r="DA320" s="239">
        <v>11384</v>
      </c>
      <c r="DB320" s="239">
        <v>8205</v>
      </c>
      <c r="DC320" s="239">
        <v>0</v>
      </c>
      <c r="DD320" s="239">
        <v>167</v>
      </c>
      <c r="DE320" s="214">
        <v>0.5</v>
      </c>
      <c r="DF320" s="214">
        <v>0.49</v>
      </c>
      <c r="DG320" s="214">
        <v>0</v>
      </c>
      <c r="DH320" s="214">
        <v>0.01</v>
      </c>
      <c r="DI320" s="214" t="s">
        <v>748</v>
      </c>
    </row>
    <row r="321" spans="2:113" s="214" customFormat="1" x14ac:dyDescent="0.2">
      <c r="B321" s="610" t="s">
        <v>725</v>
      </c>
      <c r="C321" s="610" t="s">
        <v>724</v>
      </c>
      <c r="D321" s="239">
        <v>-92168</v>
      </c>
      <c r="E321" s="239">
        <v>0</v>
      </c>
      <c r="F321" s="239">
        <v>-92168</v>
      </c>
      <c r="G321" s="239">
        <v>0</v>
      </c>
      <c r="H321" s="239">
        <v>0</v>
      </c>
      <c r="I321" s="239">
        <v>0</v>
      </c>
      <c r="J321" s="239">
        <v>-92168</v>
      </c>
      <c r="K321" s="239">
        <v>0</v>
      </c>
      <c r="L321" s="239">
        <v>-92168</v>
      </c>
      <c r="M321" s="239">
        <v>339401</v>
      </c>
      <c r="N321" s="239">
        <v>339401</v>
      </c>
      <c r="O321" s="239">
        <v>0</v>
      </c>
      <c r="P321" s="239">
        <v>9353</v>
      </c>
      <c r="Q321" s="239">
        <v>47085</v>
      </c>
      <c r="R321" s="239">
        <v>-37732</v>
      </c>
      <c r="S321" s="239">
        <v>0</v>
      </c>
      <c r="T321" s="239">
        <v>0</v>
      </c>
      <c r="U321" s="239">
        <v>0</v>
      </c>
      <c r="V321" s="239">
        <v>0</v>
      </c>
      <c r="W321" s="239">
        <v>0</v>
      </c>
      <c r="X321" s="239">
        <v>0</v>
      </c>
      <c r="Y321" s="239">
        <v>0</v>
      </c>
      <c r="Z321" s="239">
        <v>0</v>
      </c>
      <c r="AA321" s="239">
        <v>0</v>
      </c>
      <c r="AB321" s="239">
        <v>0</v>
      </c>
      <c r="AC321" s="239">
        <v>0</v>
      </c>
      <c r="AD321" s="239">
        <v>0</v>
      </c>
      <c r="AE321" s="239">
        <v>0</v>
      </c>
      <c r="AF321" s="239">
        <v>0</v>
      </c>
      <c r="AG321" s="239">
        <v>0</v>
      </c>
      <c r="AH321" s="239">
        <v>0</v>
      </c>
      <c r="AI321" s="239">
        <v>0</v>
      </c>
      <c r="AJ321" s="239">
        <v>0</v>
      </c>
      <c r="AK321" s="239">
        <v>1654913.964375</v>
      </c>
      <c r="AL321" s="239">
        <v>0</v>
      </c>
      <c r="AM321" s="239">
        <v>33773.754374999997</v>
      </c>
      <c r="AN321" s="239">
        <v>1539493</v>
      </c>
      <c r="AO321" s="239">
        <v>0</v>
      </c>
      <c r="AP321" s="239">
        <v>31418</v>
      </c>
      <c r="AQ321" s="239">
        <v>115421</v>
      </c>
      <c r="AR321" s="239">
        <v>0</v>
      </c>
      <c r="AS321" s="239">
        <v>2356</v>
      </c>
      <c r="AT321" s="239">
        <v>14213.399374999999</v>
      </c>
      <c r="AU321" s="239">
        <v>0</v>
      </c>
      <c r="AV321" s="239">
        <v>290.06937500000004</v>
      </c>
      <c r="AW321" s="239">
        <v>12738</v>
      </c>
      <c r="AX321" s="239">
        <v>0</v>
      </c>
      <c r="AY321" s="239">
        <v>260</v>
      </c>
      <c r="AZ321" s="239">
        <v>1475</v>
      </c>
      <c r="BA321" s="239">
        <v>0</v>
      </c>
      <c r="BB321" s="239">
        <v>30</v>
      </c>
      <c r="BC321" s="239">
        <v>0</v>
      </c>
      <c r="BD321" s="239">
        <v>0</v>
      </c>
      <c r="BE321" s="239">
        <v>0</v>
      </c>
      <c r="BF321" s="239">
        <v>24857</v>
      </c>
      <c r="BG321" s="239">
        <v>0</v>
      </c>
      <c r="BH321" s="239">
        <v>508</v>
      </c>
      <c r="BI321" s="239">
        <v>-24857</v>
      </c>
      <c r="BJ321" s="239">
        <v>0</v>
      </c>
      <c r="BK321" s="239">
        <v>-508</v>
      </c>
      <c r="BL321" s="239">
        <v>37614.053749999999</v>
      </c>
      <c r="BM321" s="239">
        <v>0</v>
      </c>
      <c r="BN321" s="239">
        <v>767.63374999999996</v>
      </c>
      <c r="BO321" s="239">
        <v>16234</v>
      </c>
      <c r="BP321" s="239">
        <v>0</v>
      </c>
      <c r="BQ321" s="239">
        <v>332</v>
      </c>
      <c r="BR321" s="239">
        <v>21380</v>
      </c>
      <c r="BS321" s="239">
        <v>0</v>
      </c>
      <c r="BT321" s="239">
        <v>436</v>
      </c>
      <c r="BU321" s="239">
        <v>746739.3903958333</v>
      </c>
      <c r="BV321" s="239">
        <v>0</v>
      </c>
      <c r="BW321" s="239">
        <v>15239.579395833332</v>
      </c>
      <c r="BX321" s="239">
        <v>698570</v>
      </c>
      <c r="BY321" s="239">
        <v>0</v>
      </c>
      <c r="BZ321" s="239">
        <v>14256</v>
      </c>
      <c r="CA321" s="239">
        <v>48169</v>
      </c>
      <c r="CB321" s="239">
        <v>0</v>
      </c>
      <c r="CC321" s="239">
        <v>984</v>
      </c>
      <c r="CD321" s="239">
        <v>0</v>
      </c>
      <c r="CE321" s="239">
        <v>0</v>
      </c>
      <c r="CF321" s="239">
        <v>0</v>
      </c>
      <c r="CG321" s="239">
        <v>0</v>
      </c>
      <c r="CH321" s="239">
        <v>0</v>
      </c>
      <c r="CI321" s="239">
        <v>0</v>
      </c>
      <c r="CJ321" s="239">
        <v>0</v>
      </c>
      <c r="CK321" s="239">
        <v>0</v>
      </c>
      <c r="CL321" s="239">
        <v>0</v>
      </c>
      <c r="CM321" s="239">
        <v>8792.0240625000006</v>
      </c>
      <c r="CN321" s="239">
        <v>0</v>
      </c>
      <c r="CO321" s="239">
        <v>179.42906250000001</v>
      </c>
      <c r="CP321" s="239">
        <v>0</v>
      </c>
      <c r="CQ321" s="239">
        <v>0</v>
      </c>
      <c r="CR321" s="239">
        <v>0</v>
      </c>
      <c r="CS321" s="239">
        <v>8792</v>
      </c>
      <c r="CT321" s="239">
        <v>0</v>
      </c>
      <c r="CU321" s="239">
        <v>179</v>
      </c>
      <c r="CV321" s="239">
        <v>487036.37412499997</v>
      </c>
      <c r="CW321" s="239">
        <v>0</v>
      </c>
      <c r="CX321" s="239">
        <v>9936.7342083333333</v>
      </c>
      <c r="CY321" s="239">
        <v>492299</v>
      </c>
      <c r="CZ321" s="239">
        <v>0</v>
      </c>
      <c r="DA321" s="239">
        <v>10033</v>
      </c>
      <c r="DB321" s="239">
        <v>-5263</v>
      </c>
      <c r="DC321" s="239">
        <v>0</v>
      </c>
      <c r="DD321" s="239">
        <v>-96</v>
      </c>
      <c r="DE321" s="214">
        <v>0.5</v>
      </c>
      <c r="DF321" s="214">
        <v>0.49</v>
      </c>
      <c r="DG321" s="214">
        <v>0</v>
      </c>
      <c r="DH321" s="214">
        <v>0.01</v>
      </c>
      <c r="DI321" s="214" t="s">
        <v>1296</v>
      </c>
    </row>
    <row r="322" spans="2:113" s="214" customFormat="1" x14ac:dyDescent="0.2">
      <c r="B322" s="610" t="s">
        <v>727</v>
      </c>
      <c r="C322" s="610" t="s">
        <v>726</v>
      </c>
      <c r="D322" s="239">
        <v>-53939</v>
      </c>
      <c r="E322" s="239">
        <v>0</v>
      </c>
      <c r="F322" s="239">
        <v>-53939</v>
      </c>
      <c r="G322" s="239">
        <v>0</v>
      </c>
      <c r="H322" s="239">
        <v>0</v>
      </c>
      <c r="I322" s="239">
        <v>0</v>
      </c>
      <c r="J322" s="239">
        <v>-53939</v>
      </c>
      <c r="K322" s="239">
        <v>0</v>
      </c>
      <c r="L322" s="239">
        <v>-53939</v>
      </c>
      <c r="M322" s="239">
        <v>136159</v>
      </c>
      <c r="N322" s="239">
        <v>136159</v>
      </c>
      <c r="O322" s="239">
        <v>0</v>
      </c>
      <c r="P322" s="239">
        <v>0</v>
      </c>
      <c r="Q322" s="239">
        <v>0</v>
      </c>
      <c r="R322" s="239">
        <v>0</v>
      </c>
      <c r="S322" s="239">
        <v>0</v>
      </c>
      <c r="T322" s="239">
        <v>0</v>
      </c>
      <c r="U322" s="239">
        <v>0</v>
      </c>
      <c r="V322" s="239">
        <v>0</v>
      </c>
      <c r="W322" s="239">
        <v>0</v>
      </c>
      <c r="X322" s="239">
        <v>0</v>
      </c>
      <c r="Y322" s="239">
        <v>0</v>
      </c>
      <c r="Z322" s="239">
        <v>0</v>
      </c>
      <c r="AA322" s="239">
        <v>0</v>
      </c>
      <c r="AB322" s="239">
        <v>0</v>
      </c>
      <c r="AC322" s="239">
        <v>0</v>
      </c>
      <c r="AD322" s="239">
        <v>0</v>
      </c>
      <c r="AE322" s="239">
        <v>0</v>
      </c>
      <c r="AF322" s="239">
        <v>0</v>
      </c>
      <c r="AG322" s="239">
        <v>0</v>
      </c>
      <c r="AH322" s="239">
        <v>0</v>
      </c>
      <c r="AI322" s="239">
        <v>0</v>
      </c>
      <c r="AJ322" s="239">
        <v>0</v>
      </c>
      <c r="AK322" s="239">
        <v>231244.03625</v>
      </c>
      <c r="AL322" s="239">
        <v>57811.009062500001</v>
      </c>
      <c r="AM322" s="239">
        <v>0</v>
      </c>
      <c r="AN322" s="239">
        <v>206970</v>
      </c>
      <c r="AO322" s="239">
        <v>51742</v>
      </c>
      <c r="AP322" s="239">
        <v>0</v>
      </c>
      <c r="AQ322" s="239">
        <v>24274</v>
      </c>
      <c r="AR322" s="239">
        <v>6069</v>
      </c>
      <c r="AS322" s="239">
        <v>0</v>
      </c>
      <c r="AT322" s="239">
        <v>0</v>
      </c>
      <c r="AU322" s="239">
        <v>0</v>
      </c>
      <c r="AV322" s="239">
        <v>0</v>
      </c>
      <c r="AW322" s="239">
        <v>0</v>
      </c>
      <c r="AX322" s="239">
        <v>0</v>
      </c>
      <c r="AY322" s="239">
        <v>0</v>
      </c>
      <c r="AZ322" s="239">
        <v>0</v>
      </c>
      <c r="BA322" s="239">
        <v>0</v>
      </c>
      <c r="BB322" s="239">
        <v>0</v>
      </c>
      <c r="BC322" s="239">
        <v>42219.653333333335</v>
      </c>
      <c r="BD322" s="239">
        <v>10554.913333333334</v>
      </c>
      <c r="BE322" s="239">
        <v>0</v>
      </c>
      <c r="BF322" s="239">
        <v>0</v>
      </c>
      <c r="BG322" s="239">
        <v>0</v>
      </c>
      <c r="BH322" s="239">
        <v>0</v>
      </c>
      <c r="BI322" s="239">
        <v>42220</v>
      </c>
      <c r="BJ322" s="239">
        <v>10555</v>
      </c>
      <c r="BK322" s="239">
        <v>0</v>
      </c>
      <c r="BL322" s="239">
        <v>3419.5516666666672</v>
      </c>
      <c r="BM322" s="239">
        <v>854.8879166666668</v>
      </c>
      <c r="BN322" s="239">
        <v>0</v>
      </c>
      <c r="BO322" s="239">
        <v>0</v>
      </c>
      <c r="BP322" s="239">
        <v>0</v>
      </c>
      <c r="BQ322" s="239">
        <v>0</v>
      </c>
      <c r="BR322" s="239">
        <v>3420</v>
      </c>
      <c r="BS322" s="239">
        <v>855</v>
      </c>
      <c r="BT322" s="239">
        <v>0</v>
      </c>
      <c r="BU322" s="239">
        <v>167386.77000000002</v>
      </c>
      <c r="BV322" s="239">
        <v>41846.692500000005</v>
      </c>
      <c r="BW322" s="239">
        <v>0</v>
      </c>
      <c r="BX322" s="239">
        <v>96796</v>
      </c>
      <c r="BY322" s="239">
        <v>24198</v>
      </c>
      <c r="BZ322" s="239">
        <v>0</v>
      </c>
      <c r="CA322" s="239">
        <v>70591</v>
      </c>
      <c r="CB322" s="239">
        <v>17649</v>
      </c>
      <c r="CC322" s="239">
        <v>0</v>
      </c>
      <c r="CD322" s="239">
        <v>0</v>
      </c>
      <c r="CE322" s="239">
        <v>0</v>
      </c>
      <c r="CF322" s="239">
        <v>0</v>
      </c>
      <c r="CG322" s="239">
        <v>0</v>
      </c>
      <c r="CH322" s="239">
        <v>0</v>
      </c>
      <c r="CI322" s="239">
        <v>0</v>
      </c>
      <c r="CJ322" s="239">
        <v>0</v>
      </c>
      <c r="CK322" s="239">
        <v>0</v>
      </c>
      <c r="CL322" s="239">
        <v>0</v>
      </c>
      <c r="CM322" s="239">
        <v>4718.2183333333332</v>
      </c>
      <c r="CN322" s="239">
        <v>1179.5545833333333</v>
      </c>
      <c r="CO322" s="239">
        <v>0</v>
      </c>
      <c r="CP322" s="239">
        <v>0</v>
      </c>
      <c r="CQ322" s="239">
        <v>0</v>
      </c>
      <c r="CR322" s="239">
        <v>0</v>
      </c>
      <c r="CS322" s="239">
        <v>4718</v>
      </c>
      <c r="CT322" s="239">
        <v>1180</v>
      </c>
      <c r="CU322" s="239">
        <v>0</v>
      </c>
      <c r="CV322" s="239">
        <v>287508.42750000005</v>
      </c>
      <c r="CW322" s="239">
        <v>71877.106875000012</v>
      </c>
      <c r="CX322" s="239">
        <v>0</v>
      </c>
      <c r="CY322" s="239">
        <v>266816</v>
      </c>
      <c r="CZ322" s="239">
        <v>66704</v>
      </c>
      <c r="DA322" s="239">
        <v>0</v>
      </c>
      <c r="DB322" s="239">
        <v>20692</v>
      </c>
      <c r="DC322" s="239">
        <v>5173</v>
      </c>
      <c r="DD322" s="239">
        <v>0</v>
      </c>
      <c r="DE322" s="214">
        <v>0.5</v>
      </c>
      <c r="DF322" s="214">
        <v>0.4</v>
      </c>
      <c r="DG322" s="214">
        <v>0.1</v>
      </c>
      <c r="DH322" s="214">
        <v>0</v>
      </c>
      <c r="DI322" s="214" t="s">
        <v>1294</v>
      </c>
    </row>
    <row r="323" spans="2:113" s="214" customFormat="1" x14ac:dyDescent="0.2">
      <c r="B323" s="610" t="s">
        <v>729</v>
      </c>
      <c r="C323" s="610" t="s">
        <v>728</v>
      </c>
      <c r="D323" s="239">
        <v>118507</v>
      </c>
      <c r="E323" s="239">
        <v>0</v>
      </c>
      <c r="F323" s="239">
        <v>118507</v>
      </c>
      <c r="G323" s="239">
        <v>0</v>
      </c>
      <c r="H323" s="239">
        <v>0</v>
      </c>
      <c r="I323" s="239">
        <v>0</v>
      </c>
      <c r="J323" s="239">
        <v>118507</v>
      </c>
      <c r="K323" s="239">
        <v>0</v>
      </c>
      <c r="L323" s="239">
        <v>118507</v>
      </c>
      <c r="M323" s="239">
        <v>185021</v>
      </c>
      <c r="N323" s="239">
        <v>185021</v>
      </c>
      <c r="O323" s="239">
        <v>0</v>
      </c>
      <c r="P323" s="239">
        <v>0</v>
      </c>
      <c r="Q323" s="239">
        <v>0</v>
      </c>
      <c r="R323" s="239">
        <v>0</v>
      </c>
      <c r="S323" s="239">
        <v>6412</v>
      </c>
      <c r="T323" s="239">
        <v>0</v>
      </c>
      <c r="U323" s="239">
        <v>0</v>
      </c>
      <c r="V323" s="239">
        <v>0</v>
      </c>
      <c r="W323" s="239">
        <v>6412</v>
      </c>
      <c r="X323" s="239">
        <v>0</v>
      </c>
      <c r="Y323" s="239">
        <v>0</v>
      </c>
      <c r="Z323" s="239">
        <v>0</v>
      </c>
      <c r="AA323" s="239">
        <v>0</v>
      </c>
      <c r="AB323" s="239">
        <v>0</v>
      </c>
      <c r="AC323" s="239">
        <v>0</v>
      </c>
      <c r="AD323" s="239">
        <v>0</v>
      </c>
      <c r="AE323" s="239">
        <v>0</v>
      </c>
      <c r="AF323" s="239">
        <v>0</v>
      </c>
      <c r="AG323" s="239">
        <v>0</v>
      </c>
      <c r="AH323" s="239">
        <v>0</v>
      </c>
      <c r="AI323" s="239">
        <v>0</v>
      </c>
      <c r="AJ323" s="239">
        <v>0</v>
      </c>
      <c r="AK323" s="239">
        <v>493529.09739583335</v>
      </c>
      <c r="AL323" s="239">
        <v>0</v>
      </c>
      <c r="AM323" s="239">
        <v>10072.022395833334</v>
      </c>
      <c r="AN323" s="239">
        <v>457483</v>
      </c>
      <c r="AO323" s="239">
        <v>0</v>
      </c>
      <c r="AP323" s="239">
        <v>9336</v>
      </c>
      <c r="AQ323" s="239">
        <v>36046</v>
      </c>
      <c r="AR323" s="239">
        <v>0</v>
      </c>
      <c r="AS323" s="239">
        <v>736</v>
      </c>
      <c r="AT323" s="239">
        <v>5011.2300000000005</v>
      </c>
      <c r="AU323" s="239">
        <v>0</v>
      </c>
      <c r="AV323" s="239">
        <v>102.27000000000001</v>
      </c>
      <c r="AW323" s="239">
        <v>1935</v>
      </c>
      <c r="AX323" s="239">
        <v>0</v>
      </c>
      <c r="AY323" s="239">
        <v>40</v>
      </c>
      <c r="AZ323" s="239">
        <v>3076</v>
      </c>
      <c r="BA323" s="239">
        <v>0</v>
      </c>
      <c r="BB323" s="239">
        <v>62</v>
      </c>
      <c r="BC323" s="239">
        <v>0</v>
      </c>
      <c r="BD323" s="239">
        <v>0</v>
      </c>
      <c r="BE323" s="239">
        <v>0</v>
      </c>
      <c r="BF323" s="239">
        <v>0</v>
      </c>
      <c r="BG323" s="239">
        <v>0</v>
      </c>
      <c r="BH323" s="239">
        <v>0</v>
      </c>
      <c r="BI323" s="239">
        <v>0</v>
      </c>
      <c r="BJ323" s="239">
        <v>0</v>
      </c>
      <c r="BK323" s="239">
        <v>0</v>
      </c>
      <c r="BL323" s="239">
        <v>21273.8645</v>
      </c>
      <c r="BM323" s="239">
        <v>0</v>
      </c>
      <c r="BN323" s="239">
        <v>434.16050000000001</v>
      </c>
      <c r="BO323" s="239">
        <v>4113</v>
      </c>
      <c r="BP323" s="239">
        <v>0</v>
      </c>
      <c r="BQ323" s="239">
        <v>84</v>
      </c>
      <c r="BR323" s="239">
        <v>17161</v>
      </c>
      <c r="BS323" s="239">
        <v>0</v>
      </c>
      <c r="BT323" s="239">
        <v>350</v>
      </c>
      <c r="BU323" s="239">
        <v>232174.56135416668</v>
      </c>
      <c r="BV323" s="239">
        <v>0</v>
      </c>
      <c r="BW323" s="239">
        <v>4738.2563541666668</v>
      </c>
      <c r="BX323" s="239">
        <v>212529</v>
      </c>
      <c r="BY323" s="239">
        <v>0</v>
      </c>
      <c r="BZ323" s="239">
        <v>4338</v>
      </c>
      <c r="CA323" s="239">
        <v>19646</v>
      </c>
      <c r="CB323" s="239">
        <v>0</v>
      </c>
      <c r="CC323" s="239">
        <v>400</v>
      </c>
      <c r="CD323" s="239">
        <v>0</v>
      </c>
      <c r="CE323" s="239">
        <v>0</v>
      </c>
      <c r="CF323" s="239">
        <v>0</v>
      </c>
      <c r="CG323" s="239">
        <v>0</v>
      </c>
      <c r="CH323" s="239">
        <v>0</v>
      </c>
      <c r="CI323" s="239">
        <v>0</v>
      </c>
      <c r="CJ323" s="239">
        <v>0</v>
      </c>
      <c r="CK323" s="239">
        <v>0</v>
      </c>
      <c r="CL323" s="239">
        <v>0</v>
      </c>
      <c r="CM323" s="239">
        <v>2380.3342499999999</v>
      </c>
      <c r="CN323" s="239">
        <v>0</v>
      </c>
      <c r="CO323" s="239">
        <v>48.578249999999997</v>
      </c>
      <c r="CP323" s="239">
        <v>0</v>
      </c>
      <c r="CQ323" s="239">
        <v>0</v>
      </c>
      <c r="CR323" s="239">
        <v>0</v>
      </c>
      <c r="CS323" s="239">
        <v>2380</v>
      </c>
      <c r="CT323" s="239">
        <v>0</v>
      </c>
      <c r="CU323" s="239">
        <v>49</v>
      </c>
      <c r="CV323" s="239">
        <v>408811.77239583334</v>
      </c>
      <c r="CW323" s="239">
        <v>0</v>
      </c>
      <c r="CX323" s="239">
        <v>8341.1890624999996</v>
      </c>
      <c r="CY323" s="239">
        <v>402302</v>
      </c>
      <c r="CZ323" s="239">
        <v>0</v>
      </c>
      <c r="DA323" s="239">
        <v>8210</v>
      </c>
      <c r="DB323" s="239">
        <v>6510</v>
      </c>
      <c r="DC323" s="239">
        <v>0</v>
      </c>
      <c r="DD323" s="239">
        <v>131</v>
      </c>
      <c r="DE323" s="214">
        <v>0.5</v>
      </c>
      <c r="DF323" s="214">
        <v>0.49</v>
      </c>
      <c r="DG323" s="214">
        <v>0</v>
      </c>
      <c r="DH323" s="214">
        <v>0.01</v>
      </c>
      <c r="DI323" s="214" t="s">
        <v>748</v>
      </c>
    </row>
    <row r="324" spans="2:113" s="214" customFormat="1" x14ac:dyDescent="0.2">
      <c r="B324" s="610" t="s">
        <v>731</v>
      </c>
      <c r="C324" s="610" t="s">
        <v>730</v>
      </c>
      <c r="D324" s="239">
        <v>-1299884</v>
      </c>
      <c r="E324" s="239">
        <v>0</v>
      </c>
      <c r="F324" s="239">
        <v>-1299884</v>
      </c>
      <c r="G324" s="239">
        <v>0</v>
      </c>
      <c r="H324" s="239">
        <v>0</v>
      </c>
      <c r="I324" s="239">
        <v>0</v>
      </c>
      <c r="J324" s="239">
        <v>-1299884</v>
      </c>
      <c r="K324" s="239">
        <v>0</v>
      </c>
      <c r="L324" s="239">
        <v>-1299884</v>
      </c>
      <c r="M324" s="239">
        <v>346763</v>
      </c>
      <c r="N324" s="239">
        <v>346763</v>
      </c>
      <c r="O324" s="239">
        <v>0</v>
      </c>
      <c r="P324" s="239">
        <v>807</v>
      </c>
      <c r="Q324" s="239">
        <v>0</v>
      </c>
      <c r="R324" s="239">
        <v>807</v>
      </c>
      <c r="S324" s="239">
        <v>0</v>
      </c>
      <c r="T324" s="239">
        <v>0</v>
      </c>
      <c r="U324" s="239">
        <v>0</v>
      </c>
      <c r="V324" s="239">
        <v>0</v>
      </c>
      <c r="W324" s="239">
        <v>0</v>
      </c>
      <c r="X324" s="239">
        <v>0</v>
      </c>
      <c r="Y324" s="239">
        <v>0</v>
      </c>
      <c r="Z324" s="239">
        <v>0</v>
      </c>
      <c r="AA324" s="239">
        <v>0</v>
      </c>
      <c r="AB324" s="239">
        <v>0</v>
      </c>
      <c r="AC324" s="239">
        <v>79200</v>
      </c>
      <c r="AD324" s="239">
        <v>79200</v>
      </c>
      <c r="AE324" s="239">
        <v>0</v>
      </c>
      <c r="AF324" s="239">
        <v>0</v>
      </c>
      <c r="AG324" s="239">
        <v>-79200</v>
      </c>
      <c r="AH324" s="239">
        <v>-79200</v>
      </c>
      <c r="AI324" s="239">
        <v>0</v>
      </c>
      <c r="AJ324" s="239">
        <v>0</v>
      </c>
      <c r="AK324" s="239">
        <v>1442530.7786458333</v>
      </c>
      <c r="AL324" s="239">
        <v>0</v>
      </c>
      <c r="AM324" s="239">
        <v>29439.403645833332</v>
      </c>
      <c r="AN324" s="239">
        <v>1310233</v>
      </c>
      <c r="AO324" s="239">
        <v>0</v>
      </c>
      <c r="AP324" s="239">
        <v>26740</v>
      </c>
      <c r="AQ324" s="239">
        <v>132298</v>
      </c>
      <c r="AR324" s="239">
        <v>0</v>
      </c>
      <c r="AS324" s="239">
        <v>2699</v>
      </c>
      <c r="AT324" s="239">
        <v>12508.189166666667</v>
      </c>
      <c r="AU324" s="239">
        <v>0</v>
      </c>
      <c r="AV324" s="239">
        <v>255.26916666666665</v>
      </c>
      <c r="AW324" s="239">
        <v>3606</v>
      </c>
      <c r="AX324" s="239">
        <v>0</v>
      </c>
      <c r="AY324" s="239">
        <v>74</v>
      </c>
      <c r="AZ324" s="239">
        <v>8902</v>
      </c>
      <c r="BA324" s="239">
        <v>0</v>
      </c>
      <c r="BB324" s="239">
        <v>181</v>
      </c>
      <c r="BC324" s="239">
        <v>2777.5537708333331</v>
      </c>
      <c r="BD324" s="239">
        <v>0</v>
      </c>
      <c r="BE324" s="239">
        <v>56.684770833333332</v>
      </c>
      <c r="BF324" s="239">
        <v>0</v>
      </c>
      <c r="BG324" s="239">
        <v>0</v>
      </c>
      <c r="BH324" s="239">
        <v>0</v>
      </c>
      <c r="BI324" s="239">
        <v>2778</v>
      </c>
      <c r="BJ324" s="239">
        <v>0</v>
      </c>
      <c r="BK324" s="239">
        <v>57</v>
      </c>
      <c r="BL324" s="239">
        <v>25721.828270833332</v>
      </c>
      <c r="BM324" s="239">
        <v>0</v>
      </c>
      <c r="BN324" s="239">
        <v>524.93527083333322</v>
      </c>
      <c r="BO324" s="239">
        <v>15495</v>
      </c>
      <c r="BP324" s="239">
        <v>0</v>
      </c>
      <c r="BQ324" s="239">
        <v>316</v>
      </c>
      <c r="BR324" s="239">
        <v>10227</v>
      </c>
      <c r="BS324" s="239">
        <v>0</v>
      </c>
      <c r="BT324" s="239">
        <v>209</v>
      </c>
      <c r="BU324" s="239">
        <v>511576.98258333333</v>
      </c>
      <c r="BV324" s="239">
        <v>0</v>
      </c>
      <c r="BW324" s="239">
        <v>10440.346583333332</v>
      </c>
      <c r="BX324" s="239">
        <v>350386</v>
      </c>
      <c r="BY324" s="239">
        <v>0</v>
      </c>
      <c r="BZ324" s="239">
        <v>7150</v>
      </c>
      <c r="CA324" s="239">
        <v>161191</v>
      </c>
      <c r="CB324" s="239">
        <v>0</v>
      </c>
      <c r="CC324" s="239">
        <v>3290</v>
      </c>
      <c r="CD324" s="239">
        <v>0</v>
      </c>
      <c r="CE324" s="239">
        <v>0</v>
      </c>
      <c r="CF324" s="239">
        <v>0</v>
      </c>
      <c r="CG324" s="239">
        <v>0</v>
      </c>
      <c r="CH324" s="239">
        <v>0</v>
      </c>
      <c r="CI324" s="239">
        <v>0</v>
      </c>
      <c r="CJ324" s="239">
        <v>0</v>
      </c>
      <c r="CK324" s="239">
        <v>0</v>
      </c>
      <c r="CL324" s="239">
        <v>0</v>
      </c>
      <c r="CM324" s="239">
        <v>5127.0649791666665</v>
      </c>
      <c r="CN324" s="239">
        <v>0</v>
      </c>
      <c r="CO324" s="239">
        <v>104.63397916666668</v>
      </c>
      <c r="CP324" s="239">
        <v>0</v>
      </c>
      <c r="CQ324" s="239">
        <v>0</v>
      </c>
      <c r="CR324" s="239">
        <v>0</v>
      </c>
      <c r="CS324" s="239">
        <v>5127</v>
      </c>
      <c r="CT324" s="239">
        <v>0</v>
      </c>
      <c r="CU324" s="239">
        <v>105</v>
      </c>
      <c r="CV324" s="239">
        <v>489604.98810416664</v>
      </c>
      <c r="CW324" s="239">
        <v>0</v>
      </c>
      <c r="CX324" s="239">
        <v>9991.6983541666668</v>
      </c>
      <c r="CY324" s="239">
        <v>545219</v>
      </c>
      <c r="CZ324" s="239">
        <v>0</v>
      </c>
      <c r="DA324" s="239">
        <v>11103</v>
      </c>
      <c r="DB324" s="239">
        <v>-55614</v>
      </c>
      <c r="DC324" s="239">
        <v>0</v>
      </c>
      <c r="DD324" s="239">
        <v>-1111</v>
      </c>
      <c r="DE324" s="214">
        <v>0.5</v>
      </c>
      <c r="DF324" s="214">
        <v>0.49</v>
      </c>
      <c r="DG324" s="214">
        <v>0</v>
      </c>
      <c r="DH324" s="214">
        <v>0.01</v>
      </c>
      <c r="DI324" s="214" t="s">
        <v>1296</v>
      </c>
    </row>
    <row r="325" spans="2:113" s="214" customFormat="1" x14ac:dyDescent="0.2">
      <c r="B325" s="610" t="s">
        <v>733</v>
      </c>
      <c r="C325" s="610" t="s">
        <v>732</v>
      </c>
      <c r="D325" s="239">
        <v>-42856</v>
      </c>
      <c r="E325" s="239">
        <v>0</v>
      </c>
      <c r="F325" s="239">
        <v>-42856</v>
      </c>
      <c r="G325" s="239">
        <v>0</v>
      </c>
      <c r="H325" s="239">
        <v>0</v>
      </c>
      <c r="I325" s="239">
        <v>0</v>
      </c>
      <c r="J325" s="239">
        <v>-42856</v>
      </c>
      <c r="K325" s="239">
        <v>0</v>
      </c>
      <c r="L325" s="239">
        <v>-42856</v>
      </c>
      <c r="M325" s="239">
        <v>138095</v>
      </c>
      <c r="N325" s="239">
        <v>138095</v>
      </c>
      <c r="O325" s="239">
        <v>0</v>
      </c>
      <c r="P325" s="239">
        <v>0</v>
      </c>
      <c r="Q325" s="239">
        <v>0</v>
      </c>
      <c r="R325" s="239">
        <v>0</v>
      </c>
      <c r="S325" s="239">
        <v>0</v>
      </c>
      <c r="T325" s="239">
        <v>0</v>
      </c>
      <c r="U325" s="239">
        <v>0</v>
      </c>
      <c r="V325" s="239">
        <v>0</v>
      </c>
      <c r="W325" s="239">
        <v>0</v>
      </c>
      <c r="X325" s="239">
        <v>0</v>
      </c>
      <c r="Y325" s="239">
        <v>0</v>
      </c>
      <c r="Z325" s="239">
        <v>0</v>
      </c>
      <c r="AA325" s="239">
        <v>0</v>
      </c>
      <c r="AB325" s="239">
        <v>0</v>
      </c>
      <c r="AC325" s="239">
        <v>0</v>
      </c>
      <c r="AD325" s="239">
        <v>0</v>
      </c>
      <c r="AE325" s="239">
        <v>0</v>
      </c>
      <c r="AF325" s="239">
        <v>0</v>
      </c>
      <c r="AG325" s="239">
        <v>0</v>
      </c>
      <c r="AH325" s="239">
        <v>0</v>
      </c>
      <c r="AI325" s="239">
        <v>0</v>
      </c>
      <c r="AJ325" s="239">
        <v>0</v>
      </c>
      <c r="AK325" s="239">
        <v>391225.15958333336</v>
      </c>
      <c r="AL325" s="239">
        <v>88025.660906250007</v>
      </c>
      <c r="AM325" s="239">
        <v>9780.6289895833343</v>
      </c>
      <c r="AN325" s="239">
        <v>367974</v>
      </c>
      <c r="AO325" s="239">
        <v>82794</v>
      </c>
      <c r="AP325" s="239">
        <v>9200</v>
      </c>
      <c r="AQ325" s="239">
        <v>23251</v>
      </c>
      <c r="AR325" s="239">
        <v>5232</v>
      </c>
      <c r="AS325" s="239">
        <v>581</v>
      </c>
      <c r="AT325" s="239">
        <v>2139.5533333333333</v>
      </c>
      <c r="AU325" s="239">
        <v>481.39949999999999</v>
      </c>
      <c r="AV325" s="239">
        <v>53.488833333333332</v>
      </c>
      <c r="AW325" s="239">
        <v>955</v>
      </c>
      <c r="AX325" s="239">
        <v>214</v>
      </c>
      <c r="AY325" s="239">
        <v>24</v>
      </c>
      <c r="AZ325" s="239">
        <v>1185</v>
      </c>
      <c r="BA325" s="239">
        <v>267</v>
      </c>
      <c r="BB325" s="239">
        <v>29</v>
      </c>
      <c r="BC325" s="239">
        <v>9121.9158333333344</v>
      </c>
      <c r="BD325" s="239">
        <v>2052.4310625000003</v>
      </c>
      <c r="BE325" s="239">
        <v>228.04789583333334</v>
      </c>
      <c r="BF325" s="239">
        <v>0</v>
      </c>
      <c r="BG325" s="239">
        <v>0</v>
      </c>
      <c r="BH325" s="239">
        <v>0</v>
      </c>
      <c r="BI325" s="239">
        <v>9122</v>
      </c>
      <c r="BJ325" s="239">
        <v>2052</v>
      </c>
      <c r="BK325" s="239">
        <v>228</v>
      </c>
      <c r="BL325" s="239">
        <v>22322.456666666665</v>
      </c>
      <c r="BM325" s="239">
        <v>5022.5527499999998</v>
      </c>
      <c r="BN325" s="239">
        <v>558.06141666666667</v>
      </c>
      <c r="BO325" s="239">
        <v>758</v>
      </c>
      <c r="BP325" s="239">
        <v>172</v>
      </c>
      <c r="BQ325" s="239">
        <v>20</v>
      </c>
      <c r="BR325" s="239">
        <v>21564</v>
      </c>
      <c r="BS325" s="239">
        <v>4851</v>
      </c>
      <c r="BT325" s="239">
        <v>538</v>
      </c>
      <c r="BU325" s="239">
        <v>273219.17500000005</v>
      </c>
      <c r="BV325" s="239">
        <v>61474.314375000002</v>
      </c>
      <c r="BW325" s="239">
        <v>6830.4793749999999</v>
      </c>
      <c r="BX325" s="239">
        <v>279288</v>
      </c>
      <c r="BY325" s="239">
        <v>62840</v>
      </c>
      <c r="BZ325" s="239">
        <v>6982</v>
      </c>
      <c r="CA325" s="239">
        <v>-6069</v>
      </c>
      <c r="CB325" s="239">
        <v>-1366</v>
      </c>
      <c r="CC325" s="239">
        <v>-152</v>
      </c>
      <c r="CD325" s="239">
        <v>-70.614999999999995</v>
      </c>
      <c r="CE325" s="239">
        <v>-15.888374999999998</v>
      </c>
      <c r="CF325" s="239">
        <v>-1.7653749999999999</v>
      </c>
      <c r="CG325" s="239">
        <v>0</v>
      </c>
      <c r="CH325" s="239">
        <v>0</v>
      </c>
      <c r="CI325" s="239">
        <v>0</v>
      </c>
      <c r="CJ325" s="239">
        <v>-71</v>
      </c>
      <c r="CK325" s="239">
        <v>-16</v>
      </c>
      <c r="CL325" s="239">
        <v>-2</v>
      </c>
      <c r="CM325" s="239">
        <v>2639.1341666666667</v>
      </c>
      <c r="CN325" s="239">
        <v>593.80518749999999</v>
      </c>
      <c r="CO325" s="239">
        <v>65.978354166666662</v>
      </c>
      <c r="CP325" s="239">
        <v>0</v>
      </c>
      <c r="CQ325" s="239">
        <v>0</v>
      </c>
      <c r="CR325" s="239">
        <v>0</v>
      </c>
      <c r="CS325" s="239">
        <v>2639</v>
      </c>
      <c r="CT325" s="239">
        <v>594</v>
      </c>
      <c r="CU325" s="239">
        <v>66</v>
      </c>
      <c r="CV325" s="239">
        <v>232712.94666666668</v>
      </c>
      <c r="CW325" s="239">
        <v>52360.412999999993</v>
      </c>
      <c r="CX325" s="239">
        <v>5817.8236666666662</v>
      </c>
      <c r="CY325" s="239">
        <v>236334</v>
      </c>
      <c r="CZ325" s="239">
        <v>53175</v>
      </c>
      <c r="DA325" s="239">
        <v>5908</v>
      </c>
      <c r="DB325" s="239">
        <v>-3621</v>
      </c>
      <c r="DC325" s="239">
        <v>-815</v>
      </c>
      <c r="DD325" s="239">
        <v>-90</v>
      </c>
      <c r="DE325" s="214">
        <v>0.5</v>
      </c>
      <c r="DF325" s="214">
        <v>0.4</v>
      </c>
      <c r="DG325" s="214">
        <v>0.09</v>
      </c>
      <c r="DH325" s="214">
        <v>0.01</v>
      </c>
      <c r="DI325" s="214" t="s">
        <v>1294</v>
      </c>
    </row>
    <row r="326" spans="2:113" s="214" customFormat="1" x14ac:dyDescent="0.2">
      <c r="B326" s="610" t="s">
        <v>735</v>
      </c>
      <c r="C326" s="610" t="s">
        <v>734</v>
      </c>
      <c r="D326" s="239">
        <v>-118208</v>
      </c>
      <c r="E326" s="239">
        <v>0</v>
      </c>
      <c r="F326" s="239">
        <v>-118208</v>
      </c>
      <c r="G326" s="239">
        <v>0</v>
      </c>
      <c r="H326" s="239">
        <v>0</v>
      </c>
      <c r="I326" s="239">
        <v>0</v>
      </c>
      <c r="J326" s="239">
        <v>-118208</v>
      </c>
      <c r="K326" s="239">
        <v>0</v>
      </c>
      <c r="L326" s="239">
        <v>-118208</v>
      </c>
      <c r="M326" s="239">
        <v>132241</v>
      </c>
      <c r="N326" s="239">
        <v>132241</v>
      </c>
      <c r="O326" s="239">
        <v>0</v>
      </c>
      <c r="P326" s="239">
        <v>0</v>
      </c>
      <c r="Q326" s="239">
        <v>0</v>
      </c>
      <c r="R326" s="239">
        <v>0</v>
      </c>
      <c r="S326" s="239">
        <v>0</v>
      </c>
      <c r="T326" s="239">
        <v>0</v>
      </c>
      <c r="U326" s="239">
        <v>0</v>
      </c>
      <c r="V326" s="239">
        <v>0</v>
      </c>
      <c r="W326" s="239">
        <v>0</v>
      </c>
      <c r="X326" s="239">
        <v>0</v>
      </c>
      <c r="Y326" s="239">
        <v>0</v>
      </c>
      <c r="Z326" s="239">
        <v>0</v>
      </c>
      <c r="AA326" s="239">
        <v>0</v>
      </c>
      <c r="AB326" s="239">
        <v>0</v>
      </c>
      <c r="AC326" s="239">
        <v>0</v>
      </c>
      <c r="AD326" s="239">
        <v>0</v>
      </c>
      <c r="AE326" s="239">
        <v>0</v>
      </c>
      <c r="AF326" s="239">
        <v>0</v>
      </c>
      <c r="AG326" s="239">
        <v>0</v>
      </c>
      <c r="AH326" s="239">
        <v>0</v>
      </c>
      <c r="AI326" s="239">
        <v>0</v>
      </c>
      <c r="AJ326" s="239">
        <v>0</v>
      </c>
      <c r="AK326" s="239">
        <v>446516.70458333334</v>
      </c>
      <c r="AL326" s="239">
        <v>111629.17614583333</v>
      </c>
      <c r="AM326" s="239">
        <v>0</v>
      </c>
      <c r="AN326" s="239">
        <v>425243</v>
      </c>
      <c r="AO326" s="239">
        <v>106312</v>
      </c>
      <c r="AP326" s="239">
        <v>0</v>
      </c>
      <c r="AQ326" s="239">
        <v>21274</v>
      </c>
      <c r="AR326" s="239">
        <v>5317</v>
      </c>
      <c r="AS326" s="239">
        <v>0</v>
      </c>
      <c r="AT326" s="239">
        <v>0</v>
      </c>
      <c r="AU326" s="239">
        <v>0</v>
      </c>
      <c r="AV326" s="239">
        <v>0</v>
      </c>
      <c r="AW326" s="239">
        <v>0</v>
      </c>
      <c r="AX326" s="239">
        <v>0</v>
      </c>
      <c r="AY326" s="239">
        <v>0</v>
      </c>
      <c r="AZ326" s="239">
        <v>0</v>
      </c>
      <c r="BA326" s="239">
        <v>0</v>
      </c>
      <c r="BB326" s="239">
        <v>0</v>
      </c>
      <c r="BC326" s="239">
        <v>0</v>
      </c>
      <c r="BD326" s="239">
        <v>0</v>
      </c>
      <c r="BE326" s="239">
        <v>0</v>
      </c>
      <c r="BF326" s="239">
        <v>9976</v>
      </c>
      <c r="BG326" s="239">
        <v>2494</v>
      </c>
      <c r="BH326" s="239">
        <v>0</v>
      </c>
      <c r="BI326" s="239">
        <v>-9976</v>
      </c>
      <c r="BJ326" s="239">
        <v>-2494</v>
      </c>
      <c r="BK326" s="239">
        <v>0</v>
      </c>
      <c r="BL326" s="239">
        <v>0</v>
      </c>
      <c r="BM326" s="239">
        <v>0</v>
      </c>
      <c r="BN326" s="239">
        <v>0</v>
      </c>
      <c r="BO326" s="239">
        <v>1249</v>
      </c>
      <c r="BP326" s="239">
        <v>312</v>
      </c>
      <c r="BQ326" s="239">
        <v>0</v>
      </c>
      <c r="BR326" s="239">
        <v>-1249</v>
      </c>
      <c r="BS326" s="239">
        <v>-312</v>
      </c>
      <c r="BT326" s="239">
        <v>0</v>
      </c>
      <c r="BU326" s="239">
        <v>311470.59000000003</v>
      </c>
      <c r="BV326" s="239">
        <v>77867.647500000006</v>
      </c>
      <c r="BW326" s="239">
        <v>0</v>
      </c>
      <c r="BX326" s="239">
        <v>316813</v>
      </c>
      <c r="BY326" s="239">
        <v>79204</v>
      </c>
      <c r="BZ326" s="239">
        <v>0</v>
      </c>
      <c r="CA326" s="239">
        <v>-5342</v>
      </c>
      <c r="CB326" s="239">
        <v>-1336</v>
      </c>
      <c r="CC326" s="239">
        <v>0</v>
      </c>
      <c r="CD326" s="239">
        <v>0</v>
      </c>
      <c r="CE326" s="239">
        <v>0</v>
      </c>
      <c r="CF326" s="239">
        <v>0</v>
      </c>
      <c r="CG326" s="239">
        <v>0</v>
      </c>
      <c r="CH326" s="239">
        <v>0</v>
      </c>
      <c r="CI326" s="239">
        <v>0</v>
      </c>
      <c r="CJ326" s="239">
        <v>0</v>
      </c>
      <c r="CK326" s="239">
        <v>0</v>
      </c>
      <c r="CL326" s="239">
        <v>0</v>
      </c>
      <c r="CM326" s="239">
        <v>2882.6341666666667</v>
      </c>
      <c r="CN326" s="239">
        <v>720.65854166666668</v>
      </c>
      <c r="CO326" s="239">
        <v>0</v>
      </c>
      <c r="CP326" s="239">
        <v>0</v>
      </c>
      <c r="CQ326" s="239">
        <v>0</v>
      </c>
      <c r="CR326" s="239">
        <v>0</v>
      </c>
      <c r="CS326" s="239">
        <v>2883</v>
      </c>
      <c r="CT326" s="239">
        <v>721</v>
      </c>
      <c r="CU326" s="239">
        <v>0</v>
      </c>
      <c r="CV326" s="239">
        <v>181571.86249999999</v>
      </c>
      <c r="CW326" s="239">
        <v>45392.965624999997</v>
      </c>
      <c r="CX326" s="239">
        <v>0</v>
      </c>
      <c r="CY326" s="239">
        <v>180814</v>
      </c>
      <c r="CZ326" s="239">
        <v>45204</v>
      </c>
      <c r="DA326" s="239">
        <v>0</v>
      </c>
      <c r="DB326" s="239">
        <v>758</v>
      </c>
      <c r="DC326" s="239">
        <v>189</v>
      </c>
      <c r="DD326" s="239">
        <v>0</v>
      </c>
      <c r="DE326" s="214">
        <v>0.5</v>
      </c>
      <c r="DF326" s="214">
        <v>0.4</v>
      </c>
      <c r="DG326" s="214">
        <v>0.1</v>
      </c>
      <c r="DH326" s="214">
        <v>0</v>
      </c>
      <c r="DI326" s="214" t="s">
        <v>1294</v>
      </c>
    </row>
    <row r="327" spans="2:113" s="214" customFormat="1" x14ac:dyDescent="0.2">
      <c r="B327" s="610" t="s">
        <v>737</v>
      </c>
      <c r="C327" s="610" t="s">
        <v>736</v>
      </c>
      <c r="D327" s="239">
        <v>57084</v>
      </c>
      <c r="E327" s="239">
        <v>0</v>
      </c>
      <c r="F327" s="239">
        <v>57084</v>
      </c>
      <c r="G327" s="239">
        <v>0</v>
      </c>
      <c r="H327" s="239">
        <v>0</v>
      </c>
      <c r="I327" s="239">
        <v>0</v>
      </c>
      <c r="J327" s="239">
        <v>57084</v>
      </c>
      <c r="K327" s="239">
        <v>0</v>
      </c>
      <c r="L327" s="239">
        <v>57084</v>
      </c>
      <c r="M327" s="239">
        <v>188085</v>
      </c>
      <c r="N327" s="239">
        <v>188085</v>
      </c>
      <c r="O327" s="239">
        <v>0</v>
      </c>
      <c r="P327" s="239">
        <v>0</v>
      </c>
      <c r="Q327" s="239">
        <v>0</v>
      </c>
      <c r="R327" s="239">
        <v>0</v>
      </c>
      <c r="S327" s="239">
        <v>29428</v>
      </c>
      <c r="T327" s="239">
        <v>0</v>
      </c>
      <c r="U327" s="239">
        <v>35400</v>
      </c>
      <c r="V327" s="239">
        <v>0</v>
      </c>
      <c r="W327" s="239">
        <v>-5972</v>
      </c>
      <c r="X327" s="239">
        <v>0</v>
      </c>
      <c r="Y327" s="239">
        <v>0</v>
      </c>
      <c r="Z327" s="239">
        <v>0</v>
      </c>
      <c r="AA327" s="239">
        <v>0</v>
      </c>
      <c r="AB327" s="239">
        <v>0</v>
      </c>
      <c r="AC327" s="239">
        <v>0</v>
      </c>
      <c r="AD327" s="239">
        <v>0</v>
      </c>
      <c r="AE327" s="239">
        <v>0</v>
      </c>
      <c r="AF327" s="239">
        <v>0</v>
      </c>
      <c r="AG327" s="239">
        <v>0</v>
      </c>
      <c r="AH327" s="239">
        <v>0</v>
      </c>
      <c r="AI327" s="239">
        <v>0</v>
      </c>
      <c r="AJ327" s="239">
        <v>0</v>
      </c>
      <c r="AK327" s="239">
        <v>673887.2645833334</v>
      </c>
      <c r="AL327" s="239">
        <v>151624.63453124996</v>
      </c>
      <c r="AM327" s="239">
        <v>16847.181614583333</v>
      </c>
      <c r="AN327" s="239">
        <v>633954</v>
      </c>
      <c r="AO327" s="239">
        <v>142640</v>
      </c>
      <c r="AP327" s="239">
        <v>15848</v>
      </c>
      <c r="AQ327" s="239">
        <v>39933</v>
      </c>
      <c r="AR327" s="239">
        <v>8985</v>
      </c>
      <c r="AS327" s="239">
        <v>999</v>
      </c>
      <c r="AT327" s="239">
        <v>5466.5750000000007</v>
      </c>
      <c r="AU327" s="239">
        <v>1229.9793750000001</v>
      </c>
      <c r="AV327" s="239">
        <v>136.66437500000001</v>
      </c>
      <c r="AW327" s="239">
        <v>650</v>
      </c>
      <c r="AX327" s="239">
        <v>146</v>
      </c>
      <c r="AY327" s="239">
        <v>16</v>
      </c>
      <c r="AZ327" s="239">
        <v>4817</v>
      </c>
      <c r="BA327" s="239">
        <v>1084</v>
      </c>
      <c r="BB327" s="239">
        <v>121</v>
      </c>
      <c r="BC327" s="239">
        <v>-782.44666666666672</v>
      </c>
      <c r="BD327" s="239">
        <v>-176.05049999999997</v>
      </c>
      <c r="BE327" s="239">
        <v>-19.561166666666665</v>
      </c>
      <c r="BF327" s="239">
        <v>998</v>
      </c>
      <c r="BG327" s="239">
        <v>226</v>
      </c>
      <c r="BH327" s="239">
        <v>26</v>
      </c>
      <c r="BI327" s="239">
        <v>-1780</v>
      </c>
      <c r="BJ327" s="239">
        <v>-402</v>
      </c>
      <c r="BK327" s="239">
        <v>-46</v>
      </c>
      <c r="BL327" s="239">
        <v>9798.8458333333328</v>
      </c>
      <c r="BM327" s="239">
        <v>2204.7403124999996</v>
      </c>
      <c r="BN327" s="239">
        <v>244.97114583333334</v>
      </c>
      <c r="BO327" s="239">
        <v>2761</v>
      </c>
      <c r="BP327" s="239">
        <v>620</v>
      </c>
      <c r="BQ327" s="239">
        <v>68</v>
      </c>
      <c r="BR327" s="239">
        <v>7038</v>
      </c>
      <c r="BS327" s="239">
        <v>1585</v>
      </c>
      <c r="BT327" s="239">
        <v>177</v>
      </c>
      <c r="BU327" s="239">
        <v>300822.74083333334</v>
      </c>
      <c r="BV327" s="239">
        <v>67685.116687500005</v>
      </c>
      <c r="BW327" s="239">
        <v>7520.5685208333334</v>
      </c>
      <c r="BX327" s="239">
        <v>295702</v>
      </c>
      <c r="BY327" s="239">
        <v>66532</v>
      </c>
      <c r="BZ327" s="239">
        <v>7392</v>
      </c>
      <c r="CA327" s="239">
        <v>5121</v>
      </c>
      <c r="CB327" s="239">
        <v>1153</v>
      </c>
      <c r="CC327" s="239">
        <v>129</v>
      </c>
      <c r="CD327" s="239">
        <v>-46.265000000000001</v>
      </c>
      <c r="CE327" s="239">
        <v>-10.409624999999998</v>
      </c>
      <c r="CF327" s="239">
        <v>-1.156625</v>
      </c>
      <c r="CG327" s="239">
        <v>0</v>
      </c>
      <c r="CH327" s="239">
        <v>0</v>
      </c>
      <c r="CI327" s="239">
        <v>0</v>
      </c>
      <c r="CJ327" s="239">
        <v>-46</v>
      </c>
      <c r="CK327" s="239">
        <v>-10</v>
      </c>
      <c r="CL327" s="239">
        <v>-1</v>
      </c>
      <c r="CM327" s="239">
        <v>4497.4449999999997</v>
      </c>
      <c r="CN327" s="239">
        <v>1011.9251249999999</v>
      </c>
      <c r="CO327" s="239">
        <v>112.43612499999999</v>
      </c>
      <c r="CP327" s="239">
        <v>0</v>
      </c>
      <c r="CQ327" s="239">
        <v>0</v>
      </c>
      <c r="CR327" s="239">
        <v>0</v>
      </c>
      <c r="CS327" s="239">
        <v>4497</v>
      </c>
      <c r="CT327" s="239">
        <v>1012</v>
      </c>
      <c r="CU327" s="239">
        <v>112</v>
      </c>
      <c r="CV327" s="239">
        <v>225662.00999999998</v>
      </c>
      <c r="CW327" s="239">
        <v>50677.391624999997</v>
      </c>
      <c r="CX327" s="239">
        <v>5630.8212916666671</v>
      </c>
      <c r="CY327" s="239">
        <v>225391</v>
      </c>
      <c r="CZ327" s="239">
        <v>50597</v>
      </c>
      <c r="DA327" s="239">
        <v>5622</v>
      </c>
      <c r="DB327" s="239">
        <v>271</v>
      </c>
      <c r="DC327" s="239">
        <v>80</v>
      </c>
      <c r="DD327" s="239">
        <v>9</v>
      </c>
      <c r="DE327" s="214">
        <v>0.5</v>
      </c>
      <c r="DF327" s="214">
        <v>0.4</v>
      </c>
      <c r="DG327" s="214">
        <v>0.09</v>
      </c>
      <c r="DH327" s="214">
        <v>0.01</v>
      </c>
      <c r="DI327" s="214" t="s">
        <v>1294</v>
      </c>
    </row>
    <row r="328" spans="2:113" s="214" customFormat="1" x14ac:dyDescent="0.2">
      <c r="B328" s="610" t="s">
        <v>739</v>
      </c>
      <c r="C328" s="610" t="s">
        <v>738</v>
      </c>
      <c r="D328" s="239">
        <v>-6807</v>
      </c>
      <c r="E328" s="239">
        <v>0</v>
      </c>
      <c r="F328" s="239">
        <v>-6807</v>
      </c>
      <c r="G328" s="239">
        <v>0</v>
      </c>
      <c r="H328" s="239">
        <v>0</v>
      </c>
      <c r="I328" s="239">
        <v>0</v>
      </c>
      <c r="J328" s="239">
        <v>-6807</v>
      </c>
      <c r="K328" s="239">
        <v>0</v>
      </c>
      <c r="L328" s="239">
        <v>-6807</v>
      </c>
      <c r="M328" s="239">
        <v>243439</v>
      </c>
      <c r="N328" s="239">
        <v>243439</v>
      </c>
      <c r="O328" s="239">
        <v>0</v>
      </c>
      <c r="P328" s="239">
        <v>0</v>
      </c>
      <c r="Q328" s="239">
        <v>0</v>
      </c>
      <c r="R328" s="239">
        <v>0</v>
      </c>
      <c r="S328" s="239">
        <v>0</v>
      </c>
      <c r="T328" s="239">
        <v>0</v>
      </c>
      <c r="U328" s="239">
        <v>0</v>
      </c>
      <c r="V328" s="239">
        <v>0</v>
      </c>
      <c r="W328" s="239">
        <v>0</v>
      </c>
      <c r="X328" s="239">
        <v>0</v>
      </c>
      <c r="Y328" s="239">
        <v>0</v>
      </c>
      <c r="Z328" s="239">
        <v>0</v>
      </c>
      <c r="AA328" s="239">
        <v>0</v>
      </c>
      <c r="AB328" s="239">
        <v>0</v>
      </c>
      <c r="AC328" s="239">
        <v>0</v>
      </c>
      <c r="AD328" s="239">
        <v>0</v>
      </c>
      <c r="AE328" s="239">
        <v>0</v>
      </c>
      <c r="AF328" s="239">
        <v>0</v>
      </c>
      <c r="AG328" s="239">
        <v>0</v>
      </c>
      <c r="AH328" s="239">
        <v>0</v>
      </c>
      <c r="AI328" s="239">
        <v>0</v>
      </c>
      <c r="AJ328" s="239">
        <v>0</v>
      </c>
      <c r="AK328" s="239">
        <v>547836.04</v>
      </c>
      <c r="AL328" s="239">
        <v>123263.109</v>
      </c>
      <c r="AM328" s="239">
        <v>13695.901</v>
      </c>
      <c r="AN328" s="239">
        <v>472364</v>
      </c>
      <c r="AO328" s="239">
        <v>106282</v>
      </c>
      <c r="AP328" s="239">
        <v>11810</v>
      </c>
      <c r="AQ328" s="239">
        <v>75472</v>
      </c>
      <c r="AR328" s="239">
        <v>16981</v>
      </c>
      <c r="AS328" s="239">
        <v>1886</v>
      </c>
      <c r="AT328" s="239">
        <v>6973.0283333333336</v>
      </c>
      <c r="AU328" s="239">
        <v>1568.9313749999999</v>
      </c>
      <c r="AV328" s="239">
        <v>174.32570833333335</v>
      </c>
      <c r="AW328" s="239">
        <v>0</v>
      </c>
      <c r="AX328" s="239">
        <v>0</v>
      </c>
      <c r="AY328" s="239">
        <v>0</v>
      </c>
      <c r="AZ328" s="239">
        <v>6973</v>
      </c>
      <c r="BA328" s="239">
        <v>1569</v>
      </c>
      <c r="BB328" s="239">
        <v>174</v>
      </c>
      <c r="BC328" s="239">
        <v>0</v>
      </c>
      <c r="BD328" s="239">
        <v>0</v>
      </c>
      <c r="BE328" s="239">
        <v>0</v>
      </c>
      <c r="BF328" s="239">
        <v>0</v>
      </c>
      <c r="BG328" s="239">
        <v>0</v>
      </c>
      <c r="BH328" s="239">
        <v>0</v>
      </c>
      <c r="BI328" s="239">
        <v>0</v>
      </c>
      <c r="BJ328" s="239">
        <v>0</v>
      </c>
      <c r="BK328" s="239">
        <v>0</v>
      </c>
      <c r="BL328" s="239">
        <v>3661.0225</v>
      </c>
      <c r="BM328" s="239">
        <v>823.73006249999992</v>
      </c>
      <c r="BN328" s="239">
        <v>91.525562499999992</v>
      </c>
      <c r="BO328" s="239">
        <v>0</v>
      </c>
      <c r="BP328" s="239">
        <v>0</v>
      </c>
      <c r="BQ328" s="239">
        <v>0</v>
      </c>
      <c r="BR328" s="239">
        <v>3661</v>
      </c>
      <c r="BS328" s="239">
        <v>824</v>
      </c>
      <c r="BT328" s="239">
        <v>92</v>
      </c>
      <c r="BU328" s="239">
        <v>312474.21583333338</v>
      </c>
      <c r="BV328" s="239">
        <v>70306.698562499994</v>
      </c>
      <c r="BW328" s="239">
        <v>7811.8553958333341</v>
      </c>
      <c r="BX328" s="239">
        <v>85824</v>
      </c>
      <c r="BY328" s="239">
        <v>19310</v>
      </c>
      <c r="BZ328" s="239">
        <v>2146</v>
      </c>
      <c r="CA328" s="239">
        <v>226650</v>
      </c>
      <c r="CB328" s="239">
        <v>50997</v>
      </c>
      <c r="CC328" s="239">
        <v>5666</v>
      </c>
      <c r="CD328" s="239">
        <v>-2010.0925</v>
      </c>
      <c r="CE328" s="239">
        <v>-452.27081249999998</v>
      </c>
      <c r="CF328" s="239">
        <v>-50.252312500000002</v>
      </c>
      <c r="CG328" s="239">
        <v>0</v>
      </c>
      <c r="CH328" s="239">
        <v>0</v>
      </c>
      <c r="CI328" s="239">
        <v>0</v>
      </c>
      <c r="CJ328" s="239">
        <v>-2010</v>
      </c>
      <c r="CK328" s="239">
        <v>-452</v>
      </c>
      <c r="CL328" s="239">
        <v>-50</v>
      </c>
      <c r="CM328" s="239">
        <v>9372.7208333333328</v>
      </c>
      <c r="CN328" s="239">
        <v>2108.8621874999999</v>
      </c>
      <c r="CO328" s="239">
        <v>234.31802083333332</v>
      </c>
      <c r="CP328" s="239">
        <v>0</v>
      </c>
      <c r="CQ328" s="239">
        <v>0</v>
      </c>
      <c r="CR328" s="239">
        <v>0</v>
      </c>
      <c r="CS328" s="239">
        <v>9373</v>
      </c>
      <c r="CT328" s="239">
        <v>2109</v>
      </c>
      <c r="CU328" s="239">
        <v>234</v>
      </c>
      <c r="CV328" s="239">
        <v>404562.77750000003</v>
      </c>
      <c r="CW328" s="239">
        <v>91026.624937500004</v>
      </c>
      <c r="CX328" s="239">
        <v>10114.0694375</v>
      </c>
      <c r="CY328" s="239">
        <v>420053</v>
      </c>
      <c r="CZ328" s="239">
        <v>94512</v>
      </c>
      <c r="DA328" s="239">
        <v>10501</v>
      </c>
      <c r="DB328" s="239">
        <v>-15490</v>
      </c>
      <c r="DC328" s="239">
        <v>-3485</v>
      </c>
      <c r="DD328" s="239">
        <v>-387</v>
      </c>
      <c r="DE328" s="214">
        <v>0.5</v>
      </c>
      <c r="DF328" s="214">
        <v>0.4</v>
      </c>
      <c r="DG328" s="214">
        <v>0.09</v>
      </c>
      <c r="DH328" s="214">
        <v>0.01</v>
      </c>
      <c r="DI328" s="214" t="s">
        <v>1294</v>
      </c>
    </row>
    <row r="329" spans="2:113" s="214" customFormat="1" x14ac:dyDescent="0.2">
      <c r="B329" s="610" t="s">
        <v>741</v>
      </c>
      <c r="C329" s="610" t="s">
        <v>740</v>
      </c>
      <c r="D329" s="239">
        <v>-927356</v>
      </c>
      <c r="E329" s="239">
        <v>0</v>
      </c>
      <c r="F329" s="239">
        <v>-927356</v>
      </c>
      <c r="G329" s="239">
        <v>0</v>
      </c>
      <c r="H329" s="239">
        <v>0</v>
      </c>
      <c r="I329" s="239">
        <v>0</v>
      </c>
      <c r="J329" s="239">
        <v>-927356</v>
      </c>
      <c r="K329" s="239">
        <v>0</v>
      </c>
      <c r="L329" s="239">
        <v>-927356</v>
      </c>
      <c r="M329" s="239">
        <v>153550</v>
      </c>
      <c r="N329" s="239">
        <v>153550</v>
      </c>
      <c r="O329" s="239">
        <v>0</v>
      </c>
      <c r="P329" s="239">
        <v>0</v>
      </c>
      <c r="Q329" s="239">
        <v>0</v>
      </c>
      <c r="R329" s="239">
        <v>0</v>
      </c>
      <c r="S329" s="239">
        <v>0</v>
      </c>
      <c r="T329" s="239">
        <v>0</v>
      </c>
      <c r="U329" s="239">
        <v>0</v>
      </c>
      <c r="V329" s="239">
        <v>0</v>
      </c>
      <c r="W329" s="239">
        <v>0</v>
      </c>
      <c r="X329" s="239">
        <v>0</v>
      </c>
      <c r="Y329" s="239">
        <v>0</v>
      </c>
      <c r="Z329" s="239">
        <v>0</v>
      </c>
      <c r="AA329" s="239">
        <v>0</v>
      </c>
      <c r="AB329" s="239">
        <v>0</v>
      </c>
      <c r="AC329" s="239">
        <v>0</v>
      </c>
      <c r="AD329" s="239">
        <v>0</v>
      </c>
      <c r="AE329" s="239">
        <v>0</v>
      </c>
      <c r="AF329" s="239">
        <v>0</v>
      </c>
      <c r="AG329" s="239">
        <v>0</v>
      </c>
      <c r="AH329" s="239">
        <v>0</v>
      </c>
      <c r="AI329" s="239">
        <v>0</v>
      </c>
      <c r="AJ329" s="239">
        <v>0</v>
      </c>
      <c r="AK329" s="239">
        <v>611191.08750000002</v>
      </c>
      <c r="AL329" s="239">
        <v>137517.9946875</v>
      </c>
      <c r="AM329" s="239">
        <v>15279.777187500002</v>
      </c>
      <c r="AN329" s="239">
        <v>590742</v>
      </c>
      <c r="AO329" s="239">
        <v>132918</v>
      </c>
      <c r="AP329" s="239">
        <v>14768</v>
      </c>
      <c r="AQ329" s="239">
        <v>20449</v>
      </c>
      <c r="AR329" s="239">
        <v>4600</v>
      </c>
      <c r="AS329" s="239">
        <v>512</v>
      </c>
      <c r="AT329" s="239">
        <v>3863.5333333333333</v>
      </c>
      <c r="AU329" s="239">
        <v>869.29499999999996</v>
      </c>
      <c r="AV329" s="239">
        <v>96.588333333333338</v>
      </c>
      <c r="AW329" s="239">
        <v>0</v>
      </c>
      <c r="AX329" s="239">
        <v>0</v>
      </c>
      <c r="AY329" s="239">
        <v>0</v>
      </c>
      <c r="AZ329" s="239">
        <v>3864</v>
      </c>
      <c r="BA329" s="239">
        <v>869</v>
      </c>
      <c r="BB329" s="239">
        <v>97</v>
      </c>
      <c r="BC329" s="239">
        <v>0</v>
      </c>
      <c r="BD329" s="239">
        <v>0</v>
      </c>
      <c r="BE329" s="239">
        <v>0</v>
      </c>
      <c r="BF329" s="239">
        <v>0</v>
      </c>
      <c r="BG329" s="239">
        <v>0</v>
      </c>
      <c r="BH329" s="239">
        <v>0</v>
      </c>
      <c r="BI329" s="239">
        <v>0</v>
      </c>
      <c r="BJ329" s="239">
        <v>0</v>
      </c>
      <c r="BK329" s="239">
        <v>0</v>
      </c>
      <c r="BL329" s="239">
        <v>332.37750000000005</v>
      </c>
      <c r="BM329" s="239">
        <v>74.784937499999998</v>
      </c>
      <c r="BN329" s="239">
        <v>8.3094374999999996</v>
      </c>
      <c r="BO329" s="239">
        <v>0</v>
      </c>
      <c r="BP329" s="239">
        <v>0</v>
      </c>
      <c r="BQ329" s="239">
        <v>0</v>
      </c>
      <c r="BR329" s="239">
        <v>332</v>
      </c>
      <c r="BS329" s="239">
        <v>75</v>
      </c>
      <c r="BT329" s="239">
        <v>8</v>
      </c>
      <c r="BU329" s="239">
        <v>274109.57333333336</v>
      </c>
      <c r="BV329" s="239">
        <v>61674.653999999995</v>
      </c>
      <c r="BW329" s="239">
        <v>6852.739333333333</v>
      </c>
      <c r="BX329" s="239">
        <v>261899</v>
      </c>
      <c r="BY329" s="239">
        <v>58928</v>
      </c>
      <c r="BZ329" s="239">
        <v>6548</v>
      </c>
      <c r="CA329" s="239">
        <v>12211</v>
      </c>
      <c r="CB329" s="239">
        <v>2747</v>
      </c>
      <c r="CC329" s="239">
        <v>305</v>
      </c>
      <c r="CD329" s="239">
        <v>15907.043333333333</v>
      </c>
      <c r="CE329" s="239">
        <v>3579.0847499999995</v>
      </c>
      <c r="CF329" s="239">
        <v>397.67608333333328</v>
      </c>
      <c r="CG329" s="239">
        <v>40274</v>
      </c>
      <c r="CH329" s="239">
        <v>0</v>
      </c>
      <c r="CI329" s="239">
        <v>0</v>
      </c>
      <c r="CJ329" s="239">
        <v>-24367</v>
      </c>
      <c r="CK329" s="239">
        <v>3579</v>
      </c>
      <c r="CL329" s="239">
        <v>398</v>
      </c>
      <c r="CM329" s="239">
        <v>9294.3950000000004</v>
      </c>
      <c r="CN329" s="239">
        <v>2091.238875</v>
      </c>
      <c r="CO329" s="239">
        <v>232.35987499999999</v>
      </c>
      <c r="CP329" s="239">
        <v>0</v>
      </c>
      <c r="CQ329" s="239">
        <v>0</v>
      </c>
      <c r="CR329" s="239">
        <v>0</v>
      </c>
      <c r="CS329" s="239">
        <v>9294</v>
      </c>
      <c r="CT329" s="239">
        <v>2091</v>
      </c>
      <c r="CU329" s="239">
        <v>232</v>
      </c>
      <c r="CV329" s="239">
        <v>132520.72749999998</v>
      </c>
      <c r="CW329" s="239">
        <v>29817.1636875</v>
      </c>
      <c r="CX329" s="239">
        <v>3313.0181874999998</v>
      </c>
      <c r="CY329" s="239">
        <v>154441</v>
      </c>
      <c r="CZ329" s="239">
        <v>34749</v>
      </c>
      <c r="DA329" s="239">
        <v>3861</v>
      </c>
      <c r="DB329" s="239">
        <v>-21920</v>
      </c>
      <c r="DC329" s="239">
        <v>-4932</v>
      </c>
      <c r="DD329" s="239">
        <v>-548</v>
      </c>
      <c r="DE329" s="214">
        <v>0.5</v>
      </c>
      <c r="DF329" s="214">
        <v>0.4</v>
      </c>
      <c r="DG329" s="214">
        <v>0.09</v>
      </c>
      <c r="DH329" s="214">
        <v>0.01</v>
      </c>
      <c r="DI329" s="214" t="s">
        <v>1294</v>
      </c>
    </row>
    <row r="330" spans="2:113" s="214" customFormat="1" x14ac:dyDescent="0.2">
      <c r="B330" s="610" t="s">
        <v>743</v>
      </c>
      <c r="C330" s="610" t="s">
        <v>742</v>
      </c>
      <c r="D330" s="239">
        <v>-234042</v>
      </c>
      <c r="E330" s="239">
        <v>0</v>
      </c>
      <c r="F330" s="239">
        <v>-234042</v>
      </c>
      <c r="G330" s="239">
        <v>0</v>
      </c>
      <c r="H330" s="239">
        <v>0</v>
      </c>
      <c r="I330" s="239">
        <v>0</v>
      </c>
      <c r="J330" s="239">
        <v>-234042</v>
      </c>
      <c r="K330" s="239">
        <v>0</v>
      </c>
      <c r="L330" s="239">
        <v>-234042</v>
      </c>
      <c r="M330" s="239">
        <v>135893</v>
      </c>
      <c r="N330" s="239">
        <v>135893</v>
      </c>
      <c r="O330" s="239">
        <v>0</v>
      </c>
      <c r="P330" s="239">
        <v>0</v>
      </c>
      <c r="Q330" s="239">
        <v>0</v>
      </c>
      <c r="R330" s="239">
        <v>0</v>
      </c>
      <c r="S330" s="239">
        <v>0</v>
      </c>
      <c r="T330" s="239">
        <v>0</v>
      </c>
      <c r="U330" s="239">
        <v>0</v>
      </c>
      <c r="V330" s="239">
        <v>0</v>
      </c>
      <c r="W330" s="239">
        <v>0</v>
      </c>
      <c r="X330" s="239">
        <v>0</v>
      </c>
      <c r="Y330" s="239">
        <v>0</v>
      </c>
      <c r="Z330" s="239">
        <v>0</v>
      </c>
      <c r="AA330" s="239">
        <v>0</v>
      </c>
      <c r="AB330" s="239">
        <v>0</v>
      </c>
      <c r="AC330" s="239">
        <v>0</v>
      </c>
      <c r="AD330" s="239">
        <v>0</v>
      </c>
      <c r="AE330" s="239">
        <v>0</v>
      </c>
      <c r="AF330" s="239">
        <v>0</v>
      </c>
      <c r="AG330" s="239">
        <v>0</v>
      </c>
      <c r="AH330" s="239">
        <v>0</v>
      </c>
      <c r="AI330" s="239">
        <v>0</v>
      </c>
      <c r="AJ330" s="239">
        <v>0</v>
      </c>
      <c r="AK330" s="239">
        <v>472427.94541666674</v>
      </c>
      <c r="AL330" s="239">
        <v>106296.28771875</v>
      </c>
      <c r="AM330" s="239">
        <v>11810.698635416667</v>
      </c>
      <c r="AN330" s="239">
        <v>442085</v>
      </c>
      <c r="AO330" s="239">
        <v>99468</v>
      </c>
      <c r="AP330" s="239">
        <v>11052</v>
      </c>
      <c r="AQ330" s="239">
        <v>30343</v>
      </c>
      <c r="AR330" s="239">
        <v>6828</v>
      </c>
      <c r="AS330" s="239">
        <v>759</v>
      </c>
      <c r="AT330" s="239">
        <v>0</v>
      </c>
      <c r="AU330" s="239">
        <v>0</v>
      </c>
      <c r="AV330" s="239">
        <v>0</v>
      </c>
      <c r="AW330" s="239">
        <v>0</v>
      </c>
      <c r="AX330" s="239">
        <v>0</v>
      </c>
      <c r="AY330" s="239">
        <v>0</v>
      </c>
      <c r="AZ330" s="239">
        <v>0</v>
      </c>
      <c r="BA330" s="239">
        <v>0</v>
      </c>
      <c r="BB330" s="239">
        <v>0</v>
      </c>
      <c r="BC330" s="239">
        <v>0</v>
      </c>
      <c r="BD330" s="239">
        <v>0</v>
      </c>
      <c r="BE330" s="239">
        <v>0</v>
      </c>
      <c r="BF330" s="239">
        <v>0</v>
      </c>
      <c r="BG330" s="239">
        <v>0</v>
      </c>
      <c r="BH330" s="239">
        <v>0</v>
      </c>
      <c r="BI330" s="239">
        <v>0</v>
      </c>
      <c r="BJ330" s="239">
        <v>0</v>
      </c>
      <c r="BK330" s="239">
        <v>0</v>
      </c>
      <c r="BL330" s="239">
        <v>2711.3724999999999</v>
      </c>
      <c r="BM330" s="239">
        <v>610.05881249999993</v>
      </c>
      <c r="BN330" s="239">
        <v>67.784312499999999</v>
      </c>
      <c r="BO330" s="239">
        <v>0</v>
      </c>
      <c r="BP330" s="239">
        <v>0</v>
      </c>
      <c r="BQ330" s="239">
        <v>0</v>
      </c>
      <c r="BR330" s="239">
        <v>2711</v>
      </c>
      <c r="BS330" s="239">
        <v>610</v>
      </c>
      <c r="BT330" s="239">
        <v>68</v>
      </c>
      <c r="BU330" s="239">
        <v>165396.96916666668</v>
      </c>
      <c r="BV330" s="239">
        <v>37214.318062499995</v>
      </c>
      <c r="BW330" s="239">
        <v>4134.9242291666669</v>
      </c>
      <c r="BX330" s="239">
        <v>109737</v>
      </c>
      <c r="BY330" s="239">
        <v>24692</v>
      </c>
      <c r="BZ330" s="239">
        <v>2744</v>
      </c>
      <c r="CA330" s="239">
        <v>55660</v>
      </c>
      <c r="CB330" s="239">
        <v>12522</v>
      </c>
      <c r="CC330" s="239">
        <v>1391</v>
      </c>
      <c r="CD330" s="239">
        <v>0</v>
      </c>
      <c r="CE330" s="239">
        <v>0</v>
      </c>
      <c r="CF330" s="239">
        <v>0</v>
      </c>
      <c r="CG330" s="239">
        <v>0</v>
      </c>
      <c r="CH330" s="239">
        <v>0</v>
      </c>
      <c r="CI330" s="239">
        <v>0</v>
      </c>
      <c r="CJ330" s="239">
        <v>0</v>
      </c>
      <c r="CK330" s="239">
        <v>0</v>
      </c>
      <c r="CL330" s="239">
        <v>0</v>
      </c>
      <c r="CM330" s="239">
        <v>439.9233333333334</v>
      </c>
      <c r="CN330" s="239">
        <v>98.982749999999996</v>
      </c>
      <c r="CO330" s="239">
        <v>10.998083333333334</v>
      </c>
      <c r="CP330" s="239">
        <v>0</v>
      </c>
      <c r="CQ330" s="239">
        <v>0</v>
      </c>
      <c r="CR330" s="239">
        <v>0</v>
      </c>
      <c r="CS330" s="239">
        <v>440</v>
      </c>
      <c r="CT330" s="239">
        <v>99</v>
      </c>
      <c r="CU330" s="239">
        <v>11</v>
      </c>
      <c r="CV330" s="239">
        <v>162170.76750000002</v>
      </c>
      <c r="CW330" s="239">
        <v>36488.422687500002</v>
      </c>
      <c r="CX330" s="239">
        <v>4054.2691875000005</v>
      </c>
      <c r="CY330" s="239">
        <v>169707</v>
      </c>
      <c r="CZ330" s="239">
        <v>38184</v>
      </c>
      <c r="DA330" s="239">
        <v>4243</v>
      </c>
      <c r="DB330" s="239">
        <v>-7536</v>
      </c>
      <c r="DC330" s="239">
        <v>-1696</v>
      </c>
      <c r="DD330" s="239">
        <v>-189</v>
      </c>
      <c r="DE330" s="214">
        <v>0.5</v>
      </c>
      <c r="DF330" s="214">
        <v>0.4</v>
      </c>
      <c r="DG330" s="214">
        <v>0.09</v>
      </c>
      <c r="DH330" s="214">
        <v>0.01</v>
      </c>
      <c r="DI330" s="214" t="s">
        <v>1294</v>
      </c>
    </row>
    <row r="331" spans="2:113" s="214" customFormat="1" x14ac:dyDescent="0.2">
      <c r="B331" s="610" t="s">
        <v>745</v>
      </c>
      <c r="C331" s="610" t="s">
        <v>744</v>
      </c>
      <c r="D331" s="239">
        <v>-68903</v>
      </c>
      <c r="E331" s="239">
        <v>0</v>
      </c>
      <c r="F331" s="239">
        <v>-68903</v>
      </c>
      <c r="G331" s="239">
        <v>0</v>
      </c>
      <c r="H331" s="239">
        <v>0</v>
      </c>
      <c r="I331" s="239">
        <v>0</v>
      </c>
      <c r="J331" s="239">
        <v>-68903</v>
      </c>
      <c r="K331" s="239">
        <v>0</v>
      </c>
      <c r="L331" s="239">
        <v>-68903</v>
      </c>
      <c r="M331" s="239">
        <v>295442</v>
      </c>
      <c r="N331" s="239">
        <v>295442</v>
      </c>
      <c r="O331" s="239">
        <v>0</v>
      </c>
      <c r="P331" s="239">
        <v>0</v>
      </c>
      <c r="Q331" s="239">
        <v>0</v>
      </c>
      <c r="R331" s="239">
        <v>0</v>
      </c>
      <c r="S331" s="239">
        <v>0</v>
      </c>
      <c r="T331" s="239">
        <v>0</v>
      </c>
      <c r="U331" s="239">
        <v>0</v>
      </c>
      <c r="V331" s="239">
        <v>0</v>
      </c>
      <c r="W331" s="239">
        <v>0</v>
      </c>
      <c r="X331" s="239">
        <v>0</v>
      </c>
      <c r="Y331" s="239">
        <v>0</v>
      </c>
      <c r="Z331" s="239">
        <v>0</v>
      </c>
      <c r="AA331" s="239">
        <v>0</v>
      </c>
      <c r="AB331" s="239">
        <v>0</v>
      </c>
      <c r="AC331" s="239">
        <v>0</v>
      </c>
      <c r="AD331" s="239">
        <v>0</v>
      </c>
      <c r="AE331" s="239">
        <v>0</v>
      </c>
      <c r="AF331" s="239">
        <v>0</v>
      </c>
      <c r="AG331" s="239">
        <v>0</v>
      </c>
      <c r="AH331" s="239">
        <v>0</v>
      </c>
      <c r="AI331" s="239">
        <v>0</v>
      </c>
      <c r="AJ331" s="239">
        <v>0</v>
      </c>
      <c r="AK331" s="239">
        <v>897608.23643749999</v>
      </c>
      <c r="AL331" s="239">
        <v>0</v>
      </c>
      <c r="AM331" s="239">
        <v>18318.535437499999</v>
      </c>
      <c r="AN331" s="239">
        <v>808358</v>
      </c>
      <c r="AO331" s="239">
        <v>0</v>
      </c>
      <c r="AP331" s="239">
        <v>16498</v>
      </c>
      <c r="AQ331" s="239">
        <v>89250</v>
      </c>
      <c r="AR331" s="239">
        <v>0</v>
      </c>
      <c r="AS331" s="239">
        <v>1821</v>
      </c>
      <c r="AT331" s="239">
        <v>14262.6168125</v>
      </c>
      <c r="AU331" s="239">
        <v>0</v>
      </c>
      <c r="AV331" s="239">
        <v>291.07381250000003</v>
      </c>
      <c r="AW331" s="239">
        <v>7631</v>
      </c>
      <c r="AX331" s="239">
        <v>0</v>
      </c>
      <c r="AY331" s="239">
        <v>156</v>
      </c>
      <c r="AZ331" s="239">
        <v>6632</v>
      </c>
      <c r="BA331" s="239">
        <v>0</v>
      </c>
      <c r="BB331" s="239">
        <v>135</v>
      </c>
      <c r="BC331" s="239">
        <v>31993.32295833333</v>
      </c>
      <c r="BD331" s="239">
        <v>0</v>
      </c>
      <c r="BE331" s="239">
        <v>652.92495833333339</v>
      </c>
      <c r="BF331" s="239">
        <v>29351</v>
      </c>
      <c r="BG331" s="239">
        <v>0</v>
      </c>
      <c r="BH331" s="239">
        <v>598</v>
      </c>
      <c r="BI331" s="239">
        <v>2642</v>
      </c>
      <c r="BJ331" s="239">
        <v>0</v>
      </c>
      <c r="BK331" s="239">
        <v>55</v>
      </c>
      <c r="BL331" s="239">
        <v>83848.119104166661</v>
      </c>
      <c r="BM331" s="239">
        <v>0</v>
      </c>
      <c r="BN331" s="239">
        <v>1711.1861041666666</v>
      </c>
      <c r="BO331" s="239">
        <v>24857</v>
      </c>
      <c r="BP331" s="239">
        <v>0</v>
      </c>
      <c r="BQ331" s="239">
        <v>508</v>
      </c>
      <c r="BR331" s="239">
        <v>58991</v>
      </c>
      <c r="BS331" s="239">
        <v>0</v>
      </c>
      <c r="BT331" s="239">
        <v>1203</v>
      </c>
      <c r="BU331" s="239">
        <v>731704.20895833324</v>
      </c>
      <c r="BV331" s="239">
        <v>0</v>
      </c>
      <c r="BW331" s="239">
        <v>14932.738958333333</v>
      </c>
      <c r="BX331" s="239">
        <v>796953</v>
      </c>
      <c r="BY331" s="239">
        <v>0</v>
      </c>
      <c r="BZ331" s="239">
        <v>16264</v>
      </c>
      <c r="CA331" s="239">
        <v>-65249</v>
      </c>
      <c r="CB331" s="239">
        <v>0</v>
      </c>
      <c r="CC331" s="239">
        <v>-1331</v>
      </c>
      <c r="CD331" s="239">
        <v>699279.86056250008</v>
      </c>
      <c r="CE331" s="239">
        <v>0</v>
      </c>
      <c r="CF331" s="239">
        <v>14271.017562500001</v>
      </c>
      <c r="CG331" s="239">
        <v>243460</v>
      </c>
      <c r="CH331" s="239">
        <v>0</v>
      </c>
      <c r="CI331" s="239">
        <v>0</v>
      </c>
      <c r="CJ331" s="239">
        <v>455820</v>
      </c>
      <c r="CK331" s="239">
        <v>0</v>
      </c>
      <c r="CL331" s="239">
        <v>14271</v>
      </c>
      <c r="CM331" s="239">
        <v>4239.1625208333335</v>
      </c>
      <c r="CN331" s="239">
        <v>0</v>
      </c>
      <c r="CO331" s="239">
        <v>86.513520833333331</v>
      </c>
      <c r="CP331" s="239">
        <v>0</v>
      </c>
      <c r="CQ331" s="239">
        <v>0</v>
      </c>
      <c r="CR331" s="239">
        <v>0</v>
      </c>
      <c r="CS331" s="239">
        <v>4239</v>
      </c>
      <c r="CT331" s="239">
        <v>0</v>
      </c>
      <c r="CU331" s="239">
        <v>87</v>
      </c>
      <c r="CV331" s="239">
        <v>732239.55131250003</v>
      </c>
      <c r="CW331" s="239">
        <v>0</v>
      </c>
      <c r="CX331" s="239">
        <v>14943.664312500001</v>
      </c>
      <c r="CY331" s="239">
        <v>722601</v>
      </c>
      <c r="CZ331" s="239">
        <v>0</v>
      </c>
      <c r="DA331" s="239">
        <v>14747</v>
      </c>
      <c r="DB331" s="239">
        <v>9639</v>
      </c>
      <c r="DC331" s="239">
        <v>0</v>
      </c>
      <c r="DD331" s="239">
        <v>197</v>
      </c>
      <c r="DE331" s="214">
        <v>0.5</v>
      </c>
      <c r="DF331" s="214">
        <v>0.49</v>
      </c>
      <c r="DG331" s="214">
        <v>0</v>
      </c>
      <c r="DH331" s="214">
        <v>0.01</v>
      </c>
      <c r="DI331" s="214" t="s">
        <v>748</v>
      </c>
    </row>
    <row r="332" spans="2:113" s="214" customFormat="1" x14ac:dyDescent="0.2">
      <c r="B332" s="610" t="s">
        <v>1286</v>
      </c>
      <c r="C332" s="610" t="s">
        <v>1278</v>
      </c>
      <c r="D332" s="239">
        <v>-164899515</v>
      </c>
      <c r="E332" s="239">
        <v>281321</v>
      </c>
      <c r="F332" s="239">
        <v>-164618194</v>
      </c>
      <c r="G332" s="239">
        <v>0</v>
      </c>
      <c r="H332" s="239">
        <v>0</v>
      </c>
      <c r="I332" s="239">
        <v>0</v>
      </c>
      <c r="J332" s="239">
        <v>-164899515</v>
      </c>
      <c r="K332" s="239">
        <v>281321</v>
      </c>
      <c r="L332" s="239">
        <v>-164618194</v>
      </c>
      <c r="M332" s="239">
        <v>84154322</v>
      </c>
      <c r="N332" s="239">
        <v>84158543</v>
      </c>
      <c r="O332" s="239">
        <v>-4221</v>
      </c>
      <c r="P332" s="239">
        <v>13817176</v>
      </c>
      <c r="Q332" s="239">
        <v>21553986</v>
      </c>
      <c r="R332" s="239">
        <v>-7736810</v>
      </c>
      <c r="S332" s="239">
        <v>36045395</v>
      </c>
      <c r="T332" s="239">
        <v>1605927</v>
      </c>
      <c r="U332" s="239">
        <v>17254884</v>
      </c>
      <c r="V332" s="239">
        <v>2731778</v>
      </c>
      <c r="W332" s="239">
        <v>18790511</v>
      </c>
      <c r="X332" s="239">
        <v>-1125851</v>
      </c>
      <c r="Y332" s="239">
        <v>9683586.6302083358</v>
      </c>
      <c r="Z332" s="239">
        <v>9398310.2280416712</v>
      </c>
      <c r="AA332" s="239">
        <v>254328.21164583336</v>
      </c>
      <c r="AB332" s="239">
        <v>30948.190520833334</v>
      </c>
      <c r="AC332" s="239">
        <v>7960953.5</v>
      </c>
      <c r="AD332" s="239">
        <v>7628974.5</v>
      </c>
      <c r="AE332" s="239">
        <v>225005</v>
      </c>
      <c r="AF332" s="239">
        <v>27579</v>
      </c>
      <c r="AG332" s="239">
        <v>1722633</v>
      </c>
      <c r="AH332" s="239">
        <v>1769335</v>
      </c>
      <c r="AI332" s="239">
        <v>29323</v>
      </c>
      <c r="AJ332" s="239">
        <v>3369</v>
      </c>
      <c r="AK332" s="239">
        <v>251843503.5872854</v>
      </c>
      <c r="AL332" s="239">
        <v>36217594.841865614</v>
      </c>
      <c r="AM332" s="239">
        <v>4053521.961031253</v>
      </c>
      <c r="AN332" s="239">
        <v>233393071</v>
      </c>
      <c r="AO332" s="239">
        <v>33668620</v>
      </c>
      <c r="AP332" s="239">
        <v>3786112</v>
      </c>
      <c r="AQ332" s="239">
        <v>18450425</v>
      </c>
      <c r="AR332" s="239">
        <v>2548979</v>
      </c>
      <c r="AS332" s="239">
        <v>267411</v>
      </c>
      <c r="AT332" s="239">
        <v>1692406.8870208333</v>
      </c>
      <c r="AU332" s="239">
        <v>245737.17654166665</v>
      </c>
      <c r="AV332" s="239">
        <v>28723.635395833327</v>
      </c>
      <c r="AW332" s="239">
        <v>1829649</v>
      </c>
      <c r="AX332" s="239">
        <v>117518</v>
      </c>
      <c r="AY332" s="239">
        <v>34248</v>
      </c>
      <c r="AZ332" s="239">
        <v>-137238</v>
      </c>
      <c r="BA332" s="239">
        <v>128223</v>
      </c>
      <c r="BB332" s="239">
        <v>-5526</v>
      </c>
      <c r="BC332" s="239">
        <v>3518960.9677916658</v>
      </c>
      <c r="BD332" s="239">
        <v>561915.79845833324</v>
      </c>
      <c r="BE332" s="239">
        <v>47340.052499999983</v>
      </c>
      <c r="BF332" s="239">
        <v>3686280</v>
      </c>
      <c r="BG332" s="239">
        <v>676470</v>
      </c>
      <c r="BH332" s="239">
        <v>53746</v>
      </c>
      <c r="BI332" s="239">
        <v>-167317</v>
      </c>
      <c r="BJ332" s="239">
        <v>-114553</v>
      </c>
      <c r="BK332" s="239">
        <v>-6404</v>
      </c>
      <c r="BL332" s="239">
        <v>6241827.1131937467</v>
      </c>
      <c r="BM332" s="239">
        <v>1067515.6129208331</v>
      </c>
      <c r="BN332" s="239">
        <v>94406.634208333315</v>
      </c>
      <c r="BO332" s="239">
        <v>4700093</v>
      </c>
      <c r="BP332" s="239">
        <v>579398</v>
      </c>
      <c r="BQ332" s="239">
        <v>75172</v>
      </c>
      <c r="BR332" s="239">
        <v>1541726</v>
      </c>
      <c r="BS332" s="239">
        <v>488119</v>
      </c>
      <c r="BT332" s="239">
        <v>19229</v>
      </c>
      <c r="BU332" s="239">
        <v>128353060.29458117</v>
      </c>
      <c r="BV332" s="239">
        <v>24036412.312439568</v>
      </c>
      <c r="BW332" s="239">
        <v>1882927.2324791676</v>
      </c>
      <c r="BX332" s="239">
        <v>119756808</v>
      </c>
      <c r="BY332" s="239">
        <v>22400142</v>
      </c>
      <c r="BZ332" s="239">
        <v>1754684</v>
      </c>
      <c r="CA332" s="239">
        <v>8596250</v>
      </c>
      <c r="CB332" s="239">
        <v>1636268</v>
      </c>
      <c r="CC332" s="239">
        <v>128238</v>
      </c>
      <c r="CD332" s="239">
        <v>3271100.288625001</v>
      </c>
      <c r="CE332" s="239">
        <v>262832.55567708338</v>
      </c>
      <c r="CF332" s="239">
        <v>54001.634187500007</v>
      </c>
      <c r="CG332" s="239">
        <v>6361554</v>
      </c>
      <c r="CH332" s="239">
        <v>0</v>
      </c>
      <c r="CI332" s="239">
        <v>0</v>
      </c>
      <c r="CJ332" s="239">
        <v>-3090452</v>
      </c>
      <c r="CK332" s="239">
        <v>262831</v>
      </c>
      <c r="CL332" s="239">
        <v>54002</v>
      </c>
      <c r="CM332" s="239">
        <v>1867372.3571083336</v>
      </c>
      <c r="CN332" s="239">
        <v>372465.68014166638</v>
      </c>
      <c r="CO332" s="239">
        <v>27307.530708333346</v>
      </c>
      <c r="CP332" s="239">
        <v>0</v>
      </c>
      <c r="CQ332" s="239">
        <v>0</v>
      </c>
      <c r="CR332" s="239">
        <v>0</v>
      </c>
      <c r="CS332" s="239">
        <v>1867368</v>
      </c>
      <c r="CT332" s="239">
        <v>372470</v>
      </c>
      <c r="CU332" s="239">
        <v>27316</v>
      </c>
      <c r="CV332" s="239">
        <v>133038422.16380475</v>
      </c>
      <c r="CW332" s="239">
        <v>29365420.467546042</v>
      </c>
      <c r="CX332" s="239">
        <v>1806333.3337116663</v>
      </c>
      <c r="CY332" s="239">
        <v>137343228</v>
      </c>
      <c r="CZ332" s="239">
        <v>30258775</v>
      </c>
      <c r="DA332" s="239">
        <v>1869898</v>
      </c>
      <c r="DB332" s="239">
        <v>-4304804</v>
      </c>
      <c r="DC332" s="239">
        <v>-893351</v>
      </c>
      <c r="DD332" s="239">
        <v>-63561</v>
      </c>
    </row>
    <row r="333" spans="2:113" s="214" customFormat="1" x14ac:dyDescent="0.2">
      <c r="B333"/>
      <c r="C333"/>
      <c r="D333" s="239">
        <v>-164899515</v>
      </c>
      <c r="E333" s="239">
        <v>281321</v>
      </c>
      <c r="F333" s="239">
        <v>-164618194</v>
      </c>
      <c r="G333" s="239">
        <v>0</v>
      </c>
      <c r="H333" s="239">
        <v>0</v>
      </c>
      <c r="I333" s="239">
        <v>0</v>
      </c>
      <c r="J333" s="239">
        <v>-164899515</v>
      </c>
      <c r="K333" s="239">
        <v>281321</v>
      </c>
      <c r="L333" s="239">
        <v>-164618194</v>
      </c>
      <c r="M333" s="239">
        <v>84154322</v>
      </c>
      <c r="N333" s="239">
        <v>84158543</v>
      </c>
      <c r="O333" s="239">
        <v>-4221</v>
      </c>
      <c r="P333" s="239">
        <v>13817176</v>
      </c>
      <c r="Q333" s="239">
        <v>21553986</v>
      </c>
      <c r="R333" s="239">
        <v>-7736810</v>
      </c>
      <c r="S333" s="239">
        <v>36045395</v>
      </c>
      <c r="T333" s="239">
        <v>1605927</v>
      </c>
      <c r="U333" s="239">
        <v>17254884</v>
      </c>
      <c r="V333" s="239">
        <v>2731778</v>
      </c>
      <c r="W333" s="239">
        <v>18790511</v>
      </c>
      <c r="X333" s="239">
        <v>-1125851</v>
      </c>
      <c r="Y333" s="239">
        <v>9683586.6302083358</v>
      </c>
      <c r="Z333" s="239">
        <v>9398310.2280416712</v>
      </c>
      <c r="AA333" s="239">
        <v>254328.21164583336</v>
      </c>
      <c r="AB333" s="239">
        <v>30948.190520833334</v>
      </c>
      <c r="AC333" s="239">
        <v>7960953.5</v>
      </c>
      <c r="AD333" s="239">
        <v>7628974.5</v>
      </c>
      <c r="AE333" s="239">
        <v>225005</v>
      </c>
      <c r="AF333" s="239">
        <v>27579</v>
      </c>
      <c r="AG333" s="239">
        <v>1722633</v>
      </c>
      <c r="AH333" s="239">
        <v>1769335</v>
      </c>
      <c r="AI333" s="239">
        <v>29323</v>
      </c>
      <c r="AJ333" s="239">
        <v>3369</v>
      </c>
      <c r="AK333" s="239">
        <v>251843503.5872854</v>
      </c>
      <c r="AL333" s="239">
        <v>36217594.841865614</v>
      </c>
      <c r="AM333" s="239">
        <v>4053521.961031253</v>
      </c>
      <c r="AN333" s="239">
        <v>233393071</v>
      </c>
      <c r="AO333" s="239">
        <v>33668620</v>
      </c>
      <c r="AP333" s="239">
        <v>3786112</v>
      </c>
      <c r="AQ333" s="239">
        <v>18450425</v>
      </c>
      <c r="AR333" s="239">
        <v>2548979</v>
      </c>
      <c r="AS333" s="239">
        <v>267411</v>
      </c>
      <c r="AT333" s="239">
        <v>1692406.8870208333</v>
      </c>
      <c r="AU333" s="239">
        <v>245737.17654166665</v>
      </c>
      <c r="AV333" s="239">
        <v>28723.635395833327</v>
      </c>
      <c r="AW333" s="239">
        <v>1829649</v>
      </c>
      <c r="AX333" s="239">
        <v>117518</v>
      </c>
      <c r="AY333" s="239">
        <v>34248</v>
      </c>
      <c r="AZ333" s="239">
        <v>-137238</v>
      </c>
      <c r="BA333" s="239">
        <v>128223</v>
      </c>
      <c r="BB333" s="239">
        <v>-5526</v>
      </c>
      <c r="BC333" s="239">
        <v>3518960.9677916658</v>
      </c>
      <c r="BD333" s="239">
        <v>561915.79845833324</v>
      </c>
      <c r="BE333" s="239">
        <v>47340.052499999983</v>
      </c>
      <c r="BF333" s="239">
        <v>3686280</v>
      </c>
      <c r="BG333" s="239">
        <v>676470</v>
      </c>
      <c r="BH333" s="239">
        <v>53746</v>
      </c>
      <c r="BI333" s="239">
        <v>-167317</v>
      </c>
      <c r="BJ333" s="239">
        <v>-114553</v>
      </c>
      <c r="BK333" s="239">
        <v>-6404</v>
      </c>
      <c r="BL333" s="239">
        <v>6241827.1131937467</v>
      </c>
      <c r="BM333" s="239">
        <v>1067515.6129208331</v>
      </c>
      <c r="BN333" s="239">
        <v>94406.634208333315</v>
      </c>
      <c r="BO333" s="239">
        <v>4700093</v>
      </c>
      <c r="BP333" s="239">
        <v>579398</v>
      </c>
      <c r="BQ333" s="239">
        <v>75172</v>
      </c>
      <c r="BR333" s="239">
        <v>1541726</v>
      </c>
      <c r="BS333" s="239">
        <v>488119</v>
      </c>
      <c r="BT333" s="239">
        <v>19229</v>
      </c>
      <c r="BU333" s="239">
        <v>128353060.29458117</v>
      </c>
      <c r="BV333" s="239">
        <v>24036412.312439568</v>
      </c>
      <c r="BW333" s="239">
        <v>1882927.2324791676</v>
      </c>
      <c r="BX333" s="239">
        <v>119756808</v>
      </c>
      <c r="BY333" s="239">
        <v>22400142</v>
      </c>
      <c r="BZ333" s="239">
        <v>1754684</v>
      </c>
      <c r="CA333" s="239">
        <v>8596250</v>
      </c>
      <c r="CB333" s="239">
        <v>1636268</v>
      </c>
      <c r="CC333" s="239">
        <v>128238</v>
      </c>
      <c r="CD333" s="239">
        <v>3271100.288625001</v>
      </c>
      <c r="CE333" s="239">
        <v>262832.55567708338</v>
      </c>
      <c r="CF333" s="239">
        <v>54001.634187500007</v>
      </c>
      <c r="CG333" s="239">
        <v>6361554</v>
      </c>
      <c r="CH333" s="239">
        <v>0</v>
      </c>
      <c r="CI333" s="239">
        <v>0</v>
      </c>
      <c r="CJ333" s="239">
        <v>-3090452</v>
      </c>
      <c r="CK333" s="239">
        <v>262831</v>
      </c>
      <c r="CL333" s="239">
        <v>54002</v>
      </c>
      <c r="CM333" s="239">
        <v>1867372.3571083336</v>
      </c>
      <c r="CN333" s="239">
        <v>372465.68014166638</v>
      </c>
      <c r="CO333" s="239">
        <v>27307.530708333346</v>
      </c>
      <c r="CP333" s="239">
        <v>0</v>
      </c>
      <c r="CQ333" s="239">
        <v>0</v>
      </c>
      <c r="CR333" s="239">
        <v>0</v>
      </c>
      <c r="CS333" s="239">
        <v>1867368</v>
      </c>
      <c r="CT333" s="239">
        <v>372470</v>
      </c>
      <c r="CU333" s="239">
        <v>27316</v>
      </c>
      <c r="CV333" s="239">
        <v>133038422.16380475</v>
      </c>
      <c r="CW333" s="239">
        <v>29365420.467546042</v>
      </c>
      <c r="CX333" s="239">
        <v>1806333.3337116663</v>
      </c>
      <c r="CY333" s="239">
        <v>137343228</v>
      </c>
      <c r="CZ333" s="239">
        <v>30258775</v>
      </c>
      <c r="DA333" s="239">
        <v>1869898</v>
      </c>
      <c r="DB333" s="239">
        <v>-4304804</v>
      </c>
      <c r="DC333" s="239">
        <v>-893351</v>
      </c>
      <c r="DD333" s="239">
        <v>-63561</v>
      </c>
    </row>
  </sheetData>
  <mergeCells count="34">
    <mergeCell ref="AQ2:AS2"/>
    <mergeCell ref="D2:F2"/>
    <mergeCell ref="G2:I2"/>
    <mergeCell ref="J2:L2"/>
    <mergeCell ref="S2:T2"/>
    <mergeCell ref="U2:V2"/>
    <mergeCell ref="W2:X2"/>
    <mergeCell ref="Y2:AB2"/>
    <mergeCell ref="AC2:AF2"/>
    <mergeCell ref="AG2:AJ2"/>
    <mergeCell ref="AK2:AM2"/>
    <mergeCell ref="AN2:AP2"/>
    <mergeCell ref="CA2:CC2"/>
    <mergeCell ref="AT2:AV2"/>
    <mergeCell ref="AW2:AY2"/>
    <mergeCell ref="AZ2:BB2"/>
    <mergeCell ref="BC2:BE2"/>
    <mergeCell ref="BF2:BH2"/>
    <mergeCell ref="BI2:BK2"/>
    <mergeCell ref="BL2:BN2"/>
    <mergeCell ref="BO2:BQ2"/>
    <mergeCell ref="BR2:BT2"/>
    <mergeCell ref="BU2:BW2"/>
    <mergeCell ref="BX2:BZ2"/>
    <mergeCell ref="CV2:CX2"/>
    <mergeCell ref="CY2:DA2"/>
    <mergeCell ref="DB2:DD2"/>
    <mergeCell ref="DE2:DH2"/>
    <mergeCell ref="CD2:CF2"/>
    <mergeCell ref="CG2:CI2"/>
    <mergeCell ref="CJ2:CL2"/>
    <mergeCell ref="CM2:CO2"/>
    <mergeCell ref="CP2:CR2"/>
    <mergeCell ref="CS2:CU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32"/>
  <sheetViews>
    <sheetView workbookViewId="0">
      <selection activeCell="R22" sqref="R22"/>
    </sheetView>
  </sheetViews>
  <sheetFormatPr defaultRowHeight="12.75" x14ac:dyDescent="0.2"/>
  <cols>
    <col min="1" max="1" width="3.7109375" customWidth="1"/>
    <col min="3" max="3" width="32.5703125" customWidth="1"/>
    <col min="4" max="4" width="17.85546875" customWidth="1"/>
    <col min="5" max="6" width="12.7109375" bestFit="1" customWidth="1"/>
    <col min="7" max="7" width="11.140625" bestFit="1" customWidth="1"/>
    <col min="8" max="8" width="12.42578125" customWidth="1"/>
    <col min="9" max="10" width="9.28515625" bestFit="1" customWidth="1"/>
    <col min="11" max="11" width="13.42578125" customWidth="1"/>
    <col min="12" max="16" width="10.140625" bestFit="1" customWidth="1"/>
    <col min="17" max="17" width="9.28515625" bestFit="1" customWidth="1"/>
    <col min="18" max="18" width="10.140625" bestFit="1" customWidth="1"/>
    <col min="19" max="22" width="9.28515625" bestFit="1" customWidth="1"/>
    <col min="23" max="23" width="11.140625" bestFit="1" customWidth="1"/>
    <col min="24" max="24" width="9.85546875" customWidth="1"/>
    <col min="25" max="25" width="10.140625" bestFit="1" customWidth="1"/>
    <col min="26" max="26" width="9.28515625" bestFit="1" customWidth="1"/>
    <col min="27" max="27" width="12.7109375" bestFit="1" customWidth="1"/>
    <col min="28" max="29" width="11.7109375" bestFit="1" customWidth="1"/>
    <col min="30" max="30" width="10.7109375" bestFit="1" customWidth="1"/>
    <col min="31" max="31" width="9.7109375" bestFit="1" customWidth="1"/>
    <col min="32" max="34" width="11.7109375" bestFit="1" customWidth="1"/>
    <col min="35" max="35" width="10.7109375" bestFit="1" customWidth="1"/>
    <col min="36" max="36" width="9.7109375" bestFit="1" customWidth="1"/>
    <col min="37" max="37" width="11.7109375" bestFit="1" customWidth="1"/>
    <col min="38" max="40" width="10.140625" bestFit="1" customWidth="1"/>
    <col min="41" max="41" width="9.28515625" bestFit="1" customWidth="1"/>
    <col min="42" max="42" width="11.140625" bestFit="1" customWidth="1"/>
    <col min="43" max="45" width="10.7109375" bestFit="1" customWidth="1"/>
    <col min="46" max="46" width="9.7109375" bestFit="1" customWidth="1"/>
    <col min="47" max="49" width="11.7109375" bestFit="1" customWidth="1"/>
    <col min="50" max="50" width="10.7109375" bestFit="1" customWidth="1"/>
    <col min="51" max="51" width="9.7109375" bestFit="1" customWidth="1"/>
    <col min="52" max="52" width="11.7109375" bestFit="1" customWidth="1"/>
    <col min="53" max="54" width="13.42578125" bestFit="1" customWidth="1"/>
    <col min="55" max="55" width="11.7109375" bestFit="1" customWidth="1"/>
    <col min="56" max="56" width="10.7109375" bestFit="1" customWidth="1"/>
    <col min="57" max="57" width="12.85546875" customWidth="1"/>
    <col min="58" max="59" width="11.140625" bestFit="1" customWidth="1"/>
    <col min="60" max="60" width="10.140625" bestFit="1" customWidth="1"/>
    <col min="61" max="61" width="9.28515625" bestFit="1" customWidth="1"/>
    <col min="62" max="62" width="11.140625" bestFit="1" customWidth="1"/>
    <col min="63" max="64" width="11.7109375" bestFit="1" customWidth="1"/>
    <col min="65" max="65" width="10.7109375" bestFit="1" customWidth="1"/>
    <col min="66" max="66" width="9.7109375" bestFit="1" customWidth="1"/>
    <col min="67" max="69" width="13.42578125" bestFit="1" customWidth="1"/>
    <col min="70" max="70" width="11.7109375" bestFit="1" customWidth="1"/>
    <col min="71" max="71" width="10.7109375" bestFit="1" customWidth="1"/>
    <col min="72" max="72" width="12.7109375" customWidth="1"/>
    <col min="73" max="75" width="11.7109375" bestFit="1" customWidth="1"/>
    <col min="76" max="76" width="9.7109375" bestFit="1" customWidth="1"/>
    <col min="77" max="77" width="13.42578125" bestFit="1" customWidth="1"/>
    <col min="78" max="79" width="11.7109375" bestFit="1" customWidth="1"/>
    <col min="80" max="80" width="10.7109375" bestFit="1" customWidth="1"/>
    <col min="81" max="81" width="9.7109375" bestFit="1" customWidth="1"/>
    <col min="82" max="84" width="11.7109375" bestFit="1" customWidth="1"/>
    <col min="85" max="85" width="10.7109375" bestFit="1" customWidth="1"/>
    <col min="86" max="86" width="9.7109375" bestFit="1" customWidth="1"/>
    <col min="87" max="87" width="11.7109375" bestFit="1" customWidth="1"/>
    <col min="88" max="88" width="13.85546875" bestFit="1" customWidth="1"/>
    <col min="89" max="90" width="12.7109375" bestFit="1" customWidth="1"/>
    <col min="91" max="91" width="11.140625" bestFit="1" customWidth="1"/>
    <col min="92" max="93" width="13.85546875" bestFit="1" customWidth="1"/>
    <col min="94" max="95" width="12.7109375" bestFit="1" customWidth="1"/>
    <col min="96" max="96" width="11.140625" bestFit="1" customWidth="1"/>
    <col min="97" max="97" width="13.85546875" bestFit="1" customWidth="1"/>
    <col min="98" max="99" width="11.7109375" bestFit="1" customWidth="1"/>
    <col min="100" max="100" width="10.7109375" bestFit="1" customWidth="1"/>
    <col min="101" max="101" width="9.7109375" bestFit="1" customWidth="1"/>
    <col min="102" max="105" width="11.7109375" bestFit="1" customWidth="1"/>
    <col min="106" max="106" width="9.7109375" bestFit="1" customWidth="1"/>
    <col min="107" max="107" width="11.85546875" customWidth="1"/>
  </cols>
  <sheetData>
    <row r="1" spans="2:113" s="214" customFormat="1" x14ac:dyDescent="0.2">
      <c r="D1" s="214">
        <v>3</v>
      </c>
      <c r="E1" s="214">
        <v>4</v>
      </c>
      <c r="F1" s="214">
        <v>5</v>
      </c>
      <c r="G1" s="214">
        <v>6</v>
      </c>
      <c r="H1" s="214">
        <v>7</v>
      </c>
      <c r="I1" s="214">
        <v>8</v>
      </c>
      <c r="J1" s="214">
        <v>9</v>
      </c>
      <c r="K1" s="214">
        <v>10</v>
      </c>
      <c r="L1" s="214">
        <v>11</v>
      </c>
      <c r="M1" s="214">
        <v>12</v>
      </c>
      <c r="N1" s="214">
        <v>13</v>
      </c>
      <c r="O1" s="214">
        <v>14</v>
      </c>
      <c r="P1" s="214">
        <v>15</v>
      </c>
      <c r="Q1" s="214">
        <v>16</v>
      </c>
      <c r="R1" s="214">
        <v>17</v>
      </c>
      <c r="S1" s="214">
        <v>18</v>
      </c>
      <c r="T1" s="214">
        <v>19</v>
      </c>
      <c r="U1" s="214">
        <v>20</v>
      </c>
      <c r="V1" s="214">
        <v>21</v>
      </c>
      <c r="W1" s="214">
        <v>22</v>
      </c>
      <c r="X1" s="214">
        <v>23</v>
      </c>
      <c r="Y1" s="214">
        <v>24</v>
      </c>
      <c r="Z1" s="214">
        <v>25</v>
      </c>
      <c r="AA1" s="214">
        <v>26</v>
      </c>
      <c r="AB1" s="214">
        <v>27</v>
      </c>
      <c r="AC1" s="214">
        <v>28</v>
      </c>
      <c r="AD1" s="214">
        <v>29</v>
      </c>
      <c r="AE1" s="214">
        <v>30</v>
      </c>
      <c r="AF1" s="214">
        <v>31</v>
      </c>
      <c r="AG1" s="214">
        <v>32</v>
      </c>
      <c r="AH1" s="214">
        <v>33</v>
      </c>
      <c r="AI1" s="214">
        <v>34</v>
      </c>
      <c r="AJ1" s="214">
        <v>35</v>
      </c>
      <c r="AK1" s="214">
        <v>36</v>
      </c>
      <c r="AL1" s="214">
        <v>37</v>
      </c>
      <c r="AM1" s="214">
        <v>38</v>
      </c>
      <c r="AN1" s="214">
        <v>39</v>
      </c>
      <c r="AO1" s="214">
        <v>40</v>
      </c>
      <c r="AP1" s="214">
        <v>41</v>
      </c>
      <c r="AQ1" s="214">
        <v>42</v>
      </c>
      <c r="AR1" s="214">
        <v>43</v>
      </c>
      <c r="AS1" s="214">
        <v>44</v>
      </c>
      <c r="AT1" s="214">
        <v>45</v>
      </c>
      <c r="AU1" s="214">
        <v>46</v>
      </c>
      <c r="AV1" s="214">
        <v>47</v>
      </c>
      <c r="AW1" s="214">
        <v>48</v>
      </c>
      <c r="AX1" s="214">
        <v>49</v>
      </c>
      <c r="AY1" s="214">
        <v>50</v>
      </c>
      <c r="AZ1" s="214">
        <v>51</v>
      </c>
      <c r="BA1" s="214">
        <v>52</v>
      </c>
      <c r="BB1" s="214">
        <v>53</v>
      </c>
      <c r="BC1" s="214">
        <v>54</v>
      </c>
      <c r="BD1" s="214">
        <v>55</v>
      </c>
      <c r="BE1" s="214">
        <v>56</v>
      </c>
      <c r="BF1" s="214">
        <v>57</v>
      </c>
      <c r="BG1" s="214">
        <v>58</v>
      </c>
      <c r="BH1" s="214">
        <v>59</v>
      </c>
      <c r="BI1" s="214">
        <v>60</v>
      </c>
      <c r="BJ1" s="214">
        <v>61</v>
      </c>
      <c r="BK1" s="214">
        <v>62</v>
      </c>
      <c r="BL1" s="214">
        <v>63</v>
      </c>
      <c r="BM1" s="214">
        <v>64</v>
      </c>
      <c r="BN1" s="214">
        <v>65</v>
      </c>
      <c r="BO1" s="214">
        <v>66</v>
      </c>
      <c r="BP1" s="214">
        <v>67</v>
      </c>
      <c r="BQ1" s="214">
        <v>68</v>
      </c>
      <c r="BR1" s="214">
        <v>69</v>
      </c>
      <c r="BS1" s="214">
        <v>70</v>
      </c>
      <c r="BT1" s="214">
        <v>71</v>
      </c>
      <c r="BU1" s="214">
        <v>72</v>
      </c>
      <c r="BV1" s="214">
        <v>73</v>
      </c>
      <c r="BW1" s="214">
        <v>74</v>
      </c>
      <c r="BX1" s="214">
        <v>75</v>
      </c>
      <c r="BY1" s="214">
        <v>76</v>
      </c>
      <c r="BZ1" s="214">
        <v>77</v>
      </c>
      <c r="CA1" s="214">
        <v>78</v>
      </c>
      <c r="CB1" s="214">
        <v>79</v>
      </c>
      <c r="CC1" s="214">
        <v>80</v>
      </c>
      <c r="CD1" s="214">
        <v>81</v>
      </c>
      <c r="CE1" s="214">
        <v>82</v>
      </c>
      <c r="CF1" s="214">
        <v>83</v>
      </c>
      <c r="CG1" s="214">
        <v>84</v>
      </c>
      <c r="CH1" s="214">
        <v>85</v>
      </c>
      <c r="CI1" s="214">
        <v>86</v>
      </c>
      <c r="CJ1" s="214">
        <v>87</v>
      </c>
      <c r="CK1" s="214">
        <v>88</v>
      </c>
      <c r="CL1" s="214">
        <v>89</v>
      </c>
      <c r="CM1" s="214">
        <v>90</v>
      </c>
      <c r="CN1" s="214">
        <v>91</v>
      </c>
      <c r="CO1" s="214">
        <v>92</v>
      </c>
      <c r="CP1" s="214">
        <v>93</v>
      </c>
      <c r="CQ1" s="214">
        <v>94</v>
      </c>
      <c r="CR1" s="214">
        <v>95</v>
      </c>
      <c r="CS1" s="214">
        <v>96</v>
      </c>
      <c r="CT1" s="214">
        <v>97</v>
      </c>
      <c r="CU1" s="214">
        <v>98</v>
      </c>
      <c r="CV1" s="214">
        <v>99</v>
      </c>
      <c r="CW1" s="214">
        <v>100</v>
      </c>
      <c r="CX1" s="214">
        <v>101</v>
      </c>
      <c r="CY1" s="214">
        <v>102</v>
      </c>
      <c r="CZ1" s="214">
        <v>103</v>
      </c>
      <c r="DA1" s="214">
        <v>104</v>
      </c>
      <c r="DB1" s="214">
        <v>105</v>
      </c>
      <c r="DC1" s="214">
        <v>106</v>
      </c>
      <c r="DD1" s="214">
        <v>107</v>
      </c>
      <c r="DE1" s="214">
        <v>108</v>
      </c>
      <c r="DF1" s="214">
        <v>109</v>
      </c>
      <c r="DG1" s="214">
        <v>110</v>
      </c>
      <c r="DH1" s="214">
        <v>111</v>
      </c>
    </row>
    <row r="2" spans="2:113" s="609" customFormat="1" ht="52.5" customHeight="1" x14ac:dyDescent="0.2">
      <c r="B2" s="635"/>
      <c r="C2" s="611"/>
      <c r="D2" s="809" t="s">
        <v>1255</v>
      </c>
      <c r="E2" s="809"/>
      <c r="F2" s="809"/>
      <c r="G2" s="809"/>
      <c r="H2" s="809"/>
      <c r="I2" s="809" t="s">
        <v>1256</v>
      </c>
      <c r="J2" s="809"/>
      <c r="K2" s="612" t="s">
        <v>1257</v>
      </c>
      <c r="L2" s="809" t="s">
        <v>1258</v>
      </c>
      <c r="M2" s="809"/>
      <c r="N2" s="809" t="s">
        <v>1259</v>
      </c>
      <c r="O2" s="809"/>
      <c r="P2" s="809" t="s">
        <v>1260</v>
      </c>
      <c r="Q2" s="809"/>
      <c r="R2" s="809"/>
      <c r="S2" s="809" t="s">
        <v>1256</v>
      </c>
      <c r="T2" s="809"/>
      <c r="U2" s="809"/>
      <c r="V2" s="809"/>
      <c r="W2" s="809" t="s">
        <v>1261</v>
      </c>
      <c r="X2" s="809"/>
      <c r="Y2" s="809"/>
      <c r="Z2" s="809"/>
      <c r="AA2" s="809"/>
      <c r="AB2" s="809" t="s">
        <v>1262</v>
      </c>
      <c r="AC2" s="809"/>
      <c r="AD2" s="809"/>
      <c r="AE2" s="809"/>
      <c r="AF2" s="809"/>
      <c r="AG2" s="809" t="s">
        <v>1263</v>
      </c>
      <c r="AH2" s="809"/>
      <c r="AI2" s="809"/>
      <c r="AJ2" s="809"/>
      <c r="AK2" s="809"/>
      <c r="AL2" s="809" t="s">
        <v>1264</v>
      </c>
      <c r="AM2" s="809"/>
      <c r="AN2" s="809"/>
      <c r="AO2" s="809"/>
      <c r="AP2" s="809"/>
      <c r="AQ2" s="809" t="s">
        <v>1265</v>
      </c>
      <c r="AR2" s="809"/>
      <c r="AS2" s="809"/>
      <c r="AT2" s="809"/>
      <c r="AU2" s="809"/>
      <c r="AV2" s="809" t="s">
        <v>1266</v>
      </c>
      <c r="AW2" s="809"/>
      <c r="AX2" s="809"/>
      <c r="AY2" s="809"/>
      <c r="AZ2" s="809"/>
      <c r="BA2" s="809" t="s">
        <v>1267</v>
      </c>
      <c r="BB2" s="809"/>
      <c r="BC2" s="809"/>
      <c r="BD2" s="809"/>
      <c r="BE2" s="809"/>
      <c r="BF2" s="809" t="s">
        <v>1268</v>
      </c>
      <c r="BG2" s="809"/>
      <c r="BH2" s="809"/>
      <c r="BI2" s="809"/>
      <c r="BJ2" s="809"/>
      <c r="BK2" s="809" t="s">
        <v>1269</v>
      </c>
      <c r="BL2" s="809"/>
      <c r="BM2" s="809"/>
      <c r="BN2" s="809"/>
      <c r="BO2" s="809"/>
      <c r="BP2" s="809" t="s">
        <v>1270</v>
      </c>
      <c r="BQ2" s="809"/>
      <c r="BR2" s="809"/>
      <c r="BS2" s="809"/>
      <c r="BT2" s="809"/>
      <c r="BU2" s="809" t="s">
        <v>1271</v>
      </c>
      <c r="BV2" s="809"/>
      <c r="BW2" s="809"/>
      <c r="BX2" s="809"/>
      <c r="BY2" s="809"/>
      <c r="BZ2" s="809" t="s">
        <v>1272</v>
      </c>
      <c r="CA2" s="809"/>
      <c r="CB2" s="809"/>
      <c r="CC2" s="809"/>
      <c r="CD2" s="809"/>
      <c r="CE2" s="809" t="s">
        <v>1273</v>
      </c>
      <c r="CF2" s="809"/>
      <c r="CG2" s="809"/>
      <c r="CH2" s="809"/>
      <c r="CI2" s="809"/>
      <c r="CJ2" s="809" t="s">
        <v>1274</v>
      </c>
      <c r="CK2" s="809"/>
      <c r="CL2" s="809"/>
      <c r="CM2" s="809"/>
      <c r="CN2" s="809"/>
      <c r="CO2" s="809" t="s">
        <v>1275</v>
      </c>
      <c r="CP2" s="809"/>
      <c r="CQ2" s="809"/>
      <c r="CR2" s="809"/>
      <c r="CS2" s="809"/>
      <c r="CT2" s="809" t="s">
        <v>1276</v>
      </c>
      <c r="CU2" s="809"/>
      <c r="CV2" s="809"/>
      <c r="CW2" s="809"/>
      <c r="CX2" s="809"/>
      <c r="CY2" s="809" t="s">
        <v>1277</v>
      </c>
      <c r="CZ2" s="809"/>
      <c r="DA2" s="809"/>
      <c r="DB2" s="809"/>
      <c r="DC2" s="809"/>
      <c r="DD2" s="809" t="s">
        <v>943</v>
      </c>
      <c r="DE2" s="809"/>
      <c r="DF2" s="809"/>
      <c r="DG2" s="809"/>
      <c r="DH2" s="809"/>
    </row>
    <row r="3" spans="2:113" s="214" customFormat="1" x14ac:dyDescent="0.2">
      <c r="C3" s="214" t="s">
        <v>1128</v>
      </c>
      <c r="D3" s="214">
        <v>1</v>
      </c>
      <c r="I3" s="214">
        <v>2</v>
      </c>
      <c r="K3" s="214">
        <v>3</v>
      </c>
      <c r="L3" s="214">
        <v>4</v>
      </c>
      <c r="N3" s="214">
        <v>5</v>
      </c>
      <c r="P3" s="214">
        <v>6</v>
      </c>
      <c r="S3" s="214">
        <v>7</v>
      </c>
      <c r="W3" s="214">
        <v>8</v>
      </c>
      <c r="AB3" s="214">
        <v>9</v>
      </c>
      <c r="AG3" s="214">
        <v>10</v>
      </c>
      <c r="AL3" s="214">
        <v>11</v>
      </c>
      <c r="AQ3" s="214">
        <v>12</v>
      </c>
      <c r="AV3" s="214">
        <v>13</v>
      </c>
      <c r="BA3" s="214">
        <v>14</v>
      </c>
      <c r="BF3" s="214">
        <v>15</v>
      </c>
      <c r="BK3" s="214">
        <v>16</v>
      </c>
      <c r="BP3" s="214">
        <v>17</v>
      </c>
      <c r="BU3" s="214">
        <v>18</v>
      </c>
      <c r="BZ3" s="214">
        <v>19</v>
      </c>
      <c r="CE3" s="214">
        <v>20</v>
      </c>
      <c r="CJ3" s="214">
        <v>21</v>
      </c>
      <c r="CO3" s="214">
        <v>22</v>
      </c>
      <c r="CT3" s="214">
        <v>23</v>
      </c>
      <c r="CY3" s="214">
        <v>24</v>
      </c>
      <c r="DD3" s="214">
        <v>25</v>
      </c>
    </row>
    <row r="4" spans="2:113" s="214" customFormat="1" x14ac:dyDescent="0.2">
      <c r="C4" s="214" t="s">
        <v>1141</v>
      </c>
      <c r="D4" s="214">
        <v>1</v>
      </c>
      <c r="E4" s="214">
        <v>2</v>
      </c>
      <c r="F4" s="214">
        <v>3</v>
      </c>
      <c r="G4" s="214">
        <v>4</v>
      </c>
      <c r="H4" s="214">
        <v>5</v>
      </c>
      <c r="I4" s="214">
        <v>1</v>
      </c>
      <c r="J4" s="214">
        <v>5</v>
      </c>
      <c r="K4" s="214">
        <v>1</v>
      </c>
      <c r="L4" s="214">
        <v>2</v>
      </c>
      <c r="M4" s="214">
        <v>5</v>
      </c>
      <c r="N4" s="214">
        <v>2</v>
      </c>
      <c r="O4" s="214">
        <v>5</v>
      </c>
      <c r="P4" s="214">
        <v>2</v>
      </c>
      <c r="Q4" s="214">
        <v>3</v>
      </c>
      <c r="R4" s="214">
        <v>5</v>
      </c>
      <c r="S4" s="214">
        <v>2</v>
      </c>
      <c r="T4" s="214">
        <v>3</v>
      </c>
      <c r="U4" s="214">
        <v>4</v>
      </c>
      <c r="V4" s="214">
        <v>5</v>
      </c>
      <c r="W4" s="214">
        <v>1</v>
      </c>
      <c r="X4" s="214">
        <v>2</v>
      </c>
      <c r="Y4" s="214">
        <v>3</v>
      </c>
      <c r="Z4" s="214">
        <v>4</v>
      </c>
      <c r="AA4" s="214">
        <v>5</v>
      </c>
      <c r="AB4" s="214">
        <v>1</v>
      </c>
      <c r="AC4" s="214">
        <v>2</v>
      </c>
      <c r="AD4" s="214">
        <v>3</v>
      </c>
      <c r="AE4" s="214">
        <v>4</v>
      </c>
      <c r="AF4" s="214">
        <v>5</v>
      </c>
      <c r="AG4" s="214">
        <v>1</v>
      </c>
      <c r="AH4" s="214">
        <v>2</v>
      </c>
      <c r="AI4" s="214">
        <v>3</v>
      </c>
      <c r="AJ4" s="214">
        <v>4</v>
      </c>
      <c r="AK4" s="214">
        <v>5</v>
      </c>
      <c r="AL4" s="214">
        <v>1</v>
      </c>
      <c r="AM4" s="214">
        <v>2</v>
      </c>
      <c r="AN4" s="214">
        <v>3</v>
      </c>
      <c r="AO4" s="214">
        <v>4</v>
      </c>
      <c r="AP4" s="214">
        <v>5</v>
      </c>
      <c r="AQ4" s="214">
        <v>1</v>
      </c>
      <c r="AR4" s="214">
        <v>2</v>
      </c>
      <c r="AS4" s="214">
        <v>3</v>
      </c>
      <c r="AT4" s="214">
        <v>4</v>
      </c>
      <c r="AU4" s="214">
        <v>5</v>
      </c>
      <c r="AV4" s="214">
        <v>1</v>
      </c>
      <c r="AW4" s="214">
        <v>2</v>
      </c>
      <c r="AX4" s="214">
        <v>3</v>
      </c>
      <c r="AY4" s="214">
        <v>4</v>
      </c>
      <c r="AZ4" s="214">
        <v>5</v>
      </c>
      <c r="BA4" s="214">
        <v>1</v>
      </c>
      <c r="BB4" s="214">
        <v>2</v>
      </c>
      <c r="BC4" s="214">
        <v>3</v>
      </c>
      <c r="BD4" s="214">
        <v>4</v>
      </c>
      <c r="BE4" s="214">
        <v>5</v>
      </c>
      <c r="BF4" s="214">
        <v>1</v>
      </c>
      <c r="BG4" s="214">
        <v>2</v>
      </c>
      <c r="BH4" s="214">
        <v>3</v>
      </c>
      <c r="BI4" s="214">
        <v>4</v>
      </c>
      <c r="BJ4" s="214">
        <v>5</v>
      </c>
      <c r="BK4" s="214">
        <v>1</v>
      </c>
      <c r="BL4" s="214">
        <v>2</v>
      </c>
      <c r="BM4" s="214">
        <v>3</v>
      </c>
      <c r="BN4" s="214">
        <v>4</v>
      </c>
      <c r="BO4" s="214">
        <v>5</v>
      </c>
      <c r="BP4" s="214">
        <v>1</v>
      </c>
      <c r="BQ4" s="214">
        <v>2</v>
      </c>
      <c r="BR4" s="214">
        <v>3</v>
      </c>
      <c r="BS4" s="214">
        <v>4</v>
      </c>
      <c r="BT4" s="214">
        <v>5</v>
      </c>
      <c r="BU4" s="214">
        <v>1</v>
      </c>
      <c r="BV4" s="214">
        <v>2</v>
      </c>
      <c r="BW4" s="214">
        <v>3</v>
      </c>
      <c r="BX4" s="214">
        <v>4</v>
      </c>
      <c r="BY4" s="214">
        <v>5</v>
      </c>
      <c r="BZ4" s="214">
        <v>1</v>
      </c>
      <c r="CA4" s="214">
        <v>2</v>
      </c>
      <c r="CB4" s="214">
        <v>3</v>
      </c>
      <c r="CC4" s="214">
        <v>4</v>
      </c>
      <c r="CD4" s="214">
        <v>5</v>
      </c>
      <c r="CE4" s="214">
        <v>1</v>
      </c>
      <c r="CF4" s="214">
        <v>2</v>
      </c>
      <c r="CG4" s="214">
        <v>3</v>
      </c>
      <c r="CH4" s="214">
        <v>4</v>
      </c>
      <c r="CI4" s="214">
        <v>5</v>
      </c>
      <c r="CJ4" s="214">
        <v>1</v>
      </c>
      <c r="CK4" s="214">
        <v>2</v>
      </c>
      <c r="CL4" s="214">
        <v>3</v>
      </c>
      <c r="CM4" s="214">
        <v>4</v>
      </c>
      <c r="CN4" s="214">
        <v>5</v>
      </c>
      <c r="CO4" s="214">
        <v>1</v>
      </c>
      <c r="CP4" s="214">
        <v>2</v>
      </c>
      <c r="CQ4" s="214">
        <v>3</v>
      </c>
      <c r="CR4" s="214">
        <v>4</v>
      </c>
      <c r="CS4" s="214">
        <v>5</v>
      </c>
      <c r="CT4" s="214">
        <v>1</v>
      </c>
      <c r="CU4" s="214">
        <v>2</v>
      </c>
      <c r="CV4" s="214">
        <v>3</v>
      </c>
      <c r="CW4" s="214">
        <v>4</v>
      </c>
      <c r="CX4" s="214">
        <v>5</v>
      </c>
      <c r="CY4" s="214">
        <v>1</v>
      </c>
      <c r="CZ4" s="214">
        <v>2</v>
      </c>
      <c r="DA4" s="214">
        <v>3</v>
      </c>
      <c r="DB4" s="214">
        <v>4</v>
      </c>
      <c r="DC4" s="214">
        <v>5</v>
      </c>
      <c r="DD4" s="214">
        <v>6</v>
      </c>
      <c r="DE4" s="214">
        <v>7</v>
      </c>
      <c r="DF4" s="214">
        <v>8</v>
      </c>
      <c r="DG4" s="214">
        <v>9</v>
      </c>
      <c r="DH4" s="214">
        <v>10</v>
      </c>
    </row>
    <row r="5" spans="2:113" s="635" customFormat="1" x14ac:dyDescent="0.2">
      <c r="B5" s="635" t="s">
        <v>1142</v>
      </c>
      <c r="C5" s="635" t="s">
        <v>1143</v>
      </c>
      <c r="DI5" s="635" t="s">
        <v>1293</v>
      </c>
    </row>
    <row r="6" spans="2:113" s="214" customFormat="1" x14ac:dyDescent="0.2">
      <c r="B6" s="610" t="s">
        <v>95</v>
      </c>
      <c r="C6" s="610" t="s">
        <v>94</v>
      </c>
      <c r="D6" s="239">
        <v>9151817</v>
      </c>
      <c r="E6" s="239">
        <v>7321454</v>
      </c>
      <c r="F6" s="239">
        <v>1830364</v>
      </c>
      <c r="G6" s="239">
        <v>0</v>
      </c>
      <c r="H6" s="239">
        <v>18303635</v>
      </c>
      <c r="I6" s="239">
        <v>0</v>
      </c>
      <c r="J6" s="239">
        <v>0</v>
      </c>
      <c r="K6" s="239">
        <v>9151817</v>
      </c>
      <c r="L6" s="239">
        <v>85284</v>
      </c>
      <c r="M6" s="239">
        <v>85284</v>
      </c>
      <c r="N6" s="239">
        <v>0</v>
      </c>
      <c r="O6" s="239">
        <v>0</v>
      </c>
      <c r="P6" s="239">
        <v>0</v>
      </c>
      <c r="Q6" s="239">
        <v>0</v>
      </c>
      <c r="R6" s="239">
        <v>0</v>
      </c>
      <c r="S6" s="239">
        <v>0</v>
      </c>
      <c r="T6" s="239">
        <v>0</v>
      </c>
      <c r="U6" s="239">
        <v>0</v>
      </c>
      <c r="V6" s="239">
        <v>0</v>
      </c>
      <c r="W6" s="239">
        <v>294672</v>
      </c>
      <c r="X6" s="239">
        <v>235738</v>
      </c>
      <c r="Y6" s="239">
        <v>58935</v>
      </c>
      <c r="Z6" s="239">
        <v>0</v>
      </c>
      <c r="AA6" s="239">
        <v>589345</v>
      </c>
      <c r="AB6" s="239">
        <v>-22548</v>
      </c>
      <c r="AC6" s="239">
        <v>-18039</v>
      </c>
      <c r="AD6" s="239">
        <v>-4510</v>
      </c>
      <c r="AE6" s="239">
        <v>0</v>
      </c>
      <c r="AF6" s="239">
        <v>-45097</v>
      </c>
      <c r="AG6" s="239">
        <v>-214979</v>
      </c>
      <c r="AH6" s="239">
        <v>-171984</v>
      </c>
      <c r="AI6" s="239">
        <v>-42996</v>
      </c>
      <c r="AJ6" s="239">
        <v>0</v>
      </c>
      <c r="AK6" s="239">
        <v>-429959</v>
      </c>
      <c r="AL6" s="239">
        <v>28338</v>
      </c>
      <c r="AM6" s="239">
        <v>22671</v>
      </c>
      <c r="AN6" s="239">
        <v>5668</v>
      </c>
      <c r="AO6" s="239">
        <v>0</v>
      </c>
      <c r="AP6" s="239">
        <v>56677</v>
      </c>
      <c r="AQ6" s="239">
        <v>-53554</v>
      </c>
      <c r="AR6" s="239">
        <v>-42844</v>
      </c>
      <c r="AS6" s="239">
        <v>-10711</v>
      </c>
      <c r="AT6" s="239">
        <v>0</v>
      </c>
      <c r="AU6" s="239">
        <v>-107109</v>
      </c>
      <c r="AV6" s="239">
        <v>-240195</v>
      </c>
      <c r="AW6" s="239">
        <v>-192157</v>
      </c>
      <c r="AX6" s="239">
        <v>-48039</v>
      </c>
      <c r="AY6" s="239">
        <v>0</v>
      </c>
      <c r="AZ6" s="239">
        <v>-480391</v>
      </c>
      <c r="BA6" s="239">
        <v>-488679</v>
      </c>
      <c r="BB6" s="239">
        <v>-390943</v>
      </c>
      <c r="BC6" s="239">
        <v>-97736</v>
      </c>
      <c r="BD6" s="239">
        <v>0</v>
      </c>
      <c r="BE6" s="239">
        <v>-977358</v>
      </c>
      <c r="BF6" s="239">
        <v>75877</v>
      </c>
      <c r="BG6" s="239">
        <v>60702</v>
      </c>
      <c r="BH6" s="239">
        <v>15176</v>
      </c>
      <c r="BI6" s="239">
        <v>0</v>
      </c>
      <c r="BJ6" s="239">
        <v>151755</v>
      </c>
      <c r="BK6" s="239">
        <v>-451971</v>
      </c>
      <c r="BL6" s="239">
        <v>-361576</v>
      </c>
      <c r="BM6" s="239">
        <v>-90394</v>
      </c>
      <c r="BN6" s="239">
        <v>0</v>
      </c>
      <c r="BO6" s="239">
        <v>-903941</v>
      </c>
      <c r="BP6" s="239">
        <v>-864773</v>
      </c>
      <c r="BQ6" s="239">
        <v>-691817</v>
      </c>
      <c r="BR6" s="239">
        <v>-172954</v>
      </c>
      <c r="BS6" s="239">
        <v>0</v>
      </c>
      <c r="BT6" s="239">
        <v>-1729544</v>
      </c>
      <c r="BU6" s="239">
        <v>385302</v>
      </c>
      <c r="BV6" s="239">
        <v>308241</v>
      </c>
      <c r="BW6" s="239">
        <v>77060</v>
      </c>
      <c r="BX6" s="239">
        <v>0</v>
      </c>
      <c r="BY6" s="239">
        <v>770603</v>
      </c>
      <c r="BZ6" s="239">
        <v>-59049</v>
      </c>
      <c r="CA6" s="239">
        <v>-47239</v>
      </c>
      <c r="CB6" s="239">
        <v>-11810</v>
      </c>
      <c r="CC6" s="239">
        <v>0</v>
      </c>
      <c r="CD6" s="239">
        <v>-118098</v>
      </c>
      <c r="CE6" s="239">
        <v>444351</v>
      </c>
      <c r="CF6" s="239">
        <v>355480</v>
      </c>
      <c r="CG6" s="239">
        <v>88870</v>
      </c>
      <c r="CH6" s="239">
        <v>0</v>
      </c>
      <c r="CI6" s="239">
        <v>888701</v>
      </c>
      <c r="CJ6" s="239">
        <v>8705781</v>
      </c>
      <c r="CK6" s="239">
        <v>6964624</v>
      </c>
      <c r="CL6" s="239">
        <v>1741156</v>
      </c>
      <c r="CM6" s="239">
        <v>0</v>
      </c>
      <c r="CN6" s="239">
        <v>17411561</v>
      </c>
      <c r="CO6" s="239">
        <v>9151817</v>
      </c>
      <c r="CP6" s="239">
        <v>7321454</v>
      </c>
      <c r="CQ6" s="239">
        <v>1830364</v>
      </c>
      <c r="CR6" s="239">
        <v>0</v>
      </c>
      <c r="CS6" s="239">
        <v>18303635</v>
      </c>
      <c r="CT6" s="239">
        <v>446036</v>
      </c>
      <c r="CU6" s="239">
        <v>356830</v>
      </c>
      <c r="CV6" s="239">
        <v>89208</v>
      </c>
      <c r="CW6" s="239">
        <v>0</v>
      </c>
      <c r="CX6" s="239">
        <v>892074</v>
      </c>
      <c r="CY6" s="239">
        <v>890387</v>
      </c>
      <c r="CZ6" s="239">
        <v>712310</v>
      </c>
      <c r="DA6" s="239">
        <v>178078</v>
      </c>
      <c r="DB6" s="239">
        <v>0</v>
      </c>
      <c r="DC6" s="239">
        <v>1780775</v>
      </c>
      <c r="DD6" s="214">
        <v>0.5</v>
      </c>
      <c r="DE6" s="214">
        <v>0.4</v>
      </c>
      <c r="DF6" s="214">
        <v>0.1</v>
      </c>
      <c r="DG6" s="214">
        <v>0</v>
      </c>
      <c r="DH6" s="214">
        <v>1</v>
      </c>
      <c r="DI6" s="214" t="s">
        <v>1294</v>
      </c>
    </row>
    <row r="7" spans="2:113" s="214" customFormat="1" x14ac:dyDescent="0.2">
      <c r="B7" s="610" t="s">
        <v>97</v>
      </c>
      <c r="C7" s="610" t="s">
        <v>96</v>
      </c>
      <c r="D7" s="239">
        <v>12657681</v>
      </c>
      <c r="E7" s="239">
        <v>10126145</v>
      </c>
      <c r="F7" s="239">
        <v>2531536</v>
      </c>
      <c r="G7" s="239">
        <v>0</v>
      </c>
      <c r="H7" s="239">
        <v>25315362</v>
      </c>
      <c r="I7" s="239">
        <v>0</v>
      </c>
      <c r="J7" s="239">
        <v>0</v>
      </c>
      <c r="K7" s="239">
        <v>12657681</v>
      </c>
      <c r="L7" s="239">
        <v>182667</v>
      </c>
      <c r="M7" s="239">
        <v>182667</v>
      </c>
      <c r="N7" s="239">
        <v>0</v>
      </c>
      <c r="O7" s="239">
        <v>0</v>
      </c>
      <c r="P7" s="239">
        <v>420937</v>
      </c>
      <c r="Q7" s="239">
        <v>0</v>
      </c>
      <c r="R7" s="239">
        <v>420937</v>
      </c>
      <c r="S7" s="239">
        <v>0</v>
      </c>
      <c r="T7" s="239">
        <v>0</v>
      </c>
      <c r="U7" s="239">
        <v>0</v>
      </c>
      <c r="V7" s="239">
        <v>0</v>
      </c>
      <c r="W7" s="239">
        <v>494552</v>
      </c>
      <c r="X7" s="239">
        <v>395642</v>
      </c>
      <c r="Y7" s="239">
        <v>98911</v>
      </c>
      <c r="Z7" s="239">
        <v>0</v>
      </c>
      <c r="AA7" s="239">
        <v>989105</v>
      </c>
      <c r="AB7" s="239">
        <v>-159808</v>
      </c>
      <c r="AC7" s="239">
        <v>-127846</v>
      </c>
      <c r="AD7" s="239">
        <v>-31962</v>
      </c>
      <c r="AE7" s="239">
        <v>0</v>
      </c>
      <c r="AF7" s="239">
        <v>-319616</v>
      </c>
      <c r="AG7" s="239">
        <v>-211972</v>
      </c>
      <c r="AH7" s="239">
        <v>-169576</v>
      </c>
      <c r="AI7" s="239">
        <v>-42394</v>
      </c>
      <c r="AJ7" s="239">
        <v>0</v>
      </c>
      <c r="AK7" s="239">
        <v>-423942</v>
      </c>
      <c r="AL7" s="239">
        <v>55826</v>
      </c>
      <c r="AM7" s="239">
        <v>44661</v>
      </c>
      <c r="AN7" s="239">
        <v>11165</v>
      </c>
      <c r="AO7" s="239">
        <v>0</v>
      </c>
      <c r="AP7" s="239">
        <v>111652</v>
      </c>
      <c r="AQ7" s="239">
        <v>-70099</v>
      </c>
      <c r="AR7" s="239">
        <v>-56079</v>
      </c>
      <c r="AS7" s="239">
        <v>-14020</v>
      </c>
      <c r="AT7" s="239">
        <v>0</v>
      </c>
      <c r="AU7" s="239">
        <v>-140198</v>
      </c>
      <c r="AV7" s="239">
        <v>-226245</v>
      </c>
      <c r="AW7" s="239">
        <v>-180994</v>
      </c>
      <c r="AX7" s="239">
        <v>-45249</v>
      </c>
      <c r="AY7" s="239">
        <v>0</v>
      </c>
      <c r="AZ7" s="239">
        <v>-452488</v>
      </c>
      <c r="BA7" s="239">
        <v>-732873</v>
      </c>
      <c r="BB7" s="239">
        <v>-586297</v>
      </c>
      <c r="BC7" s="239">
        <v>-146574</v>
      </c>
      <c r="BD7" s="239">
        <v>0</v>
      </c>
      <c r="BE7" s="239">
        <v>-1465744</v>
      </c>
      <c r="BF7" s="239">
        <v>732872</v>
      </c>
      <c r="BG7" s="239">
        <v>586298</v>
      </c>
      <c r="BH7" s="239">
        <v>146574</v>
      </c>
      <c r="BI7" s="239">
        <v>0</v>
      </c>
      <c r="BJ7" s="239">
        <v>1465744</v>
      </c>
      <c r="BK7" s="239">
        <v>-726649</v>
      </c>
      <c r="BL7" s="239">
        <v>-581320</v>
      </c>
      <c r="BM7" s="239">
        <v>-145330</v>
      </c>
      <c r="BN7" s="239">
        <v>0</v>
      </c>
      <c r="BO7" s="239">
        <v>-1453299</v>
      </c>
      <c r="BP7" s="239">
        <v>-726650</v>
      </c>
      <c r="BQ7" s="239">
        <v>-581319</v>
      </c>
      <c r="BR7" s="239">
        <v>-145330</v>
      </c>
      <c r="BS7" s="239">
        <v>0</v>
      </c>
      <c r="BT7" s="239">
        <v>-1453299</v>
      </c>
      <c r="BU7" s="239">
        <v>-1178292</v>
      </c>
      <c r="BV7" s="239">
        <v>-942633</v>
      </c>
      <c r="BW7" s="239">
        <v>-235658</v>
      </c>
      <c r="BX7" s="239">
        <v>0</v>
      </c>
      <c r="BY7" s="239">
        <v>-2356583</v>
      </c>
      <c r="BZ7" s="239">
        <v>-860022</v>
      </c>
      <c r="CA7" s="239">
        <v>-688018</v>
      </c>
      <c r="CB7" s="239">
        <v>-172005</v>
      </c>
      <c r="CC7" s="239">
        <v>0</v>
      </c>
      <c r="CD7" s="239">
        <v>-1720045</v>
      </c>
      <c r="CE7" s="239">
        <v>-318270</v>
      </c>
      <c r="CF7" s="239">
        <v>-254615</v>
      </c>
      <c r="CG7" s="239">
        <v>-63653</v>
      </c>
      <c r="CH7" s="239">
        <v>0</v>
      </c>
      <c r="CI7" s="239">
        <v>-636538</v>
      </c>
      <c r="CJ7" s="239">
        <v>13266323</v>
      </c>
      <c r="CK7" s="239">
        <v>10613058</v>
      </c>
      <c r="CL7" s="239">
        <v>2653265</v>
      </c>
      <c r="CM7" s="239">
        <v>0</v>
      </c>
      <c r="CN7" s="239">
        <v>26532646</v>
      </c>
      <c r="CO7" s="239">
        <v>12657681</v>
      </c>
      <c r="CP7" s="239">
        <v>10126145</v>
      </c>
      <c r="CQ7" s="239">
        <v>2531536</v>
      </c>
      <c r="CR7" s="239">
        <v>0</v>
      </c>
      <c r="CS7" s="239">
        <v>25315362</v>
      </c>
      <c r="CT7" s="239">
        <v>-608642</v>
      </c>
      <c r="CU7" s="239">
        <v>-486913</v>
      </c>
      <c r="CV7" s="239">
        <v>-121729</v>
      </c>
      <c r="CW7" s="239">
        <v>0</v>
      </c>
      <c r="CX7" s="239">
        <v>-1217284</v>
      </c>
      <c r="CY7" s="239">
        <v>-926912</v>
      </c>
      <c r="CZ7" s="239">
        <v>-741528</v>
      </c>
      <c r="DA7" s="239">
        <v>-185382</v>
      </c>
      <c r="DB7" s="239">
        <v>0</v>
      </c>
      <c r="DC7" s="239">
        <v>-1853822</v>
      </c>
      <c r="DD7" s="214">
        <v>0.5</v>
      </c>
      <c r="DE7" s="214">
        <v>0.4</v>
      </c>
      <c r="DF7" s="214">
        <v>0.1</v>
      </c>
      <c r="DG7" s="214">
        <v>0</v>
      </c>
      <c r="DH7" s="214">
        <v>1</v>
      </c>
      <c r="DI7" s="214" t="s">
        <v>1294</v>
      </c>
    </row>
    <row r="8" spans="2:113" s="214" customFormat="1" x14ac:dyDescent="0.2">
      <c r="B8" s="610" t="s">
        <v>99</v>
      </c>
      <c r="C8" s="610" t="s">
        <v>98</v>
      </c>
      <c r="D8" s="239">
        <v>15306979</v>
      </c>
      <c r="E8" s="239">
        <v>12245583</v>
      </c>
      <c r="F8" s="239">
        <v>2755256</v>
      </c>
      <c r="G8" s="239">
        <v>306140</v>
      </c>
      <c r="H8" s="239">
        <v>30613958</v>
      </c>
      <c r="I8" s="239">
        <v>0</v>
      </c>
      <c r="J8" s="239">
        <v>0</v>
      </c>
      <c r="K8" s="239">
        <v>15306979</v>
      </c>
      <c r="L8" s="239">
        <v>152618</v>
      </c>
      <c r="M8" s="239">
        <v>152618</v>
      </c>
      <c r="N8" s="239">
        <v>0</v>
      </c>
      <c r="O8" s="239">
        <v>0</v>
      </c>
      <c r="P8" s="239">
        <v>0</v>
      </c>
      <c r="Q8" s="239">
        <v>0</v>
      </c>
      <c r="R8" s="239">
        <v>0</v>
      </c>
      <c r="S8" s="239">
        <v>0</v>
      </c>
      <c r="T8" s="239">
        <v>0</v>
      </c>
      <c r="U8" s="239">
        <v>0</v>
      </c>
      <c r="V8" s="239">
        <v>0</v>
      </c>
      <c r="W8" s="239">
        <v>200483</v>
      </c>
      <c r="X8" s="239">
        <v>160386</v>
      </c>
      <c r="Y8" s="239">
        <v>36087</v>
      </c>
      <c r="Z8" s="239">
        <v>4010</v>
      </c>
      <c r="AA8" s="239">
        <v>400966</v>
      </c>
      <c r="AB8" s="239">
        <v>-375391</v>
      </c>
      <c r="AC8" s="239">
        <v>-300313</v>
      </c>
      <c r="AD8" s="239">
        <v>-67570</v>
      </c>
      <c r="AE8" s="239">
        <v>-7508</v>
      </c>
      <c r="AF8" s="239">
        <v>-750782</v>
      </c>
      <c r="AG8" s="239">
        <v>-227500</v>
      </c>
      <c r="AH8" s="239">
        <v>-182000</v>
      </c>
      <c r="AI8" s="239">
        <v>-40950</v>
      </c>
      <c r="AJ8" s="239">
        <v>-4550</v>
      </c>
      <c r="AK8" s="239">
        <v>-455000</v>
      </c>
      <c r="AL8" s="239">
        <v>63659</v>
      </c>
      <c r="AM8" s="239">
        <v>50926</v>
      </c>
      <c r="AN8" s="239">
        <v>11458</v>
      </c>
      <c r="AO8" s="239">
        <v>1273</v>
      </c>
      <c r="AP8" s="239">
        <v>127316</v>
      </c>
      <c r="AQ8" s="239">
        <v>-36159</v>
      </c>
      <c r="AR8" s="239">
        <v>-28926</v>
      </c>
      <c r="AS8" s="239">
        <v>-6508</v>
      </c>
      <c r="AT8" s="239">
        <v>-723</v>
      </c>
      <c r="AU8" s="239">
        <v>-72316</v>
      </c>
      <c r="AV8" s="239">
        <v>-200000</v>
      </c>
      <c r="AW8" s="239">
        <v>-160000</v>
      </c>
      <c r="AX8" s="239">
        <v>-36000</v>
      </c>
      <c r="AY8" s="239">
        <v>-4000</v>
      </c>
      <c r="AZ8" s="239">
        <v>-400000</v>
      </c>
      <c r="BA8" s="239">
        <v>-400000</v>
      </c>
      <c r="BB8" s="239">
        <v>-320000</v>
      </c>
      <c r="BC8" s="239">
        <v>-72000</v>
      </c>
      <c r="BD8" s="239">
        <v>-8000</v>
      </c>
      <c r="BE8" s="239">
        <v>-800000</v>
      </c>
      <c r="BF8" s="239">
        <v>43604</v>
      </c>
      <c r="BG8" s="239">
        <v>34884</v>
      </c>
      <c r="BH8" s="239">
        <v>7849</v>
      </c>
      <c r="BI8" s="239">
        <v>872</v>
      </c>
      <c r="BJ8" s="239">
        <v>87209</v>
      </c>
      <c r="BK8" s="239">
        <v>-393604</v>
      </c>
      <c r="BL8" s="239">
        <v>-314884</v>
      </c>
      <c r="BM8" s="239">
        <v>-70849</v>
      </c>
      <c r="BN8" s="239">
        <v>-7872</v>
      </c>
      <c r="BO8" s="239">
        <v>-787209</v>
      </c>
      <c r="BP8" s="239">
        <v>-750000</v>
      </c>
      <c r="BQ8" s="239">
        <v>-600000</v>
      </c>
      <c r="BR8" s="239">
        <v>-135000</v>
      </c>
      <c r="BS8" s="239">
        <v>-15000</v>
      </c>
      <c r="BT8" s="239">
        <v>-1500000</v>
      </c>
      <c r="BU8" s="239">
        <v>-932427</v>
      </c>
      <c r="BV8" s="239">
        <v>-745942</v>
      </c>
      <c r="BW8" s="239">
        <v>-167837</v>
      </c>
      <c r="BX8" s="239">
        <v>-18649</v>
      </c>
      <c r="BY8" s="239">
        <v>-1864855</v>
      </c>
      <c r="BZ8" s="239">
        <v>-609457</v>
      </c>
      <c r="CA8" s="239">
        <v>-487566</v>
      </c>
      <c r="CB8" s="239">
        <v>-109702</v>
      </c>
      <c r="CC8" s="239">
        <v>-12189</v>
      </c>
      <c r="CD8" s="239">
        <v>-1218914</v>
      </c>
      <c r="CE8" s="239">
        <v>-322970</v>
      </c>
      <c r="CF8" s="239">
        <v>-258376</v>
      </c>
      <c r="CG8" s="239">
        <v>-58135</v>
      </c>
      <c r="CH8" s="239">
        <v>-6460</v>
      </c>
      <c r="CI8" s="239">
        <v>-645941</v>
      </c>
      <c r="CJ8" s="239">
        <v>14833557</v>
      </c>
      <c r="CK8" s="239">
        <v>11866846</v>
      </c>
      <c r="CL8" s="239">
        <v>2670040</v>
      </c>
      <c r="CM8" s="239">
        <v>296671</v>
      </c>
      <c r="CN8" s="239">
        <v>29667114</v>
      </c>
      <c r="CO8" s="239">
        <v>15306979</v>
      </c>
      <c r="CP8" s="239">
        <v>12245583</v>
      </c>
      <c r="CQ8" s="239">
        <v>2755256</v>
      </c>
      <c r="CR8" s="239">
        <v>306140</v>
      </c>
      <c r="CS8" s="239">
        <v>30613958</v>
      </c>
      <c r="CT8" s="239">
        <v>473422</v>
      </c>
      <c r="CU8" s="239">
        <v>378737</v>
      </c>
      <c r="CV8" s="239">
        <v>85216</v>
      </c>
      <c r="CW8" s="239">
        <v>9469</v>
      </c>
      <c r="CX8" s="239">
        <v>946844</v>
      </c>
      <c r="CY8" s="239">
        <v>150452</v>
      </c>
      <c r="CZ8" s="239">
        <v>120361</v>
      </c>
      <c r="DA8" s="239">
        <v>27081</v>
      </c>
      <c r="DB8" s="239">
        <v>3009</v>
      </c>
      <c r="DC8" s="239">
        <v>300903</v>
      </c>
      <c r="DD8" s="214">
        <v>0.5</v>
      </c>
      <c r="DE8" s="214">
        <v>0.4</v>
      </c>
      <c r="DF8" s="214">
        <v>0.09</v>
      </c>
      <c r="DG8" s="214">
        <v>0.01</v>
      </c>
      <c r="DH8" s="214">
        <v>1</v>
      </c>
      <c r="DI8" s="214" t="s">
        <v>1294</v>
      </c>
    </row>
    <row r="9" spans="2:113" s="214" customFormat="1" x14ac:dyDescent="0.2">
      <c r="B9" s="610" t="s">
        <v>101</v>
      </c>
      <c r="C9" s="610" t="s">
        <v>100</v>
      </c>
      <c r="D9" s="239">
        <v>15830943</v>
      </c>
      <c r="E9" s="239">
        <v>12664754</v>
      </c>
      <c r="F9" s="239">
        <v>3166189</v>
      </c>
      <c r="G9" s="239">
        <v>0</v>
      </c>
      <c r="H9" s="239">
        <v>31661886</v>
      </c>
      <c r="I9" s="239">
        <v>0</v>
      </c>
      <c r="J9" s="239">
        <v>0</v>
      </c>
      <c r="K9" s="239">
        <v>15830943</v>
      </c>
      <c r="L9" s="239">
        <v>174317</v>
      </c>
      <c r="M9" s="239">
        <v>174317</v>
      </c>
      <c r="N9" s="239">
        <v>0</v>
      </c>
      <c r="O9" s="239">
        <v>0</v>
      </c>
      <c r="P9" s="239">
        <v>0</v>
      </c>
      <c r="Q9" s="239">
        <v>0</v>
      </c>
      <c r="R9" s="239">
        <v>0</v>
      </c>
      <c r="S9" s="239">
        <v>0</v>
      </c>
      <c r="T9" s="239">
        <v>0</v>
      </c>
      <c r="U9" s="239">
        <v>0</v>
      </c>
      <c r="V9" s="239">
        <v>0</v>
      </c>
      <c r="W9" s="239">
        <v>359380</v>
      </c>
      <c r="X9" s="239">
        <v>287504</v>
      </c>
      <c r="Y9" s="239">
        <v>71876</v>
      </c>
      <c r="Z9" s="239">
        <v>0</v>
      </c>
      <c r="AA9" s="239">
        <v>718760</v>
      </c>
      <c r="AB9" s="239">
        <v>-302695</v>
      </c>
      <c r="AC9" s="239">
        <v>-242156</v>
      </c>
      <c r="AD9" s="239">
        <v>-60539</v>
      </c>
      <c r="AE9" s="239">
        <v>0</v>
      </c>
      <c r="AF9" s="239">
        <v>-605390</v>
      </c>
      <c r="AG9" s="239">
        <v>-191000</v>
      </c>
      <c r="AH9" s="239">
        <v>-152800</v>
      </c>
      <c r="AI9" s="239">
        <v>-38200</v>
      </c>
      <c r="AJ9" s="239">
        <v>0</v>
      </c>
      <c r="AK9" s="239">
        <v>-382000</v>
      </c>
      <c r="AL9" s="239">
        <v>89957</v>
      </c>
      <c r="AM9" s="239">
        <v>71966</v>
      </c>
      <c r="AN9" s="239">
        <v>17991</v>
      </c>
      <c r="AO9" s="239">
        <v>0</v>
      </c>
      <c r="AP9" s="239">
        <v>179914</v>
      </c>
      <c r="AQ9" s="239">
        <v>-32457</v>
      </c>
      <c r="AR9" s="239">
        <v>-25966</v>
      </c>
      <c r="AS9" s="239">
        <v>-6491</v>
      </c>
      <c r="AT9" s="239">
        <v>0</v>
      </c>
      <c r="AU9" s="239">
        <v>-64914</v>
      </c>
      <c r="AV9" s="239">
        <v>-133500</v>
      </c>
      <c r="AW9" s="239">
        <v>-106800</v>
      </c>
      <c r="AX9" s="239">
        <v>-26700</v>
      </c>
      <c r="AY9" s="239">
        <v>0</v>
      </c>
      <c r="AZ9" s="239">
        <v>-267000</v>
      </c>
      <c r="BA9" s="239">
        <v>-1617000</v>
      </c>
      <c r="BB9" s="239">
        <v>-1293600</v>
      </c>
      <c r="BC9" s="239">
        <v>-323400</v>
      </c>
      <c r="BD9" s="239">
        <v>0</v>
      </c>
      <c r="BE9" s="239">
        <v>-3234000</v>
      </c>
      <c r="BF9" s="239">
        <v>555421</v>
      </c>
      <c r="BG9" s="239">
        <v>444337</v>
      </c>
      <c r="BH9" s="239">
        <v>111084</v>
      </c>
      <c r="BI9" s="239">
        <v>0</v>
      </c>
      <c r="BJ9" s="239">
        <v>1110842</v>
      </c>
      <c r="BK9" s="239">
        <v>-1564921</v>
      </c>
      <c r="BL9" s="239">
        <v>-1251937</v>
      </c>
      <c r="BM9" s="239">
        <v>-312984</v>
      </c>
      <c r="BN9" s="239">
        <v>0</v>
      </c>
      <c r="BO9" s="239">
        <v>-3129842</v>
      </c>
      <c r="BP9" s="239">
        <v>-2626500</v>
      </c>
      <c r="BQ9" s="239">
        <v>-2101200</v>
      </c>
      <c r="BR9" s="239">
        <v>-525300</v>
      </c>
      <c r="BS9" s="239">
        <v>0</v>
      </c>
      <c r="BT9" s="239">
        <v>-5253000</v>
      </c>
      <c r="BU9" s="239">
        <v>-2266929</v>
      </c>
      <c r="BV9" s="239">
        <v>-1813543</v>
      </c>
      <c r="BW9" s="239">
        <v>-453386</v>
      </c>
      <c r="BX9" s="239">
        <v>0</v>
      </c>
      <c r="BY9" s="239">
        <v>-4533858</v>
      </c>
      <c r="BZ9" s="239">
        <v>-1417118</v>
      </c>
      <c r="CA9" s="239">
        <v>-1133694</v>
      </c>
      <c r="CB9" s="239">
        <v>-283424</v>
      </c>
      <c r="CC9" s="239">
        <v>0</v>
      </c>
      <c r="CD9" s="239">
        <v>-2834236</v>
      </c>
      <c r="CE9" s="239">
        <v>-849811</v>
      </c>
      <c r="CF9" s="239">
        <v>-679849</v>
      </c>
      <c r="CG9" s="239">
        <v>-169962</v>
      </c>
      <c r="CH9" s="239">
        <v>0</v>
      </c>
      <c r="CI9" s="239">
        <v>-1699622</v>
      </c>
      <c r="CJ9" s="239">
        <v>16966769</v>
      </c>
      <c r="CK9" s="239">
        <v>13573415</v>
      </c>
      <c r="CL9" s="239">
        <v>3393354</v>
      </c>
      <c r="CM9" s="239">
        <v>0</v>
      </c>
      <c r="CN9" s="239">
        <v>33933538</v>
      </c>
      <c r="CO9" s="239">
        <v>15830943</v>
      </c>
      <c r="CP9" s="239">
        <v>12664754</v>
      </c>
      <c r="CQ9" s="239">
        <v>3166189</v>
      </c>
      <c r="CR9" s="239">
        <v>0</v>
      </c>
      <c r="CS9" s="239">
        <v>31661886</v>
      </c>
      <c r="CT9" s="239">
        <v>-1135826</v>
      </c>
      <c r="CU9" s="239">
        <v>-908661</v>
      </c>
      <c r="CV9" s="239">
        <v>-227165</v>
      </c>
      <c r="CW9" s="239">
        <v>0</v>
      </c>
      <c r="CX9" s="239">
        <v>-2271652</v>
      </c>
      <c r="CY9" s="239">
        <v>-1985637</v>
      </c>
      <c r="CZ9" s="239">
        <v>-1588510</v>
      </c>
      <c r="DA9" s="239">
        <v>-397127</v>
      </c>
      <c r="DB9" s="239">
        <v>0</v>
      </c>
      <c r="DC9" s="239">
        <v>-3971274</v>
      </c>
      <c r="DD9" s="214">
        <v>0.5</v>
      </c>
      <c r="DE9" s="214">
        <v>0.4</v>
      </c>
      <c r="DF9" s="214">
        <v>0.1</v>
      </c>
      <c r="DG9" s="214">
        <v>0</v>
      </c>
      <c r="DH9" s="214">
        <v>1</v>
      </c>
      <c r="DI9" s="214" t="s">
        <v>1294</v>
      </c>
    </row>
    <row r="10" spans="2:113" s="214" customFormat="1" x14ac:dyDescent="0.2">
      <c r="B10" s="610" t="s">
        <v>103</v>
      </c>
      <c r="C10" s="610" t="s">
        <v>102</v>
      </c>
      <c r="D10" s="239">
        <v>16946859</v>
      </c>
      <c r="E10" s="239">
        <v>13557488</v>
      </c>
      <c r="F10" s="239">
        <v>3050435</v>
      </c>
      <c r="G10" s="239">
        <v>338937</v>
      </c>
      <c r="H10" s="239">
        <v>33893719</v>
      </c>
      <c r="I10" s="239">
        <v>0</v>
      </c>
      <c r="J10" s="239">
        <v>0</v>
      </c>
      <c r="K10" s="239">
        <v>16946859</v>
      </c>
      <c r="L10" s="239">
        <v>129357</v>
      </c>
      <c r="M10" s="239">
        <v>129357</v>
      </c>
      <c r="N10" s="239">
        <v>0</v>
      </c>
      <c r="O10" s="239">
        <v>0</v>
      </c>
      <c r="P10" s="239">
        <v>0</v>
      </c>
      <c r="Q10" s="239">
        <v>0</v>
      </c>
      <c r="R10" s="239">
        <v>0</v>
      </c>
      <c r="S10" s="239">
        <v>0</v>
      </c>
      <c r="T10" s="239">
        <v>0</v>
      </c>
      <c r="U10" s="239">
        <v>0</v>
      </c>
      <c r="V10" s="239">
        <v>0</v>
      </c>
      <c r="W10" s="239">
        <v>768875</v>
      </c>
      <c r="X10" s="239">
        <v>615100</v>
      </c>
      <c r="Y10" s="239">
        <v>138397</v>
      </c>
      <c r="Z10" s="239">
        <v>15377</v>
      </c>
      <c r="AA10" s="239">
        <v>1537749</v>
      </c>
      <c r="AB10" s="239">
        <v>-44125</v>
      </c>
      <c r="AC10" s="239">
        <v>-35300</v>
      </c>
      <c r="AD10" s="239">
        <v>-7943</v>
      </c>
      <c r="AE10" s="239">
        <v>-883</v>
      </c>
      <c r="AF10" s="239">
        <v>-88251</v>
      </c>
      <c r="AG10" s="239">
        <v>-480106</v>
      </c>
      <c r="AH10" s="239">
        <v>-384083</v>
      </c>
      <c r="AI10" s="239">
        <v>-86418</v>
      </c>
      <c r="AJ10" s="239">
        <v>-9602</v>
      </c>
      <c r="AK10" s="239">
        <v>-960209</v>
      </c>
      <c r="AL10" s="239">
        <v>158548</v>
      </c>
      <c r="AM10" s="239">
        <v>126839</v>
      </c>
      <c r="AN10" s="239">
        <v>28539</v>
      </c>
      <c r="AO10" s="239">
        <v>3171</v>
      </c>
      <c r="AP10" s="239">
        <v>317097</v>
      </c>
      <c r="AQ10" s="239">
        <v>-45574</v>
      </c>
      <c r="AR10" s="239">
        <v>-36459</v>
      </c>
      <c r="AS10" s="239">
        <v>-8203</v>
      </c>
      <c r="AT10" s="239">
        <v>-911</v>
      </c>
      <c r="AU10" s="239">
        <v>-91147</v>
      </c>
      <c r="AV10" s="239">
        <v>-367132</v>
      </c>
      <c r="AW10" s="239">
        <v>-293703</v>
      </c>
      <c r="AX10" s="239">
        <v>-66082</v>
      </c>
      <c r="AY10" s="239">
        <v>-7342</v>
      </c>
      <c r="AZ10" s="239">
        <v>-734259</v>
      </c>
      <c r="BA10" s="239">
        <v>-964267</v>
      </c>
      <c r="BB10" s="239">
        <v>-771413</v>
      </c>
      <c r="BC10" s="239">
        <v>-173568</v>
      </c>
      <c r="BD10" s="239">
        <v>-19285</v>
      </c>
      <c r="BE10" s="239">
        <v>-1928533</v>
      </c>
      <c r="BF10" s="239">
        <v>110644</v>
      </c>
      <c r="BG10" s="239">
        <v>88515</v>
      </c>
      <c r="BH10" s="239">
        <v>19916</v>
      </c>
      <c r="BI10" s="239">
        <v>2213</v>
      </c>
      <c r="BJ10" s="239">
        <v>221288</v>
      </c>
      <c r="BK10" s="239">
        <v>121807</v>
      </c>
      <c r="BL10" s="239">
        <v>97446</v>
      </c>
      <c r="BM10" s="239">
        <v>21925</v>
      </c>
      <c r="BN10" s="239">
        <v>2436</v>
      </c>
      <c r="BO10" s="239">
        <v>243614</v>
      </c>
      <c r="BP10" s="239">
        <v>-731816</v>
      </c>
      <c r="BQ10" s="239">
        <v>-585452</v>
      </c>
      <c r="BR10" s="239">
        <v>-131727</v>
      </c>
      <c r="BS10" s="239">
        <v>-14636</v>
      </c>
      <c r="BT10" s="239">
        <v>-1463631</v>
      </c>
      <c r="BU10" s="239">
        <v>-811835</v>
      </c>
      <c r="BV10" s="239">
        <v>-649468</v>
      </c>
      <c r="BW10" s="239">
        <v>-146130</v>
      </c>
      <c r="BX10" s="239">
        <v>-16237</v>
      </c>
      <c r="BY10" s="239">
        <v>-1623670</v>
      </c>
      <c r="BZ10" s="239">
        <v>-905653</v>
      </c>
      <c r="CA10" s="239">
        <v>-724522</v>
      </c>
      <c r="CB10" s="239">
        <v>-163017</v>
      </c>
      <c r="CC10" s="239">
        <v>-18113</v>
      </c>
      <c r="CD10" s="239">
        <v>-1811305</v>
      </c>
      <c r="CE10" s="239">
        <v>93818</v>
      </c>
      <c r="CF10" s="239">
        <v>75054</v>
      </c>
      <c r="CG10" s="239">
        <v>16887</v>
      </c>
      <c r="CH10" s="239">
        <v>1876</v>
      </c>
      <c r="CI10" s="239">
        <v>187635</v>
      </c>
      <c r="CJ10" s="239">
        <v>17189351</v>
      </c>
      <c r="CK10" s="239">
        <v>13751480</v>
      </c>
      <c r="CL10" s="239">
        <v>3094083</v>
      </c>
      <c r="CM10" s="239">
        <v>343787</v>
      </c>
      <c r="CN10" s="239">
        <v>34378701</v>
      </c>
      <c r="CO10" s="239">
        <v>16946859</v>
      </c>
      <c r="CP10" s="239">
        <v>13557488</v>
      </c>
      <c r="CQ10" s="239">
        <v>3050435</v>
      </c>
      <c r="CR10" s="239">
        <v>338937</v>
      </c>
      <c r="CS10" s="239">
        <v>33893719</v>
      </c>
      <c r="CT10" s="239">
        <v>-242492</v>
      </c>
      <c r="CU10" s="239">
        <v>-193992</v>
      </c>
      <c r="CV10" s="239">
        <v>-43648</v>
      </c>
      <c r="CW10" s="239">
        <v>-4850</v>
      </c>
      <c r="CX10" s="239">
        <v>-484982</v>
      </c>
      <c r="CY10" s="239">
        <v>-148674</v>
      </c>
      <c r="CZ10" s="239">
        <v>-118938</v>
      </c>
      <c r="DA10" s="239">
        <v>-26761</v>
      </c>
      <c r="DB10" s="239">
        <v>-2974</v>
      </c>
      <c r="DC10" s="239">
        <v>-297347</v>
      </c>
      <c r="DD10" s="214">
        <v>0.5</v>
      </c>
      <c r="DE10" s="214">
        <v>0.4</v>
      </c>
      <c r="DF10" s="214">
        <v>0.09</v>
      </c>
      <c r="DG10" s="214">
        <v>0.01</v>
      </c>
      <c r="DH10" s="214">
        <v>1</v>
      </c>
      <c r="DI10" s="214" t="s">
        <v>1294</v>
      </c>
    </row>
    <row r="11" spans="2:113" s="214" customFormat="1" x14ac:dyDescent="0.2">
      <c r="B11" s="610" t="s">
        <v>105</v>
      </c>
      <c r="C11" s="610" t="s">
        <v>104</v>
      </c>
      <c r="D11" s="239">
        <v>22663181</v>
      </c>
      <c r="E11" s="239">
        <v>18130544</v>
      </c>
      <c r="F11" s="239">
        <v>4079372</v>
      </c>
      <c r="G11" s="239">
        <v>453264</v>
      </c>
      <c r="H11" s="239">
        <v>45326361</v>
      </c>
      <c r="I11" s="239">
        <v>0</v>
      </c>
      <c r="J11" s="239">
        <v>0</v>
      </c>
      <c r="K11" s="239">
        <v>22663181</v>
      </c>
      <c r="L11" s="239">
        <v>181615</v>
      </c>
      <c r="M11" s="239">
        <v>181615</v>
      </c>
      <c r="N11" s="239">
        <v>0</v>
      </c>
      <c r="O11" s="239">
        <v>0</v>
      </c>
      <c r="P11" s="239">
        <v>0</v>
      </c>
      <c r="Q11" s="239">
        <v>56656</v>
      </c>
      <c r="R11" s="239">
        <v>56656</v>
      </c>
      <c r="S11" s="239">
        <v>0</v>
      </c>
      <c r="T11" s="239">
        <v>0</v>
      </c>
      <c r="U11" s="239">
        <v>0</v>
      </c>
      <c r="V11" s="239">
        <v>0</v>
      </c>
      <c r="W11" s="239">
        <v>380863</v>
      </c>
      <c r="X11" s="239">
        <v>304690</v>
      </c>
      <c r="Y11" s="239">
        <v>68555</v>
      </c>
      <c r="Z11" s="239">
        <v>7617</v>
      </c>
      <c r="AA11" s="239">
        <v>761725</v>
      </c>
      <c r="AB11" s="239">
        <v>-158533</v>
      </c>
      <c r="AC11" s="239">
        <v>-126827</v>
      </c>
      <c r="AD11" s="239">
        <v>-28536</v>
      </c>
      <c r="AE11" s="239">
        <v>-3171</v>
      </c>
      <c r="AF11" s="239">
        <v>-317067</v>
      </c>
      <c r="AG11" s="239">
        <v>-391428</v>
      </c>
      <c r="AH11" s="239">
        <v>-313142</v>
      </c>
      <c r="AI11" s="239">
        <v>-70457</v>
      </c>
      <c r="AJ11" s="239">
        <v>-7829</v>
      </c>
      <c r="AK11" s="239">
        <v>-782856</v>
      </c>
      <c r="AL11" s="239">
        <v>21007</v>
      </c>
      <c r="AM11" s="239">
        <v>16805</v>
      </c>
      <c r="AN11" s="239">
        <v>3781</v>
      </c>
      <c r="AO11" s="239">
        <v>420</v>
      </c>
      <c r="AP11" s="239">
        <v>42013</v>
      </c>
      <c r="AQ11" s="239">
        <v>-21156</v>
      </c>
      <c r="AR11" s="239">
        <v>-16924</v>
      </c>
      <c r="AS11" s="239">
        <v>-3808</v>
      </c>
      <c r="AT11" s="239">
        <v>-423</v>
      </c>
      <c r="AU11" s="239">
        <v>-42311</v>
      </c>
      <c r="AV11" s="239">
        <v>-391577</v>
      </c>
      <c r="AW11" s="239">
        <v>-313261</v>
      </c>
      <c r="AX11" s="239">
        <v>-70484</v>
      </c>
      <c r="AY11" s="239">
        <v>-7832</v>
      </c>
      <c r="AZ11" s="239">
        <v>-783154</v>
      </c>
      <c r="BA11" s="239">
        <v>-1920648</v>
      </c>
      <c r="BB11" s="239">
        <v>-1536520</v>
      </c>
      <c r="BC11" s="239">
        <v>-345717</v>
      </c>
      <c r="BD11" s="239">
        <v>-38413</v>
      </c>
      <c r="BE11" s="239">
        <v>-3841298</v>
      </c>
      <c r="BF11" s="239">
        <v>806653</v>
      </c>
      <c r="BG11" s="239">
        <v>645323</v>
      </c>
      <c r="BH11" s="239">
        <v>145198</v>
      </c>
      <c r="BI11" s="239">
        <v>16133</v>
      </c>
      <c r="BJ11" s="239">
        <v>1613307</v>
      </c>
      <c r="BK11" s="239">
        <v>-616567</v>
      </c>
      <c r="BL11" s="239">
        <v>-493254</v>
      </c>
      <c r="BM11" s="239">
        <v>-110982</v>
      </c>
      <c r="BN11" s="239">
        <v>-12331</v>
      </c>
      <c r="BO11" s="239">
        <v>-1233134</v>
      </c>
      <c r="BP11" s="239">
        <v>-1730562</v>
      </c>
      <c r="BQ11" s="239">
        <v>-1384451</v>
      </c>
      <c r="BR11" s="239">
        <v>-311501</v>
      </c>
      <c r="BS11" s="239">
        <v>-34611</v>
      </c>
      <c r="BT11" s="239">
        <v>-3461125</v>
      </c>
      <c r="BU11" s="239">
        <v>-1123850</v>
      </c>
      <c r="BV11" s="239">
        <v>-899080</v>
      </c>
      <c r="BW11" s="239">
        <v>-202293</v>
      </c>
      <c r="BX11" s="239">
        <v>-22477</v>
      </c>
      <c r="BY11" s="239">
        <v>-2247700</v>
      </c>
      <c r="BZ11" s="239">
        <v>-294812</v>
      </c>
      <c r="CA11" s="239">
        <v>-235850</v>
      </c>
      <c r="CB11" s="239">
        <v>-53066</v>
      </c>
      <c r="CC11" s="239">
        <v>-5896</v>
      </c>
      <c r="CD11" s="239">
        <v>-589624</v>
      </c>
      <c r="CE11" s="239">
        <v>-829038</v>
      </c>
      <c r="CF11" s="239">
        <v>-663230</v>
      </c>
      <c r="CG11" s="239">
        <v>-149227</v>
      </c>
      <c r="CH11" s="239">
        <v>-16581</v>
      </c>
      <c r="CI11" s="239">
        <v>-1658076</v>
      </c>
      <c r="CJ11" s="239">
        <v>23264154</v>
      </c>
      <c r="CK11" s="239">
        <v>18611324</v>
      </c>
      <c r="CL11" s="239">
        <v>4187548</v>
      </c>
      <c r="CM11" s="239">
        <v>465283</v>
      </c>
      <c r="CN11" s="239">
        <v>46528309</v>
      </c>
      <c r="CO11" s="239">
        <v>22663181</v>
      </c>
      <c r="CP11" s="239">
        <v>18130544</v>
      </c>
      <c r="CQ11" s="239">
        <v>4079372</v>
      </c>
      <c r="CR11" s="239">
        <v>453264</v>
      </c>
      <c r="CS11" s="239">
        <v>45326361</v>
      </c>
      <c r="CT11" s="239">
        <v>-600973</v>
      </c>
      <c r="CU11" s="239">
        <v>-480780</v>
      </c>
      <c r="CV11" s="239">
        <v>-108176</v>
      </c>
      <c r="CW11" s="239">
        <v>-12019</v>
      </c>
      <c r="CX11" s="239">
        <v>-1201948</v>
      </c>
      <c r="CY11" s="239">
        <v>-1430011</v>
      </c>
      <c r="CZ11" s="239">
        <v>-1144010</v>
      </c>
      <c r="DA11" s="239">
        <v>-257403</v>
      </c>
      <c r="DB11" s="239">
        <v>-28600</v>
      </c>
      <c r="DC11" s="239">
        <v>-2860024</v>
      </c>
      <c r="DD11" s="214">
        <v>0.5</v>
      </c>
      <c r="DE11" s="214">
        <v>0.4</v>
      </c>
      <c r="DF11" s="214">
        <v>0.09</v>
      </c>
      <c r="DG11" s="214">
        <v>0.01</v>
      </c>
      <c r="DH11" s="214">
        <v>1</v>
      </c>
      <c r="DI11" s="214" t="s">
        <v>1294</v>
      </c>
    </row>
    <row r="12" spans="2:113" s="214" customFormat="1" x14ac:dyDescent="0.2">
      <c r="B12" s="610" t="s">
        <v>107</v>
      </c>
      <c r="C12" s="610" t="s">
        <v>106</v>
      </c>
      <c r="D12" s="239">
        <v>24654675</v>
      </c>
      <c r="E12" s="239">
        <v>19723739</v>
      </c>
      <c r="F12" s="239">
        <v>4437841</v>
      </c>
      <c r="G12" s="239">
        <v>493093</v>
      </c>
      <c r="H12" s="239">
        <v>49309348</v>
      </c>
      <c r="I12" s="239">
        <v>0</v>
      </c>
      <c r="J12" s="239">
        <v>0</v>
      </c>
      <c r="K12" s="239">
        <v>24654675</v>
      </c>
      <c r="L12" s="239">
        <v>226811</v>
      </c>
      <c r="M12" s="239">
        <v>226811</v>
      </c>
      <c r="N12" s="239">
        <v>0</v>
      </c>
      <c r="O12" s="239">
        <v>0</v>
      </c>
      <c r="P12" s="239">
        <v>0</v>
      </c>
      <c r="Q12" s="239">
        <v>0</v>
      </c>
      <c r="R12" s="239">
        <v>0</v>
      </c>
      <c r="S12" s="239">
        <v>0</v>
      </c>
      <c r="T12" s="239">
        <v>0</v>
      </c>
      <c r="U12" s="239">
        <v>0</v>
      </c>
      <c r="V12" s="239">
        <v>0</v>
      </c>
      <c r="W12" s="239">
        <v>79998</v>
      </c>
      <c r="X12" s="239">
        <v>63999</v>
      </c>
      <c r="Y12" s="239">
        <v>14400</v>
      </c>
      <c r="Z12" s="239">
        <v>1600</v>
      </c>
      <c r="AA12" s="239">
        <v>159997</v>
      </c>
      <c r="AB12" s="239">
        <v>-562691</v>
      </c>
      <c r="AC12" s="239">
        <v>-450153</v>
      </c>
      <c r="AD12" s="239">
        <v>-101284</v>
      </c>
      <c r="AE12" s="239">
        <v>-11254</v>
      </c>
      <c r="AF12" s="239">
        <v>-1125382</v>
      </c>
      <c r="AG12" s="239">
        <v>0</v>
      </c>
      <c r="AH12" s="239">
        <v>0</v>
      </c>
      <c r="AI12" s="239">
        <v>0</v>
      </c>
      <c r="AJ12" s="239">
        <v>0</v>
      </c>
      <c r="AK12" s="239">
        <v>0</v>
      </c>
      <c r="AL12" s="239">
        <v>0</v>
      </c>
      <c r="AM12" s="239">
        <v>0</v>
      </c>
      <c r="AN12" s="239">
        <v>0</v>
      </c>
      <c r="AO12" s="239">
        <v>0</v>
      </c>
      <c r="AP12" s="239">
        <v>0</v>
      </c>
      <c r="AQ12" s="239">
        <v>0</v>
      </c>
      <c r="AR12" s="239">
        <v>0</v>
      </c>
      <c r="AS12" s="239">
        <v>0</v>
      </c>
      <c r="AT12" s="239">
        <v>0</v>
      </c>
      <c r="AU12" s="239">
        <v>0</v>
      </c>
      <c r="AV12" s="239">
        <v>0</v>
      </c>
      <c r="AW12" s="239">
        <v>0</v>
      </c>
      <c r="AX12" s="239">
        <v>0</v>
      </c>
      <c r="AY12" s="239">
        <v>0</v>
      </c>
      <c r="AZ12" s="239">
        <v>0</v>
      </c>
      <c r="BA12" s="239">
        <v>-2036126</v>
      </c>
      <c r="BB12" s="239">
        <v>-1628901</v>
      </c>
      <c r="BC12" s="239">
        <v>-366503</v>
      </c>
      <c r="BD12" s="239">
        <v>-40723</v>
      </c>
      <c r="BE12" s="239">
        <v>-4072253</v>
      </c>
      <c r="BF12" s="239">
        <v>279349</v>
      </c>
      <c r="BG12" s="239">
        <v>223479</v>
      </c>
      <c r="BH12" s="239">
        <v>50283</v>
      </c>
      <c r="BI12" s="239">
        <v>5587</v>
      </c>
      <c r="BJ12" s="239">
        <v>558698</v>
      </c>
      <c r="BK12" s="239">
        <v>-423536</v>
      </c>
      <c r="BL12" s="239">
        <v>-338829</v>
      </c>
      <c r="BM12" s="239">
        <v>-76236</v>
      </c>
      <c r="BN12" s="239">
        <v>-8471</v>
      </c>
      <c r="BO12" s="239">
        <v>-847072</v>
      </c>
      <c r="BP12" s="239">
        <v>-2180313</v>
      </c>
      <c r="BQ12" s="239">
        <v>-1744251</v>
      </c>
      <c r="BR12" s="239">
        <v>-392456</v>
      </c>
      <c r="BS12" s="239">
        <v>-43607</v>
      </c>
      <c r="BT12" s="239">
        <v>-4360627</v>
      </c>
      <c r="BU12" s="239">
        <v>-1233988</v>
      </c>
      <c r="BV12" s="239">
        <v>-987190</v>
      </c>
      <c r="BW12" s="239">
        <v>-222118</v>
      </c>
      <c r="BX12" s="239">
        <v>-24680</v>
      </c>
      <c r="BY12" s="239">
        <v>-2467976</v>
      </c>
      <c r="BZ12" s="239">
        <v>-628426</v>
      </c>
      <c r="CA12" s="239">
        <v>-502742</v>
      </c>
      <c r="CB12" s="239">
        <v>-113117</v>
      </c>
      <c r="CC12" s="239">
        <v>-12569</v>
      </c>
      <c r="CD12" s="239">
        <v>-1256854</v>
      </c>
      <c r="CE12" s="239">
        <v>-605562</v>
      </c>
      <c r="CF12" s="239">
        <v>-484448</v>
      </c>
      <c r="CG12" s="239">
        <v>-109001</v>
      </c>
      <c r="CH12" s="239">
        <v>-12111</v>
      </c>
      <c r="CI12" s="239">
        <v>-1211122</v>
      </c>
      <c r="CJ12" s="239">
        <v>24811792</v>
      </c>
      <c r="CK12" s="239">
        <v>19849434</v>
      </c>
      <c r="CL12" s="239">
        <v>4466123</v>
      </c>
      <c r="CM12" s="239">
        <v>496236</v>
      </c>
      <c r="CN12" s="239">
        <v>49623585</v>
      </c>
      <c r="CO12" s="239">
        <v>24654675</v>
      </c>
      <c r="CP12" s="239">
        <v>19723739</v>
      </c>
      <c r="CQ12" s="239">
        <v>4437841</v>
      </c>
      <c r="CR12" s="239">
        <v>493093</v>
      </c>
      <c r="CS12" s="239">
        <v>49309348</v>
      </c>
      <c r="CT12" s="239">
        <v>-157117</v>
      </c>
      <c r="CU12" s="239">
        <v>-125695</v>
      </c>
      <c r="CV12" s="239">
        <v>-28282</v>
      </c>
      <c r="CW12" s="239">
        <v>-3143</v>
      </c>
      <c r="CX12" s="239">
        <v>-314237</v>
      </c>
      <c r="CY12" s="239">
        <v>-762679</v>
      </c>
      <c r="CZ12" s="239">
        <v>-610143</v>
      </c>
      <c r="DA12" s="239">
        <v>-137283</v>
      </c>
      <c r="DB12" s="239">
        <v>-15254</v>
      </c>
      <c r="DC12" s="239">
        <v>-1525359</v>
      </c>
      <c r="DD12" s="214">
        <v>0.5</v>
      </c>
      <c r="DE12" s="214">
        <v>0.4</v>
      </c>
      <c r="DF12" s="214">
        <v>0.09</v>
      </c>
      <c r="DG12" s="214">
        <v>0.01</v>
      </c>
      <c r="DH12" s="214">
        <v>1</v>
      </c>
      <c r="DI12" s="214" t="s">
        <v>1294</v>
      </c>
    </row>
    <row r="13" spans="2:113" s="214" customFormat="1" x14ac:dyDescent="0.2">
      <c r="B13" s="610" t="s">
        <v>109</v>
      </c>
      <c r="C13" s="610" t="s">
        <v>108</v>
      </c>
      <c r="D13" s="239">
        <v>10964353</v>
      </c>
      <c r="E13" s="239">
        <v>8771483</v>
      </c>
      <c r="F13" s="239">
        <v>2192871</v>
      </c>
      <c r="G13" s="239">
        <v>0</v>
      </c>
      <c r="H13" s="239">
        <v>21928707</v>
      </c>
      <c r="I13" s="239">
        <v>0</v>
      </c>
      <c r="J13" s="239">
        <v>0</v>
      </c>
      <c r="K13" s="239">
        <v>10964353</v>
      </c>
      <c r="L13" s="239">
        <v>126114</v>
      </c>
      <c r="M13" s="239">
        <v>126114</v>
      </c>
      <c r="N13" s="239">
        <v>0</v>
      </c>
      <c r="O13" s="239">
        <v>0</v>
      </c>
      <c r="P13" s="239">
        <v>0</v>
      </c>
      <c r="Q13" s="239">
        <v>0</v>
      </c>
      <c r="R13" s="239">
        <v>0</v>
      </c>
      <c r="S13" s="239">
        <v>0</v>
      </c>
      <c r="T13" s="239">
        <v>0</v>
      </c>
      <c r="U13" s="239">
        <v>0</v>
      </c>
      <c r="V13" s="239">
        <v>0</v>
      </c>
      <c r="W13" s="239">
        <v>332399</v>
      </c>
      <c r="X13" s="239">
        <v>265919</v>
      </c>
      <c r="Y13" s="239">
        <v>66480</v>
      </c>
      <c r="Z13" s="239">
        <v>0</v>
      </c>
      <c r="AA13" s="239">
        <v>664798</v>
      </c>
      <c r="AB13" s="239">
        <v>-100015</v>
      </c>
      <c r="AC13" s="239">
        <v>-80012</v>
      </c>
      <c r="AD13" s="239">
        <v>-20003</v>
      </c>
      <c r="AE13" s="239">
        <v>0</v>
      </c>
      <c r="AF13" s="239">
        <v>-200030</v>
      </c>
      <c r="AG13" s="239">
        <v>-177858</v>
      </c>
      <c r="AH13" s="239">
        <v>-142286</v>
      </c>
      <c r="AI13" s="239">
        <v>-35572</v>
      </c>
      <c r="AJ13" s="239">
        <v>0</v>
      </c>
      <c r="AK13" s="239">
        <v>-355716</v>
      </c>
      <c r="AL13" s="239">
        <v>131312</v>
      </c>
      <c r="AM13" s="239">
        <v>105049</v>
      </c>
      <c r="AN13" s="239">
        <v>26262</v>
      </c>
      <c r="AO13" s="239">
        <v>0</v>
      </c>
      <c r="AP13" s="239">
        <v>262623</v>
      </c>
      <c r="AQ13" s="239">
        <v>-145551</v>
      </c>
      <c r="AR13" s="239">
        <v>-116441</v>
      </c>
      <c r="AS13" s="239">
        <v>-29110</v>
      </c>
      <c r="AT13" s="239">
        <v>0</v>
      </c>
      <c r="AU13" s="239">
        <v>-291102</v>
      </c>
      <c r="AV13" s="239">
        <v>-192097</v>
      </c>
      <c r="AW13" s="239">
        <v>-153678</v>
      </c>
      <c r="AX13" s="239">
        <v>-38420</v>
      </c>
      <c r="AY13" s="239">
        <v>0</v>
      </c>
      <c r="AZ13" s="239">
        <v>-384195</v>
      </c>
      <c r="BA13" s="239">
        <v>-526427</v>
      </c>
      <c r="BB13" s="239">
        <v>-421143</v>
      </c>
      <c r="BC13" s="239">
        <v>-105286</v>
      </c>
      <c r="BD13" s="239">
        <v>0</v>
      </c>
      <c r="BE13" s="239">
        <v>-1052856</v>
      </c>
      <c r="BF13" s="239">
        <v>25531</v>
      </c>
      <c r="BG13" s="239">
        <v>20424</v>
      </c>
      <c r="BH13" s="239">
        <v>5106</v>
      </c>
      <c r="BI13" s="239">
        <v>0</v>
      </c>
      <c r="BJ13" s="239">
        <v>51061</v>
      </c>
      <c r="BK13" s="239">
        <v>-421081</v>
      </c>
      <c r="BL13" s="239">
        <v>-336864</v>
      </c>
      <c r="BM13" s="239">
        <v>-84216</v>
      </c>
      <c r="BN13" s="239">
        <v>0</v>
      </c>
      <c r="BO13" s="239">
        <v>-842161</v>
      </c>
      <c r="BP13" s="239">
        <v>-921977</v>
      </c>
      <c r="BQ13" s="239">
        <v>-737583</v>
      </c>
      <c r="BR13" s="239">
        <v>-184396</v>
      </c>
      <c r="BS13" s="239">
        <v>0</v>
      </c>
      <c r="BT13" s="239">
        <v>-1843956</v>
      </c>
      <c r="BU13" s="239">
        <v>-728261</v>
      </c>
      <c r="BV13" s="239">
        <v>-582609</v>
      </c>
      <c r="BW13" s="239">
        <v>-145652</v>
      </c>
      <c r="BX13" s="239">
        <v>0</v>
      </c>
      <c r="BY13" s="239">
        <v>-1456522</v>
      </c>
      <c r="BZ13" s="239">
        <v>-1064916</v>
      </c>
      <c r="CA13" s="239">
        <v>-851933</v>
      </c>
      <c r="CB13" s="239">
        <v>-212983</v>
      </c>
      <c r="CC13" s="239">
        <v>0</v>
      </c>
      <c r="CD13" s="239">
        <v>-2129832</v>
      </c>
      <c r="CE13" s="239">
        <v>336655</v>
      </c>
      <c r="CF13" s="239">
        <v>269324</v>
      </c>
      <c r="CG13" s="239">
        <v>67331</v>
      </c>
      <c r="CH13" s="239">
        <v>0</v>
      </c>
      <c r="CI13" s="239">
        <v>673310</v>
      </c>
      <c r="CJ13" s="239">
        <v>11555568</v>
      </c>
      <c r="CK13" s="239">
        <v>9244454</v>
      </c>
      <c r="CL13" s="239">
        <v>2311114</v>
      </c>
      <c r="CM13" s="239">
        <v>0</v>
      </c>
      <c r="CN13" s="239">
        <v>23111136</v>
      </c>
      <c r="CO13" s="239">
        <v>10964353</v>
      </c>
      <c r="CP13" s="239">
        <v>8771483</v>
      </c>
      <c r="CQ13" s="239">
        <v>2192871</v>
      </c>
      <c r="CR13" s="239">
        <v>0</v>
      </c>
      <c r="CS13" s="239">
        <v>21928707</v>
      </c>
      <c r="CT13" s="239">
        <v>-591215</v>
      </c>
      <c r="CU13" s="239">
        <v>-472971</v>
      </c>
      <c r="CV13" s="239">
        <v>-118243</v>
      </c>
      <c r="CW13" s="239">
        <v>0</v>
      </c>
      <c r="CX13" s="239">
        <v>-1182429</v>
      </c>
      <c r="CY13" s="239">
        <v>-254560</v>
      </c>
      <c r="CZ13" s="239">
        <v>-203647</v>
      </c>
      <c r="DA13" s="239">
        <v>-50912</v>
      </c>
      <c r="DB13" s="239">
        <v>0</v>
      </c>
      <c r="DC13" s="239">
        <v>-509119</v>
      </c>
      <c r="DD13" s="214">
        <v>0.5</v>
      </c>
      <c r="DE13" s="214">
        <v>0.4</v>
      </c>
      <c r="DF13" s="214">
        <v>0.1</v>
      </c>
      <c r="DG13" s="214">
        <v>0</v>
      </c>
      <c r="DH13" s="214">
        <v>1</v>
      </c>
      <c r="DI13" s="214" t="s">
        <v>1294</v>
      </c>
    </row>
    <row r="14" spans="2:113" s="214" customFormat="1" x14ac:dyDescent="0.2">
      <c r="B14" s="610" t="s">
        <v>111</v>
      </c>
      <c r="C14" s="610" t="s">
        <v>110</v>
      </c>
      <c r="D14" s="239">
        <v>25303634</v>
      </c>
      <c r="E14" s="239">
        <v>15182180</v>
      </c>
      <c r="F14" s="239">
        <v>10121453</v>
      </c>
      <c r="G14" s="239">
        <v>0</v>
      </c>
      <c r="H14" s="239">
        <v>50607267</v>
      </c>
      <c r="I14" s="239">
        <v>0</v>
      </c>
      <c r="J14" s="239">
        <v>0</v>
      </c>
      <c r="K14" s="239">
        <v>25303634</v>
      </c>
      <c r="L14" s="239">
        <v>204717</v>
      </c>
      <c r="M14" s="239">
        <v>204717</v>
      </c>
      <c r="N14" s="239">
        <v>0</v>
      </c>
      <c r="O14" s="239">
        <v>0</v>
      </c>
      <c r="P14" s="239">
        <v>0</v>
      </c>
      <c r="Q14" s="239">
        <v>0</v>
      </c>
      <c r="R14" s="239">
        <v>0</v>
      </c>
      <c r="S14" s="239">
        <v>0</v>
      </c>
      <c r="T14" s="239">
        <v>0</v>
      </c>
      <c r="U14" s="239">
        <v>0</v>
      </c>
      <c r="V14" s="239">
        <v>0</v>
      </c>
      <c r="W14" s="239">
        <v>2614391</v>
      </c>
      <c r="X14" s="239">
        <v>1568635</v>
      </c>
      <c r="Y14" s="239">
        <v>1045757</v>
      </c>
      <c r="Z14" s="239">
        <v>0</v>
      </c>
      <c r="AA14" s="239">
        <v>5228783</v>
      </c>
      <c r="AB14" s="239">
        <v>-285958</v>
      </c>
      <c r="AC14" s="239">
        <v>-171575</v>
      </c>
      <c r="AD14" s="239">
        <v>-114383</v>
      </c>
      <c r="AE14" s="239">
        <v>0</v>
      </c>
      <c r="AF14" s="239">
        <v>-571916</v>
      </c>
      <c r="AG14" s="239">
        <v>-2522500</v>
      </c>
      <c r="AH14" s="239">
        <v>-1513500</v>
      </c>
      <c r="AI14" s="239">
        <v>-1009000</v>
      </c>
      <c r="AJ14" s="239">
        <v>0</v>
      </c>
      <c r="AK14" s="239">
        <v>-5045000</v>
      </c>
      <c r="AL14" s="239">
        <v>0</v>
      </c>
      <c r="AM14" s="239">
        <v>0</v>
      </c>
      <c r="AN14" s="239">
        <v>0</v>
      </c>
      <c r="AO14" s="239">
        <v>0</v>
      </c>
      <c r="AP14" s="239">
        <v>0</v>
      </c>
      <c r="AQ14" s="239">
        <v>153000</v>
      </c>
      <c r="AR14" s="239">
        <v>91800</v>
      </c>
      <c r="AS14" s="239">
        <v>61200</v>
      </c>
      <c r="AT14" s="239">
        <v>0</v>
      </c>
      <c r="AU14" s="239">
        <v>306000</v>
      </c>
      <c r="AV14" s="239">
        <v>-2369500</v>
      </c>
      <c r="AW14" s="239">
        <v>-1421700</v>
      </c>
      <c r="AX14" s="239">
        <v>-947800</v>
      </c>
      <c r="AY14" s="239">
        <v>0</v>
      </c>
      <c r="AZ14" s="239">
        <v>-4739000</v>
      </c>
      <c r="BA14" s="239">
        <v>-5737891</v>
      </c>
      <c r="BB14" s="239">
        <v>-3442735</v>
      </c>
      <c r="BC14" s="239">
        <v>-2295157</v>
      </c>
      <c r="BD14" s="239">
        <v>0</v>
      </c>
      <c r="BE14" s="239">
        <v>-11475783</v>
      </c>
      <c r="BF14" s="239">
        <v>0</v>
      </c>
      <c r="BG14" s="239">
        <v>0</v>
      </c>
      <c r="BH14" s="239">
        <v>0</v>
      </c>
      <c r="BI14" s="239">
        <v>0</v>
      </c>
      <c r="BJ14" s="239">
        <v>0</v>
      </c>
      <c r="BK14" s="239">
        <v>-1700568</v>
      </c>
      <c r="BL14" s="239">
        <v>-1020341</v>
      </c>
      <c r="BM14" s="239">
        <v>-680227</v>
      </c>
      <c r="BN14" s="239">
        <v>0</v>
      </c>
      <c r="BO14" s="239">
        <v>-3401136</v>
      </c>
      <c r="BP14" s="239">
        <v>-7438459</v>
      </c>
      <c r="BQ14" s="239">
        <v>-4463076</v>
      </c>
      <c r="BR14" s="239">
        <v>-2975384</v>
      </c>
      <c r="BS14" s="239">
        <v>0</v>
      </c>
      <c r="BT14" s="239">
        <v>-14876919</v>
      </c>
      <c r="BU14" s="239">
        <v>-766927</v>
      </c>
      <c r="BV14" s="239">
        <v>-460157</v>
      </c>
      <c r="BW14" s="239">
        <v>-306771</v>
      </c>
      <c r="BX14" s="239">
        <v>0</v>
      </c>
      <c r="BY14" s="239">
        <v>-1533855</v>
      </c>
      <c r="BZ14" s="239">
        <v>522906</v>
      </c>
      <c r="CA14" s="239">
        <v>313744</v>
      </c>
      <c r="CB14" s="239">
        <v>209162</v>
      </c>
      <c r="CC14" s="239">
        <v>0</v>
      </c>
      <c r="CD14" s="239">
        <v>1045812</v>
      </c>
      <c r="CE14" s="239">
        <v>-1289833</v>
      </c>
      <c r="CF14" s="239">
        <v>-773901</v>
      </c>
      <c r="CG14" s="239">
        <v>-515933</v>
      </c>
      <c r="CH14" s="239">
        <v>0</v>
      </c>
      <c r="CI14" s="239">
        <v>-2579667</v>
      </c>
      <c r="CJ14" s="239">
        <v>25975756</v>
      </c>
      <c r="CK14" s="239">
        <v>15585454</v>
      </c>
      <c r="CL14" s="239">
        <v>10390303</v>
      </c>
      <c r="CM14" s="239">
        <v>0</v>
      </c>
      <c r="CN14" s="239">
        <v>51951513</v>
      </c>
      <c r="CO14" s="239">
        <v>25303634</v>
      </c>
      <c r="CP14" s="239">
        <v>15182180</v>
      </c>
      <c r="CQ14" s="239">
        <v>10121453</v>
      </c>
      <c r="CR14" s="239">
        <v>0</v>
      </c>
      <c r="CS14" s="239">
        <v>50607267</v>
      </c>
      <c r="CT14" s="239">
        <v>-672122</v>
      </c>
      <c r="CU14" s="239">
        <v>-403274</v>
      </c>
      <c r="CV14" s="239">
        <v>-268850</v>
      </c>
      <c r="CW14" s="239">
        <v>0</v>
      </c>
      <c r="CX14" s="239">
        <v>-1344246</v>
      </c>
      <c r="CY14" s="239">
        <v>-1961955</v>
      </c>
      <c r="CZ14" s="239">
        <v>-1177175</v>
      </c>
      <c r="DA14" s="239">
        <v>-784783</v>
      </c>
      <c r="DB14" s="239">
        <v>0</v>
      </c>
      <c r="DC14" s="239">
        <v>-3923913</v>
      </c>
      <c r="DD14" s="214">
        <v>0.5</v>
      </c>
      <c r="DE14" s="214">
        <v>0.3</v>
      </c>
      <c r="DF14" s="214">
        <v>0.2</v>
      </c>
      <c r="DG14" s="214">
        <v>0</v>
      </c>
      <c r="DH14" s="214">
        <v>1</v>
      </c>
      <c r="DI14" s="214" t="s">
        <v>1295</v>
      </c>
    </row>
    <row r="15" spans="2:113" s="214" customFormat="1" x14ac:dyDescent="0.2">
      <c r="B15" s="610" t="s">
        <v>113</v>
      </c>
      <c r="C15" s="610" t="s">
        <v>112</v>
      </c>
      <c r="D15" s="239">
        <v>52423530</v>
      </c>
      <c r="E15" s="239">
        <v>31454118</v>
      </c>
      <c r="F15" s="239">
        <v>20969412</v>
      </c>
      <c r="G15" s="239">
        <v>0</v>
      </c>
      <c r="H15" s="239">
        <v>104847060</v>
      </c>
      <c r="I15" s="239">
        <v>0</v>
      </c>
      <c r="J15" s="239">
        <v>0</v>
      </c>
      <c r="K15" s="239">
        <v>52423530</v>
      </c>
      <c r="L15" s="239">
        <v>417855</v>
      </c>
      <c r="M15" s="239">
        <v>417855</v>
      </c>
      <c r="N15" s="239">
        <v>0</v>
      </c>
      <c r="O15" s="239">
        <v>0</v>
      </c>
      <c r="P15" s="239">
        <v>0</v>
      </c>
      <c r="Q15" s="239">
        <v>0</v>
      </c>
      <c r="R15" s="239">
        <v>0</v>
      </c>
      <c r="S15" s="239">
        <v>0</v>
      </c>
      <c r="T15" s="239">
        <v>0</v>
      </c>
      <c r="U15" s="239">
        <v>0</v>
      </c>
      <c r="V15" s="239">
        <v>0</v>
      </c>
      <c r="W15" s="239">
        <v>4683037</v>
      </c>
      <c r="X15" s="239">
        <v>2809822</v>
      </c>
      <c r="Y15" s="239">
        <v>1873215</v>
      </c>
      <c r="Z15" s="239">
        <v>0</v>
      </c>
      <c r="AA15" s="239">
        <v>9366074</v>
      </c>
      <c r="AB15" s="239">
        <v>-1750793</v>
      </c>
      <c r="AC15" s="239">
        <v>-1050476</v>
      </c>
      <c r="AD15" s="239">
        <v>-700317</v>
      </c>
      <c r="AE15" s="239">
        <v>0</v>
      </c>
      <c r="AF15" s="239">
        <v>-3501586</v>
      </c>
      <c r="AG15" s="239">
        <v>-1066968</v>
      </c>
      <c r="AH15" s="239">
        <v>-640181</v>
      </c>
      <c r="AI15" s="239">
        <v>-426787</v>
      </c>
      <c r="AJ15" s="239">
        <v>0</v>
      </c>
      <c r="AK15" s="239">
        <v>-2133936</v>
      </c>
      <c r="AL15" s="239">
        <v>2463282</v>
      </c>
      <c r="AM15" s="239">
        <v>1477970</v>
      </c>
      <c r="AN15" s="239">
        <v>985313</v>
      </c>
      <c r="AO15" s="239">
        <v>0</v>
      </c>
      <c r="AP15" s="239">
        <v>4926565</v>
      </c>
      <c r="AQ15" s="239">
        <v>-771602</v>
      </c>
      <c r="AR15" s="239">
        <v>-462962</v>
      </c>
      <c r="AS15" s="239">
        <v>-308641</v>
      </c>
      <c r="AT15" s="239">
        <v>0</v>
      </c>
      <c r="AU15" s="239">
        <v>-1543205</v>
      </c>
      <c r="AV15" s="239">
        <v>624712</v>
      </c>
      <c r="AW15" s="239">
        <v>374827</v>
      </c>
      <c r="AX15" s="239">
        <v>249885</v>
      </c>
      <c r="AY15" s="239">
        <v>0</v>
      </c>
      <c r="AZ15" s="239">
        <v>1249424</v>
      </c>
      <c r="BA15" s="239">
        <v>-4400052</v>
      </c>
      <c r="BB15" s="239">
        <v>-2640032</v>
      </c>
      <c r="BC15" s="239">
        <v>-1760021</v>
      </c>
      <c r="BD15" s="239">
        <v>0</v>
      </c>
      <c r="BE15" s="239">
        <v>-8800105</v>
      </c>
      <c r="BF15" s="239">
        <v>0</v>
      </c>
      <c r="BG15" s="239">
        <v>0</v>
      </c>
      <c r="BH15" s="239">
        <v>0</v>
      </c>
      <c r="BI15" s="239">
        <v>0</v>
      </c>
      <c r="BJ15" s="239">
        <v>0</v>
      </c>
      <c r="BK15" s="239">
        <v>-736651</v>
      </c>
      <c r="BL15" s="239">
        <v>-441990</v>
      </c>
      <c r="BM15" s="239">
        <v>-294660</v>
      </c>
      <c r="BN15" s="239">
        <v>0</v>
      </c>
      <c r="BO15" s="239">
        <v>-1473301</v>
      </c>
      <c r="BP15" s="239">
        <v>-5136703</v>
      </c>
      <c r="BQ15" s="239">
        <v>-3082022</v>
      </c>
      <c r="BR15" s="239">
        <v>-2054681</v>
      </c>
      <c r="BS15" s="239">
        <v>0</v>
      </c>
      <c r="BT15" s="239">
        <v>-10273406</v>
      </c>
      <c r="BU15" s="239">
        <v>-7871867</v>
      </c>
      <c r="BV15" s="239">
        <v>-4723121</v>
      </c>
      <c r="BW15" s="239">
        <v>-3148747</v>
      </c>
      <c r="BX15" s="239">
        <v>0</v>
      </c>
      <c r="BY15" s="239">
        <v>-15743735</v>
      </c>
      <c r="BZ15" s="239">
        <v>-4213392</v>
      </c>
      <c r="CA15" s="239">
        <v>-2528036</v>
      </c>
      <c r="CB15" s="239">
        <v>-1685357</v>
      </c>
      <c r="CC15" s="239">
        <v>0</v>
      </c>
      <c r="CD15" s="239">
        <v>-8426785</v>
      </c>
      <c r="CE15" s="239">
        <v>-3658475</v>
      </c>
      <c r="CF15" s="239">
        <v>-2195085</v>
      </c>
      <c r="CG15" s="239">
        <v>-1463390</v>
      </c>
      <c r="CH15" s="239">
        <v>0</v>
      </c>
      <c r="CI15" s="239">
        <v>-7316950</v>
      </c>
      <c r="CJ15" s="239">
        <v>55536412</v>
      </c>
      <c r="CK15" s="239">
        <v>33321847</v>
      </c>
      <c r="CL15" s="239">
        <v>22214565</v>
      </c>
      <c r="CM15" s="239">
        <v>0</v>
      </c>
      <c r="CN15" s="239">
        <v>111072824</v>
      </c>
      <c r="CO15" s="239">
        <v>52423530</v>
      </c>
      <c r="CP15" s="239">
        <v>31454118</v>
      </c>
      <c r="CQ15" s="239">
        <v>20969412</v>
      </c>
      <c r="CR15" s="239">
        <v>0</v>
      </c>
      <c r="CS15" s="239">
        <v>104847060</v>
      </c>
      <c r="CT15" s="239">
        <v>-3112882</v>
      </c>
      <c r="CU15" s="239">
        <v>-1867729</v>
      </c>
      <c r="CV15" s="239">
        <v>-1245153</v>
      </c>
      <c r="CW15" s="239">
        <v>0</v>
      </c>
      <c r="CX15" s="239">
        <v>-6225764</v>
      </c>
      <c r="CY15" s="239">
        <v>-6771357</v>
      </c>
      <c r="CZ15" s="239">
        <v>-4062814</v>
      </c>
      <c r="DA15" s="239">
        <v>-2708543</v>
      </c>
      <c r="DB15" s="239">
        <v>0</v>
      </c>
      <c r="DC15" s="239">
        <v>-13542714</v>
      </c>
      <c r="DD15" s="214">
        <v>0.5</v>
      </c>
      <c r="DE15" s="214">
        <v>0.3</v>
      </c>
      <c r="DF15" s="214">
        <v>0.2</v>
      </c>
      <c r="DG15" s="214">
        <v>0</v>
      </c>
      <c r="DH15" s="214">
        <v>1</v>
      </c>
      <c r="DI15" s="214" t="s">
        <v>1295</v>
      </c>
    </row>
    <row r="16" spans="2:113" s="214" customFormat="1" x14ac:dyDescent="0.2">
      <c r="B16" s="610" t="s">
        <v>115</v>
      </c>
      <c r="C16" s="610" t="s">
        <v>114</v>
      </c>
      <c r="D16" s="239">
        <v>25324019</v>
      </c>
      <c r="E16" s="239">
        <v>24817538</v>
      </c>
      <c r="F16" s="239">
        <v>0</v>
      </c>
      <c r="G16" s="239">
        <v>506480</v>
      </c>
      <c r="H16" s="239">
        <v>50648037</v>
      </c>
      <c r="I16" s="239">
        <v>283047.44375000003</v>
      </c>
      <c r="J16" s="239">
        <v>283047.44375000003</v>
      </c>
      <c r="K16" s="239">
        <v>25040971.556249999</v>
      </c>
      <c r="L16" s="239">
        <v>270547</v>
      </c>
      <c r="M16" s="239">
        <v>270547</v>
      </c>
      <c r="N16" s="239">
        <v>222681</v>
      </c>
      <c r="O16" s="239">
        <v>222681</v>
      </c>
      <c r="P16" s="239">
        <v>16563</v>
      </c>
      <c r="Q16" s="239">
        <v>0</v>
      </c>
      <c r="R16" s="239">
        <v>16563</v>
      </c>
      <c r="S16" s="239">
        <v>283047.44375000003</v>
      </c>
      <c r="T16" s="239">
        <v>0</v>
      </c>
      <c r="U16" s="239">
        <v>0</v>
      </c>
      <c r="V16" s="239">
        <v>283047.44375000003</v>
      </c>
      <c r="W16" s="239">
        <v>1317142</v>
      </c>
      <c r="X16" s="239">
        <v>1290800</v>
      </c>
      <c r="Y16" s="239">
        <v>0</v>
      </c>
      <c r="Z16" s="239">
        <v>26343</v>
      </c>
      <c r="AA16" s="239">
        <v>2634285</v>
      </c>
      <c r="AB16" s="239">
        <v>-706221</v>
      </c>
      <c r="AC16" s="239">
        <v>-692097</v>
      </c>
      <c r="AD16" s="239">
        <v>0</v>
      </c>
      <c r="AE16" s="239">
        <v>-14124</v>
      </c>
      <c r="AF16" s="239">
        <v>-1412442</v>
      </c>
      <c r="AG16" s="239">
        <v>-913068</v>
      </c>
      <c r="AH16" s="239">
        <v>-894806</v>
      </c>
      <c r="AI16" s="239">
        <v>0</v>
      </c>
      <c r="AJ16" s="239">
        <v>-18261</v>
      </c>
      <c r="AK16" s="239">
        <v>-1826135</v>
      </c>
      <c r="AL16" s="239">
        <v>396115</v>
      </c>
      <c r="AM16" s="239">
        <v>388193</v>
      </c>
      <c r="AN16" s="239">
        <v>0</v>
      </c>
      <c r="AO16" s="239">
        <v>7922</v>
      </c>
      <c r="AP16" s="239">
        <v>792230</v>
      </c>
      <c r="AQ16" s="239">
        <v>-419116</v>
      </c>
      <c r="AR16" s="239">
        <v>-410734</v>
      </c>
      <c r="AS16" s="239">
        <v>0</v>
      </c>
      <c r="AT16" s="239">
        <v>-8382</v>
      </c>
      <c r="AU16" s="239">
        <v>-838232</v>
      </c>
      <c r="AV16" s="239">
        <v>-936069</v>
      </c>
      <c r="AW16" s="239">
        <v>-917347</v>
      </c>
      <c r="AX16" s="239">
        <v>0</v>
      </c>
      <c r="AY16" s="239">
        <v>-18721</v>
      </c>
      <c r="AZ16" s="239">
        <v>-1872137</v>
      </c>
      <c r="BA16" s="239">
        <v>-1092500</v>
      </c>
      <c r="BB16" s="239">
        <v>-1070650</v>
      </c>
      <c r="BC16" s="239">
        <v>0</v>
      </c>
      <c r="BD16" s="239">
        <v>-21850</v>
      </c>
      <c r="BE16" s="239">
        <v>-2185000</v>
      </c>
      <c r="BF16" s="239">
        <v>1050763</v>
      </c>
      <c r="BG16" s="239">
        <v>1029747</v>
      </c>
      <c r="BH16" s="239">
        <v>0</v>
      </c>
      <c r="BI16" s="239">
        <v>21015</v>
      </c>
      <c r="BJ16" s="239">
        <v>2101525</v>
      </c>
      <c r="BK16" s="239">
        <v>-1571063</v>
      </c>
      <c r="BL16" s="239">
        <v>-1539641</v>
      </c>
      <c r="BM16" s="239">
        <v>0</v>
      </c>
      <c r="BN16" s="239">
        <v>-31421</v>
      </c>
      <c r="BO16" s="239">
        <v>-3142125</v>
      </c>
      <c r="BP16" s="239">
        <v>-1612800</v>
      </c>
      <c r="BQ16" s="239">
        <v>-1580544</v>
      </c>
      <c r="BR16" s="239">
        <v>0</v>
      </c>
      <c r="BS16" s="239">
        <v>-32256</v>
      </c>
      <c r="BT16" s="239">
        <v>-3225600</v>
      </c>
      <c r="BU16" s="239">
        <v>99033</v>
      </c>
      <c r="BV16" s="239">
        <v>97052</v>
      </c>
      <c r="BW16" s="239">
        <v>0</v>
      </c>
      <c r="BX16" s="239">
        <v>1981</v>
      </c>
      <c r="BY16" s="239">
        <v>198066</v>
      </c>
      <c r="BZ16" s="239">
        <v>99033</v>
      </c>
      <c r="CA16" s="239">
        <v>97052</v>
      </c>
      <c r="CB16" s="239">
        <v>0</v>
      </c>
      <c r="CC16" s="239">
        <v>1981</v>
      </c>
      <c r="CD16" s="239">
        <v>198066</v>
      </c>
      <c r="CE16" s="239">
        <v>0</v>
      </c>
      <c r="CF16" s="239">
        <v>0</v>
      </c>
      <c r="CG16" s="239">
        <v>0</v>
      </c>
      <c r="CH16" s="239">
        <v>0</v>
      </c>
      <c r="CI16" s="239">
        <v>0</v>
      </c>
      <c r="CJ16" s="239">
        <v>25138339</v>
      </c>
      <c r="CK16" s="239">
        <v>24635572</v>
      </c>
      <c r="CL16" s="239">
        <v>0</v>
      </c>
      <c r="CM16" s="239">
        <v>502767</v>
      </c>
      <c r="CN16" s="239">
        <v>50276678</v>
      </c>
      <c r="CO16" s="239">
        <v>25324019</v>
      </c>
      <c r="CP16" s="239">
        <v>24817538</v>
      </c>
      <c r="CQ16" s="239">
        <v>0</v>
      </c>
      <c r="CR16" s="239">
        <v>506480</v>
      </c>
      <c r="CS16" s="239">
        <v>50648037</v>
      </c>
      <c r="CT16" s="239">
        <v>185680</v>
      </c>
      <c r="CU16" s="239">
        <v>181966</v>
      </c>
      <c r="CV16" s="239">
        <v>0</v>
      </c>
      <c r="CW16" s="239">
        <v>3713</v>
      </c>
      <c r="CX16" s="239">
        <v>371359</v>
      </c>
      <c r="CY16" s="239">
        <v>185680</v>
      </c>
      <c r="CZ16" s="239">
        <v>181966</v>
      </c>
      <c r="DA16" s="239">
        <v>0</v>
      </c>
      <c r="DB16" s="239">
        <v>3713</v>
      </c>
      <c r="DC16" s="239">
        <v>371359</v>
      </c>
      <c r="DD16" s="214">
        <v>0.5</v>
      </c>
      <c r="DE16" s="214">
        <v>0.49</v>
      </c>
      <c r="DF16" s="214">
        <v>0</v>
      </c>
      <c r="DG16" s="214">
        <v>0.01</v>
      </c>
      <c r="DH16" s="214">
        <v>1</v>
      </c>
      <c r="DI16" s="214" t="s">
        <v>1296</v>
      </c>
    </row>
    <row r="17" spans="2:113" s="214" customFormat="1" x14ac:dyDescent="0.2">
      <c r="B17" s="610" t="s">
        <v>117</v>
      </c>
      <c r="C17" s="610" t="s">
        <v>116</v>
      </c>
      <c r="D17" s="239">
        <v>10953903</v>
      </c>
      <c r="E17" s="239">
        <v>8763122</v>
      </c>
      <c r="F17" s="239">
        <v>2190781</v>
      </c>
      <c r="G17" s="239">
        <v>0</v>
      </c>
      <c r="H17" s="239">
        <v>21907806</v>
      </c>
      <c r="I17" s="239">
        <v>0</v>
      </c>
      <c r="J17" s="239">
        <v>0</v>
      </c>
      <c r="K17" s="239">
        <v>10953903</v>
      </c>
      <c r="L17" s="239">
        <v>96916</v>
      </c>
      <c r="M17" s="239">
        <v>96916</v>
      </c>
      <c r="N17" s="239">
        <v>0</v>
      </c>
      <c r="O17" s="239">
        <v>0</v>
      </c>
      <c r="P17" s="239">
        <v>43067</v>
      </c>
      <c r="Q17" s="239">
        <v>0</v>
      </c>
      <c r="R17" s="239">
        <v>43067</v>
      </c>
      <c r="S17" s="239">
        <v>0</v>
      </c>
      <c r="T17" s="239">
        <v>0</v>
      </c>
      <c r="U17" s="239">
        <v>0</v>
      </c>
      <c r="V17" s="239">
        <v>0</v>
      </c>
      <c r="W17" s="239">
        <v>592709</v>
      </c>
      <c r="X17" s="239">
        <v>474167</v>
      </c>
      <c r="Y17" s="239">
        <v>118542</v>
      </c>
      <c r="Z17" s="239">
        <v>0</v>
      </c>
      <c r="AA17" s="239">
        <v>1185418</v>
      </c>
      <c r="AB17" s="239">
        <v>-457486</v>
      </c>
      <c r="AC17" s="239">
        <v>-365989</v>
      </c>
      <c r="AD17" s="239">
        <v>-91497</v>
      </c>
      <c r="AE17" s="239">
        <v>0</v>
      </c>
      <c r="AF17" s="239">
        <v>-914972</v>
      </c>
      <c r="AG17" s="239">
        <v>-518321</v>
      </c>
      <c r="AH17" s="239">
        <v>-414655</v>
      </c>
      <c r="AI17" s="239">
        <v>-103664</v>
      </c>
      <c r="AJ17" s="239">
        <v>0</v>
      </c>
      <c r="AK17" s="239">
        <v>-1036640</v>
      </c>
      <c r="AL17" s="239">
        <v>32791</v>
      </c>
      <c r="AM17" s="239">
        <v>26233</v>
      </c>
      <c r="AN17" s="239">
        <v>6558</v>
      </c>
      <c r="AO17" s="239">
        <v>0</v>
      </c>
      <c r="AP17" s="239">
        <v>65582</v>
      </c>
      <c r="AQ17" s="239">
        <v>-24256</v>
      </c>
      <c r="AR17" s="239">
        <v>-19405</v>
      </c>
      <c r="AS17" s="239">
        <v>-4851</v>
      </c>
      <c r="AT17" s="239">
        <v>0</v>
      </c>
      <c r="AU17" s="239">
        <v>-48512</v>
      </c>
      <c r="AV17" s="239">
        <v>-509786</v>
      </c>
      <c r="AW17" s="239">
        <v>-407827</v>
      </c>
      <c r="AX17" s="239">
        <v>-101957</v>
      </c>
      <c r="AY17" s="239">
        <v>0</v>
      </c>
      <c r="AZ17" s="239">
        <v>-1019570</v>
      </c>
      <c r="BA17" s="239">
        <v>-503084</v>
      </c>
      <c r="BB17" s="239">
        <v>-402467</v>
      </c>
      <c r="BC17" s="239">
        <v>-100618</v>
      </c>
      <c r="BD17" s="239">
        <v>0</v>
      </c>
      <c r="BE17" s="239">
        <v>-1006169</v>
      </c>
      <c r="BF17" s="239">
        <v>98971</v>
      </c>
      <c r="BG17" s="239">
        <v>79176</v>
      </c>
      <c r="BH17" s="239">
        <v>19794</v>
      </c>
      <c r="BI17" s="239">
        <v>0</v>
      </c>
      <c r="BJ17" s="239">
        <v>197941</v>
      </c>
      <c r="BK17" s="239">
        <v>-289162</v>
      </c>
      <c r="BL17" s="239">
        <v>-231329</v>
      </c>
      <c r="BM17" s="239">
        <v>-57832</v>
      </c>
      <c r="BN17" s="239">
        <v>0</v>
      </c>
      <c r="BO17" s="239">
        <v>-578323</v>
      </c>
      <c r="BP17" s="239">
        <v>-693275</v>
      </c>
      <c r="BQ17" s="239">
        <v>-554620</v>
      </c>
      <c r="BR17" s="239">
        <v>-138656</v>
      </c>
      <c r="BS17" s="239">
        <v>0</v>
      </c>
      <c r="BT17" s="239">
        <v>-1386551</v>
      </c>
      <c r="BU17" s="239">
        <v>-286710</v>
      </c>
      <c r="BV17" s="239">
        <v>-229368</v>
      </c>
      <c r="BW17" s="239">
        <v>-57342</v>
      </c>
      <c r="BX17" s="239">
        <v>0</v>
      </c>
      <c r="BY17" s="239">
        <v>-573420</v>
      </c>
      <c r="BZ17" s="239">
        <v>171383</v>
      </c>
      <c r="CA17" s="239">
        <v>137107</v>
      </c>
      <c r="CB17" s="239">
        <v>34277</v>
      </c>
      <c r="CC17" s="239">
        <v>0</v>
      </c>
      <c r="CD17" s="239">
        <v>342767</v>
      </c>
      <c r="CE17" s="239">
        <v>-458093</v>
      </c>
      <c r="CF17" s="239">
        <v>-366475</v>
      </c>
      <c r="CG17" s="239">
        <v>-91619</v>
      </c>
      <c r="CH17" s="239">
        <v>0</v>
      </c>
      <c r="CI17" s="239">
        <v>-916187</v>
      </c>
      <c r="CJ17" s="239">
        <v>12122249</v>
      </c>
      <c r="CK17" s="239">
        <v>9697799</v>
      </c>
      <c r="CL17" s="239">
        <v>2424450</v>
      </c>
      <c r="CM17" s="239">
        <v>0</v>
      </c>
      <c r="CN17" s="239">
        <v>24244498</v>
      </c>
      <c r="CO17" s="239">
        <v>10953903</v>
      </c>
      <c r="CP17" s="239">
        <v>8763122</v>
      </c>
      <c r="CQ17" s="239">
        <v>2190781</v>
      </c>
      <c r="CR17" s="239">
        <v>0</v>
      </c>
      <c r="CS17" s="239">
        <v>21907806</v>
      </c>
      <c r="CT17" s="239">
        <v>-1168346</v>
      </c>
      <c r="CU17" s="239">
        <v>-934677</v>
      </c>
      <c r="CV17" s="239">
        <v>-233669</v>
      </c>
      <c r="CW17" s="239">
        <v>0</v>
      </c>
      <c r="CX17" s="239">
        <v>-2336692</v>
      </c>
      <c r="CY17" s="239">
        <v>-1626439</v>
      </c>
      <c r="CZ17" s="239">
        <v>-1301152</v>
      </c>
      <c r="DA17" s="239">
        <v>-325288</v>
      </c>
      <c r="DB17" s="239">
        <v>0</v>
      </c>
      <c r="DC17" s="239">
        <v>-3252879</v>
      </c>
      <c r="DD17" s="214">
        <v>0.5</v>
      </c>
      <c r="DE17" s="214">
        <v>0.4</v>
      </c>
      <c r="DF17" s="214">
        <v>0.1</v>
      </c>
      <c r="DG17" s="214">
        <v>0</v>
      </c>
      <c r="DH17" s="214">
        <v>1</v>
      </c>
      <c r="DI17" s="214" t="s">
        <v>1294</v>
      </c>
    </row>
    <row r="18" spans="2:113" s="214" customFormat="1" x14ac:dyDescent="0.2">
      <c r="B18" s="610" t="s">
        <v>119</v>
      </c>
      <c r="C18" s="610" t="s">
        <v>118</v>
      </c>
      <c r="D18" s="239">
        <v>38277031</v>
      </c>
      <c r="E18" s="239">
        <v>30621624</v>
      </c>
      <c r="F18" s="239">
        <v>6889865</v>
      </c>
      <c r="G18" s="239">
        <v>765541</v>
      </c>
      <c r="H18" s="239">
        <v>76554061</v>
      </c>
      <c r="I18" s="239">
        <v>0</v>
      </c>
      <c r="J18" s="239">
        <v>0</v>
      </c>
      <c r="K18" s="239">
        <v>38277031</v>
      </c>
      <c r="L18" s="239">
        <v>233738</v>
      </c>
      <c r="M18" s="239">
        <v>233738</v>
      </c>
      <c r="N18" s="239">
        <v>0</v>
      </c>
      <c r="O18" s="239">
        <v>0</v>
      </c>
      <c r="P18" s="239">
        <v>54</v>
      </c>
      <c r="Q18" s="239">
        <v>0</v>
      </c>
      <c r="R18" s="239">
        <v>54</v>
      </c>
      <c r="S18" s="239">
        <v>0</v>
      </c>
      <c r="T18" s="239">
        <v>0</v>
      </c>
      <c r="U18" s="239">
        <v>0</v>
      </c>
      <c r="V18" s="239">
        <v>0</v>
      </c>
      <c r="W18" s="239">
        <v>983191</v>
      </c>
      <c r="X18" s="239">
        <v>786552</v>
      </c>
      <c r="Y18" s="239">
        <v>176974</v>
      </c>
      <c r="Z18" s="239">
        <v>19664</v>
      </c>
      <c r="AA18" s="239">
        <v>1966381</v>
      </c>
      <c r="AB18" s="239">
        <v>-880252</v>
      </c>
      <c r="AC18" s="239">
        <v>-704202</v>
      </c>
      <c r="AD18" s="239">
        <v>-158445</v>
      </c>
      <c r="AE18" s="239">
        <v>-17605</v>
      </c>
      <c r="AF18" s="239">
        <v>-1760504</v>
      </c>
      <c r="AG18" s="239">
        <v>-444500</v>
      </c>
      <c r="AH18" s="239">
        <v>-355600</v>
      </c>
      <c r="AI18" s="239">
        <v>-80010</v>
      </c>
      <c r="AJ18" s="239">
        <v>-8890</v>
      </c>
      <c r="AK18" s="239">
        <v>-889000</v>
      </c>
      <c r="AL18" s="239">
        <v>110754</v>
      </c>
      <c r="AM18" s="239">
        <v>88603</v>
      </c>
      <c r="AN18" s="239">
        <v>19936</v>
      </c>
      <c r="AO18" s="239">
        <v>2215</v>
      </c>
      <c r="AP18" s="239">
        <v>221508</v>
      </c>
      <c r="AQ18" s="239">
        <v>-161104</v>
      </c>
      <c r="AR18" s="239">
        <v>-128883</v>
      </c>
      <c r="AS18" s="239">
        <v>-28999</v>
      </c>
      <c r="AT18" s="239">
        <v>-3222</v>
      </c>
      <c r="AU18" s="239">
        <v>-322208</v>
      </c>
      <c r="AV18" s="239">
        <v>-494850</v>
      </c>
      <c r="AW18" s="239">
        <v>-395880</v>
      </c>
      <c r="AX18" s="239">
        <v>-89073</v>
      </c>
      <c r="AY18" s="239">
        <v>-9897</v>
      </c>
      <c r="AZ18" s="239">
        <v>-989700</v>
      </c>
      <c r="BA18" s="239">
        <v>-6650000</v>
      </c>
      <c r="BB18" s="239">
        <v>-5320000</v>
      </c>
      <c r="BC18" s="239">
        <v>-1197000</v>
      </c>
      <c r="BD18" s="239">
        <v>-133000</v>
      </c>
      <c r="BE18" s="239">
        <v>-13300000</v>
      </c>
      <c r="BF18" s="239">
        <v>1761442</v>
      </c>
      <c r="BG18" s="239">
        <v>1409153</v>
      </c>
      <c r="BH18" s="239">
        <v>317059</v>
      </c>
      <c r="BI18" s="239">
        <v>35229</v>
      </c>
      <c r="BJ18" s="239">
        <v>3522883</v>
      </c>
      <c r="BK18" s="239">
        <v>-3486442</v>
      </c>
      <c r="BL18" s="239">
        <v>-2789153</v>
      </c>
      <c r="BM18" s="239">
        <v>-627559</v>
      </c>
      <c r="BN18" s="239">
        <v>-69729</v>
      </c>
      <c r="BO18" s="239">
        <v>-6972883</v>
      </c>
      <c r="BP18" s="239">
        <v>-8375000</v>
      </c>
      <c r="BQ18" s="239">
        <v>-6700000</v>
      </c>
      <c r="BR18" s="239">
        <v>-1507500</v>
      </c>
      <c r="BS18" s="239">
        <v>-167500</v>
      </c>
      <c r="BT18" s="239">
        <v>-16750000</v>
      </c>
      <c r="BU18" s="239">
        <v>-1038676</v>
      </c>
      <c r="BV18" s="239">
        <v>-830942</v>
      </c>
      <c r="BW18" s="239">
        <v>-186962</v>
      </c>
      <c r="BX18" s="239">
        <v>-20774</v>
      </c>
      <c r="BY18" s="239">
        <v>-2077354</v>
      </c>
      <c r="BZ18" s="239">
        <v>2327814</v>
      </c>
      <c r="CA18" s="239">
        <v>1862250</v>
      </c>
      <c r="CB18" s="239">
        <v>419006</v>
      </c>
      <c r="CC18" s="239">
        <v>46556</v>
      </c>
      <c r="CD18" s="239">
        <v>4655626</v>
      </c>
      <c r="CE18" s="239">
        <v>-3366490</v>
      </c>
      <c r="CF18" s="239">
        <v>-2693192</v>
      </c>
      <c r="CG18" s="239">
        <v>-605968</v>
      </c>
      <c r="CH18" s="239">
        <v>-67330</v>
      </c>
      <c r="CI18" s="239">
        <v>-6732980</v>
      </c>
      <c r="CJ18" s="239">
        <v>40632925</v>
      </c>
      <c r="CK18" s="239">
        <v>32506341</v>
      </c>
      <c r="CL18" s="239">
        <v>7313927</v>
      </c>
      <c r="CM18" s="239">
        <v>812659</v>
      </c>
      <c r="CN18" s="239">
        <v>81265852</v>
      </c>
      <c r="CO18" s="239">
        <v>38277031</v>
      </c>
      <c r="CP18" s="239">
        <v>30621624</v>
      </c>
      <c r="CQ18" s="239">
        <v>6889865</v>
      </c>
      <c r="CR18" s="239">
        <v>765541</v>
      </c>
      <c r="CS18" s="239">
        <v>76554061</v>
      </c>
      <c r="CT18" s="239">
        <v>-2355894</v>
      </c>
      <c r="CU18" s="239">
        <v>-1884717</v>
      </c>
      <c r="CV18" s="239">
        <v>-424062</v>
      </c>
      <c r="CW18" s="239">
        <v>-47118</v>
      </c>
      <c r="CX18" s="239">
        <v>-4711791</v>
      </c>
      <c r="CY18" s="239">
        <v>-5722384</v>
      </c>
      <c r="CZ18" s="239">
        <v>-4577909</v>
      </c>
      <c r="DA18" s="239">
        <v>-1030030</v>
      </c>
      <c r="DB18" s="239">
        <v>-114448</v>
      </c>
      <c r="DC18" s="239">
        <v>-11444771</v>
      </c>
      <c r="DD18" s="214">
        <v>0.5</v>
      </c>
      <c r="DE18" s="214">
        <v>0.4</v>
      </c>
      <c r="DF18" s="214">
        <v>0.09</v>
      </c>
      <c r="DG18" s="214">
        <v>0.01</v>
      </c>
      <c r="DH18" s="214">
        <v>1</v>
      </c>
      <c r="DI18" s="214" t="s">
        <v>1294</v>
      </c>
    </row>
    <row r="19" spans="2:113" s="214" customFormat="1" x14ac:dyDescent="0.2">
      <c r="B19" s="610" t="s">
        <v>121</v>
      </c>
      <c r="C19" s="610" t="s">
        <v>120</v>
      </c>
      <c r="D19" s="239">
        <v>36475697</v>
      </c>
      <c r="E19" s="239">
        <v>29180558</v>
      </c>
      <c r="F19" s="239">
        <v>6565626</v>
      </c>
      <c r="G19" s="239">
        <v>729514</v>
      </c>
      <c r="H19" s="239">
        <v>72951395</v>
      </c>
      <c r="I19" s="239">
        <v>0</v>
      </c>
      <c r="J19" s="239">
        <v>0</v>
      </c>
      <c r="K19" s="239">
        <v>36475697</v>
      </c>
      <c r="L19" s="239">
        <v>204740</v>
      </c>
      <c r="M19" s="239">
        <v>204740</v>
      </c>
      <c r="N19" s="239">
        <v>0</v>
      </c>
      <c r="O19" s="239">
        <v>0</v>
      </c>
      <c r="P19" s="239">
        <v>68794</v>
      </c>
      <c r="Q19" s="239">
        <v>202049</v>
      </c>
      <c r="R19" s="239">
        <v>270843</v>
      </c>
      <c r="S19" s="239">
        <v>0</v>
      </c>
      <c r="T19" s="239">
        <v>0</v>
      </c>
      <c r="U19" s="239">
        <v>0</v>
      </c>
      <c r="V19" s="239">
        <v>0</v>
      </c>
      <c r="W19" s="239">
        <v>988961</v>
      </c>
      <c r="X19" s="239">
        <v>791168</v>
      </c>
      <c r="Y19" s="239">
        <v>178013</v>
      </c>
      <c r="Z19" s="239">
        <v>19779</v>
      </c>
      <c r="AA19" s="239">
        <v>1977921</v>
      </c>
      <c r="AB19" s="239">
        <v>-659031</v>
      </c>
      <c r="AC19" s="239">
        <v>-527225</v>
      </c>
      <c r="AD19" s="239">
        <v>-118626</v>
      </c>
      <c r="AE19" s="239">
        <v>-13181</v>
      </c>
      <c r="AF19" s="239">
        <v>-1318063</v>
      </c>
      <c r="AG19" s="239">
        <v>-250000</v>
      </c>
      <c r="AH19" s="239">
        <v>-200000</v>
      </c>
      <c r="AI19" s="239">
        <v>-45000</v>
      </c>
      <c r="AJ19" s="239">
        <v>-5000</v>
      </c>
      <c r="AK19" s="239">
        <v>-500000</v>
      </c>
      <c r="AL19" s="239">
        <v>157108</v>
      </c>
      <c r="AM19" s="239">
        <v>125687</v>
      </c>
      <c r="AN19" s="239">
        <v>28280</v>
      </c>
      <c r="AO19" s="239">
        <v>3142</v>
      </c>
      <c r="AP19" s="239">
        <v>314217</v>
      </c>
      <c r="AQ19" s="239">
        <v>-169609</v>
      </c>
      <c r="AR19" s="239">
        <v>-135687</v>
      </c>
      <c r="AS19" s="239">
        <v>-30530</v>
      </c>
      <c r="AT19" s="239">
        <v>-3392</v>
      </c>
      <c r="AU19" s="239">
        <v>-339218</v>
      </c>
      <c r="AV19" s="239">
        <v>-262501</v>
      </c>
      <c r="AW19" s="239">
        <v>-210000</v>
      </c>
      <c r="AX19" s="239">
        <v>-47250</v>
      </c>
      <c r="AY19" s="239">
        <v>-5250</v>
      </c>
      <c r="AZ19" s="239">
        <v>-525001</v>
      </c>
      <c r="BA19" s="239">
        <v>-3350000</v>
      </c>
      <c r="BB19" s="239">
        <v>-2680000</v>
      </c>
      <c r="BC19" s="239">
        <v>-603000</v>
      </c>
      <c r="BD19" s="239">
        <v>-67000</v>
      </c>
      <c r="BE19" s="239">
        <v>-6700000</v>
      </c>
      <c r="BF19" s="239">
        <v>1602098</v>
      </c>
      <c r="BG19" s="239">
        <v>1281679</v>
      </c>
      <c r="BH19" s="239">
        <v>288378</v>
      </c>
      <c r="BI19" s="239">
        <v>32042</v>
      </c>
      <c r="BJ19" s="239">
        <v>3204197</v>
      </c>
      <c r="BK19" s="239">
        <v>-1752098</v>
      </c>
      <c r="BL19" s="239">
        <v>-1401679</v>
      </c>
      <c r="BM19" s="239">
        <v>-315378</v>
      </c>
      <c r="BN19" s="239">
        <v>-35042</v>
      </c>
      <c r="BO19" s="239">
        <v>-3504197</v>
      </c>
      <c r="BP19" s="239">
        <v>-3500000</v>
      </c>
      <c r="BQ19" s="239">
        <v>-2800000</v>
      </c>
      <c r="BR19" s="239">
        <v>-630000</v>
      </c>
      <c r="BS19" s="239">
        <v>-70000</v>
      </c>
      <c r="BT19" s="239">
        <v>-7000000</v>
      </c>
      <c r="BU19" s="239">
        <v>-1261836</v>
      </c>
      <c r="BV19" s="239">
        <v>-1009470</v>
      </c>
      <c r="BW19" s="239">
        <v>-227131</v>
      </c>
      <c r="BX19" s="239">
        <v>-25237</v>
      </c>
      <c r="BY19" s="239">
        <v>-2523674</v>
      </c>
      <c r="BZ19" s="239">
        <v>-231164</v>
      </c>
      <c r="CA19" s="239">
        <v>-184932</v>
      </c>
      <c r="CB19" s="239">
        <v>-41610</v>
      </c>
      <c r="CC19" s="239">
        <v>-4623</v>
      </c>
      <c r="CD19" s="239">
        <v>-462329</v>
      </c>
      <c r="CE19" s="239">
        <v>-1030672</v>
      </c>
      <c r="CF19" s="239">
        <v>-824538</v>
      </c>
      <c r="CG19" s="239">
        <v>-185521</v>
      </c>
      <c r="CH19" s="239">
        <v>-20614</v>
      </c>
      <c r="CI19" s="239">
        <v>-2061345</v>
      </c>
      <c r="CJ19" s="239">
        <v>37397997</v>
      </c>
      <c r="CK19" s="239">
        <v>29918398</v>
      </c>
      <c r="CL19" s="239">
        <v>6731639</v>
      </c>
      <c r="CM19" s="239">
        <v>747960</v>
      </c>
      <c r="CN19" s="239">
        <v>74795994</v>
      </c>
      <c r="CO19" s="239">
        <v>36475697</v>
      </c>
      <c r="CP19" s="239">
        <v>29180558</v>
      </c>
      <c r="CQ19" s="239">
        <v>6565626</v>
      </c>
      <c r="CR19" s="239">
        <v>729514</v>
      </c>
      <c r="CS19" s="239">
        <v>72951395</v>
      </c>
      <c r="CT19" s="239">
        <v>-922300</v>
      </c>
      <c r="CU19" s="239">
        <v>-737840</v>
      </c>
      <c r="CV19" s="239">
        <v>-166013</v>
      </c>
      <c r="CW19" s="239">
        <v>-18446</v>
      </c>
      <c r="CX19" s="239">
        <v>-1844599</v>
      </c>
      <c r="CY19" s="239">
        <v>-1952972</v>
      </c>
      <c r="CZ19" s="239">
        <v>-1562378</v>
      </c>
      <c r="DA19" s="239">
        <v>-351534</v>
      </c>
      <c r="DB19" s="239">
        <v>-39060</v>
      </c>
      <c r="DC19" s="239">
        <v>-3905944</v>
      </c>
      <c r="DD19" s="214">
        <v>0.5</v>
      </c>
      <c r="DE19" s="214">
        <v>0.4</v>
      </c>
      <c r="DF19" s="214">
        <v>0.09</v>
      </c>
      <c r="DG19" s="214">
        <v>0.01</v>
      </c>
      <c r="DH19" s="214">
        <v>1</v>
      </c>
      <c r="DI19" s="214" t="s">
        <v>1294</v>
      </c>
    </row>
    <row r="20" spans="2:113" s="214" customFormat="1" x14ac:dyDescent="0.2">
      <c r="B20" s="610" t="s">
        <v>123</v>
      </c>
      <c r="C20" s="610" t="s">
        <v>122</v>
      </c>
      <c r="D20" s="239">
        <v>23219034</v>
      </c>
      <c r="E20" s="239">
        <v>18575227</v>
      </c>
      <c r="F20" s="239">
        <v>4179426</v>
      </c>
      <c r="G20" s="239">
        <v>464381</v>
      </c>
      <c r="H20" s="239">
        <v>46438068</v>
      </c>
      <c r="I20" s="239">
        <v>0</v>
      </c>
      <c r="J20" s="239">
        <v>0</v>
      </c>
      <c r="K20" s="239">
        <v>23219034</v>
      </c>
      <c r="L20" s="239">
        <v>172206</v>
      </c>
      <c r="M20" s="239">
        <v>172206</v>
      </c>
      <c r="N20" s="239">
        <v>0</v>
      </c>
      <c r="O20" s="239">
        <v>0</v>
      </c>
      <c r="P20" s="239">
        <v>541112</v>
      </c>
      <c r="Q20" s="239">
        <v>0</v>
      </c>
      <c r="R20" s="239">
        <v>541112</v>
      </c>
      <c r="S20" s="239">
        <v>0</v>
      </c>
      <c r="T20" s="239">
        <v>0</v>
      </c>
      <c r="U20" s="239">
        <v>0</v>
      </c>
      <c r="V20" s="239">
        <v>0</v>
      </c>
      <c r="W20" s="239">
        <v>1072469</v>
      </c>
      <c r="X20" s="239">
        <v>857974</v>
      </c>
      <c r="Y20" s="239">
        <v>193044</v>
      </c>
      <c r="Z20" s="239">
        <v>21449</v>
      </c>
      <c r="AA20" s="239">
        <v>2144936</v>
      </c>
      <c r="AB20" s="239">
        <v>-609522</v>
      </c>
      <c r="AC20" s="239">
        <v>-487617</v>
      </c>
      <c r="AD20" s="239">
        <v>-109714</v>
      </c>
      <c r="AE20" s="239">
        <v>-12190</v>
      </c>
      <c r="AF20" s="239">
        <v>-1219043</v>
      </c>
      <c r="AG20" s="239">
        <v>-430550</v>
      </c>
      <c r="AH20" s="239">
        <v>-344440</v>
      </c>
      <c r="AI20" s="239">
        <v>-77499</v>
      </c>
      <c r="AJ20" s="239">
        <v>-8611</v>
      </c>
      <c r="AK20" s="239">
        <v>-861100</v>
      </c>
      <c r="AL20" s="239">
        <v>346886</v>
      </c>
      <c r="AM20" s="239">
        <v>277510</v>
      </c>
      <c r="AN20" s="239">
        <v>62440</v>
      </c>
      <c r="AO20" s="239">
        <v>6938</v>
      </c>
      <c r="AP20" s="239">
        <v>693774</v>
      </c>
      <c r="AQ20" s="239">
        <v>-316745</v>
      </c>
      <c r="AR20" s="239">
        <v>-253396</v>
      </c>
      <c r="AS20" s="239">
        <v>-57014</v>
      </c>
      <c r="AT20" s="239">
        <v>-6335</v>
      </c>
      <c r="AU20" s="239">
        <v>-633490</v>
      </c>
      <c r="AV20" s="239">
        <v>-400409</v>
      </c>
      <c r="AW20" s="239">
        <v>-320326</v>
      </c>
      <c r="AX20" s="239">
        <v>-72073</v>
      </c>
      <c r="AY20" s="239">
        <v>-8008</v>
      </c>
      <c r="AZ20" s="239">
        <v>-800816</v>
      </c>
      <c r="BA20" s="239">
        <v>-2130448</v>
      </c>
      <c r="BB20" s="239">
        <v>-1704358</v>
      </c>
      <c r="BC20" s="239">
        <v>-383481</v>
      </c>
      <c r="BD20" s="239">
        <v>-42609</v>
      </c>
      <c r="BE20" s="239">
        <v>-4260896</v>
      </c>
      <c r="BF20" s="239">
        <v>615991</v>
      </c>
      <c r="BG20" s="239">
        <v>492793</v>
      </c>
      <c r="BH20" s="239">
        <v>110878</v>
      </c>
      <c r="BI20" s="239">
        <v>12320</v>
      </c>
      <c r="BJ20" s="239">
        <v>1231982</v>
      </c>
      <c r="BK20" s="239">
        <v>-3422290</v>
      </c>
      <c r="BL20" s="239">
        <v>-2737832</v>
      </c>
      <c r="BM20" s="239">
        <v>-616012</v>
      </c>
      <c r="BN20" s="239">
        <v>-68446</v>
      </c>
      <c r="BO20" s="239">
        <v>-6844580</v>
      </c>
      <c r="BP20" s="239">
        <v>-4936747</v>
      </c>
      <c r="BQ20" s="239">
        <v>-3949397</v>
      </c>
      <c r="BR20" s="239">
        <v>-888615</v>
      </c>
      <c r="BS20" s="239">
        <v>-98735</v>
      </c>
      <c r="BT20" s="239">
        <v>-9873494</v>
      </c>
      <c r="BU20" s="239">
        <v>3321307</v>
      </c>
      <c r="BV20" s="239">
        <v>2657046</v>
      </c>
      <c r="BW20" s="239">
        <v>597835</v>
      </c>
      <c r="BX20" s="239">
        <v>66426</v>
      </c>
      <c r="BY20" s="239">
        <v>6642614</v>
      </c>
      <c r="BZ20" s="239">
        <v>915461</v>
      </c>
      <c r="CA20" s="239">
        <v>732368</v>
      </c>
      <c r="CB20" s="239">
        <v>164783</v>
      </c>
      <c r="CC20" s="239">
        <v>18309</v>
      </c>
      <c r="CD20" s="239">
        <v>1830921</v>
      </c>
      <c r="CE20" s="239">
        <v>2405846</v>
      </c>
      <c r="CF20" s="239">
        <v>1924678</v>
      </c>
      <c r="CG20" s="239">
        <v>433052</v>
      </c>
      <c r="CH20" s="239">
        <v>48117</v>
      </c>
      <c r="CI20" s="239">
        <v>4811693</v>
      </c>
      <c r="CJ20" s="239">
        <v>23928547</v>
      </c>
      <c r="CK20" s="239">
        <v>19142837</v>
      </c>
      <c r="CL20" s="239">
        <v>4307138</v>
      </c>
      <c r="CM20" s="239">
        <v>478571</v>
      </c>
      <c r="CN20" s="239">
        <v>47857093</v>
      </c>
      <c r="CO20" s="239">
        <v>23219034</v>
      </c>
      <c r="CP20" s="239">
        <v>18575227</v>
      </c>
      <c r="CQ20" s="239">
        <v>4179426</v>
      </c>
      <c r="CR20" s="239">
        <v>464381</v>
      </c>
      <c r="CS20" s="239">
        <v>46438068</v>
      </c>
      <c r="CT20" s="239">
        <v>-709513</v>
      </c>
      <c r="CU20" s="239">
        <v>-567610</v>
      </c>
      <c r="CV20" s="239">
        <v>-127712</v>
      </c>
      <c r="CW20" s="239">
        <v>-14190</v>
      </c>
      <c r="CX20" s="239">
        <v>-1419025</v>
      </c>
      <c r="CY20" s="239">
        <v>1696333</v>
      </c>
      <c r="CZ20" s="239">
        <v>1357068</v>
      </c>
      <c r="DA20" s="239">
        <v>305340</v>
      </c>
      <c r="DB20" s="239">
        <v>33927</v>
      </c>
      <c r="DC20" s="239">
        <v>3392668</v>
      </c>
      <c r="DD20" s="214">
        <v>0.5</v>
      </c>
      <c r="DE20" s="214">
        <v>0.4</v>
      </c>
      <c r="DF20" s="214">
        <v>0.09</v>
      </c>
      <c r="DG20" s="214">
        <v>0.01</v>
      </c>
      <c r="DH20" s="214">
        <v>1</v>
      </c>
      <c r="DI20" s="214" t="s">
        <v>1294</v>
      </c>
    </row>
    <row r="21" spans="2:113" s="214" customFormat="1" x14ac:dyDescent="0.2">
      <c r="B21" s="610" t="s">
        <v>125</v>
      </c>
      <c r="C21" s="610" t="s">
        <v>124</v>
      </c>
      <c r="D21" s="239">
        <v>30770047</v>
      </c>
      <c r="E21" s="239">
        <v>30154646</v>
      </c>
      <c r="F21" s="239">
        <v>0</v>
      </c>
      <c r="G21" s="239">
        <v>615401</v>
      </c>
      <c r="H21" s="239">
        <v>61540094</v>
      </c>
      <c r="I21" s="239">
        <v>0</v>
      </c>
      <c r="J21" s="239">
        <v>0</v>
      </c>
      <c r="K21" s="239">
        <v>30770047</v>
      </c>
      <c r="L21" s="239">
        <v>260297</v>
      </c>
      <c r="M21" s="239">
        <v>260297</v>
      </c>
      <c r="N21" s="239">
        <v>533649</v>
      </c>
      <c r="O21" s="239">
        <v>533649</v>
      </c>
      <c r="P21" s="239">
        <v>1461</v>
      </c>
      <c r="Q21" s="239">
        <v>0</v>
      </c>
      <c r="R21" s="239">
        <v>1461</v>
      </c>
      <c r="S21" s="239">
        <v>0</v>
      </c>
      <c r="T21" s="239">
        <v>0</v>
      </c>
      <c r="U21" s="239">
        <v>0</v>
      </c>
      <c r="V21" s="239">
        <v>0</v>
      </c>
      <c r="W21" s="239">
        <v>1450879</v>
      </c>
      <c r="X21" s="239">
        <v>1421862</v>
      </c>
      <c r="Y21" s="239">
        <v>0</v>
      </c>
      <c r="Z21" s="239">
        <v>29018</v>
      </c>
      <c r="AA21" s="239">
        <v>2901759</v>
      </c>
      <c r="AB21" s="239">
        <v>-717212</v>
      </c>
      <c r="AC21" s="239">
        <v>-702867</v>
      </c>
      <c r="AD21" s="239">
        <v>0</v>
      </c>
      <c r="AE21" s="239">
        <v>-14344</v>
      </c>
      <c r="AF21" s="239">
        <v>-1434423</v>
      </c>
      <c r="AG21" s="239">
        <v>-253349</v>
      </c>
      <c r="AH21" s="239">
        <v>-248281</v>
      </c>
      <c r="AI21" s="239">
        <v>0</v>
      </c>
      <c r="AJ21" s="239">
        <v>-5067</v>
      </c>
      <c r="AK21" s="239">
        <v>-506697</v>
      </c>
      <c r="AL21" s="239">
        <v>253348</v>
      </c>
      <c r="AM21" s="239">
        <v>248282</v>
      </c>
      <c r="AN21" s="239">
        <v>0</v>
      </c>
      <c r="AO21" s="239">
        <v>5067</v>
      </c>
      <c r="AP21" s="239">
        <v>506697</v>
      </c>
      <c r="AQ21" s="239">
        <v>-367024</v>
      </c>
      <c r="AR21" s="239">
        <v>-359685</v>
      </c>
      <c r="AS21" s="239">
        <v>0</v>
      </c>
      <c r="AT21" s="239">
        <v>-7341</v>
      </c>
      <c r="AU21" s="239">
        <v>-734050</v>
      </c>
      <c r="AV21" s="239">
        <v>-367025</v>
      </c>
      <c r="AW21" s="239">
        <v>-359684</v>
      </c>
      <c r="AX21" s="239">
        <v>0</v>
      </c>
      <c r="AY21" s="239">
        <v>-7341</v>
      </c>
      <c r="AZ21" s="239">
        <v>-734050</v>
      </c>
      <c r="BA21" s="239">
        <v>-2251338</v>
      </c>
      <c r="BB21" s="239">
        <v>-2206312</v>
      </c>
      <c r="BC21" s="239">
        <v>0</v>
      </c>
      <c r="BD21" s="239">
        <v>-45027</v>
      </c>
      <c r="BE21" s="239">
        <v>-4502677</v>
      </c>
      <c r="BF21" s="239">
        <v>287809</v>
      </c>
      <c r="BG21" s="239">
        <v>282052</v>
      </c>
      <c r="BH21" s="239">
        <v>0</v>
      </c>
      <c r="BI21" s="239">
        <v>5756</v>
      </c>
      <c r="BJ21" s="239">
        <v>575617</v>
      </c>
      <c r="BK21" s="239">
        <v>-1839975</v>
      </c>
      <c r="BL21" s="239">
        <v>-1803176</v>
      </c>
      <c r="BM21" s="239">
        <v>0</v>
      </c>
      <c r="BN21" s="239">
        <v>-36800</v>
      </c>
      <c r="BO21" s="239">
        <v>-3679951</v>
      </c>
      <c r="BP21" s="239">
        <v>-3803504</v>
      </c>
      <c r="BQ21" s="239">
        <v>-3727436</v>
      </c>
      <c r="BR21" s="239">
        <v>0</v>
      </c>
      <c r="BS21" s="239">
        <v>-76071</v>
      </c>
      <c r="BT21" s="239">
        <v>-7607011</v>
      </c>
      <c r="BU21" s="239">
        <v>-1112367</v>
      </c>
      <c r="BV21" s="239">
        <v>-1090119</v>
      </c>
      <c r="BW21" s="239">
        <v>0</v>
      </c>
      <c r="BX21" s="239">
        <v>-22247</v>
      </c>
      <c r="BY21" s="239">
        <v>-2224733</v>
      </c>
      <c r="BZ21" s="239">
        <v>-188595</v>
      </c>
      <c r="CA21" s="239">
        <v>-184823</v>
      </c>
      <c r="CB21" s="239">
        <v>0</v>
      </c>
      <c r="CC21" s="239">
        <v>-3772</v>
      </c>
      <c r="CD21" s="239">
        <v>-377190</v>
      </c>
      <c r="CE21" s="239">
        <v>-923772</v>
      </c>
      <c r="CF21" s="239">
        <v>-905296</v>
      </c>
      <c r="CG21" s="239">
        <v>0</v>
      </c>
      <c r="CH21" s="239">
        <v>-18475</v>
      </c>
      <c r="CI21" s="239">
        <v>-1847543</v>
      </c>
      <c r="CJ21" s="239">
        <v>32225748</v>
      </c>
      <c r="CK21" s="239">
        <v>31581233</v>
      </c>
      <c r="CL21" s="239">
        <v>0</v>
      </c>
      <c r="CM21" s="239">
        <v>644515</v>
      </c>
      <c r="CN21" s="239">
        <v>64451496</v>
      </c>
      <c r="CO21" s="239">
        <v>30770047</v>
      </c>
      <c r="CP21" s="239">
        <v>30154646</v>
      </c>
      <c r="CQ21" s="239">
        <v>0</v>
      </c>
      <c r="CR21" s="239">
        <v>615401</v>
      </c>
      <c r="CS21" s="239">
        <v>61540094</v>
      </c>
      <c r="CT21" s="239">
        <v>-1455701</v>
      </c>
      <c r="CU21" s="239">
        <v>-1426587</v>
      </c>
      <c r="CV21" s="239">
        <v>0</v>
      </c>
      <c r="CW21" s="239">
        <v>-29114</v>
      </c>
      <c r="CX21" s="239">
        <v>-2911402</v>
      </c>
      <c r="CY21" s="239">
        <v>-2379473</v>
      </c>
      <c r="CZ21" s="239">
        <v>-2331883</v>
      </c>
      <c r="DA21" s="239">
        <v>0</v>
      </c>
      <c r="DB21" s="239">
        <v>-47589</v>
      </c>
      <c r="DC21" s="239">
        <v>-4758945</v>
      </c>
      <c r="DD21" s="214">
        <v>0.5</v>
      </c>
      <c r="DE21" s="214">
        <v>0.49</v>
      </c>
      <c r="DF21" s="214">
        <v>0</v>
      </c>
      <c r="DG21" s="214">
        <v>0.01</v>
      </c>
      <c r="DH21" s="214">
        <v>1</v>
      </c>
      <c r="DI21" s="214" t="s">
        <v>748</v>
      </c>
    </row>
    <row r="22" spans="2:113" s="214" customFormat="1" x14ac:dyDescent="0.2">
      <c r="B22" s="610" t="s">
        <v>127</v>
      </c>
      <c r="C22" s="610" t="s">
        <v>126</v>
      </c>
      <c r="D22" s="239">
        <v>31675778</v>
      </c>
      <c r="E22" s="239">
        <v>31042263</v>
      </c>
      <c r="F22" s="239">
        <v>0</v>
      </c>
      <c r="G22" s="239">
        <v>633516</v>
      </c>
      <c r="H22" s="239">
        <v>63351557</v>
      </c>
      <c r="I22" s="239">
        <v>0</v>
      </c>
      <c r="J22" s="239">
        <v>0</v>
      </c>
      <c r="K22" s="239">
        <v>31675778</v>
      </c>
      <c r="L22" s="239">
        <v>232529</v>
      </c>
      <c r="M22" s="239">
        <v>232529</v>
      </c>
      <c r="N22" s="239">
        <v>0</v>
      </c>
      <c r="O22" s="239">
        <v>0</v>
      </c>
      <c r="P22" s="239">
        <v>250744</v>
      </c>
      <c r="Q22" s="239">
        <v>0</v>
      </c>
      <c r="R22" s="239">
        <v>250744</v>
      </c>
      <c r="S22" s="239">
        <v>0</v>
      </c>
      <c r="T22" s="239">
        <v>0</v>
      </c>
      <c r="U22" s="239">
        <v>0</v>
      </c>
      <c r="V22" s="239">
        <v>0</v>
      </c>
      <c r="W22" s="239">
        <v>1364281.8600000218</v>
      </c>
      <c r="X22" s="239">
        <v>1336996</v>
      </c>
      <c r="Y22" s="239">
        <v>0</v>
      </c>
      <c r="Z22" s="239">
        <v>27286</v>
      </c>
      <c r="AA22" s="239">
        <v>2728563.8600000218</v>
      </c>
      <c r="AB22" s="239">
        <v>-451909</v>
      </c>
      <c r="AC22" s="239">
        <v>-442870</v>
      </c>
      <c r="AD22" s="239">
        <v>0</v>
      </c>
      <c r="AE22" s="239">
        <v>-9038</v>
      </c>
      <c r="AF22" s="239">
        <v>-903817</v>
      </c>
      <c r="AG22" s="239">
        <v>-754554</v>
      </c>
      <c r="AH22" s="239">
        <v>-739462</v>
      </c>
      <c r="AI22" s="239">
        <v>0</v>
      </c>
      <c r="AJ22" s="239">
        <v>-15091</v>
      </c>
      <c r="AK22" s="239">
        <v>-1509107</v>
      </c>
      <c r="AL22" s="239">
        <v>130306</v>
      </c>
      <c r="AM22" s="239">
        <v>127700</v>
      </c>
      <c r="AN22" s="239">
        <v>0</v>
      </c>
      <c r="AO22" s="239">
        <v>2606</v>
      </c>
      <c r="AP22" s="239">
        <v>260612</v>
      </c>
      <c r="AQ22" s="239">
        <v>-355000</v>
      </c>
      <c r="AR22" s="239">
        <v>-347900</v>
      </c>
      <c r="AS22" s="239">
        <v>0</v>
      </c>
      <c r="AT22" s="239">
        <v>-7100</v>
      </c>
      <c r="AU22" s="239">
        <v>-710000</v>
      </c>
      <c r="AV22" s="239">
        <v>-979248</v>
      </c>
      <c r="AW22" s="239">
        <v>-959662</v>
      </c>
      <c r="AX22" s="239">
        <v>0</v>
      </c>
      <c r="AY22" s="239">
        <v>-19585</v>
      </c>
      <c r="AZ22" s="239">
        <v>-1958495</v>
      </c>
      <c r="BA22" s="239">
        <v>-2332540</v>
      </c>
      <c r="BB22" s="239">
        <v>-2285890</v>
      </c>
      <c r="BC22" s="239">
        <v>0</v>
      </c>
      <c r="BD22" s="239">
        <v>-46651</v>
      </c>
      <c r="BE22" s="239">
        <v>-4665081</v>
      </c>
      <c r="BF22" s="239">
        <v>1562482</v>
      </c>
      <c r="BG22" s="239">
        <v>1531232</v>
      </c>
      <c r="BH22" s="239">
        <v>0</v>
      </c>
      <c r="BI22" s="239">
        <v>31250</v>
      </c>
      <c r="BJ22" s="239">
        <v>3124964</v>
      </c>
      <c r="BK22" s="239">
        <v>-1765454</v>
      </c>
      <c r="BL22" s="239">
        <v>-1730144</v>
      </c>
      <c r="BM22" s="239">
        <v>0</v>
      </c>
      <c r="BN22" s="239">
        <v>-35309</v>
      </c>
      <c r="BO22" s="239">
        <v>-3530907</v>
      </c>
      <c r="BP22" s="239">
        <v>-2535512</v>
      </c>
      <c r="BQ22" s="239">
        <v>-2484802</v>
      </c>
      <c r="BR22" s="239">
        <v>0</v>
      </c>
      <c r="BS22" s="239">
        <v>-50710</v>
      </c>
      <c r="BT22" s="239">
        <v>-5071024</v>
      </c>
      <c r="BU22" s="239">
        <v>-1054000</v>
      </c>
      <c r="BV22" s="239">
        <v>-1032920</v>
      </c>
      <c r="BW22" s="239">
        <v>0</v>
      </c>
      <c r="BX22" s="239">
        <v>-21080</v>
      </c>
      <c r="BY22" s="239">
        <v>-2108000</v>
      </c>
      <c r="BZ22" s="239">
        <v>210205</v>
      </c>
      <c r="CA22" s="239">
        <v>206000</v>
      </c>
      <c r="CB22" s="239">
        <v>0</v>
      </c>
      <c r="CC22" s="239">
        <v>4204</v>
      </c>
      <c r="CD22" s="239">
        <v>420409</v>
      </c>
      <c r="CE22" s="239">
        <v>-1264205</v>
      </c>
      <c r="CF22" s="239">
        <v>-1238920</v>
      </c>
      <c r="CG22" s="239">
        <v>0</v>
      </c>
      <c r="CH22" s="239">
        <v>-25284</v>
      </c>
      <c r="CI22" s="239">
        <v>-2528409</v>
      </c>
      <c r="CJ22" s="239">
        <v>32388763</v>
      </c>
      <c r="CK22" s="239">
        <v>31740987</v>
      </c>
      <c r="CL22" s="239">
        <v>0</v>
      </c>
      <c r="CM22" s="239">
        <v>647775</v>
      </c>
      <c r="CN22" s="239">
        <v>64777525</v>
      </c>
      <c r="CO22" s="239">
        <v>31675778</v>
      </c>
      <c r="CP22" s="239">
        <v>31042263</v>
      </c>
      <c r="CQ22" s="239">
        <v>0</v>
      </c>
      <c r="CR22" s="239">
        <v>633516</v>
      </c>
      <c r="CS22" s="239">
        <v>63351557</v>
      </c>
      <c r="CT22" s="239">
        <v>-712985</v>
      </c>
      <c r="CU22" s="239">
        <v>-698724</v>
      </c>
      <c r="CV22" s="239">
        <v>0</v>
      </c>
      <c r="CW22" s="239">
        <v>-14259</v>
      </c>
      <c r="CX22" s="239">
        <v>-1425968</v>
      </c>
      <c r="CY22" s="239">
        <v>-1977190</v>
      </c>
      <c r="CZ22" s="239">
        <v>-1937644</v>
      </c>
      <c r="DA22" s="239">
        <v>0</v>
      </c>
      <c r="DB22" s="239">
        <v>-39543</v>
      </c>
      <c r="DC22" s="239">
        <v>-3954377</v>
      </c>
      <c r="DD22" s="214">
        <v>0.5</v>
      </c>
      <c r="DE22" s="214">
        <v>0.49</v>
      </c>
      <c r="DF22" s="214">
        <v>0</v>
      </c>
      <c r="DG22" s="214">
        <v>0.01</v>
      </c>
      <c r="DH22" s="214">
        <v>1</v>
      </c>
      <c r="DI22" s="214" t="s">
        <v>748</v>
      </c>
    </row>
    <row r="23" spans="2:113" s="214" customFormat="1" x14ac:dyDescent="0.2">
      <c r="B23" s="610" t="s">
        <v>129</v>
      </c>
      <c r="C23" s="610" t="s">
        <v>128</v>
      </c>
      <c r="D23" s="239">
        <v>33969098</v>
      </c>
      <c r="E23" s="239">
        <v>20381459</v>
      </c>
      <c r="F23" s="239">
        <v>13587639</v>
      </c>
      <c r="G23" s="239">
        <v>0</v>
      </c>
      <c r="H23" s="239">
        <v>67938196</v>
      </c>
      <c r="I23" s="239">
        <v>0</v>
      </c>
      <c r="J23" s="239">
        <v>0</v>
      </c>
      <c r="K23" s="239">
        <v>33969098</v>
      </c>
      <c r="L23" s="239">
        <v>255418</v>
      </c>
      <c r="M23" s="239">
        <v>255418</v>
      </c>
      <c r="N23" s="239">
        <v>0</v>
      </c>
      <c r="O23" s="239">
        <v>0</v>
      </c>
      <c r="P23" s="239">
        <v>0</v>
      </c>
      <c r="Q23" s="239">
        <v>0</v>
      </c>
      <c r="R23" s="239">
        <v>0</v>
      </c>
      <c r="S23" s="239">
        <v>0</v>
      </c>
      <c r="T23" s="239">
        <v>0</v>
      </c>
      <c r="U23" s="239">
        <v>0</v>
      </c>
      <c r="V23" s="239">
        <v>0</v>
      </c>
      <c r="W23" s="239">
        <v>1013771</v>
      </c>
      <c r="X23" s="239">
        <v>608263</v>
      </c>
      <c r="Y23" s="239">
        <v>405509</v>
      </c>
      <c r="Z23" s="239">
        <v>0</v>
      </c>
      <c r="AA23" s="239">
        <v>2027543</v>
      </c>
      <c r="AB23" s="239">
        <v>-969509</v>
      </c>
      <c r="AC23" s="239">
        <v>-581705</v>
      </c>
      <c r="AD23" s="239">
        <v>-387804</v>
      </c>
      <c r="AE23" s="239">
        <v>0</v>
      </c>
      <c r="AF23" s="239">
        <v>-1939018</v>
      </c>
      <c r="AG23" s="239">
        <v>-979000</v>
      </c>
      <c r="AH23" s="239">
        <v>-587400</v>
      </c>
      <c r="AI23" s="239">
        <v>-391600</v>
      </c>
      <c r="AJ23" s="239">
        <v>0</v>
      </c>
      <c r="AK23" s="239">
        <v>-1958000</v>
      </c>
      <c r="AL23" s="239">
        <v>0</v>
      </c>
      <c r="AM23" s="239">
        <v>0</v>
      </c>
      <c r="AN23" s="239">
        <v>0</v>
      </c>
      <c r="AO23" s="239">
        <v>0</v>
      </c>
      <c r="AP23" s="239">
        <v>0</v>
      </c>
      <c r="AQ23" s="239">
        <v>130500</v>
      </c>
      <c r="AR23" s="239">
        <v>78300</v>
      </c>
      <c r="AS23" s="239">
        <v>52200</v>
      </c>
      <c r="AT23" s="239">
        <v>0</v>
      </c>
      <c r="AU23" s="239">
        <v>261000</v>
      </c>
      <c r="AV23" s="239">
        <v>-848500</v>
      </c>
      <c r="AW23" s="239">
        <v>-509100</v>
      </c>
      <c r="AX23" s="239">
        <v>-339400</v>
      </c>
      <c r="AY23" s="239">
        <v>0</v>
      </c>
      <c r="AZ23" s="239">
        <v>-1697000</v>
      </c>
      <c r="BA23" s="239">
        <v>-3320286</v>
      </c>
      <c r="BB23" s="239">
        <v>-1992173</v>
      </c>
      <c r="BC23" s="239">
        <v>-1328115</v>
      </c>
      <c r="BD23" s="239">
        <v>0</v>
      </c>
      <c r="BE23" s="239">
        <v>-6640574</v>
      </c>
      <c r="BF23" s="239">
        <v>0</v>
      </c>
      <c r="BG23" s="239">
        <v>0</v>
      </c>
      <c r="BH23" s="239">
        <v>0</v>
      </c>
      <c r="BI23" s="239">
        <v>0</v>
      </c>
      <c r="BJ23" s="239">
        <v>0</v>
      </c>
      <c r="BK23" s="239">
        <v>-801209</v>
      </c>
      <c r="BL23" s="239">
        <v>-480726</v>
      </c>
      <c r="BM23" s="239">
        <v>-320484</v>
      </c>
      <c r="BN23" s="239">
        <v>0</v>
      </c>
      <c r="BO23" s="239">
        <v>-1602419</v>
      </c>
      <c r="BP23" s="239">
        <v>-4121495</v>
      </c>
      <c r="BQ23" s="239">
        <v>-2472899</v>
      </c>
      <c r="BR23" s="239">
        <v>-1648599</v>
      </c>
      <c r="BS23" s="239">
        <v>0</v>
      </c>
      <c r="BT23" s="239">
        <v>-8242993</v>
      </c>
      <c r="BU23" s="239">
        <v>-1372099</v>
      </c>
      <c r="BV23" s="239">
        <v>-823259</v>
      </c>
      <c r="BW23" s="239">
        <v>-548839</v>
      </c>
      <c r="BX23" s="239">
        <v>0</v>
      </c>
      <c r="BY23" s="239">
        <v>-2744197</v>
      </c>
      <c r="BZ23" s="239">
        <v>0</v>
      </c>
      <c r="CA23" s="239">
        <v>0</v>
      </c>
      <c r="CB23" s="239">
        <v>0</v>
      </c>
      <c r="CC23" s="239">
        <v>0</v>
      </c>
      <c r="CD23" s="239">
        <v>0</v>
      </c>
      <c r="CE23" s="239">
        <v>-1372099</v>
      </c>
      <c r="CF23" s="239">
        <v>-823259</v>
      </c>
      <c r="CG23" s="239">
        <v>-548839</v>
      </c>
      <c r="CH23" s="239">
        <v>0</v>
      </c>
      <c r="CI23" s="239">
        <v>-2744197</v>
      </c>
      <c r="CJ23" s="239">
        <v>33943001</v>
      </c>
      <c r="CK23" s="239">
        <v>20365800</v>
      </c>
      <c r="CL23" s="239">
        <v>13577200</v>
      </c>
      <c r="CM23" s="239">
        <v>0</v>
      </c>
      <c r="CN23" s="239">
        <v>67886001</v>
      </c>
      <c r="CO23" s="239">
        <v>33969098</v>
      </c>
      <c r="CP23" s="239">
        <v>20381459</v>
      </c>
      <c r="CQ23" s="239">
        <v>13587639</v>
      </c>
      <c r="CR23" s="239">
        <v>0</v>
      </c>
      <c r="CS23" s="239">
        <v>67938196</v>
      </c>
      <c r="CT23" s="239">
        <v>26097</v>
      </c>
      <c r="CU23" s="239">
        <v>15659</v>
      </c>
      <c r="CV23" s="239">
        <v>10439</v>
      </c>
      <c r="CW23" s="239">
        <v>0</v>
      </c>
      <c r="CX23" s="239">
        <v>52195</v>
      </c>
      <c r="CY23" s="239">
        <v>-1346002</v>
      </c>
      <c r="CZ23" s="239">
        <v>-807600</v>
      </c>
      <c r="DA23" s="239">
        <v>-538400</v>
      </c>
      <c r="DB23" s="239">
        <v>0</v>
      </c>
      <c r="DC23" s="239">
        <v>-2692002</v>
      </c>
      <c r="DD23" s="214">
        <v>0.5</v>
      </c>
      <c r="DE23" s="214">
        <v>0.3</v>
      </c>
      <c r="DF23" s="214">
        <v>0.2</v>
      </c>
      <c r="DG23" s="214">
        <v>0</v>
      </c>
      <c r="DH23" s="214">
        <v>1</v>
      </c>
      <c r="DI23" s="214" t="s">
        <v>1295</v>
      </c>
    </row>
    <row r="24" spans="2:113" s="214" customFormat="1" x14ac:dyDescent="0.2">
      <c r="B24" s="610" t="s">
        <v>131</v>
      </c>
      <c r="C24" s="610" t="s">
        <v>130</v>
      </c>
      <c r="D24" s="239">
        <v>190077720</v>
      </c>
      <c r="E24" s="239">
        <v>186276166</v>
      </c>
      <c r="F24" s="239">
        <v>0</v>
      </c>
      <c r="G24" s="239">
        <v>3801554</v>
      </c>
      <c r="H24" s="239">
        <v>380155440</v>
      </c>
      <c r="I24" s="239">
        <v>413007.45208333334</v>
      </c>
      <c r="J24" s="239">
        <v>413007.45208333334</v>
      </c>
      <c r="K24" s="239">
        <v>189664712.54791668</v>
      </c>
      <c r="L24" s="239">
        <v>1942039</v>
      </c>
      <c r="M24" s="239">
        <v>1942039</v>
      </c>
      <c r="N24" s="239">
        <v>1376595</v>
      </c>
      <c r="O24" s="239">
        <v>1376595</v>
      </c>
      <c r="P24" s="239">
        <v>0</v>
      </c>
      <c r="Q24" s="239">
        <v>0</v>
      </c>
      <c r="R24" s="239">
        <v>0</v>
      </c>
      <c r="S24" s="239">
        <v>413007.45208333334</v>
      </c>
      <c r="T24" s="239">
        <v>0</v>
      </c>
      <c r="U24" s="239">
        <v>0</v>
      </c>
      <c r="V24" s="239">
        <v>413007.45208333334</v>
      </c>
      <c r="W24" s="239">
        <v>48830548</v>
      </c>
      <c r="X24" s="239">
        <v>47853937</v>
      </c>
      <c r="Y24" s="239">
        <v>0</v>
      </c>
      <c r="Z24" s="239">
        <v>976611</v>
      </c>
      <c r="AA24" s="239">
        <v>97661096</v>
      </c>
      <c r="AB24" s="239">
        <v>-9133529</v>
      </c>
      <c r="AC24" s="239">
        <v>-8950858</v>
      </c>
      <c r="AD24" s="239">
        <v>0</v>
      </c>
      <c r="AE24" s="239">
        <v>-182671</v>
      </c>
      <c r="AF24" s="239">
        <v>-18267058</v>
      </c>
      <c r="AG24" s="239">
        <v>-26767387</v>
      </c>
      <c r="AH24" s="239">
        <v>-26232042</v>
      </c>
      <c r="AI24" s="239">
        <v>0</v>
      </c>
      <c r="AJ24" s="239">
        <v>-535348</v>
      </c>
      <c r="AK24" s="239">
        <v>-53534777</v>
      </c>
      <c r="AL24" s="239">
        <v>5430069</v>
      </c>
      <c r="AM24" s="239">
        <v>5321468</v>
      </c>
      <c r="AN24" s="239">
        <v>0</v>
      </c>
      <c r="AO24" s="239">
        <v>108601</v>
      </c>
      <c r="AP24" s="239">
        <v>10860138</v>
      </c>
      <c r="AQ24" s="239">
        <v>-6336539</v>
      </c>
      <c r="AR24" s="239">
        <v>-6209808</v>
      </c>
      <c r="AS24" s="239">
        <v>0</v>
      </c>
      <c r="AT24" s="239">
        <v>-126731</v>
      </c>
      <c r="AU24" s="239">
        <v>-12673078</v>
      </c>
      <c r="AV24" s="239">
        <v>-27673857</v>
      </c>
      <c r="AW24" s="239">
        <v>-27120382</v>
      </c>
      <c r="AX24" s="239">
        <v>0</v>
      </c>
      <c r="AY24" s="239">
        <v>-553478</v>
      </c>
      <c r="AZ24" s="239">
        <v>-55347717</v>
      </c>
      <c r="BA24" s="239">
        <v>-22129688</v>
      </c>
      <c r="BB24" s="239">
        <v>-21687095</v>
      </c>
      <c r="BC24" s="239">
        <v>0</v>
      </c>
      <c r="BD24" s="239">
        <v>-442594</v>
      </c>
      <c r="BE24" s="239">
        <v>-44259377</v>
      </c>
      <c r="BF24" s="239">
        <v>16865407</v>
      </c>
      <c r="BG24" s="239">
        <v>16528099</v>
      </c>
      <c r="BH24" s="239">
        <v>0</v>
      </c>
      <c r="BI24" s="239">
        <v>337308</v>
      </c>
      <c r="BJ24" s="239">
        <v>33730814</v>
      </c>
      <c r="BK24" s="239">
        <v>-19979075</v>
      </c>
      <c r="BL24" s="239">
        <v>-19579493</v>
      </c>
      <c r="BM24" s="239">
        <v>0</v>
      </c>
      <c r="BN24" s="239">
        <v>-399581</v>
      </c>
      <c r="BO24" s="239">
        <v>-39958149</v>
      </c>
      <c r="BP24" s="239">
        <v>-25243356</v>
      </c>
      <c r="BQ24" s="239">
        <v>-24738489</v>
      </c>
      <c r="BR24" s="239">
        <v>0</v>
      </c>
      <c r="BS24" s="239">
        <v>-504867</v>
      </c>
      <c r="BT24" s="239">
        <v>-50486712</v>
      </c>
      <c r="BU24" s="239">
        <v>-15871930</v>
      </c>
      <c r="BV24" s="239">
        <v>-15554491</v>
      </c>
      <c r="BW24" s="239">
        <v>0</v>
      </c>
      <c r="BX24" s="239">
        <v>-317439</v>
      </c>
      <c r="BY24" s="239">
        <v>-31743860</v>
      </c>
      <c r="BZ24" s="239">
        <v>-2308670</v>
      </c>
      <c r="CA24" s="239">
        <v>-2262497</v>
      </c>
      <c r="CB24" s="239">
        <v>0</v>
      </c>
      <c r="CC24" s="239">
        <v>-46173</v>
      </c>
      <c r="CD24" s="239">
        <v>-4617340</v>
      </c>
      <c r="CE24" s="239">
        <v>-13563260</v>
      </c>
      <c r="CF24" s="239">
        <v>-13291994</v>
      </c>
      <c r="CG24" s="239">
        <v>0</v>
      </c>
      <c r="CH24" s="239">
        <v>-271266</v>
      </c>
      <c r="CI24" s="239">
        <v>-27126520</v>
      </c>
      <c r="CJ24" s="239">
        <v>202437316</v>
      </c>
      <c r="CK24" s="239">
        <v>198388570</v>
      </c>
      <c r="CL24" s="239">
        <v>0</v>
      </c>
      <c r="CM24" s="239">
        <v>4048746</v>
      </c>
      <c r="CN24" s="239">
        <v>404874632</v>
      </c>
      <c r="CO24" s="239">
        <v>190077720</v>
      </c>
      <c r="CP24" s="239">
        <v>186276166</v>
      </c>
      <c r="CQ24" s="239">
        <v>0</v>
      </c>
      <c r="CR24" s="239">
        <v>3801554</v>
      </c>
      <c r="CS24" s="239">
        <v>380155440</v>
      </c>
      <c r="CT24" s="239">
        <v>-12359596</v>
      </c>
      <c r="CU24" s="239">
        <v>-12112404</v>
      </c>
      <c r="CV24" s="239">
        <v>0</v>
      </c>
      <c r="CW24" s="239">
        <v>-247192</v>
      </c>
      <c r="CX24" s="239">
        <v>-24719192</v>
      </c>
      <c r="CY24" s="239">
        <v>-25922856</v>
      </c>
      <c r="CZ24" s="239">
        <v>-25404398</v>
      </c>
      <c r="DA24" s="239">
        <v>0</v>
      </c>
      <c r="DB24" s="239">
        <v>-518458</v>
      </c>
      <c r="DC24" s="239">
        <v>-51845712</v>
      </c>
      <c r="DD24" s="214">
        <v>0.5</v>
      </c>
      <c r="DE24" s="214">
        <v>0.49</v>
      </c>
      <c r="DF24" s="214">
        <v>0</v>
      </c>
      <c r="DG24" s="214">
        <v>0.01</v>
      </c>
      <c r="DH24" s="214">
        <v>1</v>
      </c>
      <c r="DI24" s="214" t="s">
        <v>1296</v>
      </c>
    </row>
    <row r="25" spans="2:113" s="214" customFormat="1" x14ac:dyDescent="0.2">
      <c r="B25" s="610" t="s">
        <v>133</v>
      </c>
      <c r="C25" s="610" t="s">
        <v>132</v>
      </c>
      <c r="D25" s="239">
        <v>21335237</v>
      </c>
      <c r="E25" s="239">
        <v>17068190</v>
      </c>
      <c r="F25" s="239">
        <v>3840343</v>
      </c>
      <c r="G25" s="239">
        <v>426705</v>
      </c>
      <c r="H25" s="239">
        <v>42670475</v>
      </c>
      <c r="I25" s="239">
        <v>0</v>
      </c>
      <c r="J25" s="239">
        <v>0</v>
      </c>
      <c r="K25" s="239">
        <v>21335237</v>
      </c>
      <c r="L25" s="239">
        <v>101936</v>
      </c>
      <c r="M25" s="239">
        <v>101936</v>
      </c>
      <c r="N25" s="239">
        <v>0</v>
      </c>
      <c r="O25" s="239">
        <v>0</v>
      </c>
      <c r="P25" s="239">
        <v>0</v>
      </c>
      <c r="Q25" s="239">
        <v>0</v>
      </c>
      <c r="R25" s="239">
        <v>0</v>
      </c>
      <c r="S25" s="239">
        <v>0</v>
      </c>
      <c r="T25" s="239">
        <v>0</v>
      </c>
      <c r="U25" s="239">
        <v>0</v>
      </c>
      <c r="V25" s="239">
        <v>0</v>
      </c>
      <c r="W25" s="239">
        <v>919862</v>
      </c>
      <c r="X25" s="239">
        <v>735890</v>
      </c>
      <c r="Y25" s="239">
        <v>165575</v>
      </c>
      <c r="Z25" s="239">
        <v>18397</v>
      </c>
      <c r="AA25" s="239">
        <v>1839724</v>
      </c>
      <c r="AB25" s="239">
        <v>-516930</v>
      </c>
      <c r="AC25" s="239">
        <v>-413544</v>
      </c>
      <c r="AD25" s="239">
        <v>-93047</v>
      </c>
      <c r="AE25" s="239">
        <v>-10339</v>
      </c>
      <c r="AF25" s="239">
        <v>-1033860</v>
      </c>
      <c r="AG25" s="239">
        <v>-115898</v>
      </c>
      <c r="AH25" s="239">
        <v>-92718</v>
      </c>
      <c r="AI25" s="239">
        <v>-20862</v>
      </c>
      <c r="AJ25" s="239">
        <v>-2318</v>
      </c>
      <c r="AK25" s="239">
        <v>-231796</v>
      </c>
      <c r="AL25" s="239">
        <v>0</v>
      </c>
      <c r="AM25" s="239">
        <v>0</v>
      </c>
      <c r="AN25" s="239">
        <v>0</v>
      </c>
      <c r="AO25" s="239">
        <v>0</v>
      </c>
      <c r="AP25" s="239">
        <v>0</v>
      </c>
      <c r="AQ25" s="239">
        <v>-233687</v>
      </c>
      <c r="AR25" s="239">
        <v>-186950</v>
      </c>
      <c r="AS25" s="239">
        <v>-42064</v>
      </c>
      <c r="AT25" s="239">
        <v>-4674</v>
      </c>
      <c r="AU25" s="239">
        <v>-467375</v>
      </c>
      <c r="AV25" s="239">
        <v>-349585</v>
      </c>
      <c r="AW25" s="239">
        <v>-279668</v>
      </c>
      <c r="AX25" s="239">
        <v>-62926</v>
      </c>
      <c r="AY25" s="239">
        <v>-6992</v>
      </c>
      <c r="AZ25" s="239">
        <v>-699171</v>
      </c>
      <c r="BA25" s="239">
        <v>-2529130</v>
      </c>
      <c r="BB25" s="239">
        <v>-2023303</v>
      </c>
      <c r="BC25" s="239">
        <v>-455243</v>
      </c>
      <c r="BD25" s="239">
        <v>-50583</v>
      </c>
      <c r="BE25" s="239">
        <v>-5058259</v>
      </c>
      <c r="BF25" s="239">
        <v>337568</v>
      </c>
      <c r="BG25" s="239">
        <v>270054</v>
      </c>
      <c r="BH25" s="239">
        <v>60762</v>
      </c>
      <c r="BI25" s="239">
        <v>6751</v>
      </c>
      <c r="BJ25" s="239">
        <v>675135</v>
      </c>
      <c r="BK25" s="239">
        <v>-235449</v>
      </c>
      <c r="BL25" s="239">
        <v>-188360</v>
      </c>
      <c r="BM25" s="239">
        <v>-42381</v>
      </c>
      <c r="BN25" s="239">
        <v>-4709</v>
      </c>
      <c r="BO25" s="239">
        <v>-470899</v>
      </c>
      <c r="BP25" s="239">
        <v>-2427011</v>
      </c>
      <c r="BQ25" s="239">
        <v>-1941609</v>
      </c>
      <c r="BR25" s="239">
        <v>-436862</v>
      </c>
      <c r="BS25" s="239">
        <v>-48541</v>
      </c>
      <c r="BT25" s="239">
        <v>-4854023</v>
      </c>
      <c r="BU25" s="239">
        <v>-2100580</v>
      </c>
      <c r="BV25" s="239">
        <v>-1680465</v>
      </c>
      <c r="BW25" s="239">
        <v>-378105</v>
      </c>
      <c r="BX25" s="239">
        <v>-42012</v>
      </c>
      <c r="BY25" s="239">
        <v>-4201162</v>
      </c>
      <c r="BZ25" s="239">
        <v>-1553511</v>
      </c>
      <c r="CA25" s="239">
        <v>-1242808</v>
      </c>
      <c r="CB25" s="239">
        <v>-279632</v>
      </c>
      <c r="CC25" s="239">
        <v>-31070</v>
      </c>
      <c r="CD25" s="239">
        <v>-3107021</v>
      </c>
      <c r="CE25" s="239">
        <v>-547069</v>
      </c>
      <c r="CF25" s="239">
        <v>-437657</v>
      </c>
      <c r="CG25" s="239">
        <v>-98473</v>
      </c>
      <c r="CH25" s="239">
        <v>-10942</v>
      </c>
      <c r="CI25" s="239">
        <v>-1094141</v>
      </c>
      <c r="CJ25" s="239">
        <v>21350780</v>
      </c>
      <c r="CK25" s="239">
        <v>17080625</v>
      </c>
      <c r="CL25" s="239">
        <v>3843141</v>
      </c>
      <c r="CM25" s="239">
        <v>427016</v>
      </c>
      <c r="CN25" s="239">
        <v>42701562</v>
      </c>
      <c r="CO25" s="239">
        <v>21335237</v>
      </c>
      <c r="CP25" s="239">
        <v>17068190</v>
      </c>
      <c r="CQ25" s="239">
        <v>3840343</v>
      </c>
      <c r="CR25" s="239">
        <v>426705</v>
      </c>
      <c r="CS25" s="239">
        <v>42670475</v>
      </c>
      <c r="CT25" s="239">
        <v>-15543</v>
      </c>
      <c r="CU25" s="239">
        <v>-12435</v>
      </c>
      <c r="CV25" s="239">
        <v>-2798</v>
      </c>
      <c r="CW25" s="239">
        <v>-311</v>
      </c>
      <c r="CX25" s="239">
        <v>-31087</v>
      </c>
      <c r="CY25" s="239">
        <v>-562612</v>
      </c>
      <c r="CZ25" s="239">
        <v>-450092</v>
      </c>
      <c r="DA25" s="239">
        <v>-101271</v>
      </c>
      <c r="DB25" s="239">
        <v>-11253</v>
      </c>
      <c r="DC25" s="239">
        <v>-1125228</v>
      </c>
      <c r="DD25" s="214">
        <v>0.5</v>
      </c>
      <c r="DE25" s="214">
        <v>0.4</v>
      </c>
      <c r="DF25" s="214">
        <v>0.09</v>
      </c>
      <c r="DG25" s="214">
        <v>0.01</v>
      </c>
      <c r="DH25" s="214">
        <v>1</v>
      </c>
      <c r="DI25" s="214" t="s">
        <v>1294</v>
      </c>
    </row>
    <row r="26" spans="2:113" s="214" customFormat="1" x14ac:dyDescent="0.2">
      <c r="B26" s="610" t="s">
        <v>135</v>
      </c>
      <c r="C26" s="610" t="s">
        <v>134</v>
      </c>
      <c r="D26" s="239">
        <v>22465338</v>
      </c>
      <c r="E26" s="239">
        <v>22016032</v>
      </c>
      <c r="F26" s="239">
        <v>0</v>
      </c>
      <c r="G26" s="239">
        <v>449307</v>
      </c>
      <c r="H26" s="239">
        <v>44930677</v>
      </c>
      <c r="I26" s="239">
        <v>0</v>
      </c>
      <c r="J26" s="239">
        <v>0</v>
      </c>
      <c r="K26" s="239">
        <v>22465338</v>
      </c>
      <c r="L26" s="239">
        <v>252776</v>
      </c>
      <c r="M26" s="239">
        <v>252776</v>
      </c>
      <c r="N26" s="239">
        <v>0</v>
      </c>
      <c r="O26" s="239">
        <v>0</v>
      </c>
      <c r="P26" s="239">
        <v>0</v>
      </c>
      <c r="Q26" s="239">
        <v>0</v>
      </c>
      <c r="R26" s="239">
        <v>0</v>
      </c>
      <c r="S26" s="239">
        <v>0</v>
      </c>
      <c r="T26" s="239">
        <v>0</v>
      </c>
      <c r="U26" s="239">
        <v>0</v>
      </c>
      <c r="V26" s="239">
        <v>0</v>
      </c>
      <c r="W26" s="239">
        <v>1288734</v>
      </c>
      <c r="X26" s="239">
        <v>1262959</v>
      </c>
      <c r="Y26" s="239">
        <v>0</v>
      </c>
      <c r="Z26" s="239">
        <v>25775</v>
      </c>
      <c r="AA26" s="239">
        <v>2577468</v>
      </c>
      <c r="AB26" s="239">
        <v>-483899</v>
      </c>
      <c r="AC26" s="239">
        <v>-474221</v>
      </c>
      <c r="AD26" s="239">
        <v>0</v>
      </c>
      <c r="AE26" s="239">
        <v>-9678</v>
      </c>
      <c r="AF26" s="239">
        <v>-967798</v>
      </c>
      <c r="AG26" s="239">
        <v>-768000</v>
      </c>
      <c r="AH26" s="239">
        <v>-752640</v>
      </c>
      <c r="AI26" s="239">
        <v>0</v>
      </c>
      <c r="AJ26" s="239">
        <v>-15360</v>
      </c>
      <c r="AK26" s="239">
        <v>-1536000</v>
      </c>
      <c r="AL26" s="239">
        <v>286490</v>
      </c>
      <c r="AM26" s="239">
        <v>280761</v>
      </c>
      <c r="AN26" s="239">
        <v>0</v>
      </c>
      <c r="AO26" s="239">
        <v>5730</v>
      </c>
      <c r="AP26" s="239">
        <v>572981</v>
      </c>
      <c r="AQ26" s="239">
        <v>-309990</v>
      </c>
      <c r="AR26" s="239">
        <v>-303791</v>
      </c>
      <c r="AS26" s="239">
        <v>0</v>
      </c>
      <c r="AT26" s="239">
        <v>-6200</v>
      </c>
      <c r="AU26" s="239">
        <v>-619981</v>
      </c>
      <c r="AV26" s="239">
        <v>-791500</v>
      </c>
      <c r="AW26" s="239">
        <v>-775670</v>
      </c>
      <c r="AX26" s="239">
        <v>0</v>
      </c>
      <c r="AY26" s="239">
        <v>-15830</v>
      </c>
      <c r="AZ26" s="239">
        <v>-1583000</v>
      </c>
      <c r="BA26" s="239">
        <v>-2034474</v>
      </c>
      <c r="BB26" s="239">
        <v>-1993786</v>
      </c>
      <c r="BC26" s="239">
        <v>0</v>
      </c>
      <c r="BD26" s="239">
        <v>-40690</v>
      </c>
      <c r="BE26" s="239">
        <v>-4068950</v>
      </c>
      <c r="BF26" s="239">
        <v>1078667</v>
      </c>
      <c r="BG26" s="239">
        <v>1057094</v>
      </c>
      <c r="BH26" s="239">
        <v>0</v>
      </c>
      <c r="BI26" s="239">
        <v>21573</v>
      </c>
      <c r="BJ26" s="239">
        <v>2157334</v>
      </c>
      <c r="BK26" s="239">
        <v>-1360324</v>
      </c>
      <c r="BL26" s="239">
        <v>-1333119</v>
      </c>
      <c r="BM26" s="239">
        <v>0</v>
      </c>
      <c r="BN26" s="239">
        <v>-27207</v>
      </c>
      <c r="BO26" s="239">
        <v>-2720650</v>
      </c>
      <c r="BP26" s="239">
        <v>-2316131</v>
      </c>
      <c r="BQ26" s="239">
        <v>-2269811</v>
      </c>
      <c r="BR26" s="239">
        <v>0</v>
      </c>
      <c r="BS26" s="239">
        <v>-46324</v>
      </c>
      <c r="BT26" s="239">
        <v>-4632266</v>
      </c>
      <c r="BU26" s="239">
        <v>-132541</v>
      </c>
      <c r="BV26" s="239">
        <v>-129891</v>
      </c>
      <c r="BW26" s="239">
        <v>0</v>
      </c>
      <c r="BX26" s="239">
        <v>-2651</v>
      </c>
      <c r="BY26" s="239">
        <v>-265083</v>
      </c>
      <c r="BZ26" s="239">
        <v>-671725</v>
      </c>
      <c r="CA26" s="239">
        <v>-658291</v>
      </c>
      <c r="CB26" s="239">
        <v>0</v>
      </c>
      <c r="CC26" s="239">
        <v>-13435</v>
      </c>
      <c r="CD26" s="239">
        <v>-1343451</v>
      </c>
      <c r="CE26" s="239">
        <v>539184</v>
      </c>
      <c r="CF26" s="239">
        <v>528400</v>
      </c>
      <c r="CG26" s="239">
        <v>0</v>
      </c>
      <c r="CH26" s="239">
        <v>10784</v>
      </c>
      <c r="CI26" s="239">
        <v>1078368</v>
      </c>
      <c r="CJ26" s="239">
        <v>23238112</v>
      </c>
      <c r="CK26" s="239">
        <v>22773350</v>
      </c>
      <c r="CL26" s="239">
        <v>0</v>
      </c>
      <c r="CM26" s="239">
        <v>464762</v>
      </c>
      <c r="CN26" s="239">
        <v>46476224</v>
      </c>
      <c r="CO26" s="239">
        <v>22465338</v>
      </c>
      <c r="CP26" s="239">
        <v>22016032</v>
      </c>
      <c r="CQ26" s="239">
        <v>0</v>
      </c>
      <c r="CR26" s="239">
        <v>449307</v>
      </c>
      <c r="CS26" s="239">
        <v>44930677</v>
      </c>
      <c r="CT26" s="239">
        <v>-772774</v>
      </c>
      <c r="CU26" s="239">
        <v>-757318</v>
      </c>
      <c r="CV26" s="239">
        <v>0</v>
      </c>
      <c r="CW26" s="239">
        <v>-15455</v>
      </c>
      <c r="CX26" s="239">
        <v>-1545547</v>
      </c>
      <c r="CY26" s="239">
        <v>-233590</v>
      </c>
      <c r="CZ26" s="239">
        <v>-228918</v>
      </c>
      <c r="DA26" s="239">
        <v>0</v>
      </c>
      <c r="DB26" s="239">
        <v>-4671</v>
      </c>
      <c r="DC26" s="239">
        <v>-467179</v>
      </c>
      <c r="DD26" s="214">
        <v>0.5</v>
      </c>
      <c r="DE26" s="214">
        <v>0.49</v>
      </c>
      <c r="DF26" s="214">
        <v>0</v>
      </c>
      <c r="DG26" s="214">
        <v>0.01</v>
      </c>
      <c r="DH26" s="214">
        <v>1</v>
      </c>
      <c r="DI26" s="214" t="s">
        <v>748</v>
      </c>
    </row>
    <row r="27" spans="2:113" s="214" customFormat="1" x14ac:dyDescent="0.2">
      <c r="B27" s="610" t="s">
        <v>137</v>
      </c>
      <c r="C27" s="610" t="s">
        <v>136</v>
      </c>
      <c r="D27" s="239">
        <v>24107410</v>
      </c>
      <c r="E27" s="239">
        <v>23625261</v>
      </c>
      <c r="F27" s="239">
        <v>0</v>
      </c>
      <c r="G27" s="239">
        <v>482148</v>
      </c>
      <c r="H27" s="239">
        <v>48214819</v>
      </c>
      <c r="I27" s="239">
        <v>0</v>
      </c>
      <c r="J27" s="239">
        <v>0</v>
      </c>
      <c r="K27" s="239">
        <v>24107410</v>
      </c>
      <c r="L27" s="239">
        <v>274824</v>
      </c>
      <c r="M27" s="239">
        <v>274824</v>
      </c>
      <c r="N27" s="239">
        <v>0</v>
      </c>
      <c r="O27" s="239">
        <v>0</v>
      </c>
      <c r="P27" s="239">
        <v>0</v>
      </c>
      <c r="Q27" s="239">
        <v>0</v>
      </c>
      <c r="R27" s="239">
        <v>0</v>
      </c>
      <c r="S27" s="239">
        <v>0</v>
      </c>
      <c r="T27" s="239">
        <v>0</v>
      </c>
      <c r="U27" s="239">
        <v>0</v>
      </c>
      <c r="V27" s="239">
        <v>0</v>
      </c>
      <c r="W27" s="239">
        <v>2306868</v>
      </c>
      <c r="X27" s="239">
        <v>2260731</v>
      </c>
      <c r="Y27" s="239">
        <v>0</v>
      </c>
      <c r="Z27" s="239">
        <v>46137</v>
      </c>
      <c r="AA27" s="239">
        <v>4613736</v>
      </c>
      <c r="AB27" s="239">
        <v>-196092</v>
      </c>
      <c r="AC27" s="239">
        <v>-192171</v>
      </c>
      <c r="AD27" s="239">
        <v>0</v>
      </c>
      <c r="AE27" s="239">
        <v>-3922</v>
      </c>
      <c r="AF27" s="239">
        <v>-392185</v>
      </c>
      <c r="AG27" s="239">
        <v>-925000</v>
      </c>
      <c r="AH27" s="239">
        <v>-906500</v>
      </c>
      <c r="AI27" s="239">
        <v>0</v>
      </c>
      <c r="AJ27" s="239">
        <v>-18500</v>
      </c>
      <c r="AK27" s="239">
        <v>-1850000</v>
      </c>
      <c r="AL27" s="239">
        <v>838232</v>
      </c>
      <c r="AM27" s="239">
        <v>821467</v>
      </c>
      <c r="AN27" s="239">
        <v>0</v>
      </c>
      <c r="AO27" s="239">
        <v>16765</v>
      </c>
      <c r="AP27" s="239">
        <v>1676464</v>
      </c>
      <c r="AQ27" s="239">
        <v>-850000</v>
      </c>
      <c r="AR27" s="239">
        <v>-833000</v>
      </c>
      <c r="AS27" s="239">
        <v>0</v>
      </c>
      <c r="AT27" s="239">
        <v>-17000</v>
      </c>
      <c r="AU27" s="239">
        <v>-1700000</v>
      </c>
      <c r="AV27" s="239">
        <v>-936768</v>
      </c>
      <c r="AW27" s="239">
        <v>-918033</v>
      </c>
      <c r="AX27" s="239">
        <v>0</v>
      </c>
      <c r="AY27" s="239">
        <v>-18735</v>
      </c>
      <c r="AZ27" s="239">
        <v>-1873536</v>
      </c>
      <c r="BA27" s="239">
        <v>-5019000</v>
      </c>
      <c r="BB27" s="239">
        <v>-4918620</v>
      </c>
      <c r="BC27" s="239">
        <v>0</v>
      </c>
      <c r="BD27" s="239">
        <v>-100380</v>
      </c>
      <c r="BE27" s="239">
        <v>-10038000</v>
      </c>
      <c r="BF27" s="239">
        <v>2886798</v>
      </c>
      <c r="BG27" s="239">
        <v>2829062</v>
      </c>
      <c r="BH27" s="239">
        <v>0</v>
      </c>
      <c r="BI27" s="239">
        <v>57736</v>
      </c>
      <c r="BJ27" s="239">
        <v>5773596</v>
      </c>
      <c r="BK27" s="239">
        <v>-1250000</v>
      </c>
      <c r="BL27" s="239">
        <v>-1225000</v>
      </c>
      <c r="BM27" s="239">
        <v>0</v>
      </c>
      <c r="BN27" s="239">
        <v>-25000</v>
      </c>
      <c r="BO27" s="239">
        <v>-2500000</v>
      </c>
      <c r="BP27" s="239">
        <v>-3382202</v>
      </c>
      <c r="BQ27" s="239">
        <v>-3314558</v>
      </c>
      <c r="BR27" s="239">
        <v>0</v>
      </c>
      <c r="BS27" s="239">
        <v>-67644</v>
      </c>
      <c r="BT27" s="239">
        <v>-6764404</v>
      </c>
      <c r="BU27" s="239">
        <v>-5675899</v>
      </c>
      <c r="BV27" s="239">
        <v>-5562381</v>
      </c>
      <c r="BW27" s="239">
        <v>0</v>
      </c>
      <c r="BX27" s="239">
        <v>-113518</v>
      </c>
      <c r="BY27" s="239">
        <v>-11351798</v>
      </c>
      <c r="BZ27" s="239">
        <v>-3765863</v>
      </c>
      <c r="CA27" s="239">
        <v>-3690545</v>
      </c>
      <c r="CB27" s="239">
        <v>0</v>
      </c>
      <c r="CC27" s="239">
        <v>-75317</v>
      </c>
      <c r="CD27" s="239">
        <v>-7531725</v>
      </c>
      <c r="CE27" s="239">
        <v>-1910036</v>
      </c>
      <c r="CF27" s="239">
        <v>-1871836</v>
      </c>
      <c r="CG27" s="239">
        <v>0</v>
      </c>
      <c r="CH27" s="239">
        <v>-38201</v>
      </c>
      <c r="CI27" s="239">
        <v>-3820073</v>
      </c>
      <c r="CJ27" s="239">
        <v>24486767</v>
      </c>
      <c r="CK27" s="239">
        <v>23997031</v>
      </c>
      <c r="CL27" s="239">
        <v>0</v>
      </c>
      <c r="CM27" s="239">
        <v>489735</v>
      </c>
      <c r="CN27" s="239">
        <v>48973533</v>
      </c>
      <c r="CO27" s="239">
        <v>24107410</v>
      </c>
      <c r="CP27" s="239">
        <v>23625261</v>
      </c>
      <c r="CQ27" s="239">
        <v>0</v>
      </c>
      <c r="CR27" s="239">
        <v>482148</v>
      </c>
      <c r="CS27" s="239">
        <v>48214819</v>
      </c>
      <c r="CT27" s="239">
        <v>-379357</v>
      </c>
      <c r="CU27" s="239">
        <v>-371770</v>
      </c>
      <c r="CV27" s="239">
        <v>0</v>
      </c>
      <c r="CW27" s="239">
        <v>-7587</v>
      </c>
      <c r="CX27" s="239">
        <v>-758714</v>
      </c>
      <c r="CY27" s="239">
        <v>-2289393</v>
      </c>
      <c r="CZ27" s="239">
        <v>-2243606</v>
      </c>
      <c r="DA27" s="239">
        <v>0</v>
      </c>
      <c r="DB27" s="239">
        <v>-45788</v>
      </c>
      <c r="DC27" s="239">
        <v>-4578787</v>
      </c>
      <c r="DD27" s="214">
        <v>0.5</v>
      </c>
      <c r="DE27" s="214">
        <v>0.49</v>
      </c>
      <c r="DF27" s="214">
        <v>0</v>
      </c>
      <c r="DG27" s="214">
        <v>0.01</v>
      </c>
      <c r="DH27" s="214">
        <v>1</v>
      </c>
      <c r="DI27" s="214" t="s">
        <v>748</v>
      </c>
    </row>
    <row r="28" spans="2:113" s="214" customFormat="1" x14ac:dyDescent="0.2">
      <c r="B28" s="610" t="s">
        <v>139</v>
      </c>
      <c r="C28" s="610" t="s">
        <v>138</v>
      </c>
      <c r="D28" s="239">
        <v>12050377</v>
      </c>
      <c r="E28" s="239">
        <v>9640302</v>
      </c>
      <c r="F28" s="239">
        <v>2169068</v>
      </c>
      <c r="G28" s="239">
        <v>241008</v>
      </c>
      <c r="H28" s="239">
        <v>24100755</v>
      </c>
      <c r="I28" s="239">
        <v>0</v>
      </c>
      <c r="J28" s="239">
        <v>0</v>
      </c>
      <c r="K28" s="239">
        <v>12050377</v>
      </c>
      <c r="L28" s="239">
        <v>94839</v>
      </c>
      <c r="M28" s="239">
        <v>94839</v>
      </c>
      <c r="N28" s="239">
        <v>0</v>
      </c>
      <c r="O28" s="239">
        <v>0</v>
      </c>
      <c r="P28" s="239">
        <v>0</v>
      </c>
      <c r="Q28" s="239">
        <v>0</v>
      </c>
      <c r="R28" s="239">
        <v>0</v>
      </c>
      <c r="S28" s="239">
        <v>0</v>
      </c>
      <c r="T28" s="239">
        <v>0</v>
      </c>
      <c r="U28" s="239">
        <v>0</v>
      </c>
      <c r="V28" s="239">
        <v>0</v>
      </c>
      <c r="W28" s="239">
        <v>275622</v>
      </c>
      <c r="X28" s="239">
        <v>220497</v>
      </c>
      <c r="Y28" s="239">
        <v>49612</v>
      </c>
      <c r="Z28" s="239">
        <v>5512</v>
      </c>
      <c r="AA28" s="239">
        <v>551243</v>
      </c>
      <c r="AB28" s="239">
        <v>-153416</v>
      </c>
      <c r="AC28" s="239">
        <v>-122733</v>
      </c>
      <c r="AD28" s="239">
        <v>-27615</v>
      </c>
      <c r="AE28" s="239">
        <v>-3068</v>
      </c>
      <c r="AF28" s="239">
        <v>-306832</v>
      </c>
      <c r="AG28" s="239">
        <v>-175218</v>
      </c>
      <c r="AH28" s="239">
        <v>-140175</v>
      </c>
      <c r="AI28" s="239">
        <v>-31539</v>
      </c>
      <c r="AJ28" s="239">
        <v>-3505</v>
      </c>
      <c r="AK28" s="239">
        <v>-350437</v>
      </c>
      <c r="AL28" s="239">
        <v>0</v>
      </c>
      <c r="AM28" s="239">
        <v>0</v>
      </c>
      <c r="AN28" s="239">
        <v>0</v>
      </c>
      <c r="AO28" s="239">
        <v>0</v>
      </c>
      <c r="AP28" s="239">
        <v>0</v>
      </c>
      <c r="AQ28" s="239">
        <v>8494</v>
      </c>
      <c r="AR28" s="239">
        <v>6795</v>
      </c>
      <c r="AS28" s="239">
        <v>1529</v>
      </c>
      <c r="AT28" s="239">
        <v>170</v>
      </c>
      <c r="AU28" s="239">
        <v>16988</v>
      </c>
      <c r="AV28" s="239">
        <v>-166724</v>
      </c>
      <c r="AW28" s="239">
        <v>-133380</v>
      </c>
      <c r="AX28" s="239">
        <v>-30010</v>
      </c>
      <c r="AY28" s="239">
        <v>-3335</v>
      </c>
      <c r="AZ28" s="239">
        <v>-333449</v>
      </c>
      <c r="BA28" s="239">
        <v>-1760432</v>
      </c>
      <c r="BB28" s="239">
        <v>-1408346</v>
      </c>
      <c r="BC28" s="239">
        <v>-316877</v>
      </c>
      <c r="BD28" s="239">
        <v>-35209</v>
      </c>
      <c r="BE28" s="239">
        <v>-3520864</v>
      </c>
      <c r="BF28" s="239">
        <v>545341</v>
      </c>
      <c r="BG28" s="239">
        <v>436274</v>
      </c>
      <c r="BH28" s="239">
        <v>98162</v>
      </c>
      <c r="BI28" s="239">
        <v>10907</v>
      </c>
      <c r="BJ28" s="239">
        <v>1090684</v>
      </c>
      <c r="BK28" s="239">
        <v>-447011</v>
      </c>
      <c r="BL28" s="239">
        <v>-357608</v>
      </c>
      <c r="BM28" s="239">
        <v>-80462</v>
      </c>
      <c r="BN28" s="239">
        <v>-8940</v>
      </c>
      <c r="BO28" s="239">
        <v>-894021</v>
      </c>
      <c r="BP28" s="239">
        <v>-1662102</v>
      </c>
      <c r="BQ28" s="239">
        <v>-1329680</v>
      </c>
      <c r="BR28" s="239">
        <v>-299177</v>
      </c>
      <c r="BS28" s="239">
        <v>-33242</v>
      </c>
      <c r="BT28" s="239">
        <v>-3324201</v>
      </c>
      <c r="BU28" s="239">
        <v>-960249</v>
      </c>
      <c r="BV28" s="239">
        <v>-768200</v>
      </c>
      <c r="BW28" s="239">
        <v>-172845</v>
      </c>
      <c r="BX28" s="239">
        <v>-19205</v>
      </c>
      <c r="BY28" s="239">
        <v>-1920499</v>
      </c>
      <c r="BZ28" s="239">
        <v>-82631</v>
      </c>
      <c r="CA28" s="239">
        <v>-66106</v>
      </c>
      <c r="CB28" s="239">
        <v>-14874</v>
      </c>
      <c r="CC28" s="239">
        <v>-1653</v>
      </c>
      <c r="CD28" s="239">
        <v>-165264</v>
      </c>
      <c r="CE28" s="239">
        <v>-877618</v>
      </c>
      <c r="CF28" s="239">
        <v>-702094</v>
      </c>
      <c r="CG28" s="239">
        <v>-157971</v>
      </c>
      <c r="CH28" s="239">
        <v>-17552</v>
      </c>
      <c r="CI28" s="239">
        <v>-1755235</v>
      </c>
      <c r="CJ28" s="239">
        <v>11981758</v>
      </c>
      <c r="CK28" s="239">
        <v>9585406</v>
      </c>
      <c r="CL28" s="239">
        <v>2156716</v>
      </c>
      <c r="CM28" s="239">
        <v>239635</v>
      </c>
      <c r="CN28" s="239">
        <v>23963515</v>
      </c>
      <c r="CO28" s="239">
        <v>12050377</v>
      </c>
      <c r="CP28" s="239">
        <v>9640302</v>
      </c>
      <c r="CQ28" s="239">
        <v>2169068</v>
      </c>
      <c r="CR28" s="239">
        <v>241008</v>
      </c>
      <c r="CS28" s="239">
        <v>24100755</v>
      </c>
      <c r="CT28" s="239">
        <v>68619</v>
      </c>
      <c r="CU28" s="239">
        <v>54896</v>
      </c>
      <c r="CV28" s="239">
        <v>12352</v>
      </c>
      <c r="CW28" s="239">
        <v>1373</v>
      </c>
      <c r="CX28" s="239">
        <v>137240</v>
      </c>
      <c r="CY28" s="239">
        <v>-808999</v>
      </c>
      <c r="CZ28" s="239">
        <v>-647198</v>
      </c>
      <c r="DA28" s="239">
        <v>-145619</v>
      </c>
      <c r="DB28" s="239">
        <v>-16179</v>
      </c>
      <c r="DC28" s="239">
        <v>-1617995</v>
      </c>
      <c r="DD28" s="214">
        <v>0.5</v>
      </c>
      <c r="DE28" s="214">
        <v>0.4</v>
      </c>
      <c r="DF28" s="214">
        <v>0.09</v>
      </c>
      <c r="DG28" s="214">
        <v>0.01</v>
      </c>
      <c r="DH28" s="214">
        <v>1</v>
      </c>
      <c r="DI28" s="214" t="s">
        <v>1294</v>
      </c>
    </row>
    <row r="29" spans="2:113" s="214" customFormat="1" x14ac:dyDescent="0.2">
      <c r="B29" s="610" t="s">
        <v>141</v>
      </c>
      <c r="C29" s="610" t="s">
        <v>140</v>
      </c>
      <c r="D29" s="239">
        <v>40741850</v>
      </c>
      <c r="E29" s="239">
        <v>39927013</v>
      </c>
      <c r="F29" s="239">
        <v>0</v>
      </c>
      <c r="G29" s="239">
        <v>814837</v>
      </c>
      <c r="H29" s="239">
        <v>81483700</v>
      </c>
      <c r="I29" s="239">
        <v>0</v>
      </c>
      <c r="J29" s="239">
        <v>0</v>
      </c>
      <c r="K29" s="239">
        <v>40741850</v>
      </c>
      <c r="L29" s="239">
        <v>403449</v>
      </c>
      <c r="M29" s="239">
        <v>403449</v>
      </c>
      <c r="N29" s="239">
        <v>0</v>
      </c>
      <c r="O29" s="239">
        <v>0</v>
      </c>
      <c r="P29" s="239">
        <v>0</v>
      </c>
      <c r="Q29" s="239">
        <v>0</v>
      </c>
      <c r="R29" s="239">
        <v>0</v>
      </c>
      <c r="S29" s="239">
        <v>0</v>
      </c>
      <c r="T29" s="239">
        <v>0</v>
      </c>
      <c r="U29" s="239">
        <v>0</v>
      </c>
      <c r="V29" s="239">
        <v>0</v>
      </c>
      <c r="W29" s="239">
        <v>3626258</v>
      </c>
      <c r="X29" s="239">
        <v>3553733</v>
      </c>
      <c r="Y29" s="239">
        <v>0</v>
      </c>
      <c r="Z29" s="239">
        <v>72525</v>
      </c>
      <c r="AA29" s="239">
        <v>7252516</v>
      </c>
      <c r="AB29" s="239">
        <v>-1280381</v>
      </c>
      <c r="AC29" s="239">
        <v>-1254774</v>
      </c>
      <c r="AD29" s="239">
        <v>0</v>
      </c>
      <c r="AE29" s="239">
        <v>-25608</v>
      </c>
      <c r="AF29" s="239">
        <v>-2560763</v>
      </c>
      <c r="AG29" s="239">
        <v>-1763320</v>
      </c>
      <c r="AH29" s="239">
        <v>-1728054</v>
      </c>
      <c r="AI29" s="239">
        <v>0</v>
      </c>
      <c r="AJ29" s="239">
        <v>-35266</v>
      </c>
      <c r="AK29" s="239">
        <v>-3526640</v>
      </c>
      <c r="AL29" s="239">
        <v>1202747</v>
      </c>
      <c r="AM29" s="239">
        <v>1178693</v>
      </c>
      <c r="AN29" s="239">
        <v>0</v>
      </c>
      <c r="AO29" s="239">
        <v>24055</v>
      </c>
      <c r="AP29" s="239">
        <v>2405495</v>
      </c>
      <c r="AQ29" s="239">
        <v>-1595355</v>
      </c>
      <c r="AR29" s="239">
        <v>-1563447</v>
      </c>
      <c r="AS29" s="239">
        <v>0</v>
      </c>
      <c r="AT29" s="239">
        <v>-31907</v>
      </c>
      <c r="AU29" s="239">
        <v>-3190709</v>
      </c>
      <c r="AV29" s="239">
        <v>-2155928</v>
      </c>
      <c r="AW29" s="239">
        <v>-2112808</v>
      </c>
      <c r="AX29" s="239">
        <v>0</v>
      </c>
      <c r="AY29" s="239">
        <v>-43118</v>
      </c>
      <c r="AZ29" s="239">
        <v>-4311854</v>
      </c>
      <c r="BA29" s="239">
        <v>-5224192</v>
      </c>
      <c r="BB29" s="239">
        <v>-5119708</v>
      </c>
      <c r="BC29" s="239">
        <v>0</v>
      </c>
      <c r="BD29" s="239">
        <v>-104484</v>
      </c>
      <c r="BE29" s="239">
        <v>-10448384</v>
      </c>
      <c r="BF29" s="239">
        <v>3034565</v>
      </c>
      <c r="BG29" s="239">
        <v>2973874</v>
      </c>
      <c r="BH29" s="239">
        <v>0</v>
      </c>
      <c r="BI29" s="239">
        <v>60691</v>
      </c>
      <c r="BJ29" s="239">
        <v>6069130</v>
      </c>
      <c r="BK29" s="239">
        <v>-1735235</v>
      </c>
      <c r="BL29" s="239">
        <v>-1700531</v>
      </c>
      <c r="BM29" s="239">
        <v>0</v>
      </c>
      <c r="BN29" s="239">
        <v>-34705</v>
      </c>
      <c r="BO29" s="239">
        <v>-3470471</v>
      </c>
      <c r="BP29" s="239">
        <v>-3924862</v>
      </c>
      <c r="BQ29" s="239">
        <v>-3846365</v>
      </c>
      <c r="BR29" s="239">
        <v>0</v>
      </c>
      <c r="BS29" s="239">
        <v>-78498</v>
      </c>
      <c r="BT29" s="239">
        <v>-7849725</v>
      </c>
      <c r="BU29" s="239">
        <v>-7361500</v>
      </c>
      <c r="BV29" s="239">
        <v>-7214270</v>
      </c>
      <c r="BW29" s="239">
        <v>0</v>
      </c>
      <c r="BX29" s="239">
        <v>-147230</v>
      </c>
      <c r="BY29" s="239">
        <v>-14723000</v>
      </c>
      <c r="BZ29" s="239">
        <v>-2461470</v>
      </c>
      <c r="CA29" s="239">
        <v>-2412240</v>
      </c>
      <c r="CB29" s="239">
        <v>0</v>
      </c>
      <c r="CC29" s="239">
        <v>-49229</v>
      </c>
      <c r="CD29" s="239">
        <v>-4922939</v>
      </c>
      <c r="CE29" s="239">
        <v>-4900030</v>
      </c>
      <c r="CF29" s="239">
        <v>-4802030</v>
      </c>
      <c r="CG29" s="239">
        <v>0</v>
      </c>
      <c r="CH29" s="239">
        <v>-98001</v>
      </c>
      <c r="CI29" s="239">
        <v>-9800061</v>
      </c>
      <c r="CJ29" s="239">
        <v>43671056</v>
      </c>
      <c r="CK29" s="239">
        <v>42797635</v>
      </c>
      <c r="CL29" s="239">
        <v>0</v>
      </c>
      <c r="CM29" s="239">
        <v>873421</v>
      </c>
      <c r="CN29" s="239">
        <v>87342112</v>
      </c>
      <c r="CO29" s="239">
        <v>40741850</v>
      </c>
      <c r="CP29" s="239">
        <v>39927013</v>
      </c>
      <c r="CQ29" s="239">
        <v>0</v>
      </c>
      <c r="CR29" s="239">
        <v>814837</v>
      </c>
      <c r="CS29" s="239">
        <v>81483700</v>
      </c>
      <c r="CT29" s="239">
        <v>-2929206</v>
      </c>
      <c r="CU29" s="239">
        <v>-2870622</v>
      </c>
      <c r="CV29" s="239">
        <v>0</v>
      </c>
      <c r="CW29" s="239">
        <v>-58584</v>
      </c>
      <c r="CX29" s="239">
        <v>-5858412</v>
      </c>
      <c r="CY29" s="239">
        <v>-7829236</v>
      </c>
      <c r="CZ29" s="239">
        <v>-7672652</v>
      </c>
      <c r="DA29" s="239">
        <v>0</v>
      </c>
      <c r="DB29" s="239">
        <v>-156585</v>
      </c>
      <c r="DC29" s="239">
        <v>-15658473</v>
      </c>
      <c r="DD29" s="214">
        <v>0.5</v>
      </c>
      <c r="DE29" s="214">
        <v>0.49</v>
      </c>
      <c r="DF29" s="214">
        <v>0</v>
      </c>
      <c r="DG29" s="214">
        <v>0.01</v>
      </c>
      <c r="DH29" s="214">
        <v>1</v>
      </c>
      <c r="DI29" s="214" t="s">
        <v>1296</v>
      </c>
    </row>
    <row r="30" spans="2:113" s="214" customFormat="1" x14ac:dyDescent="0.2">
      <c r="B30" s="610" t="s">
        <v>143</v>
      </c>
      <c r="C30" s="610" t="s">
        <v>142</v>
      </c>
      <c r="D30" s="239">
        <v>9009403</v>
      </c>
      <c r="E30" s="239">
        <v>7207523</v>
      </c>
      <c r="F30" s="239">
        <v>1801881</v>
      </c>
      <c r="G30" s="239">
        <v>0</v>
      </c>
      <c r="H30" s="239">
        <v>18018807</v>
      </c>
      <c r="I30" s="239">
        <v>0</v>
      </c>
      <c r="J30" s="239">
        <v>0</v>
      </c>
      <c r="K30" s="239">
        <v>9009403</v>
      </c>
      <c r="L30" s="239">
        <v>87533</v>
      </c>
      <c r="M30" s="239">
        <v>87533</v>
      </c>
      <c r="N30" s="239">
        <v>0</v>
      </c>
      <c r="O30" s="239">
        <v>0</v>
      </c>
      <c r="P30" s="239">
        <v>110374</v>
      </c>
      <c r="Q30" s="239">
        <v>0</v>
      </c>
      <c r="R30" s="239">
        <v>110374</v>
      </c>
      <c r="S30" s="239">
        <v>0</v>
      </c>
      <c r="T30" s="239">
        <v>0</v>
      </c>
      <c r="U30" s="239">
        <v>0</v>
      </c>
      <c r="V30" s="239">
        <v>0</v>
      </c>
      <c r="W30" s="239">
        <v>401757</v>
      </c>
      <c r="X30" s="239">
        <v>321406</v>
      </c>
      <c r="Y30" s="239">
        <v>80352</v>
      </c>
      <c r="Z30" s="239">
        <v>0</v>
      </c>
      <c r="AA30" s="239">
        <v>803515</v>
      </c>
      <c r="AB30" s="239">
        <v>-711577</v>
      </c>
      <c r="AC30" s="239">
        <v>-569261</v>
      </c>
      <c r="AD30" s="239">
        <v>-142315</v>
      </c>
      <c r="AE30" s="239">
        <v>0</v>
      </c>
      <c r="AF30" s="239">
        <v>-1423153</v>
      </c>
      <c r="AG30" s="239">
        <v>-210305</v>
      </c>
      <c r="AH30" s="239">
        <v>-168243</v>
      </c>
      <c r="AI30" s="239">
        <v>-42061</v>
      </c>
      <c r="AJ30" s="239">
        <v>0</v>
      </c>
      <c r="AK30" s="239">
        <v>-420609</v>
      </c>
      <c r="AL30" s="239">
        <v>179931</v>
      </c>
      <c r="AM30" s="239">
        <v>143945</v>
      </c>
      <c r="AN30" s="239">
        <v>35986</v>
      </c>
      <c r="AO30" s="239">
        <v>0</v>
      </c>
      <c r="AP30" s="239">
        <v>359862</v>
      </c>
      <c r="AQ30" s="239">
        <v>-55931</v>
      </c>
      <c r="AR30" s="239">
        <v>-44745</v>
      </c>
      <c r="AS30" s="239">
        <v>-11186</v>
      </c>
      <c r="AT30" s="239">
        <v>0</v>
      </c>
      <c r="AU30" s="239">
        <v>-111862</v>
      </c>
      <c r="AV30" s="239">
        <v>-86305</v>
      </c>
      <c r="AW30" s="239">
        <v>-69043</v>
      </c>
      <c r="AX30" s="239">
        <v>-17261</v>
      </c>
      <c r="AY30" s="239">
        <v>0</v>
      </c>
      <c r="AZ30" s="239">
        <v>-172609</v>
      </c>
      <c r="BA30" s="239">
        <v>-1103729</v>
      </c>
      <c r="BB30" s="239">
        <v>-882983</v>
      </c>
      <c r="BC30" s="239">
        <v>-220746</v>
      </c>
      <c r="BD30" s="239">
        <v>0</v>
      </c>
      <c r="BE30" s="239">
        <v>-2207458</v>
      </c>
      <c r="BF30" s="239">
        <v>0</v>
      </c>
      <c r="BG30" s="239">
        <v>0</v>
      </c>
      <c r="BH30" s="239">
        <v>0</v>
      </c>
      <c r="BI30" s="239">
        <v>0</v>
      </c>
      <c r="BJ30" s="239">
        <v>0</v>
      </c>
      <c r="BK30" s="239">
        <v>0</v>
      </c>
      <c r="BL30" s="239">
        <v>0</v>
      </c>
      <c r="BM30" s="239">
        <v>0</v>
      </c>
      <c r="BN30" s="239">
        <v>0</v>
      </c>
      <c r="BO30" s="239">
        <v>0</v>
      </c>
      <c r="BP30" s="239">
        <v>-1103729</v>
      </c>
      <c r="BQ30" s="239">
        <v>-882983</v>
      </c>
      <c r="BR30" s="239">
        <v>-220746</v>
      </c>
      <c r="BS30" s="239">
        <v>0</v>
      </c>
      <c r="BT30" s="239">
        <v>-2207458</v>
      </c>
      <c r="BU30" s="239">
        <v>-1021907</v>
      </c>
      <c r="BV30" s="239">
        <v>-817526</v>
      </c>
      <c r="BW30" s="239">
        <v>-204381</v>
      </c>
      <c r="BX30" s="239">
        <v>0</v>
      </c>
      <c r="BY30" s="239">
        <v>-2043814</v>
      </c>
      <c r="BZ30" s="239">
        <v>-621758</v>
      </c>
      <c r="CA30" s="239">
        <v>-497406</v>
      </c>
      <c r="CB30" s="239">
        <v>-124352</v>
      </c>
      <c r="CC30" s="239">
        <v>0</v>
      </c>
      <c r="CD30" s="239">
        <v>-1243516</v>
      </c>
      <c r="CE30" s="239">
        <v>-400149</v>
      </c>
      <c r="CF30" s="239">
        <v>-320120</v>
      </c>
      <c r="CG30" s="239">
        <v>-80029</v>
      </c>
      <c r="CH30" s="239">
        <v>0</v>
      </c>
      <c r="CI30" s="239">
        <v>-800298</v>
      </c>
      <c r="CJ30" s="239">
        <v>9479838</v>
      </c>
      <c r="CK30" s="239">
        <v>7583870</v>
      </c>
      <c r="CL30" s="239">
        <v>1895968</v>
      </c>
      <c r="CM30" s="239">
        <v>0</v>
      </c>
      <c r="CN30" s="239">
        <v>18959676</v>
      </c>
      <c r="CO30" s="239">
        <v>9009403</v>
      </c>
      <c r="CP30" s="239">
        <v>7207523</v>
      </c>
      <c r="CQ30" s="239">
        <v>1801881</v>
      </c>
      <c r="CR30" s="239">
        <v>0</v>
      </c>
      <c r="CS30" s="239">
        <v>18018807</v>
      </c>
      <c r="CT30" s="239">
        <v>-470435</v>
      </c>
      <c r="CU30" s="239">
        <v>-376347</v>
      </c>
      <c r="CV30" s="239">
        <v>-94087</v>
      </c>
      <c r="CW30" s="239">
        <v>0</v>
      </c>
      <c r="CX30" s="239">
        <v>-940869</v>
      </c>
      <c r="CY30" s="239">
        <v>-870584</v>
      </c>
      <c r="CZ30" s="239">
        <v>-696467</v>
      </c>
      <c r="DA30" s="239">
        <v>-174116</v>
      </c>
      <c r="DB30" s="239">
        <v>0</v>
      </c>
      <c r="DC30" s="239">
        <v>-1741167</v>
      </c>
      <c r="DD30" s="214">
        <v>0.5</v>
      </c>
      <c r="DE30" s="214">
        <v>0.4</v>
      </c>
      <c r="DF30" s="214">
        <v>0.1</v>
      </c>
      <c r="DG30" s="214">
        <v>0</v>
      </c>
      <c r="DH30" s="214">
        <v>1</v>
      </c>
      <c r="DI30" s="214" t="s">
        <v>1294</v>
      </c>
    </row>
    <row r="31" spans="2:113" s="214" customFormat="1" x14ac:dyDescent="0.2">
      <c r="B31" s="610" t="s">
        <v>145</v>
      </c>
      <c r="C31" s="610" t="s">
        <v>144</v>
      </c>
      <c r="D31" s="239">
        <v>33293345</v>
      </c>
      <c r="E31" s="239">
        <v>32627478</v>
      </c>
      <c r="F31" s="239">
        <v>0</v>
      </c>
      <c r="G31" s="239">
        <v>665867</v>
      </c>
      <c r="H31" s="239">
        <v>66586690</v>
      </c>
      <c r="I31" s="239">
        <v>0</v>
      </c>
      <c r="J31" s="239">
        <v>0</v>
      </c>
      <c r="K31" s="239">
        <v>33293345</v>
      </c>
      <c r="L31" s="239">
        <v>302552</v>
      </c>
      <c r="M31" s="239">
        <v>302552</v>
      </c>
      <c r="N31" s="239">
        <v>0</v>
      </c>
      <c r="O31" s="239">
        <v>0</v>
      </c>
      <c r="P31" s="239">
        <v>189</v>
      </c>
      <c r="Q31" s="239">
        <v>0</v>
      </c>
      <c r="R31" s="239">
        <v>189</v>
      </c>
      <c r="S31" s="239">
        <v>0</v>
      </c>
      <c r="T31" s="239">
        <v>0</v>
      </c>
      <c r="U31" s="239">
        <v>0</v>
      </c>
      <c r="V31" s="239">
        <v>0</v>
      </c>
      <c r="W31" s="239">
        <v>1846519</v>
      </c>
      <c r="X31" s="239">
        <v>1809589</v>
      </c>
      <c r="Y31" s="239">
        <v>0</v>
      </c>
      <c r="Z31" s="239">
        <v>36930</v>
      </c>
      <c r="AA31" s="239">
        <v>3693038</v>
      </c>
      <c r="AB31" s="239">
        <v>-152440</v>
      </c>
      <c r="AC31" s="239">
        <v>-149391</v>
      </c>
      <c r="AD31" s="239">
        <v>0</v>
      </c>
      <c r="AE31" s="239">
        <v>-3049</v>
      </c>
      <c r="AF31" s="239">
        <v>-304880</v>
      </c>
      <c r="AG31" s="239">
        <v>-834387</v>
      </c>
      <c r="AH31" s="239">
        <v>-817699</v>
      </c>
      <c r="AI31" s="239">
        <v>0</v>
      </c>
      <c r="AJ31" s="239">
        <v>-16688</v>
      </c>
      <c r="AK31" s="239">
        <v>-1668774</v>
      </c>
      <c r="AL31" s="239">
        <v>244695</v>
      </c>
      <c r="AM31" s="239">
        <v>239802</v>
      </c>
      <c r="AN31" s="239">
        <v>0</v>
      </c>
      <c r="AO31" s="239">
        <v>4894</v>
      </c>
      <c r="AP31" s="239">
        <v>489391</v>
      </c>
      <c r="AQ31" s="239">
        <v>-328492</v>
      </c>
      <c r="AR31" s="239">
        <v>-321922</v>
      </c>
      <c r="AS31" s="239">
        <v>0</v>
      </c>
      <c r="AT31" s="239">
        <v>-6570</v>
      </c>
      <c r="AU31" s="239">
        <v>-656984</v>
      </c>
      <c r="AV31" s="239">
        <v>-918184</v>
      </c>
      <c r="AW31" s="239">
        <v>-899819</v>
      </c>
      <c r="AX31" s="239">
        <v>0</v>
      </c>
      <c r="AY31" s="239">
        <v>-18364</v>
      </c>
      <c r="AZ31" s="239">
        <v>-1836367</v>
      </c>
      <c r="BA31" s="239">
        <v>-818510</v>
      </c>
      <c r="BB31" s="239">
        <v>-802140</v>
      </c>
      <c r="BC31" s="239">
        <v>0</v>
      </c>
      <c r="BD31" s="239">
        <v>-16370</v>
      </c>
      <c r="BE31" s="239">
        <v>-1637020</v>
      </c>
      <c r="BF31" s="239">
        <v>417472</v>
      </c>
      <c r="BG31" s="239">
        <v>409122</v>
      </c>
      <c r="BH31" s="239">
        <v>0</v>
      </c>
      <c r="BI31" s="239">
        <v>8349</v>
      </c>
      <c r="BJ31" s="239">
        <v>834943</v>
      </c>
      <c r="BK31" s="239">
        <v>0</v>
      </c>
      <c r="BL31" s="239">
        <v>0</v>
      </c>
      <c r="BM31" s="239">
        <v>0</v>
      </c>
      <c r="BN31" s="239">
        <v>0</v>
      </c>
      <c r="BO31" s="239">
        <v>0</v>
      </c>
      <c r="BP31" s="239">
        <v>-401038</v>
      </c>
      <c r="BQ31" s="239">
        <v>-393018</v>
      </c>
      <c r="BR31" s="239">
        <v>0</v>
      </c>
      <c r="BS31" s="239">
        <v>-8021</v>
      </c>
      <c r="BT31" s="239">
        <v>-802077</v>
      </c>
      <c r="BU31" s="239">
        <v>-2397652</v>
      </c>
      <c r="BV31" s="239">
        <v>-2349699</v>
      </c>
      <c r="BW31" s="239">
        <v>0</v>
      </c>
      <c r="BX31" s="239">
        <v>-47953</v>
      </c>
      <c r="BY31" s="239">
        <v>-4795304</v>
      </c>
      <c r="BZ31" s="239">
        <v>-2546104</v>
      </c>
      <c r="CA31" s="239">
        <v>-2495181</v>
      </c>
      <c r="CB31" s="239">
        <v>0</v>
      </c>
      <c r="CC31" s="239">
        <v>-50922</v>
      </c>
      <c r="CD31" s="239">
        <v>-5092207</v>
      </c>
      <c r="CE31" s="239">
        <v>148452</v>
      </c>
      <c r="CF31" s="239">
        <v>145482</v>
      </c>
      <c r="CG31" s="239">
        <v>0</v>
      </c>
      <c r="CH31" s="239">
        <v>2969</v>
      </c>
      <c r="CI31" s="239">
        <v>296903</v>
      </c>
      <c r="CJ31" s="239">
        <v>33119313</v>
      </c>
      <c r="CK31" s="239">
        <v>32456926</v>
      </c>
      <c r="CL31" s="239">
        <v>0</v>
      </c>
      <c r="CM31" s="239">
        <v>662386</v>
      </c>
      <c r="CN31" s="239">
        <v>66238625</v>
      </c>
      <c r="CO31" s="239">
        <v>33293345</v>
      </c>
      <c r="CP31" s="239">
        <v>32627478</v>
      </c>
      <c r="CQ31" s="239">
        <v>0</v>
      </c>
      <c r="CR31" s="239">
        <v>665867</v>
      </c>
      <c r="CS31" s="239">
        <v>66586690</v>
      </c>
      <c r="CT31" s="239">
        <v>174032</v>
      </c>
      <c r="CU31" s="239">
        <v>170552</v>
      </c>
      <c r="CV31" s="239">
        <v>0</v>
      </c>
      <c r="CW31" s="239">
        <v>3481</v>
      </c>
      <c r="CX31" s="239">
        <v>348065</v>
      </c>
      <c r="CY31" s="239">
        <v>322484</v>
      </c>
      <c r="CZ31" s="239">
        <v>316034</v>
      </c>
      <c r="DA31" s="239">
        <v>0</v>
      </c>
      <c r="DB31" s="239">
        <v>6450</v>
      </c>
      <c r="DC31" s="239">
        <v>644968</v>
      </c>
      <c r="DD31" s="214">
        <v>0.5</v>
      </c>
      <c r="DE31" s="214">
        <v>0.49</v>
      </c>
      <c r="DF31" s="214">
        <v>0</v>
      </c>
      <c r="DG31" s="214">
        <v>0.01</v>
      </c>
      <c r="DH31" s="214">
        <v>1</v>
      </c>
      <c r="DI31" s="214" t="s">
        <v>748</v>
      </c>
    </row>
    <row r="32" spans="2:113" s="214" customFormat="1" x14ac:dyDescent="0.2">
      <c r="B32" s="610" t="s">
        <v>147</v>
      </c>
      <c r="C32" s="610" t="s">
        <v>146</v>
      </c>
      <c r="D32" s="239">
        <v>36236059</v>
      </c>
      <c r="E32" s="239">
        <v>35511338</v>
      </c>
      <c r="F32" s="239">
        <v>0</v>
      </c>
      <c r="G32" s="239">
        <v>724721</v>
      </c>
      <c r="H32" s="239">
        <v>72472118</v>
      </c>
      <c r="I32" s="239">
        <v>0</v>
      </c>
      <c r="J32" s="239">
        <v>0</v>
      </c>
      <c r="K32" s="239">
        <v>36236059</v>
      </c>
      <c r="L32" s="239">
        <v>150666</v>
      </c>
      <c r="M32" s="239">
        <v>150666</v>
      </c>
      <c r="N32" s="239">
        <v>0</v>
      </c>
      <c r="O32" s="239">
        <v>0</v>
      </c>
      <c r="P32" s="239">
        <v>758</v>
      </c>
      <c r="Q32" s="239">
        <v>0</v>
      </c>
      <c r="R32" s="239">
        <v>758</v>
      </c>
      <c r="S32" s="239">
        <v>0</v>
      </c>
      <c r="T32" s="239">
        <v>0</v>
      </c>
      <c r="U32" s="239">
        <v>0</v>
      </c>
      <c r="V32" s="239">
        <v>0</v>
      </c>
      <c r="W32" s="239">
        <v>798660</v>
      </c>
      <c r="X32" s="239">
        <v>782687</v>
      </c>
      <c r="Y32" s="239">
        <v>0</v>
      </c>
      <c r="Z32" s="239">
        <v>15973</v>
      </c>
      <c r="AA32" s="239">
        <v>1597320</v>
      </c>
      <c r="AB32" s="239">
        <v>-8579565</v>
      </c>
      <c r="AC32" s="239">
        <v>-8407973</v>
      </c>
      <c r="AD32" s="239">
        <v>0</v>
      </c>
      <c r="AE32" s="239">
        <v>-171591</v>
      </c>
      <c r="AF32" s="239">
        <v>-17159129</v>
      </c>
      <c r="AG32" s="239">
        <v>-1129300</v>
      </c>
      <c r="AH32" s="239">
        <v>-1106714</v>
      </c>
      <c r="AI32" s="239">
        <v>0</v>
      </c>
      <c r="AJ32" s="239">
        <v>-22586</v>
      </c>
      <c r="AK32" s="239">
        <v>-2258600</v>
      </c>
      <c r="AL32" s="239">
        <v>0</v>
      </c>
      <c r="AM32" s="239">
        <v>0</v>
      </c>
      <c r="AN32" s="239">
        <v>0</v>
      </c>
      <c r="AO32" s="239">
        <v>0</v>
      </c>
      <c r="AP32" s="239">
        <v>0</v>
      </c>
      <c r="AQ32" s="239">
        <v>806400</v>
      </c>
      <c r="AR32" s="239">
        <v>790272</v>
      </c>
      <c r="AS32" s="239">
        <v>0</v>
      </c>
      <c r="AT32" s="239">
        <v>16128</v>
      </c>
      <c r="AU32" s="239">
        <v>1612800</v>
      </c>
      <c r="AV32" s="239">
        <v>-322900</v>
      </c>
      <c r="AW32" s="239">
        <v>-316442</v>
      </c>
      <c r="AX32" s="239">
        <v>0</v>
      </c>
      <c r="AY32" s="239">
        <v>-6458</v>
      </c>
      <c r="AZ32" s="239">
        <v>-645800</v>
      </c>
      <c r="BA32" s="239">
        <v>-11029517</v>
      </c>
      <c r="BB32" s="239">
        <v>-10808926</v>
      </c>
      <c r="BC32" s="239">
        <v>0</v>
      </c>
      <c r="BD32" s="239">
        <v>-220591</v>
      </c>
      <c r="BE32" s="239">
        <v>-22059034</v>
      </c>
      <c r="BF32" s="239">
        <v>10158471</v>
      </c>
      <c r="BG32" s="239">
        <v>9955301</v>
      </c>
      <c r="BH32" s="239">
        <v>0</v>
      </c>
      <c r="BI32" s="239">
        <v>203169</v>
      </c>
      <c r="BJ32" s="239">
        <v>20316941</v>
      </c>
      <c r="BK32" s="239">
        <v>-938889</v>
      </c>
      <c r="BL32" s="239">
        <v>-920112</v>
      </c>
      <c r="BM32" s="239">
        <v>0</v>
      </c>
      <c r="BN32" s="239">
        <v>-18778</v>
      </c>
      <c r="BO32" s="239">
        <v>-1877779</v>
      </c>
      <c r="BP32" s="239">
        <v>-1809935</v>
      </c>
      <c r="BQ32" s="239">
        <v>-1773737</v>
      </c>
      <c r="BR32" s="239">
        <v>0</v>
      </c>
      <c r="BS32" s="239">
        <v>-36200</v>
      </c>
      <c r="BT32" s="239">
        <v>-3619872</v>
      </c>
      <c r="BU32" s="239">
        <v>-6251915</v>
      </c>
      <c r="BV32" s="239">
        <v>-6126876</v>
      </c>
      <c r="BW32" s="239">
        <v>0</v>
      </c>
      <c r="BX32" s="239">
        <v>-125038</v>
      </c>
      <c r="BY32" s="239">
        <v>-12503829</v>
      </c>
      <c r="BZ32" s="239">
        <v>185921</v>
      </c>
      <c r="CA32" s="239">
        <v>182203</v>
      </c>
      <c r="CB32" s="239">
        <v>0</v>
      </c>
      <c r="CC32" s="239">
        <v>3718</v>
      </c>
      <c r="CD32" s="239">
        <v>371842</v>
      </c>
      <c r="CE32" s="239">
        <v>-6437836</v>
      </c>
      <c r="CF32" s="239">
        <v>-6309079</v>
      </c>
      <c r="CG32" s="239">
        <v>0</v>
      </c>
      <c r="CH32" s="239">
        <v>-128756</v>
      </c>
      <c r="CI32" s="239">
        <v>-12875671</v>
      </c>
      <c r="CJ32" s="239">
        <v>36005761</v>
      </c>
      <c r="CK32" s="239">
        <v>35285645</v>
      </c>
      <c r="CL32" s="239">
        <v>0</v>
      </c>
      <c r="CM32" s="239">
        <v>720115</v>
      </c>
      <c r="CN32" s="239">
        <v>72011521</v>
      </c>
      <c r="CO32" s="239">
        <v>36236059</v>
      </c>
      <c r="CP32" s="239">
        <v>35511338</v>
      </c>
      <c r="CQ32" s="239">
        <v>0</v>
      </c>
      <c r="CR32" s="239">
        <v>724721</v>
      </c>
      <c r="CS32" s="239">
        <v>72472118</v>
      </c>
      <c r="CT32" s="239">
        <v>230298</v>
      </c>
      <c r="CU32" s="239">
        <v>225693</v>
      </c>
      <c r="CV32" s="239">
        <v>0</v>
      </c>
      <c r="CW32" s="239">
        <v>4606</v>
      </c>
      <c r="CX32" s="239">
        <v>460597</v>
      </c>
      <c r="CY32" s="239">
        <v>-6207538</v>
      </c>
      <c r="CZ32" s="239">
        <v>-6083386</v>
      </c>
      <c r="DA32" s="239">
        <v>0</v>
      </c>
      <c r="DB32" s="239">
        <v>-124150</v>
      </c>
      <c r="DC32" s="239">
        <v>-12415074</v>
      </c>
      <c r="DD32" s="214">
        <v>0.5</v>
      </c>
      <c r="DE32" s="214">
        <v>0.49</v>
      </c>
      <c r="DF32" s="214">
        <v>0</v>
      </c>
      <c r="DG32" s="214">
        <v>0.01</v>
      </c>
      <c r="DH32" s="214">
        <v>1</v>
      </c>
      <c r="DI32" s="214" t="s">
        <v>748</v>
      </c>
    </row>
    <row r="33" spans="1:113" s="214" customFormat="1" x14ac:dyDescent="0.2">
      <c r="B33" s="610" t="s">
        <v>149</v>
      </c>
      <c r="C33" s="610" t="s">
        <v>148</v>
      </c>
      <c r="D33" s="239">
        <v>65458605</v>
      </c>
      <c r="E33" s="239">
        <v>64149433</v>
      </c>
      <c r="F33" s="239">
        <v>0</v>
      </c>
      <c r="G33" s="239">
        <v>1309172</v>
      </c>
      <c r="H33" s="239">
        <v>130917210</v>
      </c>
      <c r="I33" s="239">
        <v>0</v>
      </c>
      <c r="J33" s="239">
        <v>0</v>
      </c>
      <c r="K33" s="239">
        <v>65458605</v>
      </c>
      <c r="L33" s="239">
        <v>738017</v>
      </c>
      <c r="M33" s="239">
        <v>738017</v>
      </c>
      <c r="N33" s="239">
        <v>0</v>
      </c>
      <c r="O33" s="239">
        <v>0</v>
      </c>
      <c r="P33" s="239">
        <v>0</v>
      </c>
      <c r="Q33" s="239">
        <v>0</v>
      </c>
      <c r="R33" s="239">
        <v>0</v>
      </c>
      <c r="S33" s="239">
        <v>0</v>
      </c>
      <c r="T33" s="239">
        <v>0</v>
      </c>
      <c r="U33" s="239">
        <v>0</v>
      </c>
      <c r="V33" s="239">
        <v>0</v>
      </c>
      <c r="W33" s="239">
        <v>5449265</v>
      </c>
      <c r="X33" s="239">
        <v>5340279</v>
      </c>
      <c r="Y33" s="239">
        <v>0</v>
      </c>
      <c r="Z33" s="239">
        <v>108985</v>
      </c>
      <c r="AA33" s="239">
        <v>10898529</v>
      </c>
      <c r="AB33" s="239">
        <v>-561455</v>
      </c>
      <c r="AC33" s="239">
        <v>-550225</v>
      </c>
      <c r="AD33" s="239">
        <v>0</v>
      </c>
      <c r="AE33" s="239">
        <v>-11229</v>
      </c>
      <c r="AF33" s="239">
        <v>-1122909</v>
      </c>
      <c r="AG33" s="239">
        <v>-2965408</v>
      </c>
      <c r="AH33" s="239">
        <v>-2906100</v>
      </c>
      <c r="AI33" s="239">
        <v>0</v>
      </c>
      <c r="AJ33" s="239">
        <v>-59308</v>
      </c>
      <c r="AK33" s="239">
        <v>-5930816</v>
      </c>
      <c r="AL33" s="239">
        <v>1520321</v>
      </c>
      <c r="AM33" s="239">
        <v>1489915</v>
      </c>
      <c r="AN33" s="239">
        <v>0</v>
      </c>
      <c r="AO33" s="239">
        <v>30406</v>
      </c>
      <c r="AP33" s="239">
        <v>3040642</v>
      </c>
      <c r="AQ33" s="239">
        <v>-1618761</v>
      </c>
      <c r="AR33" s="239">
        <v>-1586385</v>
      </c>
      <c r="AS33" s="239">
        <v>0</v>
      </c>
      <c r="AT33" s="239">
        <v>-32375</v>
      </c>
      <c r="AU33" s="239">
        <v>-3237521</v>
      </c>
      <c r="AV33" s="239">
        <v>-3063848</v>
      </c>
      <c r="AW33" s="239">
        <v>-3002570</v>
      </c>
      <c r="AX33" s="239">
        <v>0</v>
      </c>
      <c r="AY33" s="239">
        <v>-61277</v>
      </c>
      <c r="AZ33" s="239">
        <v>-6127695</v>
      </c>
      <c r="BA33" s="239">
        <v>-7679571</v>
      </c>
      <c r="BB33" s="239">
        <v>-7525980</v>
      </c>
      <c r="BC33" s="239">
        <v>0</v>
      </c>
      <c r="BD33" s="239">
        <v>-153591</v>
      </c>
      <c r="BE33" s="239">
        <v>-15359142</v>
      </c>
      <c r="BF33" s="239">
        <v>5016786</v>
      </c>
      <c r="BG33" s="239">
        <v>4916451</v>
      </c>
      <c r="BH33" s="239">
        <v>0</v>
      </c>
      <c r="BI33" s="239">
        <v>100336</v>
      </c>
      <c r="BJ33" s="239">
        <v>10033573</v>
      </c>
      <c r="BK33" s="239">
        <v>-3456938</v>
      </c>
      <c r="BL33" s="239">
        <v>-3387799</v>
      </c>
      <c r="BM33" s="239">
        <v>0</v>
      </c>
      <c r="BN33" s="239">
        <v>-69139</v>
      </c>
      <c r="BO33" s="239">
        <v>-6913876</v>
      </c>
      <c r="BP33" s="239">
        <v>-6119723</v>
      </c>
      <c r="BQ33" s="239">
        <v>-5997328</v>
      </c>
      <c r="BR33" s="239">
        <v>0</v>
      </c>
      <c r="BS33" s="239">
        <v>-122394</v>
      </c>
      <c r="BT33" s="239">
        <v>-12239445</v>
      </c>
      <c r="BU33" s="239">
        <v>-7275429</v>
      </c>
      <c r="BV33" s="239">
        <v>-7129921</v>
      </c>
      <c r="BW33" s="239">
        <v>0</v>
      </c>
      <c r="BX33" s="239">
        <v>-145509</v>
      </c>
      <c r="BY33" s="239">
        <v>-14550859</v>
      </c>
      <c r="BZ33" s="239">
        <v>207483</v>
      </c>
      <c r="CA33" s="239">
        <v>203333</v>
      </c>
      <c r="CB33" s="239">
        <v>0</v>
      </c>
      <c r="CC33" s="239">
        <v>4150</v>
      </c>
      <c r="CD33" s="239">
        <v>414966</v>
      </c>
      <c r="CE33" s="239">
        <v>-7482912</v>
      </c>
      <c r="CF33" s="239">
        <v>-7333254</v>
      </c>
      <c r="CG33" s="239">
        <v>0</v>
      </c>
      <c r="CH33" s="239">
        <v>-149659</v>
      </c>
      <c r="CI33" s="239">
        <v>-14965825</v>
      </c>
      <c r="CJ33" s="239">
        <v>69916383</v>
      </c>
      <c r="CK33" s="239">
        <v>68518055</v>
      </c>
      <c r="CL33" s="239">
        <v>0</v>
      </c>
      <c r="CM33" s="239">
        <v>1398328</v>
      </c>
      <c r="CN33" s="239">
        <v>139832766</v>
      </c>
      <c r="CO33" s="239">
        <v>65458605</v>
      </c>
      <c r="CP33" s="239">
        <v>64149433</v>
      </c>
      <c r="CQ33" s="239">
        <v>0</v>
      </c>
      <c r="CR33" s="239">
        <v>1309172</v>
      </c>
      <c r="CS33" s="239">
        <v>130917210</v>
      </c>
      <c r="CT33" s="239">
        <v>-4457778</v>
      </c>
      <c r="CU33" s="239">
        <v>-4368622</v>
      </c>
      <c r="CV33" s="239">
        <v>0</v>
      </c>
      <c r="CW33" s="239">
        <v>-89156</v>
      </c>
      <c r="CX33" s="239">
        <v>-8915556</v>
      </c>
      <c r="CY33" s="239">
        <v>-11940690</v>
      </c>
      <c r="CZ33" s="239">
        <v>-11701876</v>
      </c>
      <c r="DA33" s="239">
        <v>0</v>
      </c>
      <c r="DB33" s="239">
        <v>-238815</v>
      </c>
      <c r="DC33" s="239">
        <v>-23881381</v>
      </c>
      <c r="DD33" s="214">
        <v>0.5</v>
      </c>
      <c r="DE33" s="214">
        <v>0.49</v>
      </c>
      <c r="DF33" s="214">
        <v>0</v>
      </c>
      <c r="DG33" s="214">
        <v>0.01</v>
      </c>
      <c r="DH33" s="214">
        <v>1</v>
      </c>
      <c r="DI33" s="214" t="s">
        <v>1296</v>
      </c>
    </row>
    <row r="34" spans="1:113" s="214" customFormat="1" x14ac:dyDescent="0.2">
      <c r="B34" s="610" t="s">
        <v>151</v>
      </c>
      <c r="C34" s="610" t="s">
        <v>150</v>
      </c>
      <c r="D34" s="239">
        <v>21177154</v>
      </c>
      <c r="E34" s="239">
        <v>16941724</v>
      </c>
      <c r="F34" s="239">
        <v>3811888</v>
      </c>
      <c r="G34" s="239">
        <v>423543</v>
      </c>
      <c r="H34" s="239">
        <v>42354309</v>
      </c>
      <c r="I34" s="239">
        <v>0</v>
      </c>
      <c r="J34" s="239">
        <v>0</v>
      </c>
      <c r="K34" s="239">
        <v>21177154</v>
      </c>
      <c r="L34" s="239">
        <v>188104</v>
      </c>
      <c r="M34" s="239">
        <v>188104</v>
      </c>
      <c r="N34" s="239">
        <v>0</v>
      </c>
      <c r="O34" s="239">
        <v>0</v>
      </c>
      <c r="P34" s="239">
        <v>0</v>
      </c>
      <c r="Q34" s="239">
        <v>0</v>
      </c>
      <c r="R34" s="239">
        <v>0</v>
      </c>
      <c r="S34" s="239">
        <v>0</v>
      </c>
      <c r="T34" s="239">
        <v>0</v>
      </c>
      <c r="U34" s="239">
        <v>0</v>
      </c>
      <c r="V34" s="239">
        <v>0</v>
      </c>
      <c r="W34" s="239">
        <v>544812</v>
      </c>
      <c r="X34" s="239">
        <v>435850</v>
      </c>
      <c r="Y34" s="239">
        <v>98066</v>
      </c>
      <c r="Z34" s="239">
        <v>10896</v>
      </c>
      <c r="AA34" s="239">
        <v>1089624</v>
      </c>
      <c r="AB34" s="239">
        <v>-181275</v>
      </c>
      <c r="AC34" s="239">
        <v>-145020</v>
      </c>
      <c r="AD34" s="239">
        <v>-32630</v>
      </c>
      <c r="AE34" s="239">
        <v>-3626</v>
      </c>
      <c r="AF34" s="239">
        <v>-362551</v>
      </c>
      <c r="AG34" s="239">
        <v>-142460</v>
      </c>
      <c r="AH34" s="239">
        <v>-113968</v>
      </c>
      <c r="AI34" s="239">
        <v>-25643</v>
      </c>
      <c r="AJ34" s="239">
        <v>-2849</v>
      </c>
      <c r="AK34" s="239">
        <v>-284920</v>
      </c>
      <c r="AL34" s="239">
        <v>101641</v>
      </c>
      <c r="AM34" s="239">
        <v>81313</v>
      </c>
      <c r="AN34" s="239">
        <v>18295</v>
      </c>
      <c r="AO34" s="239">
        <v>2033</v>
      </c>
      <c r="AP34" s="239">
        <v>203282</v>
      </c>
      <c r="AQ34" s="239">
        <v>-69153</v>
      </c>
      <c r="AR34" s="239">
        <v>-55323</v>
      </c>
      <c r="AS34" s="239">
        <v>-12448</v>
      </c>
      <c r="AT34" s="239">
        <v>-1383</v>
      </c>
      <c r="AU34" s="239">
        <v>-138307</v>
      </c>
      <c r="AV34" s="239">
        <v>-109972</v>
      </c>
      <c r="AW34" s="239">
        <v>-87978</v>
      </c>
      <c r="AX34" s="239">
        <v>-19796</v>
      </c>
      <c r="AY34" s="239">
        <v>-2199</v>
      </c>
      <c r="AZ34" s="239">
        <v>-219945</v>
      </c>
      <c r="BA34" s="239">
        <v>-1800000</v>
      </c>
      <c r="BB34" s="239">
        <v>-1440000</v>
      </c>
      <c r="BC34" s="239">
        <v>-324000</v>
      </c>
      <c r="BD34" s="239">
        <v>-36000</v>
      </c>
      <c r="BE34" s="239">
        <v>-3600000</v>
      </c>
      <c r="BF34" s="239">
        <v>283689</v>
      </c>
      <c r="BG34" s="239">
        <v>226952</v>
      </c>
      <c r="BH34" s="239">
        <v>51064</v>
      </c>
      <c r="BI34" s="239">
        <v>5674</v>
      </c>
      <c r="BJ34" s="239">
        <v>567379</v>
      </c>
      <c r="BK34" s="239">
        <v>-854189</v>
      </c>
      <c r="BL34" s="239">
        <v>-683352</v>
      </c>
      <c r="BM34" s="239">
        <v>-153754</v>
      </c>
      <c r="BN34" s="239">
        <v>-17084</v>
      </c>
      <c r="BO34" s="239">
        <v>-1708379</v>
      </c>
      <c r="BP34" s="239">
        <v>-2370500</v>
      </c>
      <c r="BQ34" s="239">
        <v>-1896400</v>
      </c>
      <c r="BR34" s="239">
        <v>-426690</v>
      </c>
      <c r="BS34" s="239">
        <v>-47410</v>
      </c>
      <c r="BT34" s="239">
        <v>-4741000</v>
      </c>
      <c r="BU34" s="239">
        <v>-444864</v>
      </c>
      <c r="BV34" s="239">
        <v>-355890</v>
      </c>
      <c r="BW34" s="239">
        <v>-80075</v>
      </c>
      <c r="BX34" s="239">
        <v>-8897</v>
      </c>
      <c r="BY34" s="239">
        <v>-889726</v>
      </c>
      <c r="BZ34" s="239">
        <v>406963</v>
      </c>
      <c r="CA34" s="239">
        <v>325570</v>
      </c>
      <c r="CB34" s="239">
        <v>73253</v>
      </c>
      <c r="CC34" s="239">
        <v>8139</v>
      </c>
      <c r="CD34" s="239">
        <v>813925</v>
      </c>
      <c r="CE34" s="239">
        <v>-851827</v>
      </c>
      <c r="CF34" s="239">
        <v>-681460</v>
      </c>
      <c r="CG34" s="239">
        <v>-153328</v>
      </c>
      <c r="CH34" s="239">
        <v>-17036</v>
      </c>
      <c r="CI34" s="239">
        <v>-1703651</v>
      </c>
      <c r="CJ34" s="239">
        <v>20299070</v>
      </c>
      <c r="CK34" s="239">
        <v>16239256</v>
      </c>
      <c r="CL34" s="239">
        <v>3653833</v>
      </c>
      <c r="CM34" s="239">
        <v>405981</v>
      </c>
      <c r="CN34" s="239">
        <v>40598140</v>
      </c>
      <c r="CO34" s="239">
        <v>21177154</v>
      </c>
      <c r="CP34" s="239">
        <v>16941724</v>
      </c>
      <c r="CQ34" s="239">
        <v>3811888</v>
      </c>
      <c r="CR34" s="239">
        <v>423543</v>
      </c>
      <c r="CS34" s="239">
        <v>42354309</v>
      </c>
      <c r="CT34" s="239">
        <v>878084</v>
      </c>
      <c r="CU34" s="239">
        <v>702468</v>
      </c>
      <c r="CV34" s="239">
        <v>158055</v>
      </c>
      <c r="CW34" s="239">
        <v>17562</v>
      </c>
      <c r="CX34" s="239">
        <v>1756169</v>
      </c>
      <c r="CY34" s="239">
        <v>26257</v>
      </c>
      <c r="CZ34" s="239">
        <v>21008</v>
      </c>
      <c r="DA34" s="239">
        <v>4727</v>
      </c>
      <c r="DB34" s="239">
        <v>526</v>
      </c>
      <c r="DC34" s="239">
        <v>52518</v>
      </c>
      <c r="DD34" s="214">
        <v>0.5</v>
      </c>
      <c r="DE34" s="214">
        <v>0.4</v>
      </c>
      <c r="DF34" s="214">
        <v>0.09</v>
      </c>
      <c r="DG34" s="214">
        <v>0.01</v>
      </c>
      <c r="DH34" s="214">
        <v>1</v>
      </c>
      <c r="DI34" s="214" t="s">
        <v>1294</v>
      </c>
    </row>
    <row r="35" spans="1:113" s="214" customFormat="1" x14ac:dyDescent="0.2">
      <c r="B35" s="610" t="s">
        <v>153</v>
      </c>
      <c r="C35" s="610" t="s">
        <v>152</v>
      </c>
      <c r="D35" s="239">
        <v>13813852</v>
      </c>
      <c r="E35" s="239">
        <v>11051082</v>
      </c>
      <c r="F35" s="239">
        <v>2762771</v>
      </c>
      <c r="G35" s="239">
        <v>0</v>
      </c>
      <c r="H35" s="239">
        <v>27627705</v>
      </c>
      <c r="I35" s="239">
        <v>0</v>
      </c>
      <c r="J35" s="239">
        <v>0</v>
      </c>
      <c r="K35" s="239">
        <v>13813852</v>
      </c>
      <c r="L35" s="239">
        <v>167596</v>
      </c>
      <c r="M35" s="239">
        <v>167596</v>
      </c>
      <c r="N35" s="239">
        <v>0</v>
      </c>
      <c r="O35" s="239">
        <v>0</v>
      </c>
      <c r="P35" s="239">
        <v>181483</v>
      </c>
      <c r="Q35" s="239">
        <v>0</v>
      </c>
      <c r="R35" s="239">
        <v>181483</v>
      </c>
      <c r="S35" s="239">
        <v>0</v>
      </c>
      <c r="T35" s="239">
        <v>0</v>
      </c>
      <c r="U35" s="239">
        <v>0</v>
      </c>
      <c r="V35" s="239">
        <v>0</v>
      </c>
      <c r="W35" s="239">
        <v>698593</v>
      </c>
      <c r="X35" s="239">
        <v>558875</v>
      </c>
      <c r="Y35" s="239">
        <v>139719</v>
      </c>
      <c r="Z35" s="239">
        <v>0</v>
      </c>
      <c r="AA35" s="239">
        <v>1397187</v>
      </c>
      <c r="AB35" s="239">
        <v>-196752</v>
      </c>
      <c r="AC35" s="239">
        <v>-157402</v>
      </c>
      <c r="AD35" s="239">
        <v>-39351</v>
      </c>
      <c r="AE35" s="239">
        <v>0</v>
      </c>
      <c r="AF35" s="239">
        <v>-393505</v>
      </c>
      <c r="AG35" s="239">
        <v>-166088.54</v>
      </c>
      <c r="AH35" s="239">
        <v>-132871</v>
      </c>
      <c r="AI35" s="239">
        <v>-33218</v>
      </c>
      <c r="AJ35" s="239">
        <v>0</v>
      </c>
      <c r="AK35" s="239">
        <v>-332177.53999999998</v>
      </c>
      <c r="AL35" s="239">
        <v>32623</v>
      </c>
      <c r="AM35" s="239">
        <v>26098</v>
      </c>
      <c r="AN35" s="239">
        <v>6525</v>
      </c>
      <c r="AO35" s="239">
        <v>0</v>
      </c>
      <c r="AP35" s="239">
        <v>65246</v>
      </c>
      <c r="AQ35" s="239">
        <v>-81506</v>
      </c>
      <c r="AR35" s="239">
        <v>-65204</v>
      </c>
      <c r="AS35" s="239">
        <v>-16301</v>
      </c>
      <c r="AT35" s="239">
        <v>0</v>
      </c>
      <c r="AU35" s="239">
        <v>-163011</v>
      </c>
      <c r="AV35" s="239">
        <v>-214971.54</v>
      </c>
      <c r="AW35" s="239">
        <v>-171977</v>
      </c>
      <c r="AX35" s="239">
        <v>-42994</v>
      </c>
      <c r="AY35" s="239">
        <v>0</v>
      </c>
      <c r="AZ35" s="239">
        <v>-429942.54</v>
      </c>
      <c r="BA35" s="239">
        <v>-771903</v>
      </c>
      <c r="BB35" s="239">
        <v>-617524</v>
      </c>
      <c r="BC35" s="239">
        <v>-154381</v>
      </c>
      <c r="BD35" s="239">
        <v>0</v>
      </c>
      <c r="BE35" s="239">
        <v>-1543808</v>
      </c>
      <c r="BF35" s="239">
        <v>401218</v>
      </c>
      <c r="BG35" s="239">
        <v>320974</v>
      </c>
      <c r="BH35" s="239">
        <v>80244</v>
      </c>
      <c r="BI35" s="239">
        <v>0</v>
      </c>
      <c r="BJ35" s="239">
        <v>802436</v>
      </c>
      <c r="BK35" s="239">
        <v>-1363702</v>
      </c>
      <c r="BL35" s="239">
        <v>-1090962</v>
      </c>
      <c r="BM35" s="239">
        <v>-272741</v>
      </c>
      <c r="BN35" s="239">
        <v>0</v>
      </c>
      <c r="BO35" s="239">
        <v>-2727405</v>
      </c>
      <c r="BP35" s="239">
        <v>-1734387</v>
      </c>
      <c r="BQ35" s="239">
        <v>-1387512</v>
      </c>
      <c r="BR35" s="239">
        <v>-346878</v>
      </c>
      <c r="BS35" s="239">
        <v>0</v>
      </c>
      <c r="BT35" s="239">
        <v>-3468777</v>
      </c>
      <c r="BU35" s="239">
        <v>-353862</v>
      </c>
      <c r="BV35" s="239">
        <v>-283090</v>
      </c>
      <c r="BW35" s="239">
        <v>-70772</v>
      </c>
      <c r="BX35" s="239">
        <v>0</v>
      </c>
      <c r="BY35" s="239">
        <v>-707724</v>
      </c>
      <c r="BZ35" s="239">
        <v>-49519</v>
      </c>
      <c r="CA35" s="239">
        <v>-39615</v>
      </c>
      <c r="CB35" s="239">
        <v>-9904</v>
      </c>
      <c r="CC35" s="239">
        <v>0</v>
      </c>
      <c r="CD35" s="239">
        <v>-99038</v>
      </c>
      <c r="CE35" s="239">
        <v>-304343</v>
      </c>
      <c r="CF35" s="239">
        <v>-243475</v>
      </c>
      <c r="CG35" s="239">
        <v>-60868</v>
      </c>
      <c r="CH35" s="239">
        <v>0</v>
      </c>
      <c r="CI35" s="239">
        <v>-608686</v>
      </c>
      <c r="CJ35" s="239">
        <v>15192319</v>
      </c>
      <c r="CK35" s="239">
        <v>12153855</v>
      </c>
      <c r="CL35" s="239">
        <v>3038464</v>
      </c>
      <c r="CM35" s="239">
        <v>0</v>
      </c>
      <c r="CN35" s="239">
        <v>30384638</v>
      </c>
      <c r="CO35" s="239">
        <v>13813852</v>
      </c>
      <c r="CP35" s="239">
        <v>11051082</v>
      </c>
      <c r="CQ35" s="239">
        <v>2762771</v>
      </c>
      <c r="CR35" s="239">
        <v>0</v>
      </c>
      <c r="CS35" s="239">
        <v>27627705</v>
      </c>
      <c r="CT35" s="239">
        <v>-1378467</v>
      </c>
      <c r="CU35" s="239">
        <v>-1102773</v>
      </c>
      <c r="CV35" s="239">
        <v>-275693</v>
      </c>
      <c r="CW35" s="239">
        <v>0</v>
      </c>
      <c r="CX35" s="239">
        <v>-2756933</v>
      </c>
      <c r="CY35" s="239">
        <v>-1682810</v>
      </c>
      <c r="CZ35" s="239">
        <v>-1346248</v>
      </c>
      <c r="DA35" s="239">
        <v>-336561</v>
      </c>
      <c r="DB35" s="239">
        <v>0</v>
      </c>
      <c r="DC35" s="239">
        <v>-3365619</v>
      </c>
      <c r="DD35" s="214">
        <v>0.5</v>
      </c>
      <c r="DE35" s="214">
        <v>0.4</v>
      </c>
      <c r="DF35" s="214">
        <v>0.1</v>
      </c>
      <c r="DG35" s="214">
        <v>0</v>
      </c>
      <c r="DH35" s="214">
        <v>1</v>
      </c>
      <c r="DI35" s="214" t="s">
        <v>1294</v>
      </c>
    </row>
    <row r="36" spans="1:113" s="214" customFormat="1" x14ac:dyDescent="0.2">
      <c r="B36" s="610" t="s">
        <v>155</v>
      </c>
      <c r="C36" s="610" t="s">
        <v>154</v>
      </c>
      <c r="D36" s="239">
        <v>56564031</v>
      </c>
      <c r="E36" s="239">
        <v>33938418</v>
      </c>
      <c r="F36" s="239">
        <v>22625612</v>
      </c>
      <c r="G36" s="239">
        <v>0</v>
      </c>
      <c r="H36" s="239">
        <v>113128061</v>
      </c>
      <c r="I36" s="239">
        <v>0</v>
      </c>
      <c r="J36" s="239">
        <v>0</v>
      </c>
      <c r="K36" s="239">
        <v>56564031</v>
      </c>
      <c r="L36" s="239">
        <v>419777</v>
      </c>
      <c r="M36" s="239">
        <v>419777</v>
      </c>
      <c r="N36" s="239">
        <v>0</v>
      </c>
      <c r="O36" s="239">
        <v>0</v>
      </c>
      <c r="P36" s="239">
        <v>0</v>
      </c>
      <c r="Q36" s="239">
        <v>0</v>
      </c>
      <c r="R36" s="239">
        <v>0</v>
      </c>
      <c r="S36" s="239">
        <v>0</v>
      </c>
      <c r="T36" s="239">
        <v>0</v>
      </c>
      <c r="U36" s="239">
        <v>0</v>
      </c>
      <c r="V36" s="239">
        <v>0</v>
      </c>
      <c r="W36" s="239">
        <v>2814046</v>
      </c>
      <c r="X36" s="239">
        <v>1688427</v>
      </c>
      <c r="Y36" s="239">
        <v>1125618</v>
      </c>
      <c r="Z36" s="239">
        <v>0</v>
      </c>
      <c r="AA36" s="239">
        <v>5628091</v>
      </c>
      <c r="AB36" s="239">
        <v>-1005023</v>
      </c>
      <c r="AC36" s="239">
        <v>-603014</v>
      </c>
      <c r="AD36" s="239">
        <v>-402009</v>
      </c>
      <c r="AE36" s="239">
        <v>0</v>
      </c>
      <c r="AF36" s="239">
        <v>-2010046</v>
      </c>
      <c r="AG36" s="239">
        <v>-1146630</v>
      </c>
      <c r="AH36" s="239">
        <v>-687979</v>
      </c>
      <c r="AI36" s="239">
        <v>-458652</v>
      </c>
      <c r="AJ36" s="239">
        <v>0</v>
      </c>
      <c r="AK36" s="239">
        <v>-2293261</v>
      </c>
      <c r="AL36" s="239">
        <v>606238</v>
      </c>
      <c r="AM36" s="239">
        <v>363743</v>
      </c>
      <c r="AN36" s="239">
        <v>242495</v>
      </c>
      <c r="AO36" s="239">
        <v>0</v>
      </c>
      <c r="AP36" s="239">
        <v>1212476</v>
      </c>
      <c r="AQ36" s="239">
        <v>-427994</v>
      </c>
      <c r="AR36" s="239">
        <v>-256797</v>
      </c>
      <c r="AS36" s="239">
        <v>-171198</v>
      </c>
      <c r="AT36" s="239">
        <v>0</v>
      </c>
      <c r="AU36" s="239">
        <v>-855989</v>
      </c>
      <c r="AV36" s="239">
        <v>-968386</v>
      </c>
      <c r="AW36" s="239">
        <v>-581033</v>
      </c>
      <c r="AX36" s="239">
        <v>-387355</v>
      </c>
      <c r="AY36" s="239">
        <v>0</v>
      </c>
      <c r="AZ36" s="239">
        <v>-1936774</v>
      </c>
      <c r="BA36" s="239">
        <v>-3215381</v>
      </c>
      <c r="BB36" s="239">
        <v>-1929227</v>
      </c>
      <c r="BC36" s="239">
        <v>-1286152</v>
      </c>
      <c r="BD36" s="239">
        <v>0</v>
      </c>
      <c r="BE36" s="239">
        <v>-6430760</v>
      </c>
      <c r="BF36" s="239">
        <v>671584</v>
      </c>
      <c r="BG36" s="239">
        <v>402950</v>
      </c>
      <c r="BH36" s="239">
        <v>268634</v>
      </c>
      <c r="BI36" s="239">
        <v>0</v>
      </c>
      <c r="BJ36" s="239">
        <v>1343168</v>
      </c>
      <c r="BK36" s="239">
        <v>-3018312</v>
      </c>
      <c r="BL36" s="239">
        <v>-1810987</v>
      </c>
      <c r="BM36" s="239">
        <v>-1207325</v>
      </c>
      <c r="BN36" s="239">
        <v>0</v>
      </c>
      <c r="BO36" s="239">
        <v>-6036624</v>
      </c>
      <c r="BP36" s="239">
        <v>-5562109</v>
      </c>
      <c r="BQ36" s="239">
        <v>-3337264</v>
      </c>
      <c r="BR36" s="239">
        <v>-2224843</v>
      </c>
      <c r="BS36" s="239">
        <v>0</v>
      </c>
      <c r="BT36" s="239">
        <v>-11124216</v>
      </c>
      <c r="BU36" s="239">
        <v>-470949</v>
      </c>
      <c r="BV36" s="239">
        <v>-282569</v>
      </c>
      <c r="BW36" s="239">
        <v>-188379</v>
      </c>
      <c r="BX36" s="239">
        <v>0</v>
      </c>
      <c r="BY36" s="239">
        <v>-941897</v>
      </c>
      <c r="BZ36" s="239">
        <v>70916</v>
      </c>
      <c r="CA36" s="239">
        <v>42550</v>
      </c>
      <c r="CB36" s="239">
        <v>28366</v>
      </c>
      <c r="CC36" s="239">
        <v>0</v>
      </c>
      <c r="CD36" s="239">
        <v>141832</v>
      </c>
      <c r="CE36" s="239">
        <v>-541865</v>
      </c>
      <c r="CF36" s="239">
        <v>-325119</v>
      </c>
      <c r="CG36" s="239">
        <v>-216745</v>
      </c>
      <c r="CH36" s="239">
        <v>0</v>
      </c>
      <c r="CI36" s="239">
        <v>-1083729</v>
      </c>
      <c r="CJ36" s="239">
        <v>57244871</v>
      </c>
      <c r="CK36" s="239">
        <v>34346923</v>
      </c>
      <c r="CL36" s="239">
        <v>22897948</v>
      </c>
      <c r="CM36" s="239">
        <v>0</v>
      </c>
      <c r="CN36" s="239">
        <v>114489742</v>
      </c>
      <c r="CO36" s="239">
        <v>56564031</v>
      </c>
      <c r="CP36" s="239">
        <v>33938418</v>
      </c>
      <c r="CQ36" s="239">
        <v>22625612</v>
      </c>
      <c r="CR36" s="239">
        <v>0</v>
      </c>
      <c r="CS36" s="239">
        <v>113128061</v>
      </c>
      <c r="CT36" s="239">
        <v>-680840</v>
      </c>
      <c r="CU36" s="239">
        <v>-408505</v>
      </c>
      <c r="CV36" s="239">
        <v>-272336</v>
      </c>
      <c r="CW36" s="239">
        <v>0</v>
      </c>
      <c r="CX36" s="239">
        <v>-1361681</v>
      </c>
      <c r="CY36" s="239">
        <v>-1222705</v>
      </c>
      <c r="CZ36" s="239">
        <v>-733624</v>
      </c>
      <c r="DA36" s="239">
        <v>-489081</v>
      </c>
      <c r="DB36" s="239">
        <v>0</v>
      </c>
      <c r="DC36" s="239">
        <v>-2445410</v>
      </c>
      <c r="DD36" s="214">
        <v>0.5</v>
      </c>
      <c r="DE36" s="214">
        <v>0.3</v>
      </c>
      <c r="DF36" s="214">
        <v>0.2</v>
      </c>
      <c r="DG36" s="214">
        <v>0</v>
      </c>
      <c r="DH36" s="214">
        <v>1</v>
      </c>
      <c r="DI36" s="214" t="s">
        <v>1295</v>
      </c>
    </row>
    <row r="37" spans="1:113" s="214" customFormat="1" x14ac:dyDescent="0.2">
      <c r="B37" s="610" t="s">
        <v>157</v>
      </c>
      <c r="C37" s="610" t="s">
        <v>156</v>
      </c>
      <c r="D37" s="239">
        <v>14249318</v>
      </c>
      <c r="E37" s="239">
        <v>11399454</v>
      </c>
      <c r="F37" s="239">
        <v>2564877</v>
      </c>
      <c r="G37" s="239">
        <v>284986</v>
      </c>
      <c r="H37" s="239">
        <v>28498635</v>
      </c>
      <c r="I37" s="239">
        <v>0</v>
      </c>
      <c r="J37" s="239">
        <v>0</v>
      </c>
      <c r="K37" s="239">
        <v>14249318</v>
      </c>
      <c r="L37" s="239">
        <v>105408</v>
      </c>
      <c r="M37" s="239">
        <v>105408</v>
      </c>
      <c r="N37" s="239">
        <v>0</v>
      </c>
      <c r="O37" s="239">
        <v>0</v>
      </c>
      <c r="P37" s="239">
        <v>0</v>
      </c>
      <c r="Q37" s="239">
        <v>0</v>
      </c>
      <c r="R37" s="239">
        <v>0</v>
      </c>
      <c r="S37" s="239">
        <v>0</v>
      </c>
      <c r="T37" s="239">
        <v>0</v>
      </c>
      <c r="U37" s="239">
        <v>0</v>
      </c>
      <c r="V37" s="239">
        <v>0</v>
      </c>
      <c r="W37" s="239">
        <v>1344112</v>
      </c>
      <c r="X37" s="239">
        <v>1075289</v>
      </c>
      <c r="Y37" s="239">
        <v>241940</v>
      </c>
      <c r="Z37" s="239">
        <v>26882</v>
      </c>
      <c r="AA37" s="239">
        <v>2688223</v>
      </c>
      <c r="AB37" s="239">
        <v>-254191</v>
      </c>
      <c r="AC37" s="239">
        <v>-203353</v>
      </c>
      <c r="AD37" s="239">
        <v>-45754</v>
      </c>
      <c r="AE37" s="239">
        <v>-5084</v>
      </c>
      <c r="AF37" s="239">
        <v>-508382</v>
      </c>
      <c r="AG37" s="239">
        <v>-490279</v>
      </c>
      <c r="AH37" s="239">
        <v>-392224</v>
      </c>
      <c r="AI37" s="239">
        <v>-88249</v>
      </c>
      <c r="AJ37" s="239">
        <v>-9806</v>
      </c>
      <c r="AK37" s="239">
        <v>-980558</v>
      </c>
      <c r="AL37" s="239">
        <v>154519</v>
      </c>
      <c r="AM37" s="239">
        <v>123616</v>
      </c>
      <c r="AN37" s="239">
        <v>27814</v>
      </c>
      <c r="AO37" s="239">
        <v>3090</v>
      </c>
      <c r="AP37" s="239">
        <v>309039</v>
      </c>
      <c r="AQ37" s="239">
        <v>-427607</v>
      </c>
      <c r="AR37" s="239">
        <v>-342086</v>
      </c>
      <c r="AS37" s="239">
        <v>-76969</v>
      </c>
      <c r="AT37" s="239">
        <v>-8552</v>
      </c>
      <c r="AU37" s="239">
        <v>-855214</v>
      </c>
      <c r="AV37" s="239">
        <v>-763367</v>
      </c>
      <c r="AW37" s="239">
        <v>-610694</v>
      </c>
      <c r="AX37" s="239">
        <v>-137404</v>
      </c>
      <c r="AY37" s="239">
        <v>-15268</v>
      </c>
      <c r="AZ37" s="239">
        <v>-1526733</v>
      </c>
      <c r="BA37" s="239">
        <v>-1131778</v>
      </c>
      <c r="BB37" s="239">
        <v>-905421</v>
      </c>
      <c r="BC37" s="239">
        <v>-203720</v>
      </c>
      <c r="BD37" s="239">
        <v>-22635</v>
      </c>
      <c r="BE37" s="239">
        <v>-2263554</v>
      </c>
      <c r="BF37" s="239">
        <v>393000</v>
      </c>
      <c r="BG37" s="239">
        <v>314400</v>
      </c>
      <c r="BH37" s="239">
        <v>70740</v>
      </c>
      <c r="BI37" s="239">
        <v>7860</v>
      </c>
      <c r="BJ37" s="239">
        <v>786000</v>
      </c>
      <c r="BK37" s="239">
        <v>-1300524</v>
      </c>
      <c r="BL37" s="239">
        <v>-1040420</v>
      </c>
      <c r="BM37" s="239">
        <v>-234095</v>
      </c>
      <c r="BN37" s="239">
        <v>-26011</v>
      </c>
      <c r="BO37" s="239">
        <v>-2601050</v>
      </c>
      <c r="BP37" s="239">
        <v>-2039302</v>
      </c>
      <c r="BQ37" s="239">
        <v>-1631441</v>
      </c>
      <c r="BR37" s="239">
        <v>-367075</v>
      </c>
      <c r="BS37" s="239">
        <v>-40786</v>
      </c>
      <c r="BT37" s="239">
        <v>-4078604</v>
      </c>
      <c r="BU37" s="239">
        <v>-68500</v>
      </c>
      <c r="BV37" s="239">
        <v>-54800</v>
      </c>
      <c r="BW37" s="239">
        <v>-12330</v>
      </c>
      <c r="BX37" s="239">
        <v>-1370</v>
      </c>
      <c r="BY37" s="239">
        <v>-137000</v>
      </c>
      <c r="BZ37" s="239">
        <v>-597716</v>
      </c>
      <c r="CA37" s="239">
        <v>-478173</v>
      </c>
      <c r="CB37" s="239">
        <v>-107589</v>
      </c>
      <c r="CC37" s="239">
        <v>-11954</v>
      </c>
      <c r="CD37" s="239">
        <v>-1195432</v>
      </c>
      <c r="CE37" s="239">
        <v>529216</v>
      </c>
      <c r="CF37" s="239">
        <v>423373</v>
      </c>
      <c r="CG37" s="239">
        <v>95259</v>
      </c>
      <c r="CH37" s="239">
        <v>10584</v>
      </c>
      <c r="CI37" s="239">
        <v>1058432</v>
      </c>
      <c r="CJ37" s="239">
        <v>15070741</v>
      </c>
      <c r="CK37" s="239">
        <v>12056594</v>
      </c>
      <c r="CL37" s="239">
        <v>2712734</v>
      </c>
      <c r="CM37" s="239">
        <v>301415</v>
      </c>
      <c r="CN37" s="239">
        <v>30141484</v>
      </c>
      <c r="CO37" s="239">
        <v>14249318</v>
      </c>
      <c r="CP37" s="239">
        <v>11399454</v>
      </c>
      <c r="CQ37" s="239">
        <v>2564877</v>
      </c>
      <c r="CR37" s="239">
        <v>284986</v>
      </c>
      <c r="CS37" s="239">
        <v>28498635</v>
      </c>
      <c r="CT37" s="239">
        <v>-821423</v>
      </c>
      <c r="CU37" s="239">
        <v>-657140</v>
      </c>
      <c r="CV37" s="239">
        <v>-147857</v>
      </c>
      <c r="CW37" s="239">
        <v>-16429</v>
      </c>
      <c r="CX37" s="239">
        <v>-1642849</v>
      </c>
      <c r="CY37" s="239">
        <v>-292207</v>
      </c>
      <c r="CZ37" s="239">
        <v>-233767</v>
      </c>
      <c r="DA37" s="239">
        <v>-52598</v>
      </c>
      <c r="DB37" s="239">
        <v>-5845</v>
      </c>
      <c r="DC37" s="239">
        <v>-584417</v>
      </c>
      <c r="DD37" s="214">
        <v>0.5</v>
      </c>
      <c r="DE37" s="214">
        <v>0.4</v>
      </c>
      <c r="DF37" s="214">
        <v>0.09</v>
      </c>
      <c r="DG37" s="214">
        <v>0.01</v>
      </c>
      <c r="DH37" s="214">
        <v>1</v>
      </c>
      <c r="DI37" s="214" t="s">
        <v>1294</v>
      </c>
    </row>
    <row r="38" spans="1:113" s="214" customFormat="1" x14ac:dyDescent="0.2">
      <c r="B38" s="610" t="s">
        <v>159</v>
      </c>
      <c r="C38" s="610" t="s">
        <v>158</v>
      </c>
      <c r="D38" s="239">
        <v>51756326</v>
      </c>
      <c r="E38" s="239">
        <v>50721199</v>
      </c>
      <c r="F38" s="239">
        <v>0</v>
      </c>
      <c r="G38" s="239">
        <v>1035127</v>
      </c>
      <c r="H38" s="239">
        <v>103512652</v>
      </c>
      <c r="I38" s="239">
        <v>0</v>
      </c>
      <c r="J38" s="239">
        <v>0</v>
      </c>
      <c r="K38" s="239">
        <v>51756326</v>
      </c>
      <c r="L38" s="239">
        <v>422367</v>
      </c>
      <c r="M38" s="239">
        <v>422367</v>
      </c>
      <c r="N38" s="239">
        <v>0</v>
      </c>
      <c r="O38" s="239">
        <v>0</v>
      </c>
      <c r="P38" s="239">
        <v>0</v>
      </c>
      <c r="Q38" s="239">
        <v>0</v>
      </c>
      <c r="R38" s="239">
        <v>0</v>
      </c>
      <c r="S38" s="239">
        <v>0</v>
      </c>
      <c r="T38" s="239">
        <v>0</v>
      </c>
      <c r="U38" s="239">
        <v>0</v>
      </c>
      <c r="V38" s="239">
        <v>0</v>
      </c>
      <c r="W38" s="239">
        <v>2016147</v>
      </c>
      <c r="X38" s="239">
        <v>1975824</v>
      </c>
      <c r="Y38" s="239">
        <v>0</v>
      </c>
      <c r="Z38" s="239">
        <v>40323</v>
      </c>
      <c r="AA38" s="239">
        <v>4032294</v>
      </c>
      <c r="AB38" s="239">
        <v>-1927423</v>
      </c>
      <c r="AC38" s="239">
        <v>-1888875</v>
      </c>
      <c r="AD38" s="239">
        <v>0</v>
      </c>
      <c r="AE38" s="239">
        <v>-38548</v>
      </c>
      <c r="AF38" s="239">
        <v>-3854846</v>
      </c>
      <c r="AG38" s="239">
        <v>-1338704</v>
      </c>
      <c r="AH38" s="239">
        <v>-1311930</v>
      </c>
      <c r="AI38" s="239">
        <v>0</v>
      </c>
      <c r="AJ38" s="239">
        <v>-26774</v>
      </c>
      <c r="AK38" s="239">
        <v>-2677408</v>
      </c>
      <c r="AL38" s="239">
        <v>598341</v>
      </c>
      <c r="AM38" s="239">
        <v>586374</v>
      </c>
      <c r="AN38" s="239">
        <v>0</v>
      </c>
      <c r="AO38" s="239">
        <v>11967</v>
      </c>
      <c r="AP38" s="239">
        <v>1196682</v>
      </c>
      <c r="AQ38" s="239">
        <v>-80187</v>
      </c>
      <c r="AR38" s="239">
        <v>-78583</v>
      </c>
      <c r="AS38" s="239">
        <v>0</v>
      </c>
      <c r="AT38" s="239">
        <v>-1604</v>
      </c>
      <c r="AU38" s="239">
        <v>-160374</v>
      </c>
      <c r="AV38" s="239">
        <v>-820550</v>
      </c>
      <c r="AW38" s="239">
        <v>-804139</v>
      </c>
      <c r="AX38" s="239">
        <v>0</v>
      </c>
      <c r="AY38" s="239">
        <v>-16411</v>
      </c>
      <c r="AZ38" s="239">
        <v>-1641100</v>
      </c>
      <c r="BA38" s="239">
        <v>-1506677</v>
      </c>
      <c r="BB38" s="239">
        <v>-1476543</v>
      </c>
      <c r="BC38" s="239">
        <v>0</v>
      </c>
      <c r="BD38" s="239">
        <v>-30133</v>
      </c>
      <c r="BE38" s="239">
        <v>-3013353</v>
      </c>
      <c r="BF38" s="239">
        <v>863741</v>
      </c>
      <c r="BG38" s="239">
        <v>846466</v>
      </c>
      <c r="BH38" s="239">
        <v>0</v>
      </c>
      <c r="BI38" s="239">
        <v>17275</v>
      </c>
      <c r="BJ38" s="239">
        <v>1727482</v>
      </c>
      <c r="BK38" s="239">
        <v>-1527097</v>
      </c>
      <c r="BL38" s="239">
        <v>-1496555</v>
      </c>
      <c r="BM38" s="239">
        <v>0</v>
      </c>
      <c r="BN38" s="239">
        <v>-30542</v>
      </c>
      <c r="BO38" s="239">
        <v>-3054194</v>
      </c>
      <c r="BP38" s="239">
        <v>-2170033</v>
      </c>
      <c r="BQ38" s="239">
        <v>-2126632</v>
      </c>
      <c r="BR38" s="239">
        <v>0</v>
      </c>
      <c r="BS38" s="239">
        <v>-43400</v>
      </c>
      <c r="BT38" s="239">
        <v>-4340065</v>
      </c>
      <c r="BU38" s="239">
        <v>3551198</v>
      </c>
      <c r="BV38" s="239">
        <v>3480175</v>
      </c>
      <c r="BW38" s="239">
        <v>0</v>
      </c>
      <c r="BX38" s="239">
        <v>71024</v>
      </c>
      <c r="BY38" s="239">
        <v>7102397</v>
      </c>
      <c r="BZ38" s="239">
        <v>3659303</v>
      </c>
      <c r="CA38" s="239">
        <v>3586117</v>
      </c>
      <c r="CB38" s="239">
        <v>0</v>
      </c>
      <c r="CC38" s="239">
        <v>73186</v>
      </c>
      <c r="CD38" s="239">
        <v>7318606</v>
      </c>
      <c r="CE38" s="239">
        <v>-108105</v>
      </c>
      <c r="CF38" s="239">
        <v>-105942</v>
      </c>
      <c r="CG38" s="239">
        <v>0</v>
      </c>
      <c r="CH38" s="239">
        <v>-2162</v>
      </c>
      <c r="CI38" s="239">
        <v>-216209</v>
      </c>
      <c r="CJ38" s="239">
        <v>53448924</v>
      </c>
      <c r="CK38" s="239">
        <v>52379945</v>
      </c>
      <c r="CL38" s="239">
        <v>0</v>
      </c>
      <c r="CM38" s="239">
        <v>1068978</v>
      </c>
      <c r="CN38" s="239">
        <v>106897847</v>
      </c>
      <c r="CO38" s="239">
        <v>51756326</v>
      </c>
      <c r="CP38" s="239">
        <v>50721199</v>
      </c>
      <c r="CQ38" s="239">
        <v>0</v>
      </c>
      <c r="CR38" s="239">
        <v>1035127</v>
      </c>
      <c r="CS38" s="239">
        <v>103512652</v>
      </c>
      <c r="CT38" s="239">
        <v>-1692598</v>
      </c>
      <c r="CU38" s="239">
        <v>-1658746</v>
      </c>
      <c r="CV38" s="239">
        <v>0</v>
      </c>
      <c r="CW38" s="239">
        <v>-33851</v>
      </c>
      <c r="CX38" s="239">
        <v>-3385195</v>
      </c>
      <c r="CY38" s="239">
        <v>-1800703</v>
      </c>
      <c r="CZ38" s="239">
        <v>-1764688</v>
      </c>
      <c r="DA38" s="239">
        <v>0</v>
      </c>
      <c r="DB38" s="239">
        <v>-36013</v>
      </c>
      <c r="DC38" s="239">
        <v>-3601404</v>
      </c>
      <c r="DD38" s="214">
        <v>0.5</v>
      </c>
      <c r="DE38" s="214">
        <v>0.49</v>
      </c>
      <c r="DF38" s="214">
        <v>0</v>
      </c>
      <c r="DG38" s="214">
        <v>0.01</v>
      </c>
      <c r="DH38" s="214">
        <v>1</v>
      </c>
      <c r="DI38" s="214" t="s">
        <v>748</v>
      </c>
    </row>
    <row r="39" spans="1:113" s="214" customFormat="1" x14ac:dyDescent="0.2">
      <c r="B39" s="610" t="s">
        <v>161</v>
      </c>
      <c r="C39" s="610" t="s">
        <v>160</v>
      </c>
      <c r="D39" s="239">
        <v>105698226</v>
      </c>
      <c r="E39" s="239">
        <v>103584261</v>
      </c>
      <c r="F39" s="239">
        <v>0</v>
      </c>
      <c r="G39" s="239">
        <v>2113965</v>
      </c>
      <c r="H39" s="239">
        <v>211396452</v>
      </c>
      <c r="I39" s="239">
        <v>821366.08333333337</v>
      </c>
      <c r="J39" s="239">
        <v>821366.08333333337</v>
      </c>
      <c r="K39" s="239">
        <v>104876859.91666667</v>
      </c>
      <c r="L39" s="239">
        <v>720642</v>
      </c>
      <c r="M39" s="239">
        <v>720642</v>
      </c>
      <c r="N39" s="239">
        <v>0</v>
      </c>
      <c r="O39" s="239">
        <v>0</v>
      </c>
      <c r="P39" s="239">
        <v>264</v>
      </c>
      <c r="Q39" s="239">
        <v>0</v>
      </c>
      <c r="R39" s="239">
        <v>264</v>
      </c>
      <c r="S39" s="239">
        <v>821366.08333333337</v>
      </c>
      <c r="T39" s="239">
        <v>0</v>
      </c>
      <c r="U39" s="239">
        <v>0</v>
      </c>
      <c r="V39" s="239">
        <v>821366.08333333337</v>
      </c>
      <c r="W39" s="239">
        <v>2313682</v>
      </c>
      <c r="X39" s="239">
        <v>2267409</v>
      </c>
      <c r="Y39" s="239">
        <v>0</v>
      </c>
      <c r="Z39" s="239">
        <v>46274</v>
      </c>
      <c r="AA39" s="239">
        <v>4627365</v>
      </c>
      <c r="AB39" s="239">
        <v>-5428895</v>
      </c>
      <c r="AC39" s="239">
        <v>-5320318</v>
      </c>
      <c r="AD39" s="239">
        <v>0</v>
      </c>
      <c r="AE39" s="239">
        <v>-108578</v>
      </c>
      <c r="AF39" s="239">
        <v>-10857791</v>
      </c>
      <c r="AG39" s="239">
        <v>-772500</v>
      </c>
      <c r="AH39" s="239">
        <v>-757050</v>
      </c>
      <c r="AI39" s="239">
        <v>0</v>
      </c>
      <c r="AJ39" s="239">
        <v>-15450</v>
      </c>
      <c r="AK39" s="239">
        <v>-1545000</v>
      </c>
      <c r="AL39" s="239">
        <v>772500</v>
      </c>
      <c r="AM39" s="239">
        <v>757050</v>
      </c>
      <c r="AN39" s="239">
        <v>0</v>
      </c>
      <c r="AO39" s="239">
        <v>15450</v>
      </c>
      <c r="AP39" s="239">
        <v>1545000</v>
      </c>
      <c r="AQ39" s="239">
        <v>-826000</v>
      </c>
      <c r="AR39" s="239">
        <v>-809480</v>
      </c>
      <c r="AS39" s="239">
        <v>0</v>
      </c>
      <c r="AT39" s="239">
        <v>-16520</v>
      </c>
      <c r="AU39" s="239">
        <v>-1652000</v>
      </c>
      <c r="AV39" s="239">
        <v>-826000</v>
      </c>
      <c r="AW39" s="239">
        <v>-809480</v>
      </c>
      <c r="AX39" s="239">
        <v>0</v>
      </c>
      <c r="AY39" s="239">
        <v>-16520</v>
      </c>
      <c r="AZ39" s="239">
        <v>-1652000</v>
      </c>
      <c r="BA39" s="239">
        <v>-8797804</v>
      </c>
      <c r="BB39" s="239">
        <v>-8621848</v>
      </c>
      <c r="BC39" s="239">
        <v>0</v>
      </c>
      <c r="BD39" s="239">
        <v>-175956</v>
      </c>
      <c r="BE39" s="239">
        <v>-17595608</v>
      </c>
      <c r="BF39" s="239">
        <v>3518096</v>
      </c>
      <c r="BG39" s="239">
        <v>3447734</v>
      </c>
      <c r="BH39" s="239">
        <v>0</v>
      </c>
      <c r="BI39" s="239">
        <v>70362</v>
      </c>
      <c r="BJ39" s="239">
        <v>7036192</v>
      </c>
      <c r="BK39" s="239">
        <v>-2060124</v>
      </c>
      <c r="BL39" s="239">
        <v>-2018923</v>
      </c>
      <c r="BM39" s="239">
        <v>0</v>
      </c>
      <c r="BN39" s="239">
        <v>-41203</v>
      </c>
      <c r="BO39" s="239">
        <v>-4120250</v>
      </c>
      <c r="BP39" s="239">
        <v>-7339832</v>
      </c>
      <c r="BQ39" s="239">
        <v>-7193037</v>
      </c>
      <c r="BR39" s="239">
        <v>0</v>
      </c>
      <c r="BS39" s="239">
        <v>-146797</v>
      </c>
      <c r="BT39" s="239">
        <v>-14679666</v>
      </c>
      <c r="BU39" s="239">
        <v>-4737822</v>
      </c>
      <c r="BV39" s="239">
        <v>-4643065</v>
      </c>
      <c r="BW39" s="239">
        <v>0</v>
      </c>
      <c r="BX39" s="239">
        <v>-94756</v>
      </c>
      <c r="BY39" s="239">
        <v>-9475643</v>
      </c>
      <c r="BZ39" s="239">
        <v>-4011045</v>
      </c>
      <c r="CA39" s="239">
        <v>-3930824</v>
      </c>
      <c r="CB39" s="239">
        <v>0</v>
      </c>
      <c r="CC39" s="239">
        <v>-80221</v>
      </c>
      <c r="CD39" s="239">
        <v>-8022090</v>
      </c>
      <c r="CE39" s="239">
        <v>-726777</v>
      </c>
      <c r="CF39" s="239">
        <v>-712241</v>
      </c>
      <c r="CG39" s="239">
        <v>0</v>
      </c>
      <c r="CH39" s="239">
        <v>-14535</v>
      </c>
      <c r="CI39" s="239">
        <v>-1453553</v>
      </c>
      <c r="CJ39" s="239">
        <v>103677420</v>
      </c>
      <c r="CK39" s="239">
        <v>101603872</v>
      </c>
      <c r="CL39" s="239">
        <v>0</v>
      </c>
      <c r="CM39" s="239">
        <v>2073548</v>
      </c>
      <c r="CN39" s="239">
        <v>207354840</v>
      </c>
      <c r="CO39" s="239">
        <v>105698226</v>
      </c>
      <c r="CP39" s="239">
        <v>103584261</v>
      </c>
      <c r="CQ39" s="239">
        <v>0</v>
      </c>
      <c r="CR39" s="239">
        <v>2113965</v>
      </c>
      <c r="CS39" s="239">
        <v>211396452</v>
      </c>
      <c r="CT39" s="239">
        <v>2020806</v>
      </c>
      <c r="CU39" s="239">
        <v>1980389</v>
      </c>
      <c r="CV39" s="239">
        <v>0</v>
      </c>
      <c r="CW39" s="239">
        <v>40417</v>
      </c>
      <c r="CX39" s="239">
        <v>4041612</v>
      </c>
      <c r="CY39" s="239">
        <v>1294029</v>
      </c>
      <c r="CZ39" s="239">
        <v>1268148</v>
      </c>
      <c r="DA39" s="239">
        <v>0</v>
      </c>
      <c r="DB39" s="239">
        <v>25882</v>
      </c>
      <c r="DC39" s="239">
        <v>2588059</v>
      </c>
      <c r="DD39" s="214">
        <v>0.5</v>
      </c>
      <c r="DE39" s="214">
        <v>0.49</v>
      </c>
      <c r="DF39" s="214">
        <v>0</v>
      </c>
      <c r="DG39" s="214">
        <v>0.01</v>
      </c>
      <c r="DH39" s="214">
        <v>1</v>
      </c>
      <c r="DI39" s="214" t="s">
        <v>748</v>
      </c>
    </row>
    <row r="40" spans="1:113" s="214" customFormat="1" x14ac:dyDescent="0.2">
      <c r="B40" s="610" t="s">
        <v>163</v>
      </c>
      <c r="C40" s="610" t="s">
        <v>162</v>
      </c>
      <c r="D40" s="239">
        <v>13769473</v>
      </c>
      <c r="E40" s="239">
        <v>11015578</v>
      </c>
      <c r="F40" s="239">
        <v>2753895</v>
      </c>
      <c r="G40" s="239">
        <v>0</v>
      </c>
      <c r="H40" s="239">
        <v>27538946</v>
      </c>
      <c r="I40" s="239">
        <v>0</v>
      </c>
      <c r="J40" s="239">
        <v>0</v>
      </c>
      <c r="K40" s="239">
        <v>13769473</v>
      </c>
      <c r="L40" s="239">
        <v>138072</v>
      </c>
      <c r="M40" s="239">
        <v>138072</v>
      </c>
      <c r="N40" s="239">
        <v>0</v>
      </c>
      <c r="O40" s="239">
        <v>0</v>
      </c>
      <c r="P40" s="239">
        <v>135297</v>
      </c>
      <c r="Q40" s="239">
        <v>0</v>
      </c>
      <c r="R40" s="239">
        <v>135297</v>
      </c>
      <c r="S40" s="239">
        <v>0</v>
      </c>
      <c r="T40" s="239">
        <v>0</v>
      </c>
      <c r="U40" s="239">
        <v>0</v>
      </c>
      <c r="V40" s="239">
        <v>0</v>
      </c>
      <c r="W40" s="239">
        <v>177423</v>
      </c>
      <c r="X40" s="239">
        <v>141939</v>
      </c>
      <c r="Y40" s="239">
        <v>35485</v>
      </c>
      <c r="Z40" s="239">
        <v>0</v>
      </c>
      <c r="AA40" s="239">
        <v>354847</v>
      </c>
      <c r="AB40" s="239">
        <v>-253309</v>
      </c>
      <c r="AC40" s="239">
        <v>-202647</v>
      </c>
      <c r="AD40" s="239">
        <v>-50662</v>
      </c>
      <c r="AE40" s="239">
        <v>0</v>
      </c>
      <c r="AF40" s="239">
        <v>-506618</v>
      </c>
      <c r="AG40" s="239">
        <v>-77562</v>
      </c>
      <c r="AH40" s="239">
        <v>-62048</v>
      </c>
      <c r="AI40" s="239">
        <v>-15512</v>
      </c>
      <c r="AJ40" s="239">
        <v>0</v>
      </c>
      <c r="AK40" s="239">
        <v>-155122</v>
      </c>
      <c r="AL40" s="239">
        <v>28464</v>
      </c>
      <c r="AM40" s="239">
        <v>22771</v>
      </c>
      <c r="AN40" s="239">
        <v>5693</v>
      </c>
      <c r="AO40" s="239">
        <v>0</v>
      </c>
      <c r="AP40" s="239">
        <v>56928</v>
      </c>
      <c r="AQ40" s="239">
        <v>-22319</v>
      </c>
      <c r="AR40" s="239">
        <v>-17856</v>
      </c>
      <c r="AS40" s="239">
        <v>-4464</v>
      </c>
      <c r="AT40" s="239">
        <v>0</v>
      </c>
      <c r="AU40" s="239">
        <v>-44639</v>
      </c>
      <c r="AV40" s="239">
        <v>-71417</v>
      </c>
      <c r="AW40" s="239">
        <v>-57133</v>
      </c>
      <c r="AX40" s="239">
        <v>-14283</v>
      </c>
      <c r="AY40" s="239">
        <v>0</v>
      </c>
      <c r="AZ40" s="239">
        <v>-142833</v>
      </c>
      <c r="BA40" s="239">
        <v>-1040546</v>
      </c>
      <c r="BB40" s="239">
        <v>-832437</v>
      </c>
      <c r="BC40" s="239">
        <v>-208109</v>
      </c>
      <c r="BD40" s="239">
        <v>0</v>
      </c>
      <c r="BE40" s="239">
        <v>-2081092</v>
      </c>
      <c r="BF40" s="239">
        <v>222394</v>
      </c>
      <c r="BG40" s="239">
        <v>177916</v>
      </c>
      <c r="BH40" s="239">
        <v>44479</v>
      </c>
      <c r="BI40" s="239">
        <v>0</v>
      </c>
      <c r="BJ40" s="239">
        <v>444789</v>
      </c>
      <c r="BK40" s="239">
        <v>-880360</v>
      </c>
      <c r="BL40" s="239">
        <v>-704288</v>
      </c>
      <c r="BM40" s="239">
        <v>-176072</v>
      </c>
      <c r="BN40" s="239">
        <v>0</v>
      </c>
      <c r="BO40" s="239">
        <v>-1760720</v>
      </c>
      <c r="BP40" s="239">
        <v>-1698512</v>
      </c>
      <c r="BQ40" s="239">
        <v>-1358809</v>
      </c>
      <c r="BR40" s="239">
        <v>-339702</v>
      </c>
      <c r="BS40" s="239">
        <v>0</v>
      </c>
      <c r="BT40" s="239">
        <v>-3397023</v>
      </c>
      <c r="BU40" s="239">
        <v>-569543</v>
      </c>
      <c r="BV40" s="239">
        <v>-455635</v>
      </c>
      <c r="BW40" s="239">
        <v>-113909</v>
      </c>
      <c r="BX40" s="239">
        <v>0</v>
      </c>
      <c r="BY40" s="239">
        <v>-1139087</v>
      </c>
      <c r="BZ40" s="239">
        <v>275659</v>
      </c>
      <c r="CA40" s="239">
        <v>220527</v>
      </c>
      <c r="CB40" s="239">
        <v>55132</v>
      </c>
      <c r="CC40" s="239">
        <v>0</v>
      </c>
      <c r="CD40" s="239">
        <v>551318</v>
      </c>
      <c r="CE40" s="239">
        <v>-845202</v>
      </c>
      <c r="CF40" s="239">
        <v>-676162</v>
      </c>
      <c r="CG40" s="239">
        <v>-169041</v>
      </c>
      <c r="CH40" s="239">
        <v>0</v>
      </c>
      <c r="CI40" s="239">
        <v>-1690405</v>
      </c>
      <c r="CJ40" s="239">
        <v>15161598</v>
      </c>
      <c r="CK40" s="239">
        <v>12129278</v>
      </c>
      <c r="CL40" s="239">
        <v>3032320</v>
      </c>
      <c r="CM40" s="239">
        <v>0</v>
      </c>
      <c r="CN40" s="239">
        <v>30323196</v>
      </c>
      <c r="CO40" s="239">
        <v>13769473</v>
      </c>
      <c r="CP40" s="239">
        <v>11015578</v>
      </c>
      <c r="CQ40" s="239">
        <v>2753895</v>
      </c>
      <c r="CR40" s="239">
        <v>0</v>
      </c>
      <c r="CS40" s="239">
        <v>27538946</v>
      </c>
      <c r="CT40" s="239">
        <v>-1392125</v>
      </c>
      <c r="CU40" s="239">
        <v>-1113700</v>
      </c>
      <c r="CV40" s="239">
        <v>-278425</v>
      </c>
      <c r="CW40" s="239">
        <v>0</v>
      </c>
      <c r="CX40" s="239">
        <v>-2784250</v>
      </c>
      <c r="CY40" s="239">
        <v>-2237327</v>
      </c>
      <c r="CZ40" s="239">
        <v>-1789862</v>
      </c>
      <c r="DA40" s="239">
        <v>-447466</v>
      </c>
      <c r="DB40" s="239">
        <v>0</v>
      </c>
      <c r="DC40" s="239">
        <v>-4474655</v>
      </c>
      <c r="DD40" s="214">
        <v>0.5</v>
      </c>
      <c r="DE40" s="214">
        <v>0.4</v>
      </c>
      <c r="DF40" s="214">
        <v>0.1</v>
      </c>
      <c r="DG40" s="214">
        <v>0</v>
      </c>
      <c r="DH40" s="214">
        <v>1</v>
      </c>
      <c r="DI40" s="214" t="s">
        <v>1294</v>
      </c>
    </row>
    <row r="41" spans="1:113" s="214" customFormat="1" x14ac:dyDescent="0.2">
      <c r="B41" s="610" t="s">
        <v>165</v>
      </c>
      <c r="C41" s="610" t="s">
        <v>164</v>
      </c>
      <c r="D41" s="239">
        <v>40943066</v>
      </c>
      <c r="E41" s="239">
        <v>24565840</v>
      </c>
      <c r="F41" s="239">
        <v>16377227</v>
      </c>
      <c r="G41" s="239">
        <v>0</v>
      </c>
      <c r="H41" s="239">
        <v>81886133</v>
      </c>
      <c r="I41" s="239">
        <v>0</v>
      </c>
      <c r="J41" s="239">
        <v>0</v>
      </c>
      <c r="K41" s="239">
        <v>40943066</v>
      </c>
      <c r="L41" s="239">
        <v>342871</v>
      </c>
      <c r="M41" s="239">
        <v>342871</v>
      </c>
      <c r="N41" s="239">
        <v>0</v>
      </c>
      <c r="O41" s="239">
        <v>0</v>
      </c>
      <c r="P41" s="239">
        <v>0</v>
      </c>
      <c r="Q41" s="239">
        <v>0</v>
      </c>
      <c r="R41" s="239">
        <v>0</v>
      </c>
      <c r="S41" s="239">
        <v>0</v>
      </c>
      <c r="T41" s="239">
        <v>0</v>
      </c>
      <c r="U41" s="239">
        <v>0</v>
      </c>
      <c r="V41" s="239">
        <v>0</v>
      </c>
      <c r="W41" s="239">
        <v>874641</v>
      </c>
      <c r="X41" s="239">
        <v>524784</v>
      </c>
      <c r="Y41" s="239">
        <v>349856</v>
      </c>
      <c r="Z41" s="239">
        <v>0</v>
      </c>
      <c r="AA41" s="239">
        <v>1749281</v>
      </c>
      <c r="AB41" s="239">
        <v>-1233313</v>
      </c>
      <c r="AC41" s="239">
        <v>-739988</v>
      </c>
      <c r="AD41" s="239">
        <v>-493325</v>
      </c>
      <c r="AE41" s="239">
        <v>0</v>
      </c>
      <c r="AF41" s="239">
        <v>-2466626</v>
      </c>
      <c r="AG41" s="239">
        <v>-342828</v>
      </c>
      <c r="AH41" s="239">
        <v>-205698</v>
      </c>
      <c r="AI41" s="239">
        <v>-137132</v>
      </c>
      <c r="AJ41" s="239">
        <v>0</v>
      </c>
      <c r="AK41" s="239">
        <v>-685658</v>
      </c>
      <c r="AL41" s="239">
        <v>342307</v>
      </c>
      <c r="AM41" s="239">
        <v>205385</v>
      </c>
      <c r="AN41" s="239">
        <v>136923</v>
      </c>
      <c r="AO41" s="239">
        <v>0</v>
      </c>
      <c r="AP41" s="239">
        <v>684615</v>
      </c>
      <c r="AQ41" s="239">
        <v>-409607</v>
      </c>
      <c r="AR41" s="239">
        <v>-245765</v>
      </c>
      <c r="AS41" s="239">
        <v>-163843</v>
      </c>
      <c r="AT41" s="239">
        <v>0</v>
      </c>
      <c r="AU41" s="239">
        <v>-819215</v>
      </c>
      <c r="AV41" s="239">
        <v>-410128</v>
      </c>
      <c r="AW41" s="239">
        <v>-246078</v>
      </c>
      <c r="AX41" s="239">
        <v>-164052</v>
      </c>
      <c r="AY41" s="239">
        <v>0</v>
      </c>
      <c r="AZ41" s="239">
        <v>-820258</v>
      </c>
      <c r="BA41" s="239">
        <v>-2922483</v>
      </c>
      <c r="BB41" s="239">
        <v>-1753490</v>
      </c>
      <c r="BC41" s="239">
        <v>-1168993</v>
      </c>
      <c r="BD41" s="239">
        <v>0</v>
      </c>
      <c r="BE41" s="239">
        <v>-5844966</v>
      </c>
      <c r="BF41" s="239">
        <v>305830</v>
      </c>
      <c r="BG41" s="239">
        <v>183498</v>
      </c>
      <c r="BH41" s="239">
        <v>122332</v>
      </c>
      <c r="BI41" s="239">
        <v>0</v>
      </c>
      <c r="BJ41" s="239">
        <v>611660</v>
      </c>
      <c r="BK41" s="239">
        <v>-941315</v>
      </c>
      <c r="BL41" s="239">
        <v>-564789</v>
      </c>
      <c r="BM41" s="239">
        <v>-376526</v>
      </c>
      <c r="BN41" s="239">
        <v>0</v>
      </c>
      <c r="BO41" s="239">
        <v>-1882630</v>
      </c>
      <c r="BP41" s="239">
        <v>-3557968</v>
      </c>
      <c r="BQ41" s="239">
        <v>-2134781</v>
      </c>
      <c r="BR41" s="239">
        <v>-1423187</v>
      </c>
      <c r="BS41" s="239">
        <v>0</v>
      </c>
      <c r="BT41" s="239">
        <v>-7115936</v>
      </c>
      <c r="BU41" s="239">
        <v>-2731074</v>
      </c>
      <c r="BV41" s="239">
        <v>-1638644</v>
      </c>
      <c r="BW41" s="239">
        <v>-1092429</v>
      </c>
      <c r="BX41" s="239">
        <v>0</v>
      </c>
      <c r="BY41" s="239">
        <v>-5462147</v>
      </c>
      <c r="BZ41" s="239">
        <v>-2621027.9000000004</v>
      </c>
      <c r="CA41" s="239">
        <v>-1572616</v>
      </c>
      <c r="CB41" s="239">
        <v>-1048411</v>
      </c>
      <c r="CC41" s="239">
        <v>0</v>
      </c>
      <c r="CD41" s="239">
        <v>-5242054.9000000004</v>
      </c>
      <c r="CE41" s="239">
        <v>-110046.09999999963</v>
      </c>
      <c r="CF41" s="239">
        <v>-66028</v>
      </c>
      <c r="CG41" s="239">
        <v>-44018</v>
      </c>
      <c r="CH41" s="239">
        <v>0</v>
      </c>
      <c r="CI41" s="239">
        <v>-220092.09999999963</v>
      </c>
      <c r="CJ41" s="239">
        <v>41558492</v>
      </c>
      <c r="CK41" s="239">
        <v>24935095</v>
      </c>
      <c r="CL41" s="239">
        <v>16623397</v>
      </c>
      <c r="CM41" s="239">
        <v>0</v>
      </c>
      <c r="CN41" s="239">
        <v>83116984</v>
      </c>
      <c r="CO41" s="239">
        <v>40943066</v>
      </c>
      <c r="CP41" s="239">
        <v>24565840</v>
      </c>
      <c r="CQ41" s="239">
        <v>16377227</v>
      </c>
      <c r="CR41" s="239">
        <v>0</v>
      </c>
      <c r="CS41" s="239">
        <v>81886133</v>
      </c>
      <c r="CT41" s="239">
        <v>-615426</v>
      </c>
      <c r="CU41" s="239">
        <v>-369255</v>
      </c>
      <c r="CV41" s="239">
        <v>-246170</v>
      </c>
      <c r="CW41" s="239">
        <v>0</v>
      </c>
      <c r="CX41" s="239">
        <v>-1230851</v>
      </c>
      <c r="CY41" s="239">
        <v>-725472.09999999963</v>
      </c>
      <c r="CZ41" s="239">
        <v>-435283</v>
      </c>
      <c r="DA41" s="239">
        <v>-290188</v>
      </c>
      <c r="DB41" s="239">
        <v>0</v>
      </c>
      <c r="DC41" s="239">
        <v>-1450943.0999999996</v>
      </c>
      <c r="DD41" s="214">
        <v>0.5</v>
      </c>
      <c r="DE41" s="214">
        <v>0.3</v>
      </c>
      <c r="DF41" s="214">
        <v>0.2</v>
      </c>
      <c r="DG41" s="214">
        <v>0</v>
      </c>
      <c r="DH41" s="214">
        <v>1</v>
      </c>
      <c r="DI41" s="214" t="s">
        <v>1295</v>
      </c>
    </row>
    <row r="42" spans="1:113" s="214" customFormat="1" x14ac:dyDescent="0.2">
      <c r="B42" s="610" t="s">
        <v>167</v>
      </c>
      <c r="C42" s="610" t="s">
        <v>166</v>
      </c>
      <c r="D42" s="239">
        <v>13687361</v>
      </c>
      <c r="E42" s="239">
        <v>10949888</v>
      </c>
      <c r="F42" s="239">
        <v>2463725</v>
      </c>
      <c r="G42" s="239">
        <v>273747</v>
      </c>
      <c r="H42" s="239">
        <v>27374721</v>
      </c>
      <c r="I42" s="239">
        <v>0</v>
      </c>
      <c r="J42" s="239">
        <v>0</v>
      </c>
      <c r="K42" s="239">
        <v>13687361</v>
      </c>
      <c r="L42" s="239">
        <v>123091</v>
      </c>
      <c r="M42" s="239">
        <v>123091</v>
      </c>
      <c r="N42" s="239">
        <v>0</v>
      </c>
      <c r="O42" s="239">
        <v>0</v>
      </c>
      <c r="P42" s="239">
        <v>0</v>
      </c>
      <c r="Q42" s="239">
        <v>0</v>
      </c>
      <c r="R42" s="239">
        <v>0</v>
      </c>
      <c r="S42" s="239">
        <v>0</v>
      </c>
      <c r="T42" s="239">
        <v>0</v>
      </c>
      <c r="U42" s="239">
        <v>0</v>
      </c>
      <c r="V42" s="239">
        <v>0</v>
      </c>
      <c r="W42" s="239">
        <v>705602</v>
      </c>
      <c r="X42" s="239">
        <v>564481</v>
      </c>
      <c r="Y42" s="239">
        <v>127008</v>
      </c>
      <c r="Z42" s="239">
        <v>14112</v>
      </c>
      <c r="AA42" s="239">
        <v>1411203</v>
      </c>
      <c r="AB42" s="239">
        <v>-420496</v>
      </c>
      <c r="AC42" s="239">
        <v>-336397</v>
      </c>
      <c r="AD42" s="239">
        <v>-75689</v>
      </c>
      <c r="AE42" s="239">
        <v>-8410</v>
      </c>
      <c r="AF42" s="239">
        <v>-840992</v>
      </c>
      <c r="AG42" s="239">
        <v>-367858</v>
      </c>
      <c r="AH42" s="239">
        <v>-294285</v>
      </c>
      <c r="AI42" s="239">
        <v>-66215</v>
      </c>
      <c r="AJ42" s="239">
        <v>-7357</v>
      </c>
      <c r="AK42" s="239">
        <v>-735715</v>
      </c>
      <c r="AL42" s="239">
        <v>157482</v>
      </c>
      <c r="AM42" s="239">
        <v>125986</v>
      </c>
      <c r="AN42" s="239">
        <v>28347</v>
      </c>
      <c r="AO42" s="239">
        <v>3150</v>
      </c>
      <c r="AP42" s="239">
        <v>314965</v>
      </c>
      <c r="AQ42" s="239">
        <v>-108421</v>
      </c>
      <c r="AR42" s="239">
        <v>-86737</v>
      </c>
      <c r="AS42" s="239">
        <v>-19516</v>
      </c>
      <c r="AT42" s="239">
        <v>-2168</v>
      </c>
      <c r="AU42" s="239">
        <v>-216842</v>
      </c>
      <c r="AV42" s="239">
        <v>-318797</v>
      </c>
      <c r="AW42" s="239">
        <v>-255036</v>
      </c>
      <c r="AX42" s="239">
        <v>-57384</v>
      </c>
      <c r="AY42" s="239">
        <v>-6375</v>
      </c>
      <c r="AZ42" s="239">
        <v>-637592</v>
      </c>
      <c r="BA42" s="239">
        <v>-1410651</v>
      </c>
      <c r="BB42" s="239">
        <v>-1128520</v>
      </c>
      <c r="BC42" s="239">
        <v>-253917</v>
      </c>
      <c r="BD42" s="239">
        <v>-28213</v>
      </c>
      <c r="BE42" s="239">
        <v>-2821301</v>
      </c>
      <c r="BF42" s="239">
        <v>794403</v>
      </c>
      <c r="BG42" s="239">
        <v>635522</v>
      </c>
      <c r="BH42" s="239">
        <v>142992</v>
      </c>
      <c r="BI42" s="239">
        <v>15888</v>
      </c>
      <c r="BJ42" s="239">
        <v>1588805</v>
      </c>
      <c r="BK42" s="239">
        <v>-341208</v>
      </c>
      <c r="BL42" s="239">
        <v>-272966</v>
      </c>
      <c r="BM42" s="239">
        <v>-61417</v>
      </c>
      <c r="BN42" s="239">
        <v>-6824</v>
      </c>
      <c r="BO42" s="239">
        <v>-682415</v>
      </c>
      <c r="BP42" s="239">
        <v>-957456</v>
      </c>
      <c r="BQ42" s="239">
        <v>-765964</v>
      </c>
      <c r="BR42" s="239">
        <v>-172342</v>
      </c>
      <c r="BS42" s="239">
        <v>-19149</v>
      </c>
      <c r="BT42" s="239">
        <v>-1914911</v>
      </c>
      <c r="BU42" s="239">
        <v>-1604848</v>
      </c>
      <c r="BV42" s="239">
        <v>-1283879</v>
      </c>
      <c r="BW42" s="239">
        <v>-288873</v>
      </c>
      <c r="BX42" s="239">
        <v>-32097</v>
      </c>
      <c r="BY42" s="239">
        <v>-3209697</v>
      </c>
      <c r="BZ42" s="239">
        <v>-606811</v>
      </c>
      <c r="CA42" s="239">
        <v>-485449</v>
      </c>
      <c r="CB42" s="239">
        <v>-109226</v>
      </c>
      <c r="CC42" s="239">
        <v>-12136</v>
      </c>
      <c r="CD42" s="239">
        <v>-1213622</v>
      </c>
      <c r="CE42" s="239">
        <v>-998037</v>
      </c>
      <c r="CF42" s="239">
        <v>-798430</v>
      </c>
      <c r="CG42" s="239">
        <v>-179647</v>
      </c>
      <c r="CH42" s="239">
        <v>-19961</v>
      </c>
      <c r="CI42" s="239">
        <v>-1996075</v>
      </c>
      <c r="CJ42" s="239">
        <v>13864539</v>
      </c>
      <c r="CK42" s="239">
        <v>11091632</v>
      </c>
      <c r="CL42" s="239">
        <v>2495617</v>
      </c>
      <c r="CM42" s="239">
        <v>277291</v>
      </c>
      <c r="CN42" s="239">
        <v>27729079</v>
      </c>
      <c r="CO42" s="239">
        <v>13687361</v>
      </c>
      <c r="CP42" s="239">
        <v>10949888</v>
      </c>
      <c r="CQ42" s="239">
        <v>2463725</v>
      </c>
      <c r="CR42" s="239">
        <v>273747</v>
      </c>
      <c r="CS42" s="239">
        <v>27374721</v>
      </c>
      <c r="CT42" s="239">
        <v>-177178</v>
      </c>
      <c r="CU42" s="239">
        <v>-141744</v>
      </c>
      <c r="CV42" s="239">
        <v>-31892</v>
      </c>
      <c r="CW42" s="239">
        <v>-3544</v>
      </c>
      <c r="CX42" s="239">
        <v>-354358</v>
      </c>
      <c r="CY42" s="239">
        <v>-1175215</v>
      </c>
      <c r="CZ42" s="239">
        <v>-940174</v>
      </c>
      <c r="DA42" s="239">
        <v>-211539</v>
      </c>
      <c r="DB42" s="239">
        <v>-23505</v>
      </c>
      <c r="DC42" s="239">
        <v>-2350433</v>
      </c>
      <c r="DD42" s="214">
        <v>0.5</v>
      </c>
      <c r="DE42" s="214">
        <v>0.4</v>
      </c>
      <c r="DF42" s="214">
        <v>0.09</v>
      </c>
      <c r="DG42" s="214">
        <v>0.01</v>
      </c>
      <c r="DH42" s="214">
        <v>1</v>
      </c>
      <c r="DI42" s="214" t="s">
        <v>1294</v>
      </c>
    </row>
    <row r="43" spans="1:113" s="214" customFormat="1" x14ac:dyDescent="0.2">
      <c r="B43" s="610" t="s">
        <v>169</v>
      </c>
      <c r="C43" s="610" t="s">
        <v>168</v>
      </c>
      <c r="D43" s="239">
        <v>19285974.299999997</v>
      </c>
      <c r="E43" s="239">
        <v>15428779</v>
      </c>
      <c r="F43" s="239">
        <v>3857195</v>
      </c>
      <c r="G43" s="239">
        <v>0</v>
      </c>
      <c r="H43" s="239">
        <v>38571948.299999997</v>
      </c>
      <c r="I43" s="239">
        <v>0</v>
      </c>
      <c r="J43" s="239">
        <v>0</v>
      </c>
      <c r="K43" s="239">
        <v>19285974.299999997</v>
      </c>
      <c r="L43" s="239">
        <v>116685</v>
      </c>
      <c r="M43" s="239">
        <v>116685</v>
      </c>
      <c r="N43" s="239">
        <v>0</v>
      </c>
      <c r="O43" s="239">
        <v>0</v>
      </c>
      <c r="P43" s="239">
        <v>0</v>
      </c>
      <c r="Q43" s="239">
        <v>0</v>
      </c>
      <c r="R43" s="239">
        <v>0</v>
      </c>
      <c r="S43" s="239">
        <v>0</v>
      </c>
      <c r="T43" s="239">
        <v>0</v>
      </c>
      <c r="U43" s="239">
        <v>0</v>
      </c>
      <c r="V43" s="239">
        <v>0</v>
      </c>
      <c r="W43" s="239">
        <v>1345937</v>
      </c>
      <c r="X43" s="239">
        <v>1076750</v>
      </c>
      <c r="Y43" s="239">
        <v>269188</v>
      </c>
      <c r="Z43" s="239">
        <v>0</v>
      </c>
      <c r="AA43" s="239">
        <v>2691875</v>
      </c>
      <c r="AB43" s="239">
        <v>-399629</v>
      </c>
      <c r="AC43" s="239">
        <v>-319704</v>
      </c>
      <c r="AD43" s="239">
        <v>-79926</v>
      </c>
      <c r="AE43" s="239">
        <v>0</v>
      </c>
      <c r="AF43" s="239">
        <v>-799259</v>
      </c>
      <c r="AG43" s="239">
        <v>-94794</v>
      </c>
      <c r="AH43" s="239">
        <v>-75835</v>
      </c>
      <c r="AI43" s="239">
        <v>-18960</v>
      </c>
      <c r="AJ43" s="239">
        <v>0</v>
      </c>
      <c r="AK43" s="239">
        <v>-189589</v>
      </c>
      <c r="AL43" s="239">
        <v>23604</v>
      </c>
      <c r="AM43" s="239">
        <v>18884</v>
      </c>
      <c r="AN43" s="239">
        <v>4721</v>
      </c>
      <c r="AO43" s="239">
        <v>0</v>
      </c>
      <c r="AP43" s="239">
        <v>47209</v>
      </c>
      <c r="AQ43" s="239">
        <v>95282.299999999988</v>
      </c>
      <c r="AR43" s="239">
        <v>76226</v>
      </c>
      <c r="AS43" s="239">
        <v>19057</v>
      </c>
      <c r="AT43" s="239">
        <v>0</v>
      </c>
      <c r="AU43" s="239">
        <v>190565.3</v>
      </c>
      <c r="AV43" s="239">
        <v>24092.299999999988</v>
      </c>
      <c r="AW43" s="239">
        <v>19275</v>
      </c>
      <c r="AX43" s="239">
        <v>4818</v>
      </c>
      <c r="AY43" s="239">
        <v>0</v>
      </c>
      <c r="AZ43" s="239">
        <v>48185.299999999988</v>
      </c>
      <c r="BA43" s="239">
        <v>-2521052</v>
      </c>
      <c r="BB43" s="239">
        <v>-2016842</v>
      </c>
      <c r="BC43" s="239">
        <v>-504210</v>
      </c>
      <c r="BD43" s="239">
        <v>0</v>
      </c>
      <c r="BE43" s="239">
        <v>-5042104</v>
      </c>
      <c r="BF43" s="239">
        <v>286325</v>
      </c>
      <c r="BG43" s="239">
        <v>229060</v>
      </c>
      <c r="BH43" s="239">
        <v>57265</v>
      </c>
      <c r="BI43" s="239">
        <v>0</v>
      </c>
      <c r="BJ43" s="239">
        <v>572650</v>
      </c>
      <c r="BK43" s="239">
        <v>-930318</v>
      </c>
      <c r="BL43" s="239">
        <v>-744255</v>
      </c>
      <c r="BM43" s="239">
        <v>-186064</v>
      </c>
      <c r="BN43" s="239">
        <v>0</v>
      </c>
      <c r="BO43" s="239">
        <v>-1860637</v>
      </c>
      <c r="BP43" s="239">
        <v>-3165045</v>
      </c>
      <c r="BQ43" s="239">
        <v>-2532037</v>
      </c>
      <c r="BR43" s="239">
        <v>-633009</v>
      </c>
      <c r="BS43" s="239">
        <v>0</v>
      </c>
      <c r="BT43" s="239">
        <v>-6330091</v>
      </c>
      <c r="BU43" s="239">
        <v>-270819</v>
      </c>
      <c r="BV43" s="239">
        <v>-216655</v>
      </c>
      <c r="BW43" s="239">
        <v>-54164</v>
      </c>
      <c r="BX43" s="239">
        <v>0</v>
      </c>
      <c r="BY43" s="239">
        <v>-541638</v>
      </c>
      <c r="BZ43" s="239">
        <v>17077</v>
      </c>
      <c r="CA43" s="239">
        <v>13662</v>
      </c>
      <c r="CB43" s="239">
        <v>3416</v>
      </c>
      <c r="CC43" s="239">
        <v>0</v>
      </c>
      <c r="CD43" s="239">
        <v>34155</v>
      </c>
      <c r="CE43" s="239">
        <v>-287896</v>
      </c>
      <c r="CF43" s="239">
        <v>-230317</v>
      </c>
      <c r="CG43" s="239">
        <v>-57580</v>
      </c>
      <c r="CH43" s="239">
        <v>0</v>
      </c>
      <c r="CI43" s="239">
        <v>-575793</v>
      </c>
      <c r="CJ43" s="239">
        <v>20845724</v>
      </c>
      <c r="CK43" s="239">
        <v>16676579</v>
      </c>
      <c r="CL43" s="239">
        <v>4169145</v>
      </c>
      <c r="CM43" s="239">
        <v>0</v>
      </c>
      <c r="CN43" s="239">
        <v>41691448</v>
      </c>
      <c r="CO43" s="239">
        <v>19285974.299999997</v>
      </c>
      <c r="CP43" s="239">
        <v>15428779</v>
      </c>
      <c r="CQ43" s="239">
        <v>3857195</v>
      </c>
      <c r="CR43" s="239">
        <v>0</v>
      </c>
      <c r="CS43" s="239">
        <v>38571948.299999997</v>
      </c>
      <c r="CT43" s="239">
        <v>-1559749.700000003</v>
      </c>
      <c r="CU43" s="239">
        <v>-1247800</v>
      </c>
      <c r="CV43" s="239">
        <v>-311950</v>
      </c>
      <c r="CW43" s="239">
        <v>0</v>
      </c>
      <c r="CX43" s="239">
        <v>-3119499.700000003</v>
      </c>
      <c r="CY43" s="239">
        <v>-1847645.700000003</v>
      </c>
      <c r="CZ43" s="239">
        <v>-1478117</v>
      </c>
      <c r="DA43" s="239">
        <v>-369530</v>
      </c>
      <c r="DB43" s="239">
        <v>0</v>
      </c>
      <c r="DC43" s="239">
        <v>-3695292.700000003</v>
      </c>
      <c r="DD43" s="214">
        <v>0.5</v>
      </c>
      <c r="DE43" s="214">
        <v>0.4</v>
      </c>
      <c r="DF43" s="214">
        <v>0.1</v>
      </c>
      <c r="DG43" s="214">
        <v>0</v>
      </c>
      <c r="DH43" s="214">
        <v>1</v>
      </c>
      <c r="DI43" s="214" t="s">
        <v>1294</v>
      </c>
    </row>
    <row r="44" spans="1:113" s="214" customFormat="1" x14ac:dyDescent="0.2">
      <c r="A44" s="215" t="s">
        <v>1321</v>
      </c>
      <c r="B44" s="610" t="s">
        <v>171</v>
      </c>
      <c r="C44" s="610" t="s">
        <v>170</v>
      </c>
      <c r="D44" s="239">
        <v>12552174</v>
      </c>
      <c r="E44" s="239">
        <v>10041740</v>
      </c>
      <c r="F44" s="239">
        <v>2259392</v>
      </c>
      <c r="G44" s="239">
        <v>251044</v>
      </c>
      <c r="H44" s="239">
        <v>25104350</v>
      </c>
      <c r="I44" s="239">
        <v>39174.077083333337</v>
      </c>
      <c r="J44" s="239">
        <v>39174.077083333337</v>
      </c>
      <c r="K44" s="239">
        <v>12512999.922916668</v>
      </c>
      <c r="L44" s="239">
        <v>107754</v>
      </c>
      <c r="M44" s="239">
        <v>107754</v>
      </c>
      <c r="N44" s="239">
        <v>0</v>
      </c>
      <c r="O44" s="239">
        <v>0</v>
      </c>
      <c r="P44" s="239">
        <v>0</v>
      </c>
      <c r="Q44" s="239">
        <v>0</v>
      </c>
      <c r="R44" s="239">
        <v>0</v>
      </c>
      <c r="S44" s="239">
        <v>39174.077083333337</v>
      </c>
      <c r="T44" s="239">
        <v>0</v>
      </c>
      <c r="U44" s="239">
        <v>0</v>
      </c>
      <c r="V44" s="239">
        <v>39174.077083333337</v>
      </c>
      <c r="W44" s="239">
        <v>520116</v>
      </c>
      <c r="X44" s="239">
        <v>416093</v>
      </c>
      <c r="Y44" s="239">
        <v>93621</v>
      </c>
      <c r="Z44" s="239">
        <v>10402</v>
      </c>
      <c r="AA44" s="239">
        <v>1040232</v>
      </c>
      <c r="AB44" s="239">
        <v>-155824</v>
      </c>
      <c r="AC44" s="239">
        <v>-124659</v>
      </c>
      <c r="AD44" s="239">
        <v>-28048</v>
      </c>
      <c r="AE44" s="239">
        <v>-3116</v>
      </c>
      <c r="AF44" s="239">
        <v>-311647</v>
      </c>
      <c r="AG44" s="239">
        <v>-360795</v>
      </c>
      <c r="AH44" s="239">
        <v>-288636</v>
      </c>
      <c r="AI44" s="239">
        <v>-64943</v>
      </c>
      <c r="AJ44" s="239">
        <v>-7216</v>
      </c>
      <c r="AK44" s="239">
        <v>-721590</v>
      </c>
      <c r="AL44" s="239">
        <v>-58858</v>
      </c>
      <c r="AM44" s="239">
        <v>-47087</v>
      </c>
      <c r="AN44" s="239">
        <v>-10595</v>
      </c>
      <c r="AO44" s="239">
        <v>-1177</v>
      </c>
      <c r="AP44" s="239">
        <v>-117717</v>
      </c>
      <c r="AQ44" s="239">
        <v>101153</v>
      </c>
      <c r="AR44" s="239">
        <v>80923</v>
      </c>
      <c r="AS44" s="239">
        <v>18208</v>
      </c>
      <c r="AT44" s="239">
        <v>2023</v>
      </c>
      <c r="AU44" s="239">
        <v>202307</v>
      </c>
      <c r="AV44" s="239">
        <v>-318500</v>
      </c>
      <c r="AW44" s="239">
        <v>-254800</v>
      </c>
      <c r="AX44" s="239">
        <v>-57330</v>
      </c>
      <c r="AY44" s="239">
        <v>-6370</v>
      </c>
      <c r="AZ44" s="239">
        <v>-637000</v>
      </c>
      <c r="BA44" s="239">
        <v>-719828</v>
      </c>
      <c r="BB44" s="239">
        <v>-575862</v>
      </c>
      <c r="BC44" s="239">
        <v>-129569</v>
      </c>
      <c r="BD44" s="239">
        <v>-14396</v>
      </c>
      <c r="BE44" s="239">
        <v>-1439655</v>
      </c>
      <c r="BF44" s="239">
        <v>152794</v>
      </c>
      <c r="BG44" s="239">
        <v>122235</v>
      </c>
      <c r="BH44" s="239">
        <v>27503</v>
      </c>
      <c r="BI44" s="239">
        <v>3056</v>
      </c>
      <c r="BJ44" s="239">
        <v>305588</v>
      </c>
      <c r="BK44" s="239">
        <v>-317336</v>
      </c>
      <c r="BL44" s="239">
        <v>-253870</v>
      </c>
      <c r="BM44" s="239">
        <v>-57121</v>
      </c>
      <c r="BN44" s="239">
        <v>-6347</v>
      </c>
      <c r="BO44" s="239">
        <v>-634674</v>
      </c>
      <c r="BP44" s="239">
        <v>-884370</v>
      </c>
      <c r="BQ44" s="239">
        <v>-707497</v>
      </c>
      <c r="BR44" s="239">
        <v>-159187</v>
      </c>
      <c r="BS44" s="239">
        <v>-17687</v>
      </c>
      <c r="BT44" s="239">
        <v>-1768741</v>
      </c>
      <c r="BU44" s="239">
        <v>-1162374</v>
      </c>
      <c r="BV44" s="239">
        <v>-929898</v>
      </c>
      <c r="BW44" s="239">
        <v>-209227</v>
      </c>
      <c r="BX44" s="239">
        <v>-23247</v>
      </c>
      <c r="BY44" s="239">
        <v>-2324746</v>
      </c>
      <c r="BZ44" s="239">
        <v>-427111</v>
      </c>
      <c r="CA44" s="239">
        <v>-341688</v>
      </c>
      <c r="CB44" s="239">
        <v>-76880</v>
      </c>
      <c r="CC44" s="239">
        <v>-8542</v>
      </c>
      <c r="CD44" s="239">
        <v>-854221</v>
      </c>
      <c r="CE44" s="239">
        <v>-735263</v>
      </c>
      <c r="CF44" s="239">
        <v>-588210</v>
      </c>
      <c r="CG44" s="239">
        <v>-132347</v>
      </c>
      <c r="CH44" s="239">
        <v>-14705</v>
      </c>
      <c r="CI44" s="239">
        <v>-1470525</v>
      </c>
      <c r="CJ44" s="239">
        <v>12261571</v>
      </c>
      <c r="CK44" s="239">
        <v>9809256</v>
      </c>
      <c r="CL44" s="239">
        <v>2207083</v>
      </c>
      <c r="CM44" s="239">
        <v>245231</v>
      </c>
      <c r="CN44" s="239">
        <v>24523141</v>
      </c>
      <c r="CO44" s="239">
        <v>12552174</v>
      </c>
      <c r="CP44" s="239">
        <v>10041740</v>
      </c>
      <c r="CQ44" s="239">
        <v>2259392</v>
      </c>
      <c r="CR44" s="239">
        <v>251044</v>
      </c>
      <c r="CS44" s="239">
        <v>25104350</v>
      </c>
      <c r="CT44" s="239">
        <v>290603</v>
      </c>
      <c r="CU44" s="239">
        <v>232484</v>
      </c>
      <c r="CV44" s="239">
        <v>52309</v>
      </c>
      <c r="CW44" s="239">
        <v>5813</v>
      </c>
      <c r="CX44" s="239">
        <v>581209</v>
      </c>
      <c r="CY44" s="239">
        <v>-444660</v>
      </c>
      <c r="CZ44" s="239">
        <v>-355726</v>
      </c>
      <c r="DA44" s="239">
        <v>-80038</v>
      </c>
      <c r="DB44" s="239">
        <v>-8892</v>
      </c>
      <c r="DC44" s="239">
        <v>-889316</v>
      </c>
      <c r="DD44" s="214">
        <v>0.5</v>
      </c>
      <c r="DE44" s="214">
        <v>0.4</v>
      </c>
      <c r="DF44" s="214">
        <v>0.09</v>
      </c>
      <c r="DG44" s="214">
        <v>0.01</v>
      </c>
      <c r="DH44" s="214">
        <v>1</v>
      </c>
      <c r="DI44" s="214" t="s">
        <v>1294</v>
      </c>
    </row>
    <row r="45" spans="1:113" s="214" customFormat="1" x14ac:dyDescent="0.2">
      <c r="B45" s="610" t="s">
        <v>173</v>
      </c>
      <c r="C45" s="610" t="s">
        <v>172</v>
      </c>
      <c r="D45" s="239">
        <v>12793457</v>
      </c>
      <c r="E45" s="239">
        <v>10234766</v>
      </c>
      <c r="F45" s="239">
        <v>2302822</v>
      </c>
      <c r="G45" s="239">
        <v>255869</v>
      </c>
      <c r="H45" s="239">
        <v>25586914</v>
      </c>
      <c r="I45" s="239">
        <v>0</v>
      </c>
      <c r="J45" s="239">
        <v>0</v>
      </c>
      <c r="K45" s="239">
        <v>12793457</v>
      </c>
      <c r="L45" s="239">
        <v>149071</v>
      </c>
      <c r="M45" s="239">
        <v>149071</v>
      </c>
      <c r="N45" s="239">
        <v>0</v>
      </c>
      <c r="O45" s="239">
        <v>0</v>
      </c>
      <c r="P45" s="239">
        <v>239759</v>
      </c>
      <c r="Q45" s="239">
        <v>0</v>
      </c>
      <c r="R45" s="239">
        <v>239759</v>
      </c>
      <c r="S45" s="239">
        <v>0</v>
      </c>
      <c r="T45" s="239">
        <v>0</v>
      </c>
      <c r="U45" s="239">
        <v>0</v>
      </c>
      <c r="V45" s="239">
        <v>0</v>
      </c>
      <c r="W45" s="239">
        <v>856209</v>
      </c>
      <c r="X45" s="239">
        <v>684967</v>
      </c>
      <c r="Y45" s="239">
        <v>154118</v>
      </c>
      <c r="Z45" s="239">
        <v>17124</v>
      </c>
      <c r="AA45" s="239">
        <v>1712418</v>
      </c>
      <c r="AB45" s="239">
        <v>-81120</v>
      </c>
      <c r="AC45" s="239">
        <v>-64896</v>
      </c>
      <c r="AD45" s="239">
        <v>-14602</v>
      </c>
      <c r="AE45" s="239">
        <v>-1622</v>
      </c>
      <c r="AF45" s="239">
        <v>-162240</v>
      </c>
      <c r="AG45" s="239">
        <v>-448064.34</v>
      </c>
      <c r="AH45" s="239">
        <v>-358452</v>
      </c>
      <c r="AI45" s="239">
        <v>-80651</v>
      </c>
      <c r="AJ45" s="239">
        <v>-8962</v>
      </c>
      <c r="AK45" s="239">
        <v>-896129.34</v>
      </c>
      <c r="AL45" s="239">
        <v>-8485</v>
      </c>
      <c r="AM45" s="239">
        <v>-6788</v>
      </c>
      <c r="AN45" s="239">
        <v>-1527</v>
      </c>
      <c r="AO45" s="239">
        <v>-170</v>
      </c>
      <c r="AP45" s="239">
        <v>-16970</v>
      </c>
      <c r="AQ45" s="239">
        <v>-223414</v>
      </c>
      <c r="AR45" s="239">
        <v>-178730</v>
      </c>
      <c r="AS45" s="239">
        <v>-40214</v>
      </c>
      <c r="AT45" s="239">
        <v>-4468</v>
      </c>
      <c r="AU45" s="239">
        <v>-446826</v>
      </c>
      <c r="AV45" s="239">
        <v>-679963.34000000008</v>
      </c>
      <c r="AW45" s="239">
        <v>-543970</v>
      </c>
      <c r="AX45" s="239">
        <v>-122392</v>
      </c>
      <c r="AY45" s="239">
        <v>-13600</v>
      </c>
      <c r="AZ45" s="239">
        <v>-1359925.3399999999</v>
      </c>
      <c r="BA45" s="239">
        <v>-2696760</v>
      </c>
      <c r="BB45" s="239">
        <v>-2157407</v>
      </c>
      <c r="BC45" s="239">
        <v>-485417</v>
      </c>
      <c r="BD45" s="239">
        <v>-53936</v>
      </c>
      <c r="BE45" s="239">
        <v>-5393520</v>
      </c>
      <c r="BF45" s="239">
        <v>0</v>
      </c>
      <c r="BG45" s="239">
        <v>0</v>
      </c>
      <c r="BH45" s="239">
        <v>0</v>
      </c>
      <c r="BI45" s="239">
        <v>0</v>
      </c>
      <c r="BJ45" s="239">
        <v>0</v>
      </c>
      <c r="BK45" s="239">
        <v>-821399</v>
      </c>
      <c r="BL45" s="239">
        <v>-657120</v>
      </c>
      <c r="BM45" s="239">
        <v>-147852</v>
      </c>
      <c r="BN45" s="239">
        <v>-16428</v>
      </c>
      <c r="BO45" s="239">
        <v>-1642799</v>
      </c>
      <c r="BP45" s="239">
        <v>-3518159</v>
      </c>
      <c r="BQ45" s="239">
        <v>-2814527</v>
      </c>
      <c r="BR45" s="239">
        <v>-633269</v>
      </c>
      <c r="BS45" s="239">
        <v>-70364</v>
      </c>
      <c r="BT45" s="239">
        <v>-7036319</v>
      </c>
      <c r="BU45" s="239">
        <v>-1931569</v>
      </c>
      <c r="BV45" s="239">
        <v>-1545255</v>
      </c>
      <c r="BW45" s="239">
        <v>-347682</v>
      </c>
      <c r="BX45" s="239">
        <v>-38631</v>
      </c>
      <c r="BY45" s="239">
        <v>-3863137</v>
      </c>
      <c r="BZ45" s="239">
        <v>393045</v>
      </c>
      <c r="CA45" s="239">
        <v>314436</v>
      </c>
      <c r="CB45" s="239">
        <v>70748</v>
      </c>
      <c r="CC45" s="239">
        <v>7861</v>
      </c>
      <c r="CD45" s="239">
        <v>786090</v>
      </c>
      <c r="CE45" s="239">
        <v>-2324614</v>
      </c>
      <c r="CF45" s="239">
        <v>-1859691</v>
      </c>
      <c r="CG45" s="239">
        <v>-418430</v>
      </c>
      <c r="CH45" s="239">
        <v>-46492</v>
      </c>
      <c r="CI45" s="239">
        <v>-4649227</v>
      </c>
      <c r="CJ45" s="239">
        <v>14001289</v>
      </c>
      <c r="CK45" s="239">
        <v>11201031</v>
      </c>
      <c r="CL45" s="239">
        <v>2520232</v>
      </c>
      <c r="CM45" s="239">
        <v>280026</v>
      </c>
      <c r="CN45" s="239">
        <v>28002578</v>
      </c>
      <c r="CO45" s="239">
        <v>12793457</v>
      </c>
      <c r="CP45" s="239">
        <v>10234766</v>
      </c>
      <c r="CQ45" s="239">
        <v>2302822</v>
      </c>
      <c r="CR45" s="239">
        <v>255869</v>
      </c>
      <c r="CS45" s="239">
        <v>25586914</v>
      </c>
      <c r="CT45" s="239">
        <v>-1207832</v>
      </c>
      <c r="CU45" s="239">
        <v>-966265</v>
      </c>
      <c r="CV45" s="239">
        <v>-217410</v>
      </c>
      <c r="CW45" s="239">
        <v>-24157</v>
      </c>
      <c r="CX45" s="239">
        <v>-2415664</v>
      </c>
      <c r="CY45" s="239">
        <v>-3532446</v>
      </c>
      <c r="CZ45" s="239">
        <v>-2825956</v>
      </c>
      <c r="DA45" s="239">
        <v>-635840</v>
      </c>
      <c r="DB45" s="239">
        <v>-70649</v>
      </c>
      <c r="DC45" s="239">
        <v>-7064891</v>
      </c>
      <c r="DD45" s="214">
        <v>0.5</v>
      </c>
      <c r="DE45" s="214">
        <v>0.4</v>
      </c>
      <c r="DF45" s="214">
        <v>0.09</v>
      </c>
      <c r="DG45" s="214">
        <v>0.01</v>
      </c>
      <c r="DH45" s="214">
        <v>1</v>
      </c>
      <c r="DI45" s="214" t="s">
        <v>1294</v>
      </c>
    </row>
    <row r="46" spans="1:113" s="214" customFormat="1" x14ac:dyDescent="0.2">
      <c r="B46" s="610" t="s">
        <v>175</v>
      </c>
      <c r="C46" s="610" t="s">
        <v>174</v>
      </c>
      <c r="D46" s="239">
        <v>23674749</v>
      </c>
      <c r="E46" s="239">
        <v>23201254</v>
      </c>
      <c r="F46" s="239">
        <v>0</v>
      </c>
      <c r="G46" s="239">
        <v>473495</v>
      </c>
      <c r="H46" s="239">
        <v>47349498</v>
      </c>
      <c r="I46" s="239">
        <v>0</v>
      </c>
      <c r="J46" s="239">
        <v>0</v>
      </c>
      <c r="K46" s="239">
        <v>23674749</v>
      </c>
      <c r="L46" s="239">
        <v>239407</v>
      </c>
      <c r="M46" s="239">
        <v>239407</v>
      </c>
      <c r="N46" s="239">
        <v>0</v>
      </c>
      <c r="O46" s="239">
        <v>0</v>
      </c>
      <c r="P46" s="239">
        <v>0</v>
      </c>
      <c r="Q46" s="239">
        <v>0</v>
      </c>
      <c r="R46" s="239">
        <v>0</v>
      </c>
      <c r="S46" s="239">
        <v>0</v>
      </c>
      <c r="T46" s="239">
        <v>0</v>
      </c>
      <c r="U46" s="239">
        <v>0</v>
      </c>
      <c r="V46" s="239">
        <v>0</v>
      </c>
      <c r="W46" s="239">
        <v>5083927</v>
      </c>
      <c r="X46" s="239">
        <v>4982248</v>
      </c>
      <c r="Y46" s="239">
        <v>0</v>
      </c>
      <c r="Z46" s="239">
        <v>101679</v>
      </c>
      <c r="AA46" s="239">
        <v>10167854</v>
      </c>
      <c r="AB46" s="239">
        <v>-1051764</v>
      </c>
      <c r="AC46" s="239">
        <v>-1030728</v>
      </c>
      <c r="AD46" s="239">
        <v>0</v>
      </c>
      <c r="AE46" s="239">
        <v>-21035</v>
      </c>
      <c r="AF46" s="239">
        <v>-2103527</v>
      </c>
      <c r="AG46" s="239">
        <v>-2192280</v>
      </c>
      <c r="AH46" s="239">
        <v>-2148434.4</v>
      </c>
      <c r="AI46" s="239">
        <v>0</v>
      </c>
      <c r="AJ46" s="239">
        <v>-43845.599999999999</v>
      </c>
      <c r="AK46" s="239">
        <v>-4384560</v>
      </c>
      <c r="AL46" s="239">
        <v>25813</v>
      </c>
      <c r="AM46" s="239">
        <v>25296</v>
      </c>
      <c r="AN46" s="239">
        <v>0</v>
      </c>
      <c r="AO46" s="239">
        <v>516</v>
      </c>
      <c r="AP46" s="239">
        <v>51625</v>
      </c>
      <c r="AQ46" s="239">
        <v>-558511</v>
      </c>
      <c r="AR46" s="239">
        <v>-547341</v>
      </c>
      <c r="AS46" s="239">
        <v>0</v>
      </c>
      <c r="AT46" s="239">
        <v>-11170</v>
      </c>
      <c r="AU46" s="239">
        <v>-1117022</v>
      </c>
      <c r="AV46" s="239">
        <v>-2724978</v>
      </c>
      <c r="AW46" s="239">
        <v>-2670479.4</v>
      </c>
      <c r="AX46" s="239">
        <v>0</v>
      </c>
      <c r="AY46" s="239">
        <v>-54499.6</v>
      </c>
      <c r="AZ46" s="239">
        <v>-5449957</v>
      </c>
      <c r="BA46" s="239">
        <v>-2323500</v>
      </c>
      <c r="BB46" s="239">
        <v>-2277030</v>
      </c>
      <c r="BC46" s="239">
        <v>0</v>
      </c>
      <c r="BD46" s="239">
        <v>-46470</v>
      </c>
      <c r="BE46" s="239">
        <v>-4647000</v>
      </c>
      <c r="BF46" s="239">
        <v>795719</v>
      </c>
      <c r="BG46" s="239">
        <v>779804</v>
      </c>
      <c r="BH46" s="239">
        <v>0</v>
      </c>
      <c r="BI46" s="239">
        <v>15914</v>
      </c>
      <c r="BJ46" s="239">
        <v>1591437</v>
      </c>
      <c r="BK46" s="239">
        <v>-1422502</v>
      </c>
      <c r="BL46" s="239">
        <v>-1394051</v>
      </c>
      <c r="BM46" s="239">
        <v>0</v>
      </c>
      <c r="BN46" s="239">
        <v>-28450</v>
      </c>
      <c r="BO46" s="239">
        <v>-2845003</v>
      </c>
      <c r="BP46" s="239">
        <v>-2950283</v>
      </c>
      <c r="BQ46" s="239">
        <v>-2891277</v>
      </c>
      <c r="BR46" s="239">
        <v>0</v>
      </c>
      <c r="BS46" s="239">
        <v>-59006</v>
      </c>
      <c r="BT46" s="239">
        <v>-5900566</v>
      </c>
      <c r="BU46" s="239">
        <v>-2128115</v>
      </c>
      <c r="BV46" s="239">
        <v>-2085553</v>
      </c>
      <c r="BW46" s="239">
        <v>0</v>
      </c>
      <c r="BX46" s="239">
        <v>-42562</v>
      </c>
      <c r="BY46" s="239">
        <v>-4256230</v>
      </c>
      <c r="BZ46" s="239">
        <v>-516103</v>
      </c>
      <c r="CA46" s="239">
        <v>-505781</v>
      </c>
      <c r="CB46" s="239">
        <v>0</v>
      </c>
      <c r="CC46" s="239">
        <v>-10322</v>
      </c>
      <c r="CD46" s="239">
        <v>-1032206</v>
      </c>
      <c r="CE46" s="239">
        <v>-1612012</v>
      </c>
      <c r="CF46" s="239">
        <v>-1579772</v>
      </c>
      <c r="CG46" s="239">
        <v>0</v>
      </c>
      <c r="CH46" s="239">
        <v>-32240</v>
      </c>
      <c r="CI46" s="239">
        <v>-3224024</v>
      </c>
      <c r="CJ46" s="239">
        <v>24670603</v>
      </c>
      <c r="CK46" s="239">
        <v>24177191</v>
      </c>
      <c r="CL46" s="239">
        <v>0</v>
      </c>
      <c r="CM46" s="239">
        <v>493412</v>
      </c>
      <c r="CN46" s="239">
        <v>49341206</v>
      </c>
      <c r="CO46" s="239">
        <v>23674749</v>
      </c>
      <c r="CP46" s="239">
        <v>23201254</v>
      </c>
      <c r="CQ46" s="239">
        <v>0</v>
      </c>
      <c r="CR46" s="239">
        <v>473495</v>
      </c>
      <c r="CS46" s="239">
        <v>47349498</v>
      </c>
      <c r="CT46" s="239">
        <v>-995854</v>
      </c>
      <c r="CU46" s="239">
        <v>-975937</v>
      </c>
      <c r="CV46" s="239">
        <v>0</v>
      </c>
      <c r="CW46" s="239">
        <v>-19917</v>
      </c>
      <c r="CX46" s="239">
        <v>-1991708</v>
      </c>
      <c r="CY46" s="239">
        <v>-2607866</v>
      </c>
      <c r="CZ46" s="239">
        <v>-2555709</v>
      </c>
      <c r="DA46" s="239">
        <v>0</v>
      </c>
      <c r="DB46" s="239">
        <v>-52157</v>
      </c>
      <c r="DC46" s="239">
        <v>-5215732</v>
      </c>
      <c r="DD46" s="214">
        <v>0.5</v>
      </c>
      <c r="DE46" s="214">
        <v>0.49</v>
      </c>
      <c r="DF46" s="214">
        <v>0</v>
      </c>
      <c r="DG46" s="214">
        <v>0.01</v>
      </c>
      <c r="DH46" s="214">
        <v>1</v>
      </c>
      <c r="DI46" s="214" t="s">
        <v>1296</v>
      </c>
    </row>
    <row r="47" spans="1:113" s="214" customFormat="1" x14ac:dyDescent="0.2">
      <c r="B47" s="610" t="s">
        <v>177</v>
      </c>
      <c r="C47" s="610" t="s">
        <v>176</v>
      </c>
      <c r="D47" s="239">
        <v>28103812</v>
      </c>
      <c r="E47" s="239">
        <v>27541736</v>
      </c>
      <c r="F47" s="239">
        <v>0</v>
      </c>
      <c r="G47" s="239">
        <v>562076</v>
      </c>
      <c r="H47" s="239">
        <v>56207624</v>
      </c>
      <c r="I47" s="239">
        <v>0</v>
      </c>
      <c r="J47" s="239">
        <v>0</v>
      </c>
      <c r="K47" s="239">
        <v>28103812</v>
      </c>
      <c r="L47" s="239">
        <v>354527</v>
      </c>
      <c r="M47" s="239">
        <v>354527</v>
      </c>
      <c r="N47" s="239">
        <v>0</v>
      </c>
      <c r="O47" s="239">
        <v>0</v>
      </c>
      <c r="P47" s="239">
        <v>298340</v>
      </c>
      <c r="Q47" s="239">
        <v>0</v>
      </c>
      <c r="R47" s="239">
        <v>298340</v>
      </c>
      <c r="S47" s="239">
        <v>0</v>
      </c>
      <c r="T47" s="239">
        <v>0</v>
      </c>
      <c r="U47" s="239">
        <v>0</v>
      </c>
      <c r="V47" s="239">
        <v>0</v>
      </c>
      <c r="W47" s="239">
        <v>3055547</v>
      </c>
      <c r="X47" s="239">
        <v>2994437</v>
      </c>
      <c r="Y47" s="239">
        <v>0</v>
      </c>
      <c r="Z47" s="239">
        <v>61111</v>
      </c>
      <c r="AA47" s="239">
        <v>6111095</v>
      </c>
      <c r="AB47" s="239">
        <v>-1921407</v>
      </c>
      <c r="AC47" s="239">
        <v>-1882979</v>
      </c>
      <c r="AD47" s="239">
        <v>0</v>
      </c>
      <c r="AE47" s="239">
        <v>-38428</v>
      </c>
      <c r="AF47" s="239">
        <v>-3842814</v>
      </c>
      <c r="AG47" s="239">
        <v>-1397423</v>
      </c>
      <c r="AH47" s="239">
        <v>-1369475</v>
      </c>
      <c r="AI47" s="239">
        <v>0</v>
      </c>
      <c r="AJ47" s="239">
        <v>-27948</v>
      </c>
      <c r="AK47" s="239">
        <v>-2794846</v>
      </c>
      <c r="AL47" s="239">
        <v>-4513</v>
      </c>
      <c r="AM47" s="239">
        <v>-4422</v>
      </c>
      <c r="AN47" s="239">
        <v>0</v>
      </c>
      <c r="AO47" s="239">
        <v>-90</v>
      </c>
      <c r="AP47" s="239">
        <v>-9025</v>
      </c>
      <c r="AQ47" s="239">
        <v>-364749</v>
      </c>
      <c r="AR47" s="239">
        <v>-357454</v>
      </c>
      <c r="AS47" s="239">
        <v>0</v>
      </c>
      <c r="AT47" s="239">
        <v>-7295</v>
      </c>
      <c r="AU47" s="239">
        <v>-729498</v>
      </c>
      <c r="AV47" s="239">
        <v>-1766685</v>
      </c>
      <c r="AW47" s="239">
        <v>-1731351</v>
      </c>
      <c r="AX47" s="239">
        <v>0</v>
      </c>
      <c r="AY47" s="239">
        <v>-35333</v>
      </c>
      <c r="AZ47" s="239">
        <v>-3533369</v>
      </c>
      <c r="BA47" s="239">
        <v>-1830685</v>
      </c>
      <c r="BB47" s="239">
        <v>-1794071</v>
      </c>
      <c r="BC47" s="239">
        <v>0</v>
      </c>
      <c r="BD47" s="239">
        <v>-36613</v>
      </c>
      <c r="BE47" s="239">
        <v>-3661369</v>
      </c>
      <c r="BF47" s="239">
        <v>556991</v>
      </c>
      <c r="BG47" s="239">
        <v>545851</v>
      </c>
      <c r="BH47" s="239">
        <v>0</v>
      </c>
      <c r="BI47" s="239">
        <v>11140</v>
      </c>
      <c r="BJ47" s="239">
        <v>1113982</v>
      </c>
      <c r="BK47" s="239">
        <v>-994634</v>
      </c>
      <c r="BL47" s="239">
        <v>-974742</v>
      </c>
      <c r="BM47" s="239">
        <v>0</v>
      </c>
      <c r="BN47" s="239">
        <v>-19893</v>
      </c>
      <c r="BO47" s="239">
        <v>-1989269</v>
      </c>
      <c r="BP47" s="239">
        <v>-2268328</v>
      </c>
      <c r="BQ47" s="239">
        <v>-2222962</v>
      </c>
      <c r="BR47" s="239">
        <v>0</v>
      </c>
      <c r="BS47" s="239">
        <v>-45366</v>
      </c>
      <c r="BT47" s="239">
        <v>-4536656</v>
      </c>
      <c r="BU47" s="239">
        <v>-608984</v>
      </c>
      <c r="BV47" s="239">
        <v>-596804</v>
      </c>
      <c r="BW47" s="239">
        <v>0</v>
      </c>
      <c r="BX47" s="239">
        <v>-12180</v>
      </c>
      <c r="BY47" s="239">
        <v>-1217968</v>
      </c>
      <c r="BZ47" s="239">
        <v>358670</v>
      </c>
      <c r="CA47" s="239">
        <v>351497</v>
      </c>
      <c r="CB47" s="239">
        <v>0</v>
      </c>
      <c r="CC47" s="239">
        <v>7173</v>
      </c>
      <c r="CD47" s="239">
        <v>717340</v>
      </c>
      <c r="CE47" s="239">
        <v>-967654</v>
      </c>
      <c r="CF47" s="239">
        <v>-948301</v>
      </c>
      <c r="CG47" s="239">
        <v>0</v>
      </c>
      <c r="CH47" s="239">
        <v>-19353</v>
      </c>
      <c r="CI47" s="239">
        <v>-1935308</v>
      </c>
      <c r="CJ47" s="239">
        <v>29359126</v>
      </c>
      <c r="CK47" s="239">
        <v>28771943</v>
      </c>
      <c r="CL47" s="239">
        <v>0</v>
      </c>
      <c r="CM47" s="239">
        <v>587183</v>
      </c>
      <c r="CN47" s="239">
        <v>58718252</v>
      </c>
      <c r="CO47" s="239">
        <v>28103812</v>
      </c>
      <c r="CP47" s="239">
        <v>27541736</v>
      </c>
      <c r="CQ47" s="239">
        <v>0</v>
      </c>
      <c r="CR47" s="239">
        <v>562076</v>
      </c>
      <c r="CS47" s="239">
        <v>56207624</v>
      </c>
      <c r="CT47" s="239">
        <v>-1255314</v>
      </c>
      <c r="CU47" s="239">
        <v>-1230207</v>
      </c>
      <c r="CV47" s="239">
        <v>0</v>
      </c>
      <c r="CW47" s="239">
        <v>-25107</v>
      </c>
      <c r="CX47" s="239">
        <v>-2510628</v>
      </c>
      <c r="CY47" s="239">
        <v>-2222968</v>
      </c>
      <c r="CZ47" s="239">
        <v>-2178508</v>
      </c>
      <c r="DA47" s="239">
        <v>0</v>
      </c>
      <c r="DB47" s="239">
        <v>-44460</v>
      </c>
      <c r="DC47" s="239">
        <v>-4445936</v>
      </c>
      <c r="DD47" s="214">
        <v>0.5</v>
      </c>
      <c r="DE47" s="214">
        <v>0.49</v>
      </c>
      <c r="DF47" s="214">
        <v>0</v>
      </c>
      <c r="DG47" s="214">
        <v>0.01</v>
      </c>
      <c r="DH47" s="214">
        <v>1</v>
      </c>
      <c r="DI47" s="214" t="s">
        <v>1296</v>
      </c>
    </row>
    <row r="48" spans="1:113" s="214" customFormat="1" x14ac:dyDescent="0.2">
      <c r="B48" s="610" t="s">
        <v>179</v>
      </c>
      <c r="C48" s="610" t="s">
        <v>178</v>
      </c>
      <c r="D48" s="239">
        <v>47707191</v>
      </c>
      <c r="E48" s="239">
        <v>38165752</v>
      </c>
      <c r="F48" s="239">
        <v>8587294</v>
      </c>
      <c r="G48" s="239">
        <v>954144</v>
      </c>
      <c r="H48" s="239">
        <v>95414381</v>
      </c>
      <c r="I48" s="239">
        <v>0</v>
      </c>
      <c r="J48" s="239">
        <v>0</v>
      </c>
      <c r="K48" s="239">
        <v>47707191</v>
      </c>
      <c r="L48" s="239">
        <v>227835</v>
      </c>
      <c r="M48" s="239">
        <v>227835</v>
      </c>
      <c r="N48" s="239">
        <v>0</v>
      </c>
      <c r="O48" s="239">
        <v>0</v>
      </c>
      <c r="P48" s="239">
        <v>0</v>
      </c>
      <c r="Q48" s="239">
        <v>0</v>
      </c>
      <c r="R48" s="239">
        <v>0</v>
      </c>
      <c r="S48" s="239">
        <v>0</v>
      </c>
      <c r="T48" s="239">
        <v>0</v>
      </c>
      <c r="U48" s="239">
        <v>0</v>
      </c>
      <c r="V48" s="239">
        <v>0</v>
      </c>
      <c r="W48" s="239">
        <v>677917</v>
      </c>
      <c r="X48" s="239">
        <v>542333</v>
      </c>
      <c r="Y48" s="239">
        <v>122025</v>
      </c>
      <c r="Z48" s="239">
        <v>13558</v>
      </c>
      <c r="AA48" s="239">
        <v>1355833</v>
      </c>
      <c r="AB48" s="239">
        <v>-912781</v>
      </c>
      <c r="AC48" s="239">
        <v>-730224</v>
      </c>
      <c r="AD48" s="239">
        <v>-164300</v>
      </c>
      <c r="AE48" s="239">
        <v>-18256</v>
      </c>
      <c r="AF48" s="239">
        <v>-1825561</v>
      </c>
      <c r="AG48" s="239">
        <v>-246393</v>
      </c>
      <c r="AH48" s="239">
        <v>-197115</v>
      </c>
      <c r="AI48" s="239">
        <v>-44351</v>
      </c>
      <c r="AJ48" s="239">
        <v>-4928</v>
      </c>
      <c r="AK48" s="239">
        <v>-492787</v>
      </c>
      <c r="AL48" s="239">
        <v>-6631</v>
      </c>
      <c r="AM48" s="239">
        <v>-5304</v>
      </c>
      <c r="AN48" s="239">
        <v>-1193</v>
      </c>
      <c r="AO48" s="239">
        <v>-133</v>
      </c>
      <c r="AP48" s="239">
        <v>-13261</v>
      </c>
      <c r="AQ48" s="239">
        <v>-234814</v>
      </c>
      <c r="AR48" s="239">
        <v>-187852</v>
      </c>
      <c r="AS48" s="239">
        <v>-42267</v>
      </c>
      <c r="AT48" s="239">
        <v>-4696</v>
      </c>
      <c r="AU48" s="239">
        <v>-469629</v>
      </c>
      <c r="AV48" s="239">
        <v>-487838</v>
      </c>
      <c r="AW48" s="239">
        <v>-390271</v>
      </c>
      <c r="AX48" s="239">
        <v>-87811</v>
      </c>
      <c r="AY48" s="239">
        <v>-9757</v>
      </c>
      <c r="AZ48" s="239">
        <v>-975677</v>
      </c>
      <c r="BA48" s="239">
        <v>-4429757</v>
      </c>
      <c r="BB48" s="239">
        <v>-3543806</v>
      </c>
      <c r="BC48" s="239">
        <v>-797358</v>
      </c>
      <c r="BD48" s="239">
        <v>-88595</v>
      </c>
      <c r="BE48" s="239">
        <v>-8859516</v>
      </c>
      <c r="BF48" s="239">
        <v>1042528</v>
      </c>
      <c r="BG48" s="239">
        <v>834022</v>
      </c>
      <c r="BH48" s="239">
        <v>187655</v>
      </c>
      <c r="BI48" s="239">
        <v>20851</v>
      </c>
      <c r="BJ48" s="239">
        <v>2085056</v>
      </c>
      <c r="BK48" s="239">
        <v>-1368464</v>
      </c>
      <c r="BL48" s="239">
        <v>-1094772</v>
      </c>
      <c r="BM48" s="239">
        <v>-246324</v>
      </c>
      <c r="BN48" s="239">
        <v>-27369</v>
      </c>
      <c r="BO48" s="239">
        <v>-2736929</v>
      </c>
      <c r="BP48" s="239">
        <v>-4755693</v>
      </c>
      <c r="BQ48" s="239">
        <v>-3804556</v>
      </c>
      <c r="BR48" s="239">
        <v>-856027</v>
      </c>
      <c r="BS48" s="239">
        <v>-95113</v>
      </c>
      <c r="BT48" s="239">
        <v>-9511389</v>
      </c>
      <c r="BU48" s="239">
        <v>-5550875</v>
      </c>
      <c r="BV48" s="239">
        <v>-4440700</v>
      </c>
      <c r="BW48" s="239">
        <v>-999157</v>
      </c>
      <c r="BX48" s="239">
        <v>-111017</v>
      </c>
      <c r="BY48" s="239">
        <v>-11101749</v>
      </c>
      <c r="BZ48" s="239">
        <v>-3961409</v>
      </c>
      <c r="CA48" s="239">
        <v>-3169126</v>
      </c>
      <c r="CB48" s="239">
        <v>-713053</v>
      </c>
      <c r="CC48" s="239">
        <v>-79228</v>
      </c>
      <c r="CD48" s="239">
        <v>-7922816</v>
      </c>
      <c r="CE48" s="239">
        <v>-1589466</v>
      </c>
      <c r="CF48" s="239">
        <v>-1271574</v>
      </c>
      <c r="CG48" s="239">
        <v>-286104</v>
      </c>
      <c r="CH48" s="239">
        <v>-31789</v>
      </c>
      <c r="CI48" s="239">
        <v>-3178933</v>
      </c>
      <c r="CJ48" s="239">
        <v>48329212</v>
      </c>
      <c r="CK48" s="239">
        <v>38663369</v>
      </c>
      <c r="CL48" s="239">
        <v>8699258</v>
      </c>
      <c r="CM48" s="239">
        <v>966584</v>
      </c>
      <c r="CN48" s="239">
        <v>96658423</v>
      </c>
      <c r="CO48" s="239">
        <v>47707191</v>
      </c>
      <c r="CP48" s="239">
        <v>38165752</v>
      </c>
      <c r="CQ48" s="239">
        <v>8587294</v>
      </c>
      <c r="CR48" s="239">
        <v>954144</v>
      </c>
      <c r="CS48" s="239">
        <v>95414381</v>
      </c>
      <c r="CT48" s="239">
        <v>-622021</v>
      </c>
      <c r="CU48" s="239">
        <v>-497617</v>
      </c>
      <c r="CV48" s="239">
        <v>-111964</v>
      </c>
      <c r="CW48" s="239">
        <v>-12440</v>
      </c>
      <c r="CX48" s="239">
        <v>-1244042</v>
      </c>
      <c r="CY48" s="239">
        <v>-2211487</v>
      </c>
      <c r="CZ48" s="239">
        <v>-1769191</v>
      </c>
      <c r="DA48" s="239">
        <v>-398068</v>
      </c>
      <c r="DB48" s="239">
        <v>-44229</v>
      </c>
      <c r="DC48" s="239">
        <v>-4422975</v>
      </c>
      <c r="DD48" s="214">
        <v>0.5</v>
      </c>
      <c r="DE48" s="214">
        <v>0.4</v>
      </c>
      <c r="DF48" s="214">
        <v>0.09</v>
      </c>
      <c r="DG48" s="214">
        <v>0.01</v>
      </c>
      <c r="DH48" s="214">
        <v>1</v>
      </c>
      <c r="DI48" s="214" t="s">
        <v>1294</v>
      </c>
    </row>
    <row r="49" spans="2:113" s="214" customFormat="1" x14ac:dyDescent="0.2">
      <c r="B49" s="610" t="s">
        <v>181</v>
      </c>
      <c r="C49" s="610" t="s">
        <v>180</v>
      </c>
      <c r="D49" s="239">
        <v>258162304</v>
      </c>
      <c r="E49" s="239">
        <v>154897382</v>
      </c>
      <c r="F49" s="239">
        <v>103264922</v>
      </c>
      <c r="G49" s="239">
        <v>0</v>
      </c>
      <c r="H49" s="239">
        <v>516324608</v>
      </c>
      <c r="I49" s="239">
        <v>0</v>
      </c>
      <c r="J49" s="239">
        <v>0</v>
      </c>
      <c r="K49" s="239">
        <v>258162304</v>
      </c>
      <c r="L49" s="239">
        <v>1185753</v>
      </c>
      <c r="M49" s="239">
        <v>1185753</v>
      </c>
      <c r="N49" s="239">
        <v>0</v>
      </c>
      <c r="O49" s="239">
        <v>0</v>
      </c>
      <c r="P49" s="239">
        <v>0</v>
      </c>
      <c r="Q49" s="239">
        <v>0</v>
      </c>
      <c r="R49" s="239">
        <v>0</v>
      </c>
      <c r="S49" s="239">
        <v>0</v>
      </c>
      <c r="T49" s="239">
        <v>0</v>
      </c>
      <c r="U49" s="239">
        <v>0</v>
      </c>
      <c r="V49" s="239">
        <v>0</v>
      </c>
      <c r="W49" s="239">
        <v>2084946</v>
      </c>
      <c r="X49" s="239">
        <v>1250967</v>
      </c>
      <c r="Y49" s="239">
        <v>833978</v>
      </c>
      <c r="Z49" s="239">
        <v>0</v>
      </c>
      <c r="AA49" s="239">
        <v>4169891</v>
      </c>
      <c r="AB49" s="239">
        <v>-3783722</v>
      </c>
      <c r="AC49" s="239">
        <v>-2270234</v>
      </c>
      <c r="AD49" s="239">
        <v>-1513489</v>
      </c>
      <c r="AE49" s="239">
        <v>0</v>
      </c>
      <c r="AF49" s="239">
        <v>-7567445</v>
      </c>
      <c r="AG49" s="239">
        <v>-1866379</v>
      </c>
      <c r="AH49" s="239">
        <v>-1119827</v>
      </c>
      <c r="AI49" s="239">
        <v>-746552</v>
      </c>
      <c r="AJ49" s="239">
        <v>0</v>
      </c>
      <c r="AK49" s="239">
        <v>-3732758</v>
      </c>
      <c r="AL49" s="239">
        <v>1476172</v>
      </c>
      <c r="AM49" s="239">
        <v>885703</v>
      </c>
      <c r="AN49" s="239">
        <v>590469</v>
      </c>
      <c r="AO49" s="239">
        <v>0</v>
      </c>
      <c r="AP49" s="239">
        <v>2952344</v>
      </c>
      <c r="AQ49" s="239">
        <v>-1258346</v>
      </c>
      <c r="AR49" s="239">
        <v>-755008</v>
      </c>
      <c r="AS49" s="239">
        <v>-503338</v>
      </c>
      <c r="AT49" s="239">
        <v>0</v>
      </c>
      <c r="AU49" s="239">
        <v>-2516692</v>
      </c>
      <c r="AV49" s="239">
        <v>-1648553</v>
      </c>
      <c r="AW49" s="239">
        <v>-989132</v>
      </c>
      <c r="AX49" s="239">
        <v>-659421</v>
      </c>
      <c r="AY49" s="239">
        <v>0</v>
      </c>
      <c r="AZ49" s="239">
        <v>-3297106</v>
      </c>
      <c r="BA49" s="239">
        <v>-31919573</v>
      </c>
      <c r="BB49" s="239">
        <v>-19151744</v>
      </c>
      <c r="BC49" s="239">
        <v>-12767830</v>
      </c>
      <c r="BD49" s="239">
        <v>0</v>
      </c>
      <c r="BE49" s="239">
        <v>-63839147</v>
      </c>
      <c r="BF49" s="239">
        <v>10573950</v>
      </c>
      <c r="BG49" s="239">
        <v>6344370</v>
      </c>
      <c r="BH49" s="239">
        <v>4229580</v>
      </c>
      <c r="BI49" s="239">
        <v>0</v>
      </c>
      <c r="BJ49" s="239">
        <v>21147900</v>
      </c>
      <c r="BK49" s="239">
        <v>0</v>
      </c>
      <c r="BL49" s="239">
        <v>0</v>
      </c>
      <c r="BM49" s="239">
        <v>0</v>
      </c>
      <c r="BN49" s="239">
        <v>0</v>
      </c>
      <c r="BO49" s="239">
        <v>0</v>
      </c>
      <c r="BP49" s="239">
        <v>-21345623</v>
      </c>
      <c r="BQ49" s="239">
        <v>-12807374</v>
      </c>
      <c r="BR49" s="239">
        <v>-8538250</v>
      </c>
      <c r="BS49" s="239">
        <v>0</v>
      </c>
      <c r="BT49" s="239">
        <v>-42691247</v>
      </c>
      <c r="BU49" s="239">
        <v>-46562114</v>
      </c>
      <c r="BV49" s="239">
        <v>-27937268</v>
      </c>
      <c r="BW49" s="239">
        <v>-18624845</v>
      </c>
      <c r="BX49" s="239">
        <v>0</v>
      </c>
      <c r="BY49" s="239">
        <v>-93124227</v>
      </c>
      <c r="BZ49" s="239">
        <v>-29880626</v>
      </c>
      <c r="CA49" s="239">
        <v>-17928376</v>
      </c>
      <c r="CB49" s="239">
        <v>-11952251</v>
      </c>
      <c r="CC49" s="239">
        <v>0</v>
      </c>
      <c r="CD49" s="239">
        <v>-59761253</v>
      </c>
      <c r="CE49" s="239">
        <v>-16681488</v>
      </c>
      <c r="CF49" s="239">
        <v>-10008892</v>
      </c>
      <c r="CG49" s="239">
        <v>-6672594</v>
      </c>
      <c r="CH49" s="239">
        <v>0</v>
      </c>
      <c r="CI49" s="239">
        <v>-33362974</v>
      </c>
      <c r="CJ49" s="239">
        <v>264940646</v>
      </c>
      <c r="CK49" s="239">
        <v>158964388</v>
      </c>
      <c r="CL49" s="239">
        <v>105976259</v>
      </c>
      <c r="CM49" s="239">
        <v>0</v>
      </c>
      <c r="CN49" s="239">
        <v>529881293</v>
      </c>
      <c r="CO49" s="239">
        <v>258162304</v>
      </c>
      <c r="CP49" s="239">
        <v>154897382</v>
      </c>
      <c r="CQ49" s="239">
        <v>103264922</v>
      </c>
      <c r="CR49" s="239">
        <v>0</v>
      </c>
      <c r="CS49" s="239">
        <v>516324608</v>
      </c>
      <c r="CT49" s="239">
        <v>-6778342</v>
      </c>
      <c r="CU49" s="239">
        <v>-4067006</v>
      </c>
      <c r="CV49" s="239">
        <v>-2711337</v>
      </c>
      <c r="CW49" s="239">
        <v>0</v>
      </c>
      <c r="CX49" s="239">
        <v>-13556685</v>
      </c>
      <c r="CY49" s="239">
        <v>-23459830</v>
      </c>
      <c r="CZ49" s="239">
        <v>-14075898</v>
      </c>
      <c r="DA49" s="239">
        <v>-9383931</v>
      </c>
      <c r="DB49" s="239">
        <v>0</v>
      </c>
      <c r="DC49" s="239">
        <v>-46919659</v>
      </c>
      <c r="DD49" s="214">
        <v>0.5</v>
      </c>
      <c r="DE49" s="214">
        <v>0.3</v>
      </c>
      <c r="DF49" s="214">
        <v>0.2</v>
      </c>
      <c r="DG49" s="214">
        <v>0</v>
      </c>
      <c r="DH49" s="214">
        <v>1</v>
      </c>
      <c r="DI49" s="214" t="s">
        <v>1297</v>
      </c>
    </row>
    <row r="50" spans="2:113" s="214" customFormat="1" x14ac:dyDescent="0.2">
      <c r="B50" s="610" t="s">
        <v>183</v>
      </c>
      <c r="C50" s="610" t="s">
        <v>182</v>
      </c>
      <c r="D50" s="239">
        <v>18141199</v>
      </c>
      <c r="E50" s="239">
        <v>14512959</v>
      </c>
      <c r="F50" s="239">
        <v>3265416</v>
      </c>
      <c r="G50" s="239">
        <v>362824</v>
      </c>
      <c r="H50" s="239">
        <v>36282398</v>
      </c>
      <c r="I50" s="239">
        <v>0</v>
      </c>
      <c r="J50" s="239">
        <v>0</v>
      </c>
      <c r="K50" s="239">
        <v>18141199</v>
      </c>
      <c r="L50" s="239">
        <v>138207</v>
      </c>
      <c r="M50" s="239">
        <v>138207</v>
      </c>
      <c r="N50" s="239">
        <v>0</v>
      </c>
      <c r="O50" s="239">
        <v>0</v>
      </c>
      <c r="P50" s="239">
        <v>0</v>
      </c>
      <c r="Q50" s="239">
        <v>0</v>
      </c>
      <c r="R50" s="239">
        <v>0</v>
      </c>
      <c r="S50" s="239">
        <v>0</v>
      </c>
      <c r="T50" s="239">
        <v>0</v>
      </c>
      <c r="U50" s="239">
        <v>0</v>
      </c>
      <c r="V50" s="239">
        <v>0</v>
      </c>
      <c r="W50" s="239">
        <v>1175251</v>
      </c>
      <c r="X50" s="239">
        <v>940200</v>
      </c>
      <c r="Y50" s="239">
        <v>211545</v>
      </c>
      <c r="Z50" s="239">
        <v>23505</v>
      </c>
      <c r="AA50" s="239">
        <v>2350501</v>
      </c>
      <c r="AB50" s="239">
        <v>-160446</v>
      </c>
      <c r="AC50" s="239">
        <v>-128357</v>
      </c>
      <c r="AD50" s="239">
        <v>-28880</v>
      </c>
      <c r="AE50" s="239">
        <v>-3209</v>
      </c>
      <c r="AF50" s="239">
        <v>-320892</v>
      </c>
      <c r="AG50" s="239">
        <v>-975020</v>
      </c>
      <c r="AH50" s="239">
        <v>-780016</v>
      </c>
      <c r="AI50" s="239">
        <v>-175504</v>
      </c>
      <c r="AJ50" s="239">
        <v>-19501</v>
      </c>
      <c r="AK50" s="239">
        <v>-1950041</v>
      </c>
      <c r="AL50" s="239">
        <v>155316</v>
      </c>
      <c r="AM50" s="239">
        <v>124252</v>
      </c>
      <c r="AN50" s="239">
        <v>27957</v>
      </c>
      <c r="AO50" s="239">
        <v>3106</v>
      </c>
      <c r="AP50" s="239">
        <v>310631</v>
      </c>
      <c r="AQ50" s="239">
        <v>19395</v>
      </c>
      <c r="AR50" s="239">
        <v>15516</v>
      </c>
      <c r="AS50" s="239">
        <v>3491</v>
      </c>
      <c r="AT50" s="239">
        <v>388</v>
      </c>
      <c r="AU50" s="239">
        <v>38790</v>
      </c>
      <c r="AV50" s="239">
        <v>-800309</v>
      </c>
      <c r="AW50" s="239">
        <v>-640248</v>
      </c>
      <c r="AX50" s="239">
        <v>-144056</v>
      </c>
      <c r="AY50" s="239">
        <v>-16007</v>
      </c>
      <c r="AZ50" s="239">
        <v>-1600620</v>
      </c>
      <c r="BA50" s="239">
        <v>-2638883</v>
      </c>
      <c r="BB50" s="239">
        <v>-2111106</v>
      </c>
      <c r="BC50" s="239">
        <v>-474999</v>
      </c>
      <c r="BD50" s="239">
        <v>-52777</v>
      </c>
      <c r="BE50" s="239">
        <v>-5277765</v>
      </c>
      <c r="BF50" s="239">
        <v>576518</v>
      </c>
      <c r="BG50" s="239">
        <v>461214</v>
      </c>
      <c r="BH50" s="239">
        <v>103773</v>
      </c>
      <c r="BI50" s="239">
        <v>11530</v>
      </c>
      <c r="BJ50" s="239">
        <v>1153035</v>
      </c>
      <c r="BK50" s="239">
        <v>-566790</v>
      </c>
      <c r="BL50" s="239">
        <v>-453432</v>
      </c>
      <c r="BM50" s="239">
        <v>-102022</v>
      </c>
      <c r="BN50" s="239">
        <v>-11336</v>
      </c>
      <c r="BO50" s="239">
        <v>-1133580</v>
      </c>
      <c r="BP50" s="239">
        <v>-2629155</v>
      </c>
      <c r="BQ50" s="239">
        <v>-2103324</v>
      </c>
      <c r="BR50" s="239">
        <v>-473248</v>
      </c>
      <c r="BS50" s="239">
        <v>-52583</v>
      </c>
      <c r="BT50" s="239">
        <v>-5258310</v>
      </c>
      <c r="BU50" s="239">
        <v>-2772278</v>
      </c>
      <c r="BV50" s="239">
        <v>-2217823</v>
      </c>
      <c r="BW50" s="239">
        <v>-499010</v>
      </c>
      <c r="BX50" s="239">
        <v>-55446</v>
      </c>
      <c r="BY50" s="239">
        <v>-5544557</v>
      </c>
      <c r="BZ50" s="239">
        <v>-338186</v>
      </c>
      <c r="CA50" s="239">
        <v>-270550</v>
      </c>
      <c r="CB50" s="239">
        <v>-60874</v>
      </c>
      <c r="CC50" s="239">
        <v>-6764</v>
      </c>
      <c r="CD50" s="239">
        <v>-676374</v>
      </c>
      <c r="CE50" s="239">
        <v>-2434092</v>
      </c>
      <c r="CF50" s="239">
        <v>-1947273</v>
      </c>
      <c r="CG50" s="239">
        <v>-438136</v>
      </c>
      <c r="CH50" s="239">
        <v>-48682</v>
      </c>
      <c r="CI50" s="239">
        <v>-4868183</v>
      </c>
      <c r="CJ50" s="239">
        <v>18183589</v>
      </c>
      <c r="CK50" s="239">
        <v>14546871</v>
      </c>
      <c r="CL50" s="239">
        <v>3273046</v>
      </c>
      <c r="CM50" s="239">
        <v>363672</v>
      </c>
      <c r="CN50" s="239">
        <v>36367178</v>
      </c>
      <c r="CO50" s="239">
        <v>18141199</v>
      </c>
      <c r="CP50" s="239">
        <v>14512959</v>
      </c>
      <c r="CQ50" s="239">
        <v>3265416</v>
      </c>
      <c r="CR50" s="239">
        <v>362824</v>
      </c>
      <c r="CS50" s="239">
        <v>36282398</v>
      </c>
      <c r="CT50" s="239">
        <v>-42390</v>
      </c>
      <c r="CU50" s="239">
        <v>-33912</v>
      </c>
      <c r="CV50" s="239">
        <v>-7630</v>
      </c>
      <c r="CW50" s="239">
        <v>-848</v>
      </c>
      <c r="CX50" s="239">
        <v>-84780</v>
      </c>
      <c r="CY50" s="239">
        <v>-2476482</v>
      </c>
      <c r="CZ50" s="239">
        <v>-1981185</v>
      </c>
      <c r="DA50" s="239">
        <v>-445766</v>
      </c>
      <c r="DB50" s="239">
        <v>-49530</v>
      </c>
      <c r="DC50" s="239">
        <v>-4952963</v>
      </c>
      <c r="DD50" s="214">
        <v>0.5</v>
      </c>
      <c r="DE50" s="214">
        <v>0.4</v>
      </c>
      <c r="DF50" s="214">
        <v>0.09</v>
      </c>
      <c r="DG50" s="214">
        <v>0.01</v>
      </c>
      <c r="DH50" s="214">
        <v>1</v>
      </c>
      <c r="DI50" s="214" t="s">
        <v>1294</v>
      </c>
    </row>
    <row r="51" spans="2:113" s="214" customFormat="1" x14ac:dyDescent="0.2">
      <c r="B51" s="610" t="s">
        <v>185</v>
      </c>
      <c r="C51" s="610" t="s">
        <v>184</v>
      </c>
      <c r="D51" s="239">
        <v>25927491</v>
      </c>
      <c r="E51" s="239">
        <v>20741992</v>
      </c>
      <c r="F51" s="239">
        <v>4666948</v>
      </c>
      <c r="G51" s="239">
        <v>518550</v>
      </c>
      <c r="H51" s="239">
        <v>51854981</v>
      </c>
      <c r="I51" s="239">
        <v>0</v>
      </c>
      <c r="J51" s="239">
        <v>0</v>
      </c>
      <c r="K51" s="239">
        <v>25927491</v>
      </c>
      <c r="L51" s="239">
        <v>232038</v>
      </c>
      <c r="M51" s="239">
        <v>232038</v>
      </c>
      <c r="N51" s="239">
        <v>0</v>
      </c>
      <c r="O51" s="239">
        <v>0</v>
      </c>
      <c r="P51" s="239">
        <v>0</v>
      </c>
      <c r="Q51" s="239">
        <v>0</v>
      </c>
      <c r="R51" s="239">
        <v>0</v>
      </c>
      <c r="S51" s="239">
        <v>0</v>
      </c>
      <c r="T51" s="239">
        <v>0</v>
      </c>
      <c r="U51" s="239">
        <v>0</v>
      </c>
      <c r="V51" s="239">
        <v>0</v>
      </c>
      <c r="W51" s="239">
        <v>775965</v>
      </c>
      <c r="X51" s="239">
        <v>620772</v>
      </c>
      <c r="Y51" s="239">
        <v>139674</v>
      </c>
      <c r="Z51" s="239">
        <v>15519</v>
      </c>
      <c r="AA51" s="239">
        <v>1551930</v>
      </c>
      <c r="AB51" s="239">
        <v>-831038</v>
      </c>
      <c r="AC51" s="239">
        <v>-664831</v>
      </c>
      <c r="AD51" s="239">
        <v>-149587</v>
      </c>
      <c r="AE51" s="239">
        <v>-16621</v>
      </c>
      <c r="AF51" s="239">
        <v>-1662077</v>
      </c>
      <c r="AG51" s="239">
        <v>-338171</v>
      </c>
      <c r="AH51" s="239">
        <v>-270537</v>
      </c>
      <c r="AI51" s="239">
        <v>-60871</v>
      </c>
      <c r="AJ51" s="239">
        <v>-6763</v>
      </c>
      <c r="AK51" s="239">
        <v>-676342</v>
      </c>
      <c r="AL51" s="239">
        <v>257910</v>
      </c>
      <c r="AM51" s="239">
        <v>206328</v>
      </c>
      <c r="AN51" s="239">
        <v>46424</v>
      </c>
      <c r="AO51" s="239">
        <v>5158</v>
      </c>
      <c r="AP51" s="239">
        <v>515820</v>
      </c>
      <c r="AQ51" s="239">
        <v>-94192</v>
      </c>
      <c r="AR51" s="239">
        <v>-75354</v>
      </c>
      <c r="AS51" s="239">
        <v>-16955</v>
      </c>
      <c r="AT51" s="239">
        <v>-1884</v>
      </c>
      <c r="AU51" s="239">
        <v>-188385</v>
      </c>
      <c r="AV51" s="239">
        <v>-174453</v>
      </c>
      <c r="AW51" s="239">
        <v>-139563</v>
      </c>
      <c r="AX51" s="239">
        <v>-31402</v>
      </c>
      <c r="AY51" s="239">
        <v>-3489</v>
      </c>
      <c r="AZ51" s="239">
        <v>-348907</v>
      </c>
      <c r="BA51" s="239">
        <v>-2874776</v>
      </c>
      <c r="BB51" s="239">
        <v>-2299821</v>
      </c>
      <c r="BC51" s="239">
        <v>-517460</v>
      </c>
      <c r="BD51" s="239">
        <v>-57496</v>
      </c>
      <c r="BE51" s="239">
        <v>-5749553</v>
      </c>
      <c r="BF51" s="239">
        <v>996059</v>
      </c>
      <c r="BG51" s="239">
        <v>796848</v>
      </c>
      <c r="BH51" s="239">
        <v>179291</v>
      </c>
      <c r="BI51" s="239">
        <v>19921</v>
      </c>
      <c r="BJ51" s="239">
        <v>1992119</v>
      </c>
      <c r="BK51" s="239">
        <v>-653256</v>
      </c>
      <c r="BL51" s="239">
        <v>-522604</v>
      </c>
      <c r="BM51" s="239">
        <v>-117586</v>
      </c>
      <c r="BN51" s="239">
        <v>-13065</v>
      </c>
      <c r="BO51" s="239">
        <v>-1306511</v>
      </c>
      <c r="BP51" s="239">
        <v>-2531973</v>
      </c>
      <c r="BQ51" s="239">
        <v>-2025577</v>
      </c>
      <c r="BR51" s="239">
        <v>-455755</v>
      </c>
      <c r="BS51" s="239">
        <v>-50640</v>
      </c>
      <c r="BT51" s="239">
        <v>-5063945</v>
      </c>
      <c r="BU51" s="239">
        <v>-2024802</v>
      </c>
      <c r="BV51" s="239">
        <v>-1619841</v>
      </c>
      <c r="BW51" s="239">
        <v>-364464</v>
      </c>
      <c r="BX51" s="239">
        <v>-40496</v>
      </c>
      <c r="BY51" s="239">
        <v>-4049603</v>
      </c>
      <c r="BZ51" s="239">
        <v>-326459</v>
      </c>
      <c r="CA51" s="239">
        <v>-261168</v>
      </c>
      <c r="CB51" s="239">
        <v>-58763</v>
      </c>
      <c r="CC51" s="239">
        <v>-6529</v>
      </c>
      <c r="CD51" s="239">
        <v>-652919</v>
      </c>
      <c r="CE51" s="239">
        <v>-1698343</v>
      </c>
      <c r="CF51" s="239">
        <v>-1358673</v>
      </c>
      <c r="CG51" s="239">
        <v>-305701</v>
      </c>
      <c r="CH51" s="239">
        <v>-33967</v>
      </c>
      <c r="CI51" s="239">
        <v>-3396684</v>
      </c>
      <c r="CJ51" s="239">
        <v>26352271</v>
      </c>
      <c r="CK51" s="239">
        <v>21081816</v>
      </c>
      <c r="CL51" s="239">
        <v>4743409</v>
      </c>
      <c r="CM51" s="239">
        <v>527045</v>
      </c>
      <c r="CN51" s="239">
        <v>52704541</v>
      </c>
      <c r="CO51" s="239">
        <v>25927491</v>
      </c>
      <c r="CP51" s="239">
        <v>20741992</v>
      </c>
      <c r="CQ51" s="239">
        <v>4666948</v>
      </c>
      <c r="CR51" s="239">
        <v>518550</v>
      </c>
      <c r="CS51" s="239">
        <v>51854981</v>
      </c>
      <c r="CT51" s="239">
        <v>-424780</v>
      </c>
      <c r="CU51" s="239">
        <v>-339824</v>
      </c>
      <c r="CV51" s="239">
        <v>-76461</v>
      </c>
      <c r="CW51" s="239">
        <v>-8495</v>
      </c>
      <c r="CX51" s="239">
        <v>-849560</v>
      </c>
      <c r="CY51" s="239">
        <v>-2123123</v>
      </c>
      <c r="CZ51" s="239">
        <v>-1698497</v>
      </c>
      <c r="DA51" s="239">
        <v>-382162</v>
      </c>
      <c r="DB51" s="239">
        <v>-42462</v>
      </c>
      <c r="DC51" s="239">
        <v>-4246244</v>
      </c>
      <c r="DD51" s="214">
        <v>0.5</v>
      </c>
      <c r="DE51" s="214">
        <v>0.4</v>
      </c>
      <c r="DF51" s="214">
        <v>0.09</v>
      </c>
      <c r="DG51" s="214">
        <v>0.01</v>
      </c>
      <c r="DH51" s="214">
        <v>1</v>
      </c>
      <c r="DI51" s="214" t="s">
        <v>1294</v>
      </c>
    </row>
    <row r="52" spans="2:113" s="214" customFormat="1" x14ac:dyDescent="0.2">
      <c r="B52" s="610" t="s">
        <v>187</v>
      </c>
      <c r="C52" s="610" t="s">
        <v>186</v>
      </c>
      <c r="D52" s="239">
        <v>21041690</v>
      </c>
      <c r="E52" s="239">
        <v>16833352</v>
      </c>
      <c r="F52" s="239">
        <v>4208338</v>
      </c>
      <c r="G52" s="239">
        <v>0</v>
      </c>
      <c r="H52" s="239">
        <v>42083380</v>
      </c>
      <c r="I52" s="239">
        <v>0</v>
      </c>
      <c r="J52" s="239">
        <v>0</v>
      </c>
      <c r="K52" s="239">
        <v>21041690</v>
      </c>
      <c r="L52" s="239">
        <v>180894</v>
      </c>
      <c r="M52" s="239">
        <v>180894</v>
      </c>
      <c r="N52" s="239">
        <v>0</v>
      </c>
      <c r="O52" s="239">
        <v>0</v>
      </c>
      <c r="P52" s="239">
        <v>25680</v>
      </c>
      <c r="Q52" s="239">
        <v>0</v>
      </c>
      <c r="R52" s="239">
        <v>25680</v>
      </c>
      <c r="S52" s="239">
        <v>0</v>
      </c>
      <c r="T52" s="239">
        <v>0</v>
      </c>
      <c r="U52" s="239">
        <v>0</v>
      </c>
      <c r="V52" s="239">
        <v>0</v>
      </c>
      <c r="W52" s="239">
        <v>637099</v>
      </c>
      <c r="X52" s="239">
        <v>509680</v>
      </c>
      <c r="Y52" s="239">
        <v>127420</v>
      </c>
      <c r="Z52" s="239">
        <v>0</v>
      </c>
      <c r="AA52" s="239">
        <v>1274199</v>
      </c>
      <c r="AB52" s="239">
        <v>-248914</v>
      </c>
      <c r="AC52" s="239">
        <v>-199131</v>
      </c>
      <c r="AD52" s="239">
        <v>-49783</v>
      </c>
      <c r="AE52" s="239">
        <v>0</v>
      </c>
      <c r="AF52" s="239">
        <v>-497828</v>
      </c>
      <c r="AG52" s="239">
        <v>-149549</v>
      </c>
      <c r="AH52" s="239">
        <v>-119639</v>
      </c>
      <c r="AI52" s="239">
        <v>-29910</v>
      </c>
      <c r="AJ52" s="239">
        <v>0</v>
      </c>
      <c r="AK52" s="239">
        <v>-299098</v>
      </c>
      <c r="AL52" s="239">
        <v>149549</v>
      </c>
      <c r="AM52" s="239">
        <v>119639</v>
      </c>
      <c r="AN52" s="239">
        <v>29910</v>
      </c>
      <c r="AO52" s="239">
        <v>0</v>
      </c>
      <c r="AP52" s="239">
        <v>299098</v>
      </c>
      <c r="AQ52" s="239">
        <v>-181005</v>
      </c>
      <c r="AR52" s="239">
        <v>-144804</v>
      </c>
      <c r="AS52" s="239">
        <v>-36201</v>
      </c>
      <c r="AT52" s="239">
        <v>0</v>
      </c>
      <c r="AU52" s="239">
        <v>-362010</v>
      </c>
      <c r="AV52" s="239">
        <v>-181005</v>
      </c>
      <c r="AW52" s="239">
        <v>-144804</v>
      </c>
      <c r="AX52" s="239">
        <v>-36201</v>
      </c>
      <c r="AY52" s="239">
        <v>0</v>
      </c>
      <c r="AZ52" s="239">
        <v>-362010</v>
      </c>
      <c r="BA52" s="239">
        <v>-1011974</v>
      </c>
      <c r="BB52" s="239">
        <v>-809579</v>
      </c>
      <c r="BC52" s="239">
        <v>-202394</v>
      </c>
      <c r="BD52" s="239">
        <v>0</v>
      </c>
      <c r="BE52" s="239">
        <v>-2023947</v>
      </c>
      <c r="BF52" s="239">
        <v>244220</v>
      </c>
      <c r="BG52" s="239">
        <v>195376</v>
      </c>
      <c r="BH52" s="239">
        <v>48844</v>
      </c>
      <c r="BI52" s="239">
        <v>0</v>
      </c>
      <c r="BJ52" s="239">
        <v>488440</v>
      </c>
      <c r="BK52" s="239">
        <v>-283488</v>
      </c>
      <c r="BL52" s="239">
        <v>-226790</v>
      </c>
      <c r="BM52" s="239">
        <v>-56698</v>
      </c>
      <c r="BN52" s="239">
        <v>0</v>
      </c>
      <c r="BO52" s="239">
        <v>-566976</v>
      </c>
      <c r="BP52" s="239">
        <v>-1051242</v>
      </c>
      <c r="BQ52" s="239">
        <v>-840993</v>
      </c>
      <c r="BR52" s="239">
        <v>-210248</v>
      </c>
      <c r="BS52" s="239">
        <v>0</v>
      </c>
      <c r="BT52" s="239">
        <v>-2102483</v>
      </c>
      <c r="BU52" s="239">
        <v>-531199</v>
      </c>
      <c r="BV52" s="239">
        <v>-424960</v>
      </c>
      <c r="BW52" s="239">
        <v>-106240</v>
      </c>
      <c r="BX52" s="239">
        <v>0</v>
      </c>
      <c r="BY52" s="239">
        <v>-1062399</v>
      </c>
      <c r="BZ52" s="239">
        <v>-208746</v>
      </c>
      <c r="CA52" s="239">
        <v>-166997</v>
      </c>
      <c r="CB52" s="239">
        <v>-41749</v>
      </c>
      <c r="CC52" s="239">
        <v>0</v>
      </c>
      <c r="CD52" s="239">
        <v>-417492</v>
      </c>
      <c r="CE52" s="239">
        <v>-322453</v>
      </c>
      <c r="CF52" s="239">
        <v>-257963</v>
      </c>
      <c r="CG52" s="239">
        <v>-64491</v>
      </c>
      <c r="CH52" s="239">
        <v>0</v>
      </c>
      <c r="CI52" s="239">
        <v>-644907</v>
      </c>
      <c r="CJ52" s="239">
        <v>21202957</v>
      </c>
      <c r="CK52" s="239">
        <v>16962366</v>
      </c>
      <c r="CL52" s="239">
        <v>4240592</v>
      </c>
      <c r="CM52" s="239">
        <v>0</v>
      </c>
      <c r="CN52" s="239">
        <v>42405915</v>
      </c>
      <c r="CO52" s="239">
        <v>21041690</v>
      </c>
      <c r="CP52" s="239">
        <v>16833352</v>
      </c>
      <c r="CQ52" s="239">
        <v>4208338</v>
      </c>
      <c r="CR52" s="239">
        <v>0</v>
      </c>
      <c r="CS52" s="239">
        <v>42083380</v>
      </c>
      <c r="CT52" s="239">
        <v>-161267</v>
      </c>
      <c r="CU52" s="239">
        <v>-129014</v>
      </c>
      <c r="CV52" s="239">
        <v>-32254</v>
      </c>
      <c r="CW52" s="239">
        <v>0</v>
      </c>
      <c r="CX52" s="239">
        <v>-322535</v>
      </c>
      <c r="CY52" s="239">
        <v>-483720</v>
      </c>
      <c r="CZ52" s="239">
        <v>-386977</v>
      </c>
      <c r="DA52" s="239">
        <v>-96745</v>
      </c>
      <c r="DB52" s="239">
        <v>0</v>
      </c>
      <c r="DC52" s="239">
        <v>-967442</v>
      </c>
      <c r="DD52" s="214">
        <v>0.5</v>
      </c>
      <c r="DE52" s="214">
        <v>0.4</v>
      </c>
      <c r="DF52" s="214">
        <v>0.1</v>
      </c>
      <c r="DG52" s="214">
        <v>0</v>
      </c>
      <c r="DH52" s="214">
        <v>1</v>
      </c>
      <c r="DI52" s="214" t="s">
        <v>1294</v>
      </c>
    </row>
    <row r="53" spans="2:113" s="214" customFormat="1" x14ac:dyDescent="0.2">
      <c r="B53" s="610" t="s">
        <v>189</v>
      </c>
      <c r="C53" s="610" t="s">
        <v>188</v>
      </c>
      <c r="D53" s="239">
        <v>7249303</v>
      </c>
      <c r="E53" s="239">
        <v>5799442</v>
      </c>
      <c r="F53" s="239">
        <v>1304875</v>
      </c>
      <c r="G53" s="239">
        <v>144986</v>
      </c>
      <c r="H53" s="239">
        <v>14498606</v>
      </c>
      <c r="I53" s="239">
        <v>0</v>
      </c>
      <c r="J53" s="239">
        <v>0</v>
      </c>
      <c r="K53" s="239">
        <v>7249303</v>
      </c>
      <c r="L53" s="239">
        <v>81980</v>
      </c>
      <c r="M53" s="239">
        <v>81980</v>
      </c>
      <c r="N53" s="239">
        <v>0</v>
      </c>
      <c r="O53" s="239">
        <v>0</v>
      </c>
      <c r="P53" s="239">
        <v>0</v>
      </c>
      <c r="Q53" s="239">
        <v>0</v>
      </c>
      <c r="R53" s="239">
        <v>0</v>
      </c>
      <c r="S53" s="239">
        <v>0</v>
      </c>
      <c r="T53" s="239">
        <v>0</v>
      </c>
      <c r="U53" s="239">
        <v>0</v>
      </c>
      <c r="V53" s="239">
        <v>0</v>
      </c>
      <c r="W53" s="239">
        <v>81736</v>
      </c>
      <c r="X53" s="239">
        <v>65388</v>
      </c>
      <c r="Y53" s="239">
        <v>14712</v>
      </c>
      <c r="Z53" s="239">
        <v>1635</v>
      </c>
      <c r="AA53" s="239">
        <v>163471</v>
      </c>
      <c r="AB53" s="239">
        <v>-119755</v>
      </c>
      <c r="AC53" s="239">
        <v>-95804</v>
      </c>
      <c r="AD53" s="239">
        <v>-21556</v>
      </c>
      <c r="AE53" s="239">
        <v>-2395</v>
      </c>
      <c r="AF53" s="239">
        <v>-239510</v>
      </c>
      <c r="AG53" s="239">
        <v>-80076</v>
      </c>
      <c r="AH53" s="239">
        <v>-64062</v>
      </c>
      <c r="AI53" s="239">
        <v>-14414</v>
      </c>
      <c r="AJ53" s="239">
        <v>-1601</v>
      </c>
      <c r="AK53" s="239">
        <v>-160153</v>
      </c>
      <c r="AL53" s="239">
        <v>47203</v>
      </c>
      <c r="AM53" s="239">
        <v>37762</v>
      </c>
      <c r="AN53" s="239">
        <v>8496</v>
      </c>
      <c r="AO53" s="239">
        <v>944</v>
      </c>
      <c r="AP53" s="239">
        <v>94405</v>
      </c>
      <c r="AQ53" s="239">
        <v>-35881</v>
      </c>
      <c r="AR53" s="239">
        <v>-28704</v>
      </c>
      <c r="AS53" s="239">
        <v>-6458</v>
      </c>
      <c r="AT53" s="239">
        <v>-718</v>
      </c>
      <c r="AU53" s="239">
        <v>-71761</v>
      </c>
      <c r="AV53" s="239">
        <v>-68754</v>
      </c>
      <c r="AW53" s="239">
        <v>-55004</v>
      </c>
      <c r="AX53" s="239">
        <v>-12376</v>
      </c>
      <c r="AY53" s="239">
        <v>-1375</v>
      </c>
      <c r="AZ53" s="239">
        <v>-137509</v>
      </c>
      <c r="BA53" s="239">
        <v>-1280000</v>
      </c>
      <c r="BB53" s="239">
        <v>-1024000</v>
      </c>
      <c r="BC53" s="239">
        <v>-230400</v>
      </c>
      <c r="BD53" s="239">
        <v>-25600</v>
      </c>
      <c r="BE53" s="239">
        <v>-2560000</v>
      </c>
      <c r="BF53" s="239">
        <v>19120</v>
      </c>
      <c r="BG53" s="239">
        <v>15296</v>
      </c>
      <c r="BH53" s="239">
        <v>3442</v>
      </c>
      <c r="BI53" s="239">
        <v>382</v>
      </c>
      <c r="BJ53" s="239">
        <v>38240</v>
      </c>
      <c r="BK53" s="239">
        <v>-250000</v>
      </c>
      <c r="BL53" s="239">
        <v>-200000</v>
      </c>
      <c r="BM53" s="239">
        <v>-45000</v>
      </c>
      <c r="BN53" s="239">
        <v>-5000</v>
      </c>
      <c r="BO53" s="239">
        <v>-500000</v>
      </c>
      <c r="BP53" s="239">
        <v>-1510880</v>
      </c>
      <c r="BQ53" s="239">
        <v>-1208704</v>
      </c>
      <c r="BR53" s="239">
        <v>-271958</v>
      </c>
      <c r="BS53" s="239">
        <v>-30218</v>
      </c>
      <c r="BT53" s="239">
        <v>-3021760</v>
      </c>
      <c r="BU53" s="239">
        <v>-1283390</v>
      </c>
      <c r="BV53" s="239">
        <v>-1026712</v>
      </c>
      <c r="BW53" s="239">
        <v>-231010</v>
      </c>
      <c r="BX53" s="239">
        <v>-25668</v>
      </c>
      <c r="BY53" s="239">
        <v>-2566780</v>
      </c>
      <c r="BZ53" s="239">
        <v>-349998</v>
      </c>
      <c r="CA53" s="239">
        <v>-279999</v>
      </c>
      <c r="CB53" s="239">
        <v>-63000</v>
      </c>
      <c r="CC53" s="239">
        <v>-7000</v>
      </c>
      <c r="CD53" s="239">
        <v>-699997</v>
      </c>
      <c r="CE53" s="239">
        <v>-933392</v>
      </c>
      <c r="CF53" s="239">
        <v>-746713</v>
      </c>
      <c r="CG53" s="239">
        <v>-168010</v>
      </c>
      <c r="CH53" s="239">
        <v>-18668</v>
      </c>
      <c r="CI53" s="239">
        <v>-1866783</v>
      </c>
      <c r="CJ53" s="239">
        <v>7562247</v>
      </c>
      <c r="CK53" s="239">
        <v>6049797</v>
      </c>
      <c r="CL53" s="239">
        <v>1361204</v>
      </c>
      <c r="CM53" s="239">
        <v>151245</v>
      </c>
      <c r="CN53" s="239">
        <v>15124493</v>
      </c>
      <c r="CO53" s="239">
        <v>7249303</v>
      </c>
      <c r="CP53" s="239">
        <v>5799442</v>
      </c>
      <c r="CQ53" s="239">
        <v>1304875</v>
      </c>
      <c r="CR53" s="239">
        <v>144986</v>
      </c>
      <c r="CS53" s="239">
        <v>14498606</v>
      </c>
      <c r="CT53" s="239">
        <v>-312944</v>
      </c>
      <c r="CU53" s="239">
        <v>-250355</v>
      </c>
      <c r="CV53" s="239">
        <v>-56329</v>
      </c>
      <c r="CW53" s="239">
        <v>-6259</v>
      </c>
      <c r="CX53" s="239">
        <v>-625887</v>
      </c>
      <c r="CY53" s="239">
        <v>-1246336</v>
      </c>
      <c r="CZ53" s="239">
        <v>-997068</v>
      </c>
      <c r="DA53" s="239">
        <v>-224339</v>
      </c>
      <c r="DB53" s="239">
        <v>-24927</v>
      </c>
      <c r="DC53" s="239">
        <v>-2492670</v>
      </c>
      <c r="DD53" s="214">
        <v>0.5</v>
      </c>
      <c r="DE53" s="214">
        <v>0.4</v>
      </c>
      <c r="DF53" s="214">
        <v>0.09</v>
      </c>
      <c r="DG53" s="214">
        <v>0.01</v>
      </c>
      <c r="DH53" s="214">
        <v>1</v>
      </c>
      <c r="DI53" s="214" t="s">
        <v>1294</v>
      </c>
    </row>
    <row r="54" spans="2:113" s="214" customFormat="1" x14ac:dyDescent="0.2">
      <c r="B54" s="610" t="s">
        <v>191</v>
      </c>
      <c r="C54" s="610" t="s">
        <v>190</v>
      </c>
      <c r="D54" s="239">
        <v>37329157</v>
      </c>
      <c r="E54" s="239">
        <v>36582573</v>
      </c>
      <c r="F54" s="239">
        <v>0</v>
      </c>
      <c r="G54" s="239">
        <v>746583</v>
      </c>
      <c r="H54" s="239">
        <v>74658313</v>
      </c>
      <c r="I54" s="239">
        <v>0</v>
      </c>
      <c r="J54" s="239">
        <v>0</v>
      </c>
      <c r="K54" s="239">
        <v>37329157</v>
      </c>
      <c r="L54" s="239">
        <v>314105</v>
      </c>
      <c r="M54" s="239">
        <v>314105</v>
      </c>
      <c r="N54" s="239">
        <v>0</v>
      </c>
      <c r="O54" s="239">
        <v>0</v>
      </c>
      <c r="P54" s="239">
        <v>383184</v>
      </c>
      <c r="Q54" s="239">
        <v>0</v>
      </c>
      <c r="R54" s="239">
        <v>383184</v>
      </c>
      <c r="S54" s="239">
        <v>0</v>
      </c>
      <c r="T54" s="239">
        <v>0</v>
      </c>
      <c r="U54" s="239">
        <v>0</v>
      </c>
      <c r="V54" s="239">
        <v>0</v>
      </c>
      <c r="W54" s="239">
        <v>1909016</v>
      </c>
      <c r="X54" s="239">
        <v>1870835</v>
      </c>
      <c r="Y54" s="239">
        <v>0</v>
      </c>
      <c r="Z54" s="239">
        <v>38180</v>
      </c>
      <c r="AA54" s="239">
        <v>3818031</v>
      </c>
      <c r="AB54" s="239">
        <v>-639330</v>
      </c>
      <c r="AC54" s="239">
        <v>-626543</v>
      </c>
      <c r="AD54" s="239">
        <v>0</v>
      </c>
      <c r="AE54" s="239">
        <v>-12787</v>
      </c>
      <c r="AF54" s="239">
        <v>-1278660</v>
      </c>
      <c r="AG54" s="239">
        <v>-303191</v>
      </c>
      <c r="AH54" s="239">
        <v>-297129</v>
      </c>
      <c r="AI54" s="239">
        <v>0</v>
      </c>
      <c r="AJ54" s="239">
        <v>-6063</v>
      </c>
      <c r="AK54" s="239">
        <v>-606383</v>
      </c>
      <c r="AL54" s="239">
        <v>303191</v>
      </c>
      <c r="AM54" s="239">
        <v>297128</v>
      </c>
      <c r="AN54" s="239">
        <v>0</v>
      </c>
      <c r="AO54" s="239">
        <v>6064</v>
      </c>
      <c r="AP54" s="239">
        <v>606383</v>
      </c>
      <c r="AQ54" s="239">
        <v>-293042</v>
      </c>
      <c r="AR54" s="239">
        <v>-287181</v>
      </c>
      <c r="AS54" s="239">
        <v>0</v>
      </c>
      <c r="AT54" s="239">
        <v>-5861</v>
      </c>
      <c r="AU54" s="239">
        <v>-586084</v>
      </c>
      <c r="AV54" s="239">
        <v>-293042</v>
      </c>
      <c r="AW54" s="239">
        <v>-287182</v>
      </c>
      <c r="AX54" s="239">
        <v>0</v>
      </c>
      <c r="AY54" s="239">
        <v>-5860</v>
      </c>
      <c r="AZ54" s="239">
        <v>-586084</v>
      </c>
      <c r="BA54" s="239">
        <v>-2341924</v>
      </c>
      <c r="BB54" s="239">
        <v>-2295085</v>
      </c>
      <c r="BC54" s="239">
        <v>0</v>
      </c>
      <c r="BD54" s="239">
        <v>-46837</v>
      </c>
      <c r="BE54" s="239">
        <v>-4683846</v>
      </c>
      <c r="BF54" s="239">
        <v>1784809</v>
      </c>
      <c r="BG54" s="239">
        <v>1749112</v>
      </c>
      <c r="BH54" s="239">
        <v>0</v>
      </c>
      <c r="BI54" s="239">
        <v>35696</v>
      </c>
      <c r="BJ54" s="239">
        <v>3569617</v>
      </c>
      <c r="BK54" s="239">
        <v>-1508535</v>
      </c>
      <c r="BL54" s="239">
        <v>-1478364</v>
      </c>
      <c r="BM54" s="239">
        <v>0</v>
      </c>
      <c r="BN54" s="239">
        <v>-30171</v>
      </c>
      <c r="BO54" s="239">
        <v>-3017070</v>
      </c>
      <c r="BP54" s="239">
        <v>-2065650</v>
      </c>
      <c r="BQ54" s="239">
        <v>-2024337</v>
      </c>
      <c r="BR54" s="239">
        <v>0</v>
      </c>
      <c r="BS54" s="239">
        <v>-41312</v>
      </c>
      <c r="BT54" s="239">
        <v>-4131299</v>
      </c>
      <c r="BU54" s="239">
        <v>-2582500</v>
      </c>
      <c r="BV54" s="239">
        <v>-2530850</v>
      </c>
      <c r="BW54" s="239">
        <v>0</v>
      </c>
      <c r="BX54" s="239">
        <v>-51650</v>
      </c>
      <c r="BY54" s="239">
        <v>-5165000</v>
      </c>
      <c r="BZ54" s="239">
        <v>-1463515</v>
      </c>
      <c r="CA54" s="239">
        <v>-1434244</v>
      </c>
      <c r="CB54" s="239">
        <v>0</v>
      </c>
      <c r="CC54" s="239">
        <v>-29270</v>
      </c>
      <c r="CD54" s="239">
        <v>-2927029</v>
      </c>
      <c r="CE54" s="239">
        <v>-1118985</v>
      </c>
      <c r="CF54" s="239">
        <v>-1096606</v>
      </c>
      <c r="CG54" s="239">
        <v>0</v>
      </c>
      <c r="CH54" s="239">
        <v>-22380</v>
      </c>
      <c r="CI54" s="239">
        <v>-2237971</v>
      </c>
      <c r="CJ54" s="239">
        <v>40321606</v>
      </c>
      <c r="CK54" s="239">
        <v>39515174</v>
      </c>
      <c r="CL54" s="239">
        <v>0</v>
      </c>
      <c r="CM54" s="239">
        <v>806432</v>
      </c>
      <c r="CN54" s="239">
        <v>80643212</v>
      </c>
      <c r="CO54" s="239">
        <v>37329157</v>
      </c>
      <c r="CP54" s="239">
        <v>36582573</v>
      </c>
      <c r="CQ54" s="239">
        <v>0</v>
      </c>
      <c r="CR54" s="239">
        <v>746583</v>
      </c>
      <c r="CS54" s="239">
        <v>74658313</v>
      </c>
      <c r="CT54" s="239">
        <v>-2992449</v>
      </c>
      <c r="CU54" s="239">
        <v>-2932601</v>
      </c>
      <c r="CV54" s="239">
        <v>0</v>
      </c>
      <c r="CW54" s="239">
        <v>-59849</v>
      </c>
      <c r="CX54" s="239">
        <v>-5984899</v>
      </c>
      <c r="CY54" s="239">
        <v>-3601090</v>
      </c>
      <c r="CZ54" s="239">
        <v>-3529068</v>
      </c>
      <c r="DA54" s="239">
        <v>0</v>
      </c>
      <c r="DB54" s="239">
        <v>-72022</v>
      </c>
      <c r="DC54" s="239">
        <v>-7202180</v>
      </c>
      <c r="DD54" s="214">
        <v>0.5</v>
      </c>
      <c r="DE54" s="214">
        <v>0.49</v>
      </c>
      <c r="DF54" s="214">
        <v>0</v>
      </c>
      <c r="DG54" s="214">
        <v>0.01</v>
      </c>
      <c r="DH54" s="214">
        <v>1</v>
      </c>
      <c r="DI54" s="214" t="s">
        <v>748</v>
      </c>
    </row>
    <row r="55" spans="2:113" s="214" customFormat="1" x14ac:dyDescent="0.2">
      <c r="B55" s="610" t="s">
        <v>193</v>
      </c>
      <c r="C55" s="610" t="s">
        <v>192</v>
      </c>
      <c r="D55" s="239">
        <v>19915335</v>
      </c>
      <c r="E55" s="239">
        <v>15932268</v>
      </c>
      <c r="F55" s="239">
        <v>3584760</v>
      </c>
      <c r="G55" s="239">
        <v>398307</v>
      </c>
      <c r="H55" s="239">
        <v>39830670</v>
      </c>
      <c r="I55" s="239">
        <v>0</v>
      </c>
      <c r="J55" s="239">
        <v>0</v>
      </c>
      <c r="K55" s="239">
        <v>19915335</v>
      </c>
      <c r="L55" s="239">
        <v>191528</v>
      </c>
      <c r="M55" s="239">
        <v>191528</v>
      </c>
      <c r="N55" s="239">
        <v>0</v>
      </c>
      <c r="O55" s="239">
        <v>0</v>
      </c>
      <c r="P55" s="239">
        <v>151598</v>
      </c>
      <c r="Q55" s="239">
        <v>0</v>
      </c>
      <c r="R55" s="239">
        <v>151598</v>
      </c>
      <c r="S55" s="239">
        <v>0</v>
      </c>
      <c r="T55" s="239">
        <v>0</v>
      </c>
      <c r="U55" s="239">
        <v>0</v>
      </c>
      <c r="V55" s="239">
        <v>0</v>
      </c>
      <c r="W55" s="239">
        <v>483675</v>
      </c>
      <c r="X55" s="239">
        <v>386940</v>
      </c>
      <c r="Y55" s="239">
        <v>87062</v>
      </c>
      <c r="Z55" s="239">
        <v>9674</v>
      </c>
      <c r="AA55" s="239">
        <v>967351</v>
      </c>
      <c r="AB55" s="239">
        <v>-152593</v>
      </c>
      <c r="AC55" s="239">
        <v>-122074</v>
      </c>
      <c r="AD55" s="239">
        <v>-27467</v>
      </c>
      <c r="AE55" s="239">
        <v>-3052</v>
      </c>
      <c r="AF55" s="239">
        <v>-305186</v>
      </c>
      <c r="AG55" s="239">
        <v>-204815</v>
      </c>
      <c r="AH55" s="239">
        <v>-163853</v>
      </c>
      <c r="AI55" s="239">
        <v>-36867</v>
      </c>
      <c r="AJ55" s="239">
        <v>-4097</v>
      </c>
      <c r="AK55" s="239">
        <v>-409632</v>
      </c>
      <c r="AL55" s="239">
        <v>151708</v>
      </c>
      <c r="AM55" s="239">
        <v>121366</v>
      </c>
      <c r="AN55" s="239">
        <v>27307</v>
      </c>
      <c r="AO55" s="239">
        <v>3034</v>
      </c>
      <c r="AP55" s="239">
        <v>303415</v>
      </c>
      <c r="AQ55" s="239">
        <v>-121407</v>
      </c>
      <c r="AR55" s="239">
        <v>-97126</v>
      </c>
      <c r="AS55" s="239">
        <v>-21853</v>
      </c>
      <c r="AT55" s="239">
        <v>-2428</v>
      </c>
      <c r="AU55" s="239">
        <v>-242814</v>
      </c>
      <c r="AV55" s="239">
        <v>-174514</v>
      </c>
      <c r="AW55" s="239">
        <v>-139613</v>
      </c>
      <c r="AX55" s="239">
        <v>-31413</v>
      </c>
      <c r="AY55" s="239">
        <v>-3491</v>
      </c>
      <c r="AZ55" s="239">
        <v>-349031</v>
      </c>
      <c r="BA55" s="239">
        <v>-300000</v>
      </c>
      <c r="BB55" s="239">
        <v>-240000</v>
      </c>
      <c r="BC55" s="239">
        <v>-54000</v>
      </c>
      <c r="BD55" s="239">
        <v>-6000</v>
      </c>
      <c r="BE55" s="239">
        <v>-600000</v>
      </c>
      <c r="BF55" s="239">
        <v>0</v>
      </c>
      <c r="BG55" s="239">
        <v>0</v>
      </c>
      <c r="BH55" s="239">
        <v>0</v>
      </c>
      <c r="BI55" s="239">
        <v>0</v>
      </c>
      <c r="BJ55" s="239">
        <v>0</v>
      </c>
      <c r="BK55" s="239">
        <v>-1825000</v>
      </c>
      <c r="BL55" s="239">
        <v>-1460000</v>
      </c>
      <c r="BM55" s="239">
        <v>-328500</v>
      </c>
      <c r="BN55" s="239">
        <v>-36500</v>
      </c>
      <c r="BO55" s="239">
        <v>-3650000</v>
      </c>
      <c r="BP55" s="239">
        <v>-2125000</v>
      </c>
      <c r="BQ55" s="239">
        <v>-1700000</v>
      </c>
      <c r="BR55" s="239">
        <v>-382500</v>
      </c>
      <c r="BS55" s="239">
        <v>-42500</v>
      </c>
      <c r="BT55" s="239">
        <v>-4250000</v>
      </c>
      <c r="BU55" s="239">
        <v>1519678</v>
      </c>
      <c r="BV55" s="239">
        <v>1215743</v>
      </c>
      <c r="BW55" s="239">
        <v>273542</v>
      </c>
      <c r="BX55" s="239">
        <v>30394</v>
      </c>
      <c r="BY55" s="239">
        <v>3039357</v>
      </c>
      <c r="BZ55" s="239">
        <v>1306888</v>
      </c>
      <c r="CA55" s="239">
        <v>1045510</v>
      </c>
      <c r="CB55" s="239">
        <v>235240</v>
      </c>
      <c r="CC55" s="239">
        <v>26138</v>
      </c>
      <c r="CD55" s="239">
        <v>2613776</v>
      </c>
      <c r="CE55" s="239">
        <v>212790</v>
      </c>
      <c r="CF55" s="239">
        <v>170233</v>
      </c>
      <c r="CG55" s="239">
        <v>38302</v>
      </c>
      <c r="CH55" s="239">
        <v>4256</v>
      </c>
      <c r="CI55" s="239">
        <v>425581</v>
      </c>
      <c r="CJ55" s="239">
        <v>21625781</v>
      </c>
      <c r="CK55" s="239">
        <v>17300624</v>
      </c>
      <c r="CL55" s="239">
        <v>3892640</v>
      </c>
      <c r="CM55" s="239">
        <v>432516</v>
      </c>
      <c r="CN55" s="239">
        <v>43251561</v>
      </c>
      <c r="CO55" s="239">
        <v>19915335</v>
      </c>
      <c r="CP55" s="239">
        <v>15932268</v>
      </c>
      <c r="CQ55" s="239">
        <v>3584760</v>
      </c>
      <c r="CR55" s="239">
        <v>398307</v>
      </c>
      <c r="CS55" s="239">
        <v>39830670</v>
      </c>
      <c r="CT55" s="239">
        <v>-1710446</v>
      </c>
      <c r="CU55" s="239">
        <v>-1368356</v>
      </c>
      <c r="CV55" s="239">
        <v>-307880</v>
      </c>
      <c r="CW55" s="239">
        <v>-34209</v>
      </c>
      <c r="CX55" s="239">
        <v>-3420891</v>
      </c>
      <c r="CY55" s="239">
        <v>-1497656</v>
      </c>
      <c r="CZ55" s="239">
        <v>-1198123</v>
      </c>
      <c r="DA55" s="239">
        <v>-269578</v>
      </c>
      <c r="DB55" s="239">
        <v>-29953</v>
      </c>
      <c r="DC55" s="239">
        <v>-2995310</v>
      </c>
      <c r="DD55" s="214">
        <v>0.5</v>
      </c>
      <c r="DE55" s="214">
        <v>0.4</v>
      </c>
      <c r="DF55" s="214">
        <v>0.09</v>
      </c>
      <c r="DG55" s="214">
        <v>0.01</v>
      </c>
      <c r="DH55" s="214">
        <v>1</v>
      </c>
      <c r="DI55" s="214" t="s">
        <v>1294</v>
      </c>
    </row>
    <row r="56" spans="2:113" s="214" customFormat="1" x14ac:dyDescent="0.2">
      <c r="B56" s="610" t="s">
        <v>195</v>
      </c>
      <c r="C56" s="610" t="s">
        <v>194</v>
      </c>
      <c r="D56" s="239">
        <v>36290601</v>
      </c>
      <c r="E56" s="239">
        <v>29032480</v>
      </c>
      <c r="F56" s="239">
        <v>6532308</v>
      </c>
      <c r="G56" s="239">
        <v>725812</v>
      </c>
      <c r="H56" s="239">
        <v>72581201</v>
      </c>
      <c r="I56" s="239">
        <v>0</v>
      </c>
      <c r="J56" s="239">
        <v>0</v>
      </c>
      <c r="K56" s="239">
        <v>36290601</v>
      </c>
      <c r="L56" s="239">
        <v>222481</v>
      </c>
      <c r="M56" s="239">
        <v>222481</v>
      </c>
      <c r="N56" s="239">
        <v>0</v>
      </c>
      <c r="O56" s="239">
        <v>0</v>
      </c>
      <c r="P56" s="239">
        <v>0</v>
      </c>
      <c r="Q56" s="239">
        <v>0</v>
      </c>
      <c r="R56" s="239">
        <v>0</v>
      </c>
      <c r="S56" s="239">
        <v>0</v>
      </c>
      <c r="T56" s="239">
        <v>0</v>
      </c>
      <c r="U56" s="239">
        <v>0</v>
      </c>
      <c r="V56" s="239">
        <v>0</v>
      </c>
      <c r="W56" s="239">
        <v>1381125</v>
      </c>
      <c r="X56" s="239">
        <v>1104899</v>
      </c>
      <c r="Y56" s="239">
        <v>248602</v>
      </c>
      <c r="Z56" s="239">
        <v>27622</v>
      </c>
      <c r="AA56" s="239">
        <v>2762248</v>
      </c>
      <c r="AB56" s="239">
        <v>-776024</v>
      </c>
      <c r="AC56" s="239">
        <v>-620819</v>
      </c>
      <c r="AD56" s="239">
        <v>-139684</v>
      </c>
      <c r="AE56" s="239">
        <v>-15520</v>
      </c>
      <c r="AF56" s="239">
        <v>-1552047</v>
      </c>
      <c r="AG56" s="239">
        <v>-460900.65</v>
      </c>
      <c r="AH56" s="239">
        <v>-368720</v>
      </c>
      <c r="AI56" s="239">
        <v>-82962</v>
      </c>
      <c r="AJ56" s="239">
        <v>-9218</v>
      </c>
      <c r="AK56" s="239">
        <v>-921800.65</v>
      </c>
      <c r="AL56" s="239">
        <v>0</v>
      </c>
      <c r="AM56" s="239">
        <v>0</v>
      </c>
      <c r="AN56" s="239">
        <v>0</v>
      </c>
      <c r="AO56" s="239">
        <v>0</v>
      </c>
      <c r="AP56" s="239">
        <v>0</v>
      </c>
      <c r="AQ56" s="239">
        <v>-13122</v>
      </c>
      <c r="AR56" s="239">
        <v>-10497</v>
      </c>
      <c r="AS56" s="239">
        <v>-2362</v>
      </c>
      <c r="AT56" s="239">
        <v>-262</v>
      </c>
      <c r="AU56" s="239">
        <v>-26243</v>
      </c>
      <c r="AV56" s="239">
        <v>-474022.65</v>
      </c>
      <c r="AW56" s="239">
        <v>-379217</v>
      </c>
      <c r="AX56" s="239">
        <v>-85324</v>
      </c>
      <c r="AY56" s="239">
        <v>-9480</v>
      </c>
      <c r="AZ56" s="239">
        <v>-948043.65</v>
      </c>
      <c r="BA56" s="239">
        <v>-5532002</v>
      </c>
      <c r="BB56" s="239">
        <v>-4425602</v>
      </c>
      <c r="BC56" s="239">
        <v>-995761</v>
      </c>
      <c r="BD56" s="239">
        <v>-110640</v>
      </c>
      <c r="BE56" s="239">
        <v>-11064005</v>
      </c>
      <c r="BF56" s="239">
        <v>2251317</v>
      </c>
      <c r="BG56" s="239">
        <v>1801053</v>
      </c>
      <c r="BH56" s="239">
        <v>405237</v>
      </c>
      <c r="BI56" s="239">
        <v>45026</v>
      </c>
      <c r="BJ56" s="239">
        <v>4502633</v>
      </c>
      <c r="BK56" s="239">
        <v>-4023021</v>
      </c>
      <c r="BL56" s="239">
        <v>-3218416</v>
      </c>
      <c r="BM56" s="239">
        <v>-724144</v>
      </c>
      <c r="BN56" s="239">
        <v>-80460</v>
      </c>
      <c r="BO56" s="239">
        <v>-8046041</v>
      </c>
      <c r="BP56" s="239">
        <v>-7303706</v>
      </c>
      <c r="BQ56" s="239">
        <v>-5842965</v>
      </c>
      <c r="BR56" s="239">
        <v>-1314668</v>
      </c>
      <c r="BS56" s="239">
        <v>-146074</v>
      </c>
      <c r="BT56" s="239">
        <v>-14607413</v>
      </c>
      <c r="BU56" s="239">
        <v>-7411046</v>
      </c>
      <c r="BV56" s="239">
        <v>-5928836</v>
      </c>
      <c r="BW56" s="239">
        <v>-1333988</v>
      </c>
      <c r="BX56" s="239">
        <v>-148221</v>
      </c>
      <c r="BY56" s="239">
        <v>-14822091</v>
      </c>
      <c r="BZ56" s="239">
        <v>-4242676</v>
      </c>
      <c r="CA56" s="239">
        <v>-3394142</v>
      </c>
      <c r="CB56" s="239">
        <v>-763682</v>
      </c>
      <c r="CC56" s="239">
        <v>-84854</v>
      </c>
      <c r="CD56" s="239">
        <v>-8485354</v>
      </c>
      <c r="CE56" s="239">
        <v>-3168370</v>
      </c>
      <c r="CF56" s="239">
        <v>-2534694</v>
      </c>
      <c r="CG56" s="239">
        <v>-570306</v>
      </c>
      <c r="CH56" s="239">
        <v>-63367</v>
      </c>
      <c r="CI56" s="239">
        <v>-6336737</v>
      </c>
      <c r="CJ56" s="239">
        <v>39286704</v>
      </c>
      <c r="CK56" s="239">
        <v>31429363</v>
      </c>
      <c r="CL56" s="239">
        <v>7071607</v>
      </c>
      <c r="CM56" s="239">
        <v>785734</v>
      </c>
      <c r="CN56" s="239">
        <v>78573408</v>
      </c>
      <c r="CO56" s="239">
        <v>36290601</v>
      </c>
      <c r="CP56" s="239">
        <v>29032480</v>
      </c>
      <c r="CQ56" s="239">
        <v>6532308</v>
      </c>
      <c r="CR56" s="239">
        <v>725812</v>
      </c>
      <c r="CS56" s="239">
        <v>72581201</v>
      </c>
      <c r="CT56" s="239">
        <v>-2996103</v>
      </c>
      <c r="CU56" s="239">
        <v>-2396883</v>
      </c>
      <c r="CV56" s="239">
        <v>-539299</v>
      </c>
      <c r="CW56" s="239">
        <v>-59922</v>
      </c>
      <c r="CX56" s="239">
        <v>-5992207</v>
      </c>
      <c r="CY56" s="239">
        <v>-6164473</v>
      </c>
      <c r="CZ56" s="239">
        <v>-4931577</v>
      </c>
      <c r="DA56" s="239">
        <v>-1109605</v>
      </c>
      <c r="DB56" s="239">
        <v>-123289</v>
      </c>
      <c r="DC56" s="239">
        <v>-12328944</v>
      </c>
      <c r="DD56" s="214">
        <v>0.5</v>
      </c>
      <c r="DE56" s="214">
        <v>0.4</v>
      </c>
      <c r="DF56" s="214">
        <v>0.09</v>
      </c>
      <c r="DG56" s="214">
        <v>0.01</v>
      </c>
      <c r="DH56" s="214">
        <v>1</v>
      </c>
      <c r="DI56" s="214" t="s">
        <v>1294</v>
      </c>
    </row>
    <row r="57" spans="2:113" s="214" customFormat="1" x14ac:dyDescent="0.2">
      <c r="B57" s="610" t="s">
        <v>197</v>
      </c>
      <c r="C57" s="610" t="s">
        <v>196</v>
      </c>
      <c r="D57" s="239">
        <v>26403649</v>
      </c>
      <c r="E57" s="239">
        <v>21122920</v>
      </c>
      <c r="F57" s="239">
        <v>5280730</v>
      </c>
      <c r="G57" s="239">
        <v>0</v>
      </c>
      <c r="H57" s="239">
        <v>52807299</v>
      </c>
      <c r="I57" s="239">
        <v>0</v>
      </c>
      <c r="J57" s="239">
        <v>0</v>
      </c>
      <c r="K57" s="239">
        <v>26403649</v>
      </c>
      <c r="L57" s="239">
        <v>183262</v>
      </c>
      <c r="M57" s="239">
        <v>183262</v>
      </c>
      <c r="N57" s="239">
        <v>0</v>
      </c>
      <c r="O57" s="239">
        <v>0</v>
      </c>
      <c r="P57" s="239">
        <v>0</v>
      </c>
      <c r="Q57" s="239">
        <v>0</v>
      </c>
      <c r="R57" s="239">
        <v>0</v>
      </c>
      <c r="S57" s="239">
        <v>0</v>
      </c>
      <c r="T57" s="239">
        <v>0</v>
      </c>
      <c r="U57" s="239">
        <v>0</v>
      </c>
      <c r="V57" s="239">
        <v>0</v>
      </c>
      <c r="W57" s="239">
        <v>641084</v>
      </c>
      <c r="X57" s="239">
        <v>512867</v>
      </c>
      <c r="Y57" s="239">
        <v>128217</v>
      </c>
      <c r="Z57" s="239">
        <v>0</v>
      </c>
      <c r="AA57" s="239">
        <v>1282168</v>
      </c>
      <c r="AB57" s="239">
        <v>-2211180</v>
      </c>
      <c r="AC57" s="239">
        <v>-1768944</v>
      </c>
      <c r="AD57" s="239">
        <v>-442236</v>
      </c>
      <c r="AE57" s="239">
        <v>0</v>
      </c>
      <c r="AF57" s="239">
        <v>-4422360</v>
      </c>
      <c r="AG57" s="239">
        <v>-263268</v>
      </c>
      <c r="AH57" s="239">
        <v>-210615</v>
      </c>
      <c r="AI57" s="239">
        <v>-52653</v>
      </c>
      <c r="AJ57" s="239">
        <v>0</v>
      </c>
      <c r="AK57" s="239">
        <v>-526536</v>
      </c>
      <c r="AL57" s="239">
        <v>263268</v>
      </c>
      <c r="AM57" s="239">
        <v>210614</v>
      </c>
      <c r="AN57" s="239">
        <v>52654</v>
      </c>
      <c r="AO57" s="239">
        <v>0</v>
      </c>
      <c r="AP57" s="239">
        <v>526536</v>
      </c>
      <c r="AQ57" s="239">
        <v>-241517</v>
      </c>
      <c r="AR57" s="239">
        <v>-193214</v>
      </c>
      <c r="AS57" s="239">
        <v>-48304</v>
      </c>
      <c r="AT57" s="239">
        <v>0</v>
      </c>
      <c r="AU57" s="239">
        <v>-483035</v>
      </c>
      <c r="AV57" s="239">
        <v>-241517</v>
      </c>
      <c r="AW57" s="239">
        <v>-193215</v>
      </c>
      <c r="AX57" s="239">
        <v>-48303</v>
      </c>
      <c r="AY57" s="239">
        <v>0</v>
      </c>
      <c r="AZ57" s="239">
        <v>-483035</v>
      </c>
      <c r="BA57" s="239">
        <v>-967081</v>
      </c>
      <c r="BB57" s="239">
        <v>-773664</v>
      </c>
      <c r="BC57" s="239">
        <v>-193417</v>
      </c>
      <c r="BD57" s="239">
        <v>0</v>
      </c>
      <c r="BE57" s="239">
        <v>-1934162</v>
      </c>
      <c r="BF57" s="239">
        <v>919739</v>
      </c>
      <c r="BG57" s="239">
        <v>735791</v>
      </c>
      <c r="BH57" s="239">
        <v>183948</v>
      </c>
      <c r="BI57" s="239">
        <v>0</v>
      </c>
      <c r="BJ57" s="239">
        <v>1839478</v>
      </c>
      <c r="BK57" s="239">
        <v>-1539839</v>
      </c>
      <c r="BL57" s="239">
        <v>-1231871</v>
      </c>
      <c r="BM57" s="239">
        <v>-307968</v>
      </c>
      <c r="BN57" s="239">
        <v>0</v>
      </c>
      <c r="BO57" s="239">
        <v>-3079678</v>
      </c>
      <c r="BP57" s="239">
        <v>-1587181</v>
      </c>
      <c r="BQ57" s="239">
        <v>-1269744</v>
      </c>
      <c r="BR57" s="239">
        <v>-317437</v>
      </c>
      <c r="BS57" s="239">
        <v>0</v>
      </c>
      <c r="BT57" s="239">
        <v>-3174362</v>
      </c>
      <c r="BU57" s="239">
        <v>362019</v>
      </c>
      <c r="BV57" s="239">
        <v>289615</v>
      </c>
      <c r="BW57" s="239">
        <v>72404</v>
      </c>
      <c r="BX57" s="239">
        <v>0</v>
      </c>
      <c r="BY57" s="239">
        <v>724038</v>
      </c>
      <c r="BZ57" s="239">
        <v>637052</v>
      </c>
      <c r="CA57" s="239">
        <v>509641</v>
      </c>
      <c r="CB57" s="239">
        <v>127410</v>
      </c>
      <c r="CC57" s="239">
        <v>0</v>
      </c>
      <c r="CD57" s="239">
        <v>1274103</v>
      </c>
      <c r="CE57" s="239">
        <v>-275033</v>
      </c>
      <c r="CF57" s="239">
        <v>-220026</v>
      </c>
      <c r="CG57" s="239">
        <v>-55006</v>
      </c>
      <c r="CH57" s="239">
        <v>0</v>
      </c>
      <c r="CI57" s="239">
        <v>-550065</v>
      </c>
      <c r="CJ57" s="239">
        <v>27795446</v>
      </c>
      <c r="CK57" s="239">
        <v>22236357</v>
      </c>
      <c r="CL57" s="239">
        <v>5559089</v>
      </c>
      <c r="CM57" s="239">
        <v>0</v>
      </c>
      <c r="CN57" s="239">
        <v>55590892</v>
      </c>
      <c r="CO57" s="239">
        <v>26403649</v>
      </c>
      <c r="CP57" s="239">
        <v>21122920</v>
      </c>
      <c r="CQ57" s="239">
        <v>5280730</v>
      </c>
      <c r="CR57" s="239">
        <v>0</v>
      </c>
      <c r="CS57" s="239">
        <v>52807299</v>
      </c>
      <c r="CT57" s="239">
        <v>-1391797</v>
      </c>
      <c r="CU57" s="239">
        <v>-1113437</v>
      </c>
      <c r="CV57" s="239">
        <v>-278359</v>
      </c>
      <c r="CW57" s="239">
        <v>0</v>
      </c>
      <c r="CX57" s="239">
        <v>-2783593</v>
      </c>
      <c r="CY57" s="239">
        <v>-1666830</v>
      </c>
      <c r="CZ57" s="239">
        <v>-1333463</v>
      </c>
      <c r="DA57" s="239">
        <v>-333365</v>
      </c>
      <c r="DB57" s="239">
        <v>0</v>
      </c>
      <c r="DC57" s="239">
        <v>-3333658</v>
      </c>
      <c r="DD57" s="214">
        <v>0.5</v>
      </c>
      <c r="DE57" s="214">
        <v>0.4</v>
      </c>
      <c r="DF57" s="214">
        <v>0.1</v>
      </c>
      <c r="DG57" s="214">
        <v>0</v>
      </c>
      <c r="DH57" s="214">
        <v>1</v>
      </c>
      <c r="DI57" s="214" t="s">
        <v>1294</v>
      </c>
    </row>
    <row r="58" spans="2:113" s="214" customFormat="1" x14ac:dyDescent="0.2">
      <c r="B58" s="610" t="s">
        <v>199</v>
      </c>
      <c r="C58" s="610" t="s">
        <v>198</v>
      </c>
      <c r="D58" s="239">
        <v>36592132</v>
      </c>
      <c r="E58" s="239">
        <v>29273705</v>
      </c>
      <c r="F58" s="239">
        <v>7318426</v>
      </c>
      <c r="G58" s="239">
        <v>0</v>
      </c>
      <c r="H58" s="239">
        <v>73184263</v>
      </c>
      <c r="I58" s="239">
        <v>0</v>
      </c>
      <c r="J58" s="239">
        <v>0</v>
      </c>
      <c r="K58" s="239">
        <v>36592132</v>
      </c>
      <c r="L58" s="239">
        <v>223387</v>
      </c>
      <c r="M58" s="239">
        <v>223387</v>
      </c>
      <c r="N58" s="239">
        <v>0</v>
      </c>
      <c r="O58" s="239">
        <v>0</v>
      </c>
      <c r="P58" s="239">
        <v>285007</v>
      </c>
      <c r="Q58" s="239">
        <v>271150</v>
      </c>
      <c r="R58" s="239">
        <v>556157</v>
      </c>
      <c r="S58" s="239">
        <v>0</v>
      </c>
      <c r="T58" s="239">
        <v>0</v>
      </c>
      <c r="U58" s="239">
        <v>0</v>
      </c>
      <c r="V58" s="239">
        <v>0</v>
      </c>
      <c r="W58" s="239">
        <v>682206</v>
      </c>
      <c r="X58" s="239">
        <v>545765</v>
      </c>
      <c r="Y58" s="239">
        <v>136441</v>
      </c>
      <c r="Z58" s="239">
        <v>0</v>
      </c>
      <c r="AA58" s="239">
        <v>1364412</v>
      </c>
      <c r="AB58" s="239">
        <v>-592396</v>
      </c>
      <c r="AC58" s="239">
        <v>-473917</v>
      </c>
      <c r="AD58" s="239">
        <v>-118479</v>
      </c>
      <c r="AE58" s="239">
        <v>0</v>
      </c>
      <c r="AF58" s="239">
        <v>-1184792</v>
      </c>
      <c r="AG58" s="239">
        <v>-114082</v>
      </c>
      <c r="AH58" s="239">
        <v>-91267</v>
      </c>
      <c r="AI58" s="239">
        <v>-22817</v>
      </c>
      <c r="AJ58" s="239">
        <v>0</v>
      </c>
      <c r="AK58" s="239">
        <v>-228166</v>
      </c>
      <c r="AL58" s="239">
        <v>0</v>
      </c>
      <c r="AM58" s="239">
        <v>0</v>
      </c>
      <c r="AN58" s="239">
        <v>0</v>
      </c>
      <c r="AO58" s="239">
        <v>0</v>
      </c>
      <c r="AP58" s="239">
        <v>0</v>
      </c>
      <c r="AQ58" s="239">
        <v>-13666</v>
      </c>
      <c r="AR58" s="239">
        <v>-10933</v>
      </c>
      <c r="AS58" s="239">
        <v>-2733</v>
      </c>
      <c r="AT58" s="239">
        <v>0</v>
      </c>
      <c r="AU58" s="239">
        <v>-27332</v>
      </c>
      <c r="AV58" s="239">
        <v>-127748</v>
      </c>
      <c r="AW58" s="239">
        <v>-102200</v>
      </c>
      <c r="AX58" s="239">
        <v>-25550</v>
      </c>
      <c r="AY58" s="239">
        <v>0</v>
      </c>
      <c r="AZ58" s="239">
        <v>-255498</v>
      </c>
      <c r="BA58" s="239">
        <v>-3351137</v>
      </c>
      <c r="BB58" s="239">
        <v>-2680909</v>
      </c>
      <c r="BC58" s="239">
        <v>-670228</v>
      </c>
      <c r="BD58" s="239">
        <v>0</v>
      </c>
      <c r="BE58" s="239">
        <v>-6702274</v>
      </c>
      <c r="BF58" s="239">
        <v>347997</v>
      </c>
      <c r="BG58" s="239">
        <v>278398</v>
      </c>
      <c r="BH58" s="239">
        <v>69600</v>
      </c>
      <c r="BI58" s="239">
        <v>0</v>
      </c>
      <c r="BJ58" s="239">
        <v>695995</v>
      </c>
      <c r="BK58" s="239">
        <v>-163560</v>
      </c>
      <c r="BL58" s="239">
        <v>-130848</v>
      </c>
      <c r="BM58" s="239">
        <v>-32712</v>
      </c>
      <c r="BN58" s="239">
        <v>0</v>
      </c>
      <c r="BO58" s="239">
        <v>-327120</v>
      </c>
      <c r="BP58" s="239">
        <v>-3166700</v>
      </c>
      <c r="BQ58" s="239">
        <v>-2533359</v>
      </c>
      <c r="BR58" s="239">
        <v>-633340</v>
      </c>
      <c r="BS58" s="239">
        <v>0</v>
      </c>
      <c r="BT58" s="239">
        <v>-6333399</v>
      </c>
      <c r="BU58" s="239">
        <v>-3033184</v>
      </c>
      <c r="BV58" s="239">
        <v>-2426548</v>
      </c>
      <c r="BW58" s="239">
        <v>-606637</v>
      </c>
      <c r="BX58" s="239">
        <v>0</v>
      </c>
      <c r="BY58" s="239">
        <v>-6066369</v>
      </c>
      <c r="BZ58" s="239">
        <v>-529391</v>
      </c>
      <c r="CA58" s="239">
        <v>-423512</v>
      </c>
      <c r="CB58" s="239">
        <v>-105878</v>
      </c>
      <c r="CC58" s="239">
        <v>0</v>
      </c>
      <c r="CD58" s="239">
        <v>-1058781</v>
      </c>
      <c r="CE58" s="239">
        <v>-2503793</v>
      </c>
      <c r="CF58" s="239">
        <v>-2003036</v>
      </c>
      <c r="CG58" s="239">
        <v>-500759</v>
      </c>
      <c r="CH58" s="239">
        <v>0</v>
      </c>
      <c r="CI58" s="239">
        <v>-5007588</v>
      </c>
      <c r="CJ58" s="239">
        <v>36659535</v>
      </c>
      <c r="CK58" s="239">
        <v>29327628</v>
      </c>
      <c r="CL58" s="239">
        <v>7331907</v>
      </c>
      <c r="CM58" s="239">
        <v>0</v>
      </c>
      <c r="CN58" s="239">
        <v>73319070</v>
      </c>
      <c r="CO58" s="239">
        <v>36592132</v>
      </c>
      <c r="CP58" s="239">
        <v>29273705</v>
      </c>
      <c r="CQ58" s="239">
        <v>7318426</v>
      </c>
      <c r="CR58" s="239">
        <v>0</v>
      </c>
      <c r="CS58" s="239">
        <v>73184263</v>
      </c>
      <c r="CT58" s="239">
        <v>-67403</v>
      </c>
      <c r="CU58" s="239">
        <v>-53923</v>
      </c>
      <c r="CV58" s="239">
        <v>-13481</v>
      </c>
      <c r="CW58" s="239">
        <v>0</v>
      </c>
      <c r="CX58" s="239">
        <v>-134807</v>
      </c>
      <c r="CY58" s="239">
        <v>-2571196</v>
      </c>
      <c r="CZ58" s="239">
        <v>-2056959</v>
      </c>
      <c r="DA58" s="239">
        <v>-514240</v>
      </c>
      <c r="DB58" s="239">
        <v>0</v>
      </c>
      <c r="DC58" s="239">
        <v>-5142395</v>
      </c>
      <c r="DD58" s="214">
        <v>0.5</v>
      </c>
      <c r="DE58" s="214">
        <v>0.4</v>
      </c>
      <c r="DF58" s="214">
        <v>0.1</v>
      </c>
      <c r="DG58" s="214">
        <v>0</v>
      </c>
      <c r="DH58" s="214">
        <v>1</v>
      </c>
      <c r="DI58" s="214" t="s">
        <v>1294</v>
      </c>
    </row>
    <row r="59" spans="2:113" s="214" customFormat="1" x14ac:dyDescent="0.2">
      <c r="B59" s="610" t="s">
        <v>201</v>
      </c>
      <c r="C59" s="610" t="s">
        <v>200</v>
      </c>
      <c r="D59" s="239">
        <v>65357160</v>
      </c>
      <c r="E59" s="239">
        <v>64050017</v>
      </c>
      <c r="F59" s="239">
        <v>0</v>
      </c>
      <c r="G59" s="239">
        <v>1307143</v>
      </c>
      <c r="H59" s="239">
        <v>130714320</v>
      </c>
      <c r="I59" s="239">
        <v>0</v>
      </c>
      <c r="J59" s="239">
        <v>0</v>
      </c>
      <c r="K59" s="239">
        <v>65357160</v>
      </c>
      <c r="L59" s="239">
        <v>558893</v>
      </c>
      <c r="M59" s="239">
        <v>558893</v>
      </c>
      <c r="N59" s="239">
        <v>0</v>
      </c>
      <c r="O59" s="239">
        <v>0</v>
      </c>
      <c r="P59" s="239">
        <v>5062</v>
      </c>
      <c r="Q59" s="239">
        <v>0</v>
      </c>
      <c r="R59" s="239">
        <v>5062</v>
      </c>
      <c r="S59" s="239">
        <v>0</v>
      </c>
      <c r="T59" s="239">
        <v>0</v>
      </c>
      <c r="U59" s="239">
        <v>0</v>
      </c>
      <c r="V59" s="239">
        <v>0</v>
      </c>
      <c r="W59" s="239">
        <v>2857387</v>
      </c>
      <c r="X59" s="239">
        <v>2800240</v>
      </c>
      <c r="Y59" s="239">
        <v>0</v>
      </c>
      <c r="Z59" s="239">
        <v>57148</v>
      </c>
      <c r="AA59" s="239">
        <v>5714775</v>
      </c>
      <c r="AB59" s="239">
        <v>-368973</v>
      </c>
      <c r="AC59" s="239">
        <v>-361594</v>
      </c>
      <c r="AD59" s="239">
        <v>0</v>
      </c>
      <c r="AE59" s="239">
        <v>-7379</v>
      </c>
      <c r="AF59" s="239">
        <v>-737946</v>
      </c>
      <c r="AG59" s="239">
        <v>-810030</v>
      </c>
      <c r="AH59" s="239">
        <v>-793831</v>
      </c>
      <c r="AI59" s="239">
        <v>0</v>
      </c>
      <c r="AJ59" s="239">
        <v>-16201</v>
      </c>
      <c r="AK59" s="239">
        <v>-1620062</v>
      </c>
      <c r="AL59" s="239">
        <v>471580</v>
      </c>
      <c r="AM59" s="239">
        <v>462149</v>
      </c>
      <c r="AN59" s="239">
        <v>0</v>
      </c>
      <c r="AO59" s="239">
        <v>9432</v>
      </c>
      <c r="AP59" s="239">
        <v>943161</v>
      </c>
      <c r="AQ59" s="239">
        <v>-731245</v>
      </c>
      <c r="AR59" s="239">
        <v>-716621</v>
      </c>
      <c r="AS59" s="239">
        <v>0</v>
      </c>
      <c r="AT59" s="239">
        <v>-14625</v>
      </c>
      <c r="AU59" s="239">
        <v>-1462491</v>
      </c>
      <c r="AV59" s="239">
        <v>-1069695</v>
      </c>
      <c r="AW59" s="239">
        <v>-1048303</v>
      </c>
      <c r="AX59" s="239">
        <v>0</v>
      </c>
      <c r="AY59" s="239">
        <v>-21394</v>
      </c>
      <c r="AZ59" s="239">
        <v>-2139392</v>
      </c>
      <c r="BA59" s="239">
        <v>-6052071</v>
      </c>
      <c r="BB59" s="239">
        <v>-5931031</v>
      </c>
      <c r="BC59" s="239">
        <v>0</v>
      </c>
      <c r="BD59" s="239">
        <v>-121041</v>
      </c>
      <c r="BE59" s="239">
        <v>-12104143</v>
      </c>
      <c r="BF59" s="239">
        <v>1806609</v>
      </c>
      <c r="BG59" s="239">
        <v>1770477</v>
      </c>
      <c r="BH59" s="239">
        <v>0</v>
      </c>
      <c r="BI59" s="239">
        <v>36132</v>
      </c>
      <c r="BJ59" s="239">
        <v>3613218</v>
      </c>
      <c r="BK59" s="239">
        <v>-3544502</v>
      </c>
      <c r="BL59" s="239">
        <v>-3473612</v>
      </c>
      <c r="BM59" s="239">
        <v>0</v>
      </c>
      <c r="BN59" s="239">
        <v>-70890</v>
      </c>
      <c r="BO59" s="239">
        <v>-7089004</v>
      </c>
      <c r="BP59" s="239">
        <v>-7789964</v>
      </c>
      <c r="BQ59" s="239">
        <v>-7634166</v>
      </c>
      <c r="BR59" s="239">
        <v>0</v>
      </c>
      <c r="BS59" s="239">
        <v>-155799</v>
      </c>
      <c r="BT59" s="239">
        <v>-15579929</v>
      </c>
      <c r="BU59" s="239">
        <v>-3912490</v>
      </c>
      <c r="BV59" s="239">
        <v>-3834240</v>
      </c>
      <c r="BW59" s="239">
        <v>0</v>
      </c>
      <c r="BX59" s="239">
        <v>-78250</v>
      </c>
      <c r="BY59" s="239">
        <v>-7824980</v>
      </c>
      <c r="BZ59" s="239">
        <v>-1028143</v>
      </c>
      <c r="CA59" s="239">
        <v>-1007580</v>
      </c>
      <c r="CB59" s="239">
        <v>0</v>
      </c>
      <c r="CC59" s="239">
        <v>-20563</v>
      </c>
      <c r="CD59" s="239">
        <v>-2056286</v>
      </c>
      <c r="CE59" s="239">
        <v>-2884347</v>
      </c>
      <c r="CF59" s="239">
        <v>-2826660</v>
      </c>
      <c r="CG59" s="239">
        <v>0</v>
      </c>
      <c r="CH59" s="239">
        <v>-57687</v>
      </c>
      <c r="CI59" s="239">
        <v>-5768694</v>
      </c>
      <c r="CJ59" s="239">
        <v>69757439</v>
      </c>
      <c r="CK59" s="239">
        <v>68362291</v>
      </c>
      <c r="CL59" s="239">
        <v>0</v>
      </c>
      <c r="CM59" s="239">
        <v>1395149</v>
      </c>
      <c r="CN59" s="239">
        <v>139514879</v>
      </c>
      <c r="CO59" s="239">
        <v>65357160</v>
      </c>
      <c r="CP59" s="239">
        <v>64050017</v>
      </c>
      <c r="CQ59" s="239">
        <v>0</v>
      </c>
      <c r="CR59" s="239">
        <v>1307143</v>
      </c>
      <c r="CS59" s="239">
        <v>130714320</v>
      </c>
      <c r="CT59" s="239">
        <v>-4400279</v>
      </c>
      <c r="CU59" s="239">
        <v>-4312274</v>
      </c>
      <c r="CV59" s="239">
        <v>0</v>
      </c>
      <c r="CW59" s="239">
        <v>-88006</v>
      </c>
      <c r="CX59" s="239">
        <v>-8800559</v>
      </c>
      <c r="CY59" s="239">
        <v>-7284626</v>
      </c>
      <c r="CZ59" s="239">
        <v>-7138934</v>
      </c>
      <c r="DA59" s="239">
        <v>0</v>
      </c>
      <c r="DB59" s="239">
        <v>-145693</v>
      </c>
      <c r="DC59" s="239">
        <v>-14569253</v>
      </c>
      <c r="DD59" s="214">
        <v>0.5</v>
      </c>
      <c r="DE59" s="214">
        <v>0.49</v>
      </c>
      <c r="DF59" s="214">
        <v>0</v>
      </c>
      <c r="DG59" s="214">
        <v>0.01</v>
      </c>
      <c r="DH59" s="214">
        <v>1</v>
      </c>
      <c r="DI59" s="214" t="s">
        <v>748</v>
      </c>
    </row>
    <row r="60" spans="2:113" s="214" customFormat="1" x14ac:dyDescent="0.2">
      <c r="B60" s="610" t="s">
        <v>203</v>
      </c>
      <c r="C60" s="610" t="s">
        <v>919</v>
      </c>
      <c r="D60" s="239">
        <v>76774614</v>
      </c>
      <c r="E60" s="239">
        <v>75239121</v>
      </c>
      <c r="F60" s="239">
        <v>0</v>
      </c>
      <c r="G60" s="239">
        <v>1535492</v>
      </c>
      <c r="H60" s="239">
        <v>153549227</v>
      </c>
      <c r="I60" s="239">
        <v>0</v>
      </c>
      <c r="J60" s="239">
        <v>0</v>
      </c>
      <c r="K60" s="239">
        <v>76774614</v>
      </c>
      <c r="L60" s="239">
        <v>500025</v>
      </c>
      <c r="M60" s="239">
        <v>500025</v>
      </c>
      <c r="N60" s="239">
        <v>0</v>
      </c>
      <c r="O60" s="239">
        <v>0</v>
      </c>
      <c r="P60" s="239">
        <v>0</v>
      </c>
      <c r="Q60" s="239">
        <v>0</v>
      </c>
      <c r="R60" s="239">
        <v>0</v>
      </c>
      <c r="S60" s="239">
        <v>0</v>
      </c>
      <c r="T60" s="239">
        <v>0</v>
      </c>
      <c r="U60" s="239">
        <v>0</v>
      </c>
      <c r="V60" s="239">
        <v>0</v>
      </c>
      <c r="W60" s="239">
        <v>1763166</v>
      </c>
      <c r="X60" s="239">
        <v>1727903</v>
      </c>
      <c r="Y60" s="239">
        <v>0</v>
      </c>
      <c r="Z60" s="239">
        <v>35263</v>
      </c>
      <c r="AA60" s="239">
        <v>3526332</v>
      </c>
      <c r="AB60" s="239">
        <v>-1883414</v>
      </c>
      <c r="AC60" s="239">
        <v>-1845745</v>
      </c>
      <c r="AD60" s="239">
        <v>0</v>
      </c>
      <c r="AE60" s="239">
        <v>-37668</v>
      </c>
      <c r="AF60" s="239">
        <v>-3766827</v>
      </c>
      <c r="AG60" s="239">
        <v>-1335525</v>
      </c>
      <c r="AH60" s="239">
        <v>-1308815</v>
      </c>
      <c r="AI60" s="239">
        <v>0</v>
      </c>
      <c r="AJ60" s="239">
        <v>-26710</v>
      </c>
      <c r="AK60" s="239">
        <v>-2671050</v>
      </c>
      <c r="AL60" s="239">
        <v>534323</v>
      </c>
      <c r="AM60" s="239">
        <v>523637</v>
      </c>
      <c r="AN60" s="239">
        <v>0</v>
      </c>
      <c r="AO60" s="239">
        <v>10686</v>
      </c>
      <c r="AP60" s="239">
        <v>1068646</v>
      </c>
      <c r="AQ60" s="239">
        <v>-571322</v>
      </c>
      <c r="AR60" s="239">
        <v>-559895</v>
      </c>
      <c r="AS60" s="239">
        <v>0</v>
      </c>
      <c r="AT60" s="239">
        <v>-11426</v>
      </c>
      <c r="AU60" s="239">
        <v>-1142643</v>
      </c>
      <c r="AV60" s="239">
        <v>-1372524</v>
      </c>
      <c r="AW60" s="239">
        <v>-1345073</v>
      </c>
      <c r="AX60" s="239">
        <v>0</v>
      </c>
      <c r="AY60" s="239">
        <v>-27450</v>
      </c>
      <c r="AZ60" s="239">
        <v>-2745047</v>
      </c>
      <c r="BA60" s="239">
        <v>-5371321</v>
      </c>
      <c r="BB60" s="239">
        <v>-5263895</v>
      </c>
      <c r="BC60" s="239">
        <v>0</v>
      </c>
      <c r="BD60" s="239">
        <v>-107427</v>
      </c>
      <c r="BE60" s="239">
        <v>-10742643</v>
      </c>
      <c r="BF60" s="239">
        <v>2059170</v>
      </c>
      <c r="BG60" s="239">
        <v>2017987</v>
      </c>
      <c r="BH60" s="239">
        <v>0</v>
      </c>
      <c r="BI60" s="239">
        <v>41183</v>
      </c>
      <c r="BJ60" s="239">
        <v>4118340</v>
      </c>
      <c r="BK60" s="239">
        <v>-2740267</v>
      </c>
      <c r="BL60" s="239">
        <v>-2685461</v>
      </c>
      <c r="BM60" s="239">
        <v>0</v>
      </c>
      <c r="BN60" s="239">
        <v>-54805</v>
      </c>
      <c r="BO60" s="239">
        <v>-5480533</v>
      </c>
      <c r="BP60" s="239">
        <v>-6052418</v>
      </c>
      <c r="BQ60" s="239">
        <v>-5931369</v>
      </c>
      <c r="BR60" s="239">
        <v>0</v>
      </c>
      <c r="BS60" s="239">
        <v>-121049</v>
      </c>
      <c r="BT60" s="239">
        <v>-12104836</v>
      </c>
      <c r="BU60" s="239">
        <v>-342000</v>
      </c>
      <c r="BV60" s="239">
        <v>-335160</v>
      </c>
      <c r="BW60" s="239">
        <v>0</v>
      </c>
      <c r="BX60" s="239">
        <v>-6840</v>
      </c>
      <c r="BY60" s="239">
        <v>-684000</v>
      </c>
      <c r="BZ60" s="239">
        <v>495396</v>
      </c>
      <c r="CA60" s="239">
        <v>485489</v>
      </c>
      <c r="CB60" s="239">
        <v>0</v>
      </c>
      <c r="CC60" s="239">
        <v>9908</v>
      </c>
      <c r="CD60" s="239">
        <v>990793</v>
      </c>
      <c r="CE60" s="239">
        <v>-837396</v>
      </c>
      <c r="CF60" s="239">
        <v>-820649</v>
      </c>
      <c r="CG60" s="239">
        <v>0</v>
      </c>
      <c r="CH60" s="239">
        <v>-16748</v>
      </c>
      <c r="CI60" s="239">
        <v>-1674793</v>
      </c>
      <c r="CJ60" s="239">
        <v>75852303</v>
      </c>
      <c r="CK60" s="239">
        <v>74335257</v>
      </c>
      <c r="CL60" s="239">
        <v>0</v>
      </c>
      <c r="CM60" s="239">
        <v>1517046</v>
      </c>
      <c r="CN60" s="239">
        <v>151704606</v>
      </c>
      <c r="CO60" s="239">
        <v>76774614</v>
      </c>
      <c r="CP60" s="239">
        <v>75239121</v>
      </c>
      <c r="CQ60" s="239">
        <v>0</v>
      </c>
      <c r="CR60" s="239">
        <v>1535492</v>
      </c>
      <c r="CS60" s="239">
        <v>153549227</v>
      </c>
      <c r="CT60" s="239">
        <v>922311</v>
      </c>
      <c r="CU60" s="239">
        <v>903864</v>
      </c>
      <c r="CV60" s="239">
        <v>0</v>
      </c>
      <c r="CW60" s="239">
        <v>18446</v>
      </c>
      <c r="CX60" s="239">
        <v>1844621</v>
      </c>
      <c r="CY60" s="239">
        <v>84915</v>
      </c>
      <c r="CZ60" s="239">
        <v>83215</v>
      </c>
      <c r="DA60" s="239">
        <v>0</v>
      </c>
      <c r="DB60" s="239">
        <v>1698</v>
      </c>
      <c r="DC60" s="239">
        <v>169828</v>
      </c>
      <c r="DD60" s="214">
        <v>0.5</v>
      </c>
      <c r="DE60" s="214">
        <v>0.49</v>
      </c>
      <c r="DF60" s="214">
        <v>0</v>
      </c>
      <c r="DG60" s="214">
        <v>0.01</v>
      </c>
      <c r="DH60" s="214">
        <v>1</v>
      </c>
      <c r="DI60" s="214" t="s">
        <v>748</v>
      </c>
    </row>
    <row r="61" spans="2:113" s="214" customFormat="1" x14ac:dyDescent="0.2">
      <c r="B61" s="610" t="s">
        <v>205</v>
      </c>
      <c r="C61" s="610" t="s">
        <v>204</v>
      </c>
      <c r="D61" s="239">
        <v>17183442</v>
      </c>
      <c r="E61" s="239">
        <v>13746753</v>
      </c>
      <c r="F61" s="239">
        <v>3093019</v>
      </c>
      <c r="G61" s="239">
        <v>343669</v>
      </c>
      <c r="H61" s="239">
        <v>34366883</v>
      </c>
      <c r="I61" s="239">
        <v>0</v>
      </c>
      <c r="J61" s="239">
        <v>0</v>
      </c>
      <c r="K61" s="239">
        <v>17183442</v>
      </c>
      <c r="L61" s="239">
        <v>164495</v>
      </c>
      <c r="M61" s="239">
        <v>164495</v>
      </c>
      <c r="N61" s="239">
        <v>38008</v>
      </c>
      <c r="O61" s="239">
        <v>38008</v>
      </c>
      <c r="P61" s="239">
        <v>0</v>
      </c>
      <c r="Q61" s="239">
        <v>0</v>
      </c>
      <c r="R61" s="239">
        <v>0</v>
      </c>
      <c r="S61" s="239">
        <v>0</v>
      </c>
      <c r="T61" s="239">
        <v>0</v>
      </c>
      <c r="U61" s="239">
        <v>0</v>
      </c>
      <c r="V61" s="239">
        <v>0</v>
      </c>
      <c r="W61" s="239">
        <v>597919</v>
      </c>
      <c r="X61" s="239">
        <v>478334</v>
      </c>
      <c r="Y61" s="239">
        <v>107625</v>
      </c>
      <c r="Z61" s="239">
        <v>11958</v>
      </c>
      <c r="AA61" s="239">
        <v>1195836</v>
      </c>
      <c r="AB61" s="239">
        <v>-227699</v>
      </c>
      <c r="AC61" s="239">
        <v>-182159</v>
      </c>
      <c r="AD61" s="239">
        <v>-40986</v>
      </c>
      <c r="AE61" s="239">
        <v>-4554</v>
      </c>
      <c r="AF61" s="239">
        <v>-455398</v>
      </c>
      <c r="AG61" s="239">
        <v>-410201</v>
      </c>
      <c r="AH61" s="239">
        <v>-328163</v>
      </c>
      <c r="AI61" s="239">
        <v>-73837</v>
      </c>
      <c r="AJ61" s="239">
        <v>-8204</v>
      </c>
      <c r="AK61" s="239">
        <v>-820405</v>
      </c>
      <c r="AL61" s="239">
        <v>410203</v>
      </c>
      <c r="AM61" s="239">
        <v>328162</v>
      </c>
      <c r="AN61" s="239">
        <v>73836</v>
      </c>
      <c r="AO61" s="239">
        <v>8204</v>
      </c>
      <c r="AP61" s="239">
        <v>820405</v>
      </c>
      <c r="AQ61" s="239">
        <v>-317633</v>
      </c>
      <c r="AR61" s="239">
        <v>-254106</v>
      </c>
      <c r="AS61" s="239">
        <v>-57174</v>
      </c>
      <c r="AT61" s="239">
        <v>-6353</v>
      </c>
      <c r="AU61" s="239">
        <v>-635266</v>
      </c>
      <c r="AV61" s="239">
        <v>-317631</v>
      </c>
      <c r="AW61" s="239">
        <v>-254107</v>
      </c>
      <c r="AX61" s="239">
        <v>-57175</v>
      </c>
      <c r="AY61" s="239">
        <v>-6353</v>
      </c>
      <c r="AZ61" s="239">
        <v>-635266</v>
      </c>
      <c r="BA61" s="239">
        <v>-2259332</v>
      </c>
      <c r="BB61" s="239">
        <v>-1807466</v>
      </c>
      <c r="BC61" s="239">
        <v>-406680</v>
      </c>
      <c r="BD61" s="239">
        <v>-45188</v>
      </c>
      <c r="BE61" s="239">
        <v>-4518666</v>
      </c>
      <c r="BF61" s="239">
        <v>638191</v>
      </c>
      <c r="BG61" s="239">
        <v>510552</v>
      </c>
      <c r="BH61" s="239">
        <v>114874</v>
      </c>
      <c r="BI61" s="239">
        <v>12764</v>
      </c>
      <c r="BJ61" s="239">
        <v>1276381</v>
      </c>
      <c r="BK61" s="239">
        <v>-700946</v>
      </c>
      <c r="BL61" s="239">
        <v>-560756</v>
      </c>
      <c r="BM61" s="239">
        <v>-126170</v>
      </c>
      <c r="BN61" s="239">
        <v>-14019</v>
      </c>
      <c r="BO61" s="239">
        <v>-1401891</v>
      </c>
      <c r="BP61" s="239">
        <v>-2322087</v>
      </c>
      <c r="BQ61" s="239">
        <v>-1857670</v>
      </c>
      <c r="BR61" s="239">
        <v>-417976</v>
      </c>
      <c r="BS61" s="239">
        <v>-46443</v>
      </c>
      <c r="BT61" s="239">
        <v>-4644176</v>
      </c>
      <c r="BU61" s="239">
        <v>-2394625</v>
      </c>
      <c r="BV61" s="239">
        <v>-1915699</v>
      </c>
      <c r="BW61" s="239">
        <v>-431032</v>
      </c>
      <c r="BX61" s="239">
        <v>-47892</v>
      </c>
      <c r="BY61" s="239">
        <v>-4789248</v>
      </c>
      <c r="BZ61" s="239">
        <v>-936466</v>
      </c>
      <c r="CA61" s="239">
        <v>-749172</v>
      </c>
      <c r="CB61" s="239">
        <v>-168564</v>
      </c>
      <c r="CC61" s="239">
        <v>-18729</v>
      </c>
      <c r="CD61" s="239">
        <v>-1872931</v>
      </c>
      <c r="CE61" s="239">
        <v>-1458159</v>
      </c>
      <c r="CF61" s="239">
        <v>-1166527</v>
      </c>
      <c r="CG61" s="239">
        <v>-262468</v>
      </c>
      <c r="CH61" s="239">
        <v>-29163</v>
      </c>
      <c r="CI61" s="239">
        <v>-2916317</v>
      </c>
      <c r="CJ61" s="239">
        <v>18315755</v>
      </c>
      <c r="CK61" s="239">
        <v>14652604</v>
      </c>
      <c r="CL61" s="239">
        <v>3296836</v>
      </c>
      <c r="CM61" s="239">
        <v>366315</v>
      </c>
      <c r="CN61" s="239">
        <v>36631510</v>
      </c>
      <c r="CO61" s="239">
        <v>17183442</v>
      </c>
      <c r="CP61" s="239">
        <v>13746753</v>
      </c>
      <c r="CQ61" s="239">
        <v>3093019</v>
      </c>
      <c r="CR61" s="239">
        <v>343669</v>
      </c>
      <c r="CS61" s="239">
        <v>34366883</v>
      </c>
      <c r="CT61" s="239">
        <v>-1132313</v>
      </c>
      <c r="CU61" s="239">
        <v>-905851</v>
      </c>
      <c r="CV61" s="239">
        <v>-203817</v>
      </c>
      <c r="CW61" s="239">
        <v>-22646</v>
      </c>
      <c r="CX61" s="239">
        <v>-2264627</v>
      </c>
      <c r="CY61" s="239">
        <v>-2590472</v>
      </c>
      <c r="CZ61" s="239">
        <v>-2072378</v>
      </c>
      <c r="DA61" s="239">
        <v>-466285</v>
      </c>
      <c r="DB61" s="239">
        <v>-51809</v>
      </c>
      <c r="DC61" s="239">
        <v>-5180944</v>
      </c>
      <c r="DD61" s="214">
        <v>0.5</v>
      </c>
      <c r="DE61" s="214">
        <v>0.4</v>
      </c>
      <c r="DF61" s="214">
        <v>0.09</v>
      </c>
      <c r="DG61" s="214">
        <v>0.01</v>
      </c>
      <c r="DH61" s="214">
        <v>1</v>
      </c>
      <c r="DI61" s="214" t="s">
        <v>1294</v>
      </c>
    </row>
    <row r="62" spans="2:113" s="214" customFormat="1" x14ac:dyDescent="0.2">
      <c r="B62" s="610" t="s">
        <v>207</v>
      </c>
      <c r="C62" s="610" t="s">
        <v>206</v>
      </c>
      <c r="D62" s="239">
        <v>21524122</v>
      </c>
      <c r="E62" s="239">
        <v>17219298</v>
      </c>
      <c r="F62" s="239">
        <v>4304825</v>
      </c>
      <c r="G62" s="239">
        <v>0</v>
      </c>
      <c r="H62" s="239">
        <v>43048245</v>
      </c>
      <c r="I62" s="239">
        <v>0</v>
      </c>
      <c r="J62" s="239">
        <v>0</v>
      </c>
      <c r="K62" s="239">
        <v>21524122</v>
      </c>
      <c r="L62" s="239">
        <v>197722</v>
      </c>
      <c r="M62" s="239">
        <v>197722</v>
      </c>
      <c r="N62" s="239">
        <v>0</v>
      </c>
      <c r="O62" s="239">
        <v>0</v>
      </c>
      <c r="P62" s="239">
        <v>104897</v>
      </c>
      <c r="Q62" s="239">
        <v>9343</v>
      </c>
      <c r="R62" s="239">
        <v>114240</v>
      </c>
      <c r="S62" s="239">
        <v>0</v>
      </c>
      <c r="T62" s="239">
        <v>0</v>
      </c>
      <c r="U62" s="239">
        <v>0</v>
      </c>
      <c r="V62" s="239">
        <v>0</v>
      </c>
      <c r="W62" s="239">
        <v>728008</v>
      </c>
      <c r="X62" s="239">
        <v>582407</v>
      </c>
      <c r="Y62" s="239">
        <v>145602</v>
      </c>
      <c r="Z62" s="239">
        <v>0</v>
      </c>
      <c r="AA62" s="239">
        <v>1456017</v>
      </c>
      <c r="AB62" s="239">
        <v>-384487</v>
      </c>
      <c r="AC62" s="239">
        <v>-307590</v>
      </c>
      <c r="AD62" s="239">
        <v>-76898</v>
      </c>
      <c r="AE62" s="239">
        <v>0</v>
      </c>
      <c r="AF62" s="239">
        <v>-768975</v>
      </c>
      <c r="AG62" s="239">
        <v>-298581</v>
      </c>
      <c r="AH62" s="239">
        <v>-238865</v>
      </c>
      <c r="AI62" s="239">
        <v>-59716</v>
      </c>
      <c r="AJ62" s="239">
        <v>0</v>
      </c>
      <c r="AK62" s="239">
        <v>-597162</v>
      </c>
      <c r="AL62" s="239">
        <v>108805.73000000001</v>
      </c>
      <c r="AM62" s="239">
        <v>87045</v>
      </c>
      <c r="AN62" s="239">
        <v>21761</v>
      </c>
      <c r="AO62" s="239">
        <v>0</v>
      </c>
      <c r="AP62" s="239">
        <v>217611.73</v>
      </c>
      <c r="AQ62" s="239">
        <v>-150000</v>
      </c>
      <c r="AR62" s="239">
        <v>-120000</v>
      </c>
      <c r="AS62" s="239">
        <v>-30000</v>
      </c>
      <c r="AT62" s="239">
        <v>0</v>
      </c>
      <c r="AU62" s="239">
        <v>-300000</v>
      </c>
      <c r="AV62" s="239">
        <v>-339775.27</v>
      </c>
      <c r="AW62" s="239">
        <v>-271820</v>
      </c>
      <c r="AX62" s="239">
        <v>-67955</v>
      </c>
      <c r="AY62" s="239">
        <v>0</v>
      </c>
      <c r="AZ62" s="239">
        <v>-679550.27</v>
      </c>
      <c r="BA62" s="239">
        <v>-1573228</v>
      </c>
      <c r="BB62" s="239">
        <v>-1258582</v>
      </c>
      <c r="BC62" s="239">
        <v>-314646</v>
      </c>
      <c r="BD62" s="239">
        <v>0</v>
      </c>
      <c r="BE62" s="239">
        <v>-3146456</v>
      </c>
      <c r="BF62" s="239">
        <v>183952</v>
      </c>
      <c r="BG62" s="239">
        <v>147162</v>
      </c>
      <c r="BH62" s="239">
        <v>36791</v>
      </c>
      <c r="BI62" s="239">
        <v>0</v>
      </c>
      <c r="BJ62" s="239">
        <v>367905</v>
      </c>
      <c r="BK62" s="239">
        <v>-387500</v>
      </c>
      <c r="BL62" s="239">
        <v>-310000</v>
      </c>
      <c r="BM62" s="239">
        <v>-77500</v>
      </c>
      <c r="BN62" s="239">
        <v>0</v>
      </c>
      <c r="BO62" s="239">
        <v>-775000</v>
      </c>
      <c r="BP62" s="239">
        <v>-1776776</v>
      </c>
      <c r="BQ62" s="239">
        <v>-1421420</v>
      </c>
      <c r="BR62" s="239">
        <v>-355355</v>
      </c>
      <c r="BS62" s="239">
        <v>0</v>
      </c>
      <c r="BT62" s="239">
        <v>-3553551</v>
      </c>
      <c r="BU62" s="239">
        <v>-746567</v>
      </c>
      <c r="BV62" s="239">
        <v>-597254</v>
      </c>
      <c r="BW62" s="239">
        <v>-149314</v>
      </c>
      <c r="BX62" s="239">
        <v>0</v>
      </c>
      <c r="BY62" s="239">
        <v>-1493135</v>
      </c>
      <c r="BZ62" s="239">
        <v>-35598</v>
      </c>
      <c r="CA62" s="239">
        <v>-28478</v>
      </c>
      <c r="CB62" s="239">
        <v>-7120</v>
      </c>
      <c r="CC62" s="239">
        <v>0</v>
      </c>
      <c r="CD62" s="239">
        <v>-71196</v>
      </c>
      <c r="CE62" s="239">
        <v>-710969</v>
      </c>
      <c r="CF62" s="239">
        <v>-568776</v>
      </c>
      <c r="CG62" s="239">
        <v>-142194</v>
      </c>
      <c r="CH62" s="239">
        <v>0</v>
      </c>
      <c r="CI62" s="239">
        <v>-1421939</v>
      </c>
      <c r="CJ62" s="239">
        <v>21896877</v>
      </c>
      <c r="CK62" s="239">
        <v>17517501</v>
      </c>
      <c r="CL62" s="239">
        <v>4379375</v>
      </c>
      <c r="CM62" s="239">
        <v>0</v>
      </c>
      <c r="CN62" s="239">
        <v>43793753</v>
      </c>
      <c r="CO62" s="239">
        <v>21524122</v>
      </c>
      <c r="CP62" s="239">
        <v>17219298</v>
      </c>
      <c r="CQ62" s="239">
        <v>4304825</v>
      </c>
      <c r="CR62" s="239">
        <v>0</v>
      </c>
      <c r="CS62" s="239">
        <v>43048245</v>
      </c>
      <c r="CT62" s="239">
        <v>-372755</v>
      </c>
      <c r="CU62" s="239">
        <v>-298203</v>
      </c>
      <c r="CV62" s="239">
        <v>-74550</v>
      </c>
      <c r="CW62" s="239">
        <v>0</v>
      </c>
      <c r="CX62" s="239">
        <v>-745508</v>
      </c>
      <c r="CY62" s="239">
        <v>-1083724</v>
      </c>
      <c r="CZ62" s="239">
        <v>-866979</v>
      </c>
      <c r="DA62" s="239">
        <v>-216744</v>
      </c>
      <c r="DB62" s="239">
        <v>0</v>
      </c>
      <c r="DC62" s="239">
        <v>-2167447</v>
      </c>
      <c r="DD62" s="214">
        <v>0.5</v>
      </c>
      <c r="DE62" s="214">
        <v>0.4</v>
      </c>
      <c r="DF62" s="214">
        <v>0.1</v>
      </c>
      <c r="DG62" s="214">
        <v>0</v>
      </c>
      <c r="DH62" s="214">
        <v>1</v>
      </c>
      <c r="DI62" s="214" t="s">
        <v>1294</v>
      </c>
    </row>
    <row r="63" spans="2:113" s="214" customFormat="1" x14ac:dyDescent="0.2">
      <c r="B63" s="610" t="s">
        <v>209</v>
      </c>
      <c r="C63" s="610" t="s">
        <v>208</v>
      </c>
      <c r="D63" s="239">
        <v>9625430</v>
      </c>
      <c r="E63" s="239">
        <v>7700345</v>
      </c>
      <c r="F63" s="239">
        <v>1732578</v>
      </c>
      <c r="G63" s="239">
        <v>192509</v>
      </c>
      <c r="H63" s="239">
        <v>19250862</v>
      </c>
      <c r="I63" s="239">
        <v>0</v>
      </c>
      <c r="J63" s="239">
        <v>0</v>
      </c>
      <c r="K63" s="239">
        <v>9625430</v>
      </c>
      <c r="L63" s="239">
        <v>115526</v>
      </c>
      <c r="M63" s="239">
        <v>115526</v>
      </c>
      <c r="N63" s="239">
        <v>0</v>
      </c>
      <c r="O63" s="239">
        <v>0</v>
      </c>
      <c r="P63" s="239">
        <v>0</v>
      </c>
      <c r="Q63" s="239">
        <v>0</v>
      </c>
      <c r="R63" s="239">
        <v>0</v>
      </c>
      <c r="S63" s="239">
        <v>0</v>
      </c>
      <c r="T63" s="239">
        <v>0</v>
      </c>
      <c r="U63" s="239">
        <v>0</v>
      </c>
      <c r="V63" s="239">
        <v>0</v>
      </c>
      <c r="W63" s="239">
        <v>399277</v>
      </c>
      <c r="X63" s="239">
        <v>319422</v>
      </c>
      <c r="Y63" s="239">
        <v>71870</v>
      </c>
      <c r="Z63" s="239">
        <v>7986</v>
      </c>
      <c r="AA63" s="239">
        <v>798555</v>
      </c>
      <c r="AB63" s="239">
        <v>-117864</v>
      </c>
      <c r="AC63" s="239">
        <v>-94290</v>
      </c>
      <c r="AD63" s="239">
        <v>-21215</v>
      </c>
      <c r="AE63" s="239">
        <v>-2357</v>
      </c>
      <c r="AF63" s="239">
        <v>-235726</v>
      </c>
      <c r="AG63" s="239">
        <v>-197865</v>
      </c>
      <c r="AH63" s="239">
        <v>-158289</v>
      </c>
      <c r="AI63" s="239">
        <v>-35615</v>
      </c>
      <c r="AJ63" s="239">
        <v>-3956</v>
      </c>
      <c r="AK63" s="239">
        <v>-395725</v>
      </c>
      <c r="AL63" s="239">
        <v>47941</v>
      </c>
      <c r="AM63" s="239">
        <v>38353</v>
      </c>
      <c r="AN63" s="239">
        <v>8629</v>
      </c>
      <c r="AO63" s="239">
        <v>959</v>
      </c>
      <c r="AP63" s="239">
        <v>95882</v>
      </c>
      <c r="AQ63" s="239">
        <v>-56946</v>
      </c>
      <c r="AR63" s="239">
        <v>-45556</v>
      </c>
      <c r="AS63" s="239">
        <v>-10250</v>
      </c>
      <c r="AT63" s="239">
        <v>-1139</v>
      </c>
      <c r="AU63" s="239">
        <v>-113891</v>
      </c>
      <c r="AV63" s="239">
        <v>-206870</v>
      </c>
      <c r="AW63" s="239">
        <v>-165492</v>
      </c>
      <c r="AX63" s="239">
        <v>-37236</v>
      </c>
      <c r="AY63" s="239">
        <v>-4136</v>
      </c>
      <c r="AZ63" s="239">
        <v>-413734</v>
      </c>
      <c r="BA63" s="239">
        <v>-923016</v>
      </c>
      <c r="BB63" s="239">
        <v>-738412</v>
      </c>
      <c r="BC63" s="239">
        <v>-166142</v>
      </c>
      <c r="BD63" s="239">
        <v>-18461</v>
      </c>
      <c r="BE63" s="239">
        <v>-1846031</v>
      </c>
      <c r="BF63" s="239">
        <v>171315</v>
      </c>
      <c r="BG63" s="239">
        <v>137052</v>
      </c>
      <c r="BH63" s="239">
        <v>30837</v>
      </c>
      <c r="BI63" s="239">
        <v>3426</v>
      </c>
      <c r="BJ63" s="239">
        <v>342630</v>
      </c>
      <c r="BK63" s="239">
        <v>-1059611</v>
      </c>
      <c r="BL63" s="239">
        <v>-847689</v>
      </c>
      <c r="BM63" s="239">
        <v>-190730</v>
      </c>
      <c r="BN63" s="239">
        <v>-21192</v>
      </c>
      <c r="BO63" s="239">
        <v>-2119222</v>
      </c>
      <c r="BP63" s="239">
        <v>-1811312</v>
      </c>
      <c r="BQ63" s="239">
        <v>-1449049</v>
      </c>
      <c r="BR63" s="239">
        <v>-326035</v>
      </c>
      <c r="BS63" s="239">
        <v>-36227</v>
      </c>
      <c r="BT63" s="239">
        <v>-3622623</v>
      </c>
      <c r="BU63" s="239">
        <v>-1160107</v>
      </c>
      <c r="BV63" s="239">
        <v>-928086</v>
      </c>
      <c r="BW63" s="239">
        <v>-208819</v>
      </c>
      <c r="BX63" s="239">
        <v>-23202</v>
      </c>
      <c r="BY63" s="239">
        <v>-2320214</v>
      </c>
      <c r="BZ63" s="239">
        <v>-494917</v>
      </c>
      <c r="CA63" s="239">
        <v>-395934</v>
      </c>
      <c r="CB63" s="239">
        <v>-89085</v>
      </c>
      <c r="CC63" s="239">
        <v>-9898</v>
      </c>
      <c r="CD63" s="239">
        <v>-989834</v>
      </c>
      <c r="CE63" s="239">
        <v>-665190</v>
      </c>
      <c r="CF63" s="239">
        <v>-532152</v>
      </c>
      <c r="CG63" s="239">
        <v>-119734</v>
      </c>
      <c r="CH63" s="239">
        <v>-13304</v>
      </c>
      <c r="CI63" s="239">
        <v>-1330380</v>
      </c>
      <c r="CJ63" s="239">
        <v>10570280</v>
      </c>
      <c r="CK63" s="239">
        <v>8456224</v>
      </c>
      <c r="CL63" s="239">
        <v>1902650</v>
      </c>
      <c r="CM63" s="239">
        <v>211406</v>
      </c>
      <c r="CN63" s="239">
        <v>21140560</v>
      </c>
      <c r="CO63" s="239">
        <v>9625430</v>
      </c>
      <c r="CP63" s="239">
        <v>7700345</v>
      </c>
      <c r="CQ63" s="239">
        <v>1732578</v>
      </c>
      <c r="CR63" s="239">
        <v>192509</v>
      </c>
      <c r="CS63" s="239">
        <v>19250862</v>
      </c>
      <c r="CT63" s="239">
        <v>-944850</v>
      </c>
      <c r="CU63" s="239">
        <v>-755879</v>
      </c>
      <c r="CV63" s="239">
        <v>-170072</v>
      </c>
      <c r="CW63" s="239">
        <v>-18897</v>
      </c>
      <c r="CX63" s="239">
        <v>-1889698</v>
      </c>
      <c r="CY63" s="239">
        <v>-1610040</v>
      </c>
      <c r="CZ63" s="239">
        <v>-1288031</v>
      </c>
      <c r="DA63" s="239">
        <v>-289806</v>
      </c>
      <c r="DB63" s="239">
        <v>-32201</v>
      </c>
      <c r="DC63" s="239">
        <v>-3220078</v>
      </c>
      <c r="DD63" s="214">
        <v>0.5</v>
      </c>
      <c r="DE63" s="214">
        <v>0.4</v>
      </c>
      <c r="DF63" s="214">
        <v>0.09</v>
      </c>
      <c r="DG63" s="214">
        <v>0.01</v>
      </c>
      <c r="DH63" s="214">
        <v>1</v>
      </c>
      <c r="DI63" s="214" t="s">
        <v>1294</v>
      </c>
    </row>
    <row r="64" spans="2:113" s="214" customFormat="1" x14ac:dyDescent="0.2">
      <c r="B64" s="610" t="s">
        <v>211</v>
      </c>
      <c r="C64" s="610" t="s">
        <v>210</v>
      </c>
      <c r="D64" s="239">
        <v>13134519</v>
      </c>
      <c r="E64" s="239">
        <v>10507615</v>
      </c>
      <c r="F64" s="239">
        <v>2364213</v>
      </c>
      <c r="G64" s="239">
        <v>262690</v>
      </c>
      <c r="H64" s="239">
        <v>26269037</v>
      </c>
      <c r="I64" s="239">
        <v>0</v>
      </c>
      <c r="J64" s="239">
        <v>0</v>
      </c>
      <c r="K64" s="239">
        <v>13134519</v>
      </c>
      <c r="L64" s="239">
        <v>133997</v>
      </c>
      <c r="M64" s="239">
        <v>133997</v>
      </c>
      <c r="N64" s="239">
        <v>0</v>
      </c>
      <c r="O64" s="239">
        <v>0</v>
      </c>
      <c r="P64" s="239">
        <v>0</v>
      </c>
      <c r="Q64" s="239">
        <v>0</v>
      </c>
      <c r="R64" s="239">
        <v>0</v>
      </c>
      <c r="S64" s="239">
        <v>0</v>
      </c>
      <c r="T64" s="239">
        <v>0</v>
      </c>
      <c r="U64" s="239">
        <v>0</v>
      </c>
      <c r="V64" s="239">
        <v>0</v>
      </c>
      <c r="W64" s="239">
        <v>643031</v>
      </c>
      <c r="X64" s="239">
        <v>514424</v>
      </c>
      <c r="Y64" s="239">
        <v>115745</v>
      </c>
      <c r="Z64" s="239">
        <v>12861</v>
      </c>
      <c r="AA64" s="239">
        <v>1286061</v>
      </c>
      <c r="AB64" s="239">
        <v>-275288</v>
      </c>
      <c r="AC64" s="239">
        <v>-220230</v>
      </c>
      <c r="AD64" s="239">
        <v>-49552</v>
      </c>
      <c r="AE64" s="239">
        <v>-5506</v>
      </c>
      <c r="AF64" s="239">
        <v>-550576</v>
      </c>
      <c r="AG64" s="239">
        <v>-333264</v>
      </c>
      <c r="AH64" s="239">
        <v>-266612</v>
      </c>
      <c r="AI64" s="239">
        <v>-59988</v>
      </c>
      <c r="AJ64" s="239">
        <v>-6666</v>
      </c>
      <c r="AK64" s="239">
        <v>-666530</v>
      </c>
      <c r="AL64" s="239">
        <v>89981</v>
      </c>
      <c r="AM64" s="239">
        <v>71986</v>
      </c>
      <c r="AN64" s="239">
        <v>16197</v>
      </c>
      <c r="AO64" s="239">
        <v>1800</v>
      </c>
      <c r="AP64" s="239">
        <v>179964</v>
      </c>
      <c r="AQ64" s="239">
        <v>-198825</v>
      </c>
      <c r="AR64" s="239">
        <v>-159060</v>
      </c>
      <c r="AS64" s="239">
        <v>-35788</v>
      </c>
      <c r="AT64" s="239">
        <v>-3976</v>
      </c>
      <c r="AU64" s="239">
        <v>-397649</v>
      </c>
      <c r="AV64" s="239">
        <v>-442108</v>
      </c>
      <c r="AW64" s="239">
        <v>-353686</v>
      </c>
      <c r="AX64" s="239">
        <v>-79579</v>
      </c>
      <c r="AY64" s="239">
        <v>-8842</v>
      </c>
      <c r="AZ64" s="239">
        <v>-884215</v>
      </c>
      <c r="BA64" s="239">
        <v>-700000</v>
      </c>
      <c r="BB64" s="239">
        <v>-560000</v>
      </c>
      <c r="BC64" s="239">
        <v>-126000</v>
      </c>
      <c r="BD64" s="239">
        <v>-14000</v>
      </c>
      <c r="BE64" s="239">
        <v>-1400000</v>
      </c>
      <c r="BF64" s="239">
        <v>158152</v>
      </c>
      <c r="BG64" s="239">
        <v>126521</v>
      </c>
      <c r="BH64" s="239">
        <v>28467</v>
      </c>
      <c r="BI64" s="239">
        <v>3163</v>
      </c>
      <c r="BJ64" s="239">
        <v>316303</v>
      </c>
      <c r="BK64" s="239">
        <v>-685152</v>
      </c>
      <c r="BL64" s="239">
        <v>-548121</v>
      </c>
      <c r="BM64" s="239">
        <v>-123327</v>
      </c>
      <c r="BN64" s="239">
        <v>-13703</v>
      </c>
      <c r="BO64" s="239">
        <v>-1370303</v>
      </c>
      <c r="BP64" s="239">
        <v>-1227000</v>
      </c>
      <c r="BQ64" s="239">
        <v>-981600</v>
      </c>
      <c r="BR64" s="239">
        <v>-220860</v>
      </c>
      <c r="BS64" s="239">
        <v>-24540</v>
      </c>
      <c r="BT64" s="239">
        <v>-2454000</v>
      </c>
      <c r="BU64" s="239">
        <v>-302791</v>
      </c>
      <c r="BV64" s="239">
        <v>-242234</v>
      </c>
      <c r="BW64" s="239">
        <v>-54503</v>
      </c>
      <c r="BX64" s="239">
        <v>-6056</v>
      </c>
      <c r="BY64" s="239">
        <v>-605584</v>
      </c>
      <c r="BZ64" s="239">
        <v>-447344</v>
      </c>
      <c r="CA64" s="239">
        <v>-357875</v>
      </c>
      <c r="CB64" s="239">
        <v>-80522</v>
      </c>
      <c r="CC64" s="239">
        <v>-8947</v>
      </c>
      <c r="CD64" s="239">
        <v>-894688</v>
      </c>
      <c r="CE64" s="239">
        <v>144553</v>
      </c>
      <c r="CF64" s="239">
        <v>115641</v>
      </c>
      <c r="CG64" s="239">
        <v>26019</v>
      </c>
      <c r="CH64" s="239">
        <v>2891</v>
      </c>
      <c r="CI64" s="239">
        <v>289104</v>
      </c>
      <c r="CJ64" s="239">
        <v>14190404</v>
      </c>
      <c r="CK64" s="239">
        <v>11352324</v>
      </c>
      <c r="CL64" s="239">
        <v>2554273</v>
      </c>
      <c r="CM64" s="239">
        <v>283808</v>
      </c>
      <c r="CN64" s="239">
        <v>28380809</v>
      </c>
      <c r="CO64" s="239">
        <v>13134519</v>
      </c>
      <c r="CP64" s="239">
        <v>10507615</v>
      </c>
      <c r="CQ64" s="239">
        <v>2364213</v>
      </c>
      <c r="CR64" s="239">
        <v>262690</v>
      </c>
      <c r="CS64" s="239">
        <v>26269037</v>
      </c>
      <c r="CT64" s="239">
        <v>-1055885</v>
      </c>
      <c r="CU64" s="239">
        <v>-844709</v>
      </c>
      <c r="CV64" s="239">
        <v>-190060</v>
      </c>
      <c r="CW64" s="239">
        <v>-21118</v>
      </c>
      <c r="CX64" s="239">
        <v>-2111772</v>
      </c>
      <c r="CY64" s="239">
        <v>-911332</v>
      </c>
      <c r="CZ64" s="239">
        <v>-729068</v>
      </c>
      <c r="DA64" s="239">
        <v>-164041</v>
      </c>
      <c r="DB64" s="239">
        <v>-18227</v>
      </c>
      <c r="DC64" s="239">
        <v>-1822668</v>
      </c>
      <c r="DD64" s="214">
        <v>0.5</v>
      </c>
      <c r="DE64" s="214">
        <v>0.4</v>
      </c>
      <c r="DF64" s="214">
        <v>0.09</v>
      </c>
      <c r="DG64" s="214">
        <v>0.01</v>
      </c>
      <c r="DH64" s="214">
        <v>1</v>
      </c>
      <c r="DI64" s="214" t="s">
        <v>1294</v>
      </c>
    </row>
    <row r="65" spans="1:113" s="214" customFormat="1" x14ac:dyDescent="0.2">
      <c r="B65" s="610" t="s">
        <v>213</v>
      </c>
      <c r="C65" s="610" t="s">
        <v>212</v>
      </c>
      <c r="D65" s="239">
        <v>8771881</v>
      </c>
      <c r="E65" s="239">
        <v>7017504</v>
      </c>
      <c r="F65" s="239">
        <v>1578938</v>
      </c>
      <c r="G65" s="239">
        <v>175438</v>
      </c>
      <c r="H65" s="239">
        <v>17543761</v>
      </c>
      <c r="I65" s="239">
        <v>0</v>
      </c>
      <c r="J65" s="239">
        <v>0</v>
      </c>
      <c r="K65" s="239">
        <v>8771881</v>
      </c>
      <c r="L65" s="239">
        <v>75005</v>
      </c>
      <c r="M65" s="239">
        <v>75005</v>
      </c>
      <c r="N65" s="239">
        <v>0</v>
      </c>
      <c r="O65" s="239">
        <v>0</v>
      </c>
      <c r="P65" s="239">
        <v>289893</v>
      </c>
      <c r="Q65" s="239">
        <v>0</v>
      </c>
      <c r="R65" s="239">
        <v>289893</v>
      </c>
      <c r="S65" s="239">
        <v>0</v>
      </c>
      <c r="T65" s="239">
        <v>0</v>
      </c>
      <c r="U65" s="239">
        <v>0</v>
      </c>
      <c r="V65" s="239">
        <v>0</v>
      </c>
      <c r="W65" s="239">
        <v>190823</v>
      </c>
      <c r="X65" s="239">
        <v>152658</v>
      </c>
      <c r="Y65" s="239">
        <v>34348</v>
      </c>
      <c r="Z65" s="239">
        <v>3816</v>
      </c>
      <c r="AA65" s="239">
        <v>381645</v>
      </c>
      <c r="AB65" s="239">
        <v>-69552</v>
      </c>
      <c r="AC65" s="239">
        <v>-55641</v>
      </c>
      <c r="AD65" s="239">
        <v>-12519</v>
      </c>
      <c r="AE65" s="239">
        <v>-1391</v>
      </c>
      <c r="AF65" s="239">
        <v>-139103</v>
      </c>
      <c r="AG65" s="239">
        <v>-150299.49</v>
      </c>
      <c r="AH65" s="239">
        <v>-120239</v>
      </c>
      <c r="AI65" s="239">
        <v>-27055</v>
      </c>
      <c r="AJ65" s="239">
        <v>-3006</v>
      </c>
      <c r="AK65" s="239">
        <v>-300599.49</v>
      </c>
      <c r="AL65" s="239">
        <v>24361</v>
      </c>
      <c r="AM65" s="239">
        <v>19489</v>
      </c>
      <c r="AN65" s="239">
        <v>4385</v>
      </c>
      <c r="AO65" s="239">
        <v>487</v>
      </c>
      <c r="AP65" s="239">
        <v>48722</v>
      </c>
      <c r="AQ65" s="239">
        <v>-24415</v>
      </c>
      <c r="AR65" s="239">
        <v>-19532</v>
      </c>
      <c r="AS65" s="239">
        <v>-4395</v>
      </c>
      <c r="AT65" s="239">
        <v>-488</v>
      </c>
      <c r="AU65" s="239">
        <v>-48830</v>
      </c>
      <c r="AV65" s="239">
        <v>-150353.49</v>
      </c>
      <c r="AW65" s="239">
        <v>-120282</v>
      </c>
      <c r="AX65" s="239">
        <v>-27065</v>
      </c>
      <c r="AY65" s="239">
        <v>-3007</v>
      </c>
      <c r="AZ65" s="239">
        <v>-300707.49</v>
      </c>
      <c r="BA65" s="239">
        <v>-599546</v>
      </c>
      <c r="BB65" s="239">
        <v>-479637</v>
      </c>
      <c r="BC65" s="239">
        <v>-107918</v>
      </c>
      <c r="BD65" s="239">
        <v>-11990</v>
      </c>
      <c r="BE65" s="239">
        <v>-1199091</v>
      </c>
      <c r="BF65" s="239">
        <v>407825</v>
      </c>
      <c r="BG65" s="239">
        <v>326260</v>
      </c>
      <c r="BH65" s="239">
        <v>73409</v>
      </c>
      <c r="BI65" s="239">
        <v>8157</v>
      </c>
      <c r="BJ65" s="239">
        <v>815651</v>
      </c>
      <c r="BK65" s="239">
        <v>-682231</v>
      </c>
      <c r="BL65" s="239">
        <v>-545784</v>
      </c>
      <c r="BM65" s="239">
        <v>-122801</v>
      </c>
      <c r="BN65" s="239">
        <v>-13645</v>
      </c>
      <c r="BO65" s="239">
        <v>-1364461</v>
      </c>
      <c r="BP65" s="239">
        <v>-873952</v>
      </c>
      <c r="BQ65" s="239">
        <v>-699161</v>
      </c>
      <c r="BR65" s="239">
        <v>-157310</v>
      </c>
      <c r="BS65" s="239">
        <v>-17478</v>
      </c>
      <c r="BT65" s="239">
        <v>-1747901</v>
      </c>
      <c r="BU65" s="239">
        <v>554036</v>
      </c>
      <c r="BV65" s="239">
        <v>443230</v>
      </c>
      <c r="BW65" s="239">
        <v>99727</v>
      </c>
      <c r="BX65" s="239">
        <v>11081</v>
      </c>
      <c r="BY65" s="239">
        <v>1108074</v>
      </c>
      <c r="BZ65" s="239">
        <v>530438</v>
      </c>
      <c r="CA65" s="239">
        <v>424350</v>
      </c>
      <c r="CB65" s="239">
        <v>95479</v>
      </c>
      <c r="CC65" s="239">
        <v>10609</v>
      </c>
      <c r="CD65" s="239">
        <v>1060876</v>
      </c>
      <c r="CE65" s="239">
        <v>23598</v>
      </c>
      <c r="CF65" s="239">
        <v>18880</v>
      </c>
      <c r="CG65" s="239">
        <v>4248</v>
      </c>
      <c r="CH65" s="239">
        <v>472</v>
      </c>
      <c r="CI65" s="239">
        <v>47198</v>
      </c>
      <c r="CJ65" s="239">
        <v>8982320</v>
      </c>
      <c r="CK65" s="239">
        <v>7185855</v>
      </c>
      <c r="CL65" s="239">
        <v>1616817</v>
      </c>
      <c r="CM65" s="239">
        <v>179646</v>
      </c>
      <c r="CN65" s="239">
        <v>17964638</v>
      </c>
      <c r="CO65" s="239">
        <v>8771881</v>
      </c>
      <c r="CP65" s="239">
        <v>7017504</v>
      </c>
      <c r="CQ65" s="239">
        <v>1578938</v>
      </c>
      <c r="CR65" s="239">
        <v>175438</v>
      </c>
      <c r="CS65" s="239">
        <v>17543761</v>
      </c>
      <c r="CT65" s="239">
        <v>-210439</v>
      </c>
      <c r="CU65" s="239">
        <v>-168351</v>
      </c>
      <c r="CV65" s="239">
        <v>-37879</v>
      </c>
      <c r="CW65" s="239">
        <v>-4208</v>
      </c>
      <c r="CX65" s="239">
        <v>-420877</v>
      </c>
      <c r="CY65" s="239">
        <v>-186841</v>
      </c>
      <c r="CZ65" s="239">
        <v>-149471</v>
      </c>
      <c r="DA65" s="239">
        <v>-33631</v>
      </c>
      <c r="DB65" s="239">
        <v>-3736</v>
      </c>
      <c r="DC65" s="239">
        <v>-373679</v>
      </c>
      <c r="DD65" s="214">
        <v>0.5</v>
      </c>
      <c r="DE65" s="214">
        <v>0.4</v>
      </c>
      <c r="DF65" s="214">
        <v>0.09</v>
      </c>
      <c r="DG65" s="214">
        <v>0.01</v>
      </c>
      <c r="DH65" s="214">
        <v>1</v>
      </c>
      <c r="DI65" s="214" t="s">
        <v>1294</v>
      </c>
    </row>
    <row r="66" spans="1:113" s="214" customFormat="1" x14ac:dyDescent="0.2">
      <c r="B66" s="610" t="s">
        <v>215</v>
      </c>
      <c r="C66" s="610" t="s">
        <v>214</v>
      </c>
      <c r="D66" s="239">
        <v>423962101</v>
      </c>
      <c r="E66" s="239">
        <v>254377260</v>
      </c>
      <c r="F66" s="239">
        <v>169584840</v>
      </c>
      <c r="G66" s="239">
        <v>0</v>
      </c>
      <c r="H66" s="239">
        <v>847924201</v>
      </c>
      <c r="I66" s="239">
        <v>0</v>
      </c>
      <c r="J66" s="239">
        <v>0</v>
      </c>
      <c r="K66" s="239">
        <v>423962101</v>
      </c>
      <c r="L66" s="239">
        <v>1695542</v>
      </c>
      <c r="M66" s="239">
        <v>1695542</v>
      </c>
      <c r="N66" s="239">
        <v>0</v>
      </c>
      <c r="O66" s="239">
        <v>0</v>
      </c>
      <c r="P66" s="239">
        <v>0</v>
      </c>
      <c r="Q66" s="239">
        <v>0</v>
      </c>
      <c r="R66" s="239">
        <v>0</v>
      </c>
      <c r="S66" s="239">
        <v>0</v>
      </c>
      <c r="T66" s="239">
        <v>0</v>
      </c>
      <c r="U66" s="239">
        <v>0</v>
      </c>
      <c r="V66" s="239">
        <v>0</v>
      </c>
      <c r="W66" s="239">
        <v>11332515</v>
      </c>
      <c r="X66" s="239">
        <v>6799509</v>
      </c>
      <c r="Y66" s="239">
        <v>4533006</v>
      </c>
      <c r="Z66" s="239">
        <v>0</v>
      </c>
      <c r="AA66" s="239">
        <v>22665030</v>
      </c>
      <c r="AB66" s="239">
        <v>-15070306</v>
      </c>
      <c r="AC66" s="239">
        <v>-9042183</v>
      </c>
      <c r="AD66" s="239">
        <v>-6028122</v>
      </c>
      <c r="AE66" s="239">
        <v>0</v>
      </c>
      <c r="AF66" s="239">
        <v>-30140611</v>
      </c>
      <c r="AG66" s="239">
        <v>-5513627</v>
      </c>
      <c r="AH66" s="239">
        <v>-3308177</v>
      </c>
      <c r="AI66" s="239">
        <v>-2205450</v>
      </c>
      <c r="AJ66" s="239">
        <v>0</v>
      </c>
      <c r="AK66" s="239">
        <v>-11027254</v>
      </c>
      <c r="AL66" s="239">
        <v>1018964</v>
      </c>
      <c r="AM66" s="239">
        <v>611379</v>
      </c>
      <c r="AN66" s="239">
        <v>407586</v>
      </c>
      <c r="AO66" s="239">
        <v>0</v>
      </c>
      <c r="AP66" s="239">
        <v>2037929</v>
      </c>
      <c r="AQ66" s="239">
        <v>-842659</v>
      </c>
      <c r="AR66" s="239">
        <v>-505595</v>
      </c>
      <c r="AS66" s="239">
        <v>-337064</v>
      </c>
      <c r="AT66" s="239">
        <v>0</v>
      </c>
      <c r="AU66" s="239">
        <v>-1685318</v>
      </c>
      <c r="AV66" s="239">
        <v>-5337322</v>
      </c>
      <c r="AW66" s="239">
        <v>-3202393</v>
      </c>
      <c r="AX66" s="239">
        <v>-2134928</v>
      </c>
      <c r="AY66" s="239">
        <v>0</v>
      </c>
      <c r="AZ66" s="239">
        <v>-10674643</v>
      </c>
      <c r="BA66" s="239">
        <v>-71356385</v>
      </c>
      <c r="BB66" s="239">
        <v>-42813831</v>
      </c>
      <c r="BC66" s="239">
        <v>-28542553</v>
      </c>
      <c r="BD66" s="239">
        <v>0</v>
      </c>
      <c r="BE66" s="239">
        <v>-142712769</v>
      </c>
      <c r="BF66" s="239">
        <v>19436316</v>
      </c>
      <c r="BG66" s="239">
        <v>11661790</v>
      </c>
      <c r="BH66" s="239">
        <v>7774526</v>
      </c>
      <c r="BI66" s="239">
        <v>0</v>
      </c>
      <c r="BJ66" s="239">
        <v>38872632</v>
      </c>
      <c r="BK66" s="239">
        <v>-23175639</v>
      </c>
      <c r="BL66" s="239">
        <v>-13905383</v>
      </c>
      <c r="BM66" s="239">
        <v>-9270255</v>
      </c>
      <c r="BN66" s="239">
        <v>0</v>
      </c>
      <c r="BO66" s="239">
        <v>-46351277</v>
      </c>
      <c r="BP66" s="239">
        <v>-75095708</v>
      </c>
      <c r="BQ66" s="239">
        <v>-45057424</v>
      </c>
      <c r="BR66" s="239">
        <v>-30038282</v>
      </c>
      <c r="BS66" s="239">
        <v>0</v>
      </c>
      <c r="BT66" s="239">
        <v>-150191414</v>
      </c>
      <c r="BU66" s="239">
        <v>-11436526</v>
      </c>
      <c r="BV66" s="239">
        <v>-6861916</v>
      </c>
      <c r="BW66" s="239">
        <v>-4574610</v>
      </c>
      <c r="BX66" s="239">
        <v>0</v>
      </c>
      <c r="BY66" s="239">
        <v>-22873052</v>
      </c>
      <c r="BZ66" s="239">
        <v>-210541</v>
      </c>
      <c r="CA66" s="239">
        <v>-126325</v>
      </c>
      <c r="CB66" s="239">
        <v>-84217</v>
      </c>
      <c r="CC66" s="239">
        <v>0</v>
      </c>
      <c r="CD66" s="239">
        <v>-421083</v>
      </c>
      <c r="CE66" s="239">
        <v>-11225985</v>
      </c>
      <c r="CF66" s="239">
        <v>-6735591</v>
      </c>
      <c r="CG66" s="239">
        <v>-4490393</v>
      </c>
      <c r="CH66" s="239">
        <v>0</v>
      </c>
      <c r="CI66" s="239">
        <v>-22451969</v>
      </c>
      <c r="CJ66" s="239">
        <v>372551727</v>
      </c>
      <c r="CK66" s="239">
        <v>223531036</v>
      </c>
      <c r="CL66" s="239">
        <v>149020691</v>
      </c>
      <c r="CM66" s="239">
        <v>0</v>
      </c>
      <c r="CN66" s="239">
        <v>745103454</v>
      </c>
      <c r="CO66" s="239">
        <v>423962101</v>
      </c>
      <c r="CP66" s="239">
        <v>254377260</v>
      </c>
      <c r="CQ66" s="239">
        <v>169584840</v>
      </c>
      <c r="CR66" s="239">
        <v>0</v>
      </c>
      <c r="CS66" s="239">
        <v>847924201</v>
      </c>
      <c r="CT66" s="239">
        <v>51410374</v>
      </c>
      <c r="CU66" s="239">
        <v>30846224</v>
      </c>
      <c r="CV66" s="239">
        <v>20564149</v>
      </c>
      <c r="CW66" s="239">
        <v>0</v>
      </c>
      <c r="CX66" s="239">
        <v>102820747</v>
      </c>
      <c r="CY66" s="239">
        <v>40184389</v>
      </c>
      <c r="CZ66" s="239">
        <v>24110633</v>
      </c>
      <c r="DA66" s="239">
        <v>16073756</v>
      </c>
      <c r="DB66" s="239">
        <v>0</v>
      </c>
      <c r="DC66" s="239">
        <v>80368778</v>
      </c>
      <c r="DD66" s="214">
        <v>0.5</v>
      </c>
      <c r="DE66" s="214">
        <v>0.3</v>
      </c>
      <c r="DF66" s="214">
        <v>0.2</v>
      </c>
      <c r="DG66" s="214">
        <v>0</v>
      </c>
      <c r="DH66" s="214">
        <v>1</v>
      </c>
      <c r="DI66" s="214" t="s">
        <v>1297</v>
      </c>
    </row>
    <row r="67" spans="1:113" s="214" customFormat="1" x14ac:dyDescent="0.2">
      <c r="B67" s="610" t="s">
        <v>217</v>
      </c>
      <c r="C67" s="610" t="s">
        <v>216</v>
      </c>
      <c r="D67" s="239">
        <v>29943357</v>
      </c>
      <c r="E67" s="239">
        <v>23954685</v>
      </c>
      <c r="F67" s="239">
        <v>5389804</v>
      </c>
      <c r="G67" s="239">
        <v>598867</v>
      </c>
      <c r="H67" s="239">
        <v>59886713</v>
      </c>
      <c r="I67" s="239">
        <v>0</v>
      </c>
      <c r="J67" s="239">
        <v>0</v>
      </c>
      <c r="K67" s="239">
        <v>29943357</v>
      </c>
      <c r="L67" s="239">
        <v>238245</v>
      </c>
      <c r="M67" s="239">
        <v>238245</v>
      </c>
      <c r="N67" s="239">
        <v>0</v>
      </c>
      <c r="O67" s="239">
        <v>0</v>
      </c>
      <c r="P67" s="239">
        <v>0</v>
      </c>
      <c r="Q67" s="239">
        <v>0</v>
      </c>
      <c r="R67" s="239">
        <v>0</v>
      </c>
      <c r="S67" s="239">
        <v>0</v>
      </c>
      <c r="T67" s="239">
        <v>0</v>
      </c>
      <c r="U67" s="239">
        <v>0</v>
      </c>
      <c r="V67" s="239">
        <v>0</v>
      </c>
      <c r="W67" s="239">
        <v>1325864</v>
      </c>
      <c r="X67" s="239">
        <v>1060692</v>
      </c>
      <c r="Y67" s="239">
        <v>238656</v>
      </c>
      <c r="Z67" s="239">
        <v>26517</v>
      </c>
      <c r="AA67" s="239">
        <v>2651729</v>
      </c>
      <c r="AB67" s="239">
        <v>-289697</v>
      </c>
      <c r="AC67" s="239">
        <v>-231758</v>
      </c>
      <c r="AD67" s="239">
        <v>-52146</v>
      </c>
      <c r="AE67" s="239">
        <v>-5794</v>
      </c>
      <c r="AF67" s="239">
        <v>-579395</v>
      </c>
      <c r="AG67" s="239">
        <v>-400939</v>
      </c>
      <c r="AH67" s="239">
        <v>-320750</v>
      </c>
      <c r="AI67" s="239">
        <v>-72168</v>
      </c>
      <c r="AJ67" s="239">
        <v>-8019</v>
      </c>
      <c r="AK67" s="239">
        <v>-801876</v>
      </c>
      <c r="AL67" s="239">
        <v>150933</v>
      </c>
      <c r="AM67" s="239">
        <v>120746</v>
      </c>
      <c r="AN67" s="239">
        <v>27168</v>
      </c>
      <c r="AO67" s="239">
        <v>3019</v>
      </c>
      <c r="AP67" s="239">
        <v>301866</v>
      </c>
      <c r="AQ67" s="239">
        <v>-230626</v>
      </c>
      <c r="AR67" s="239">
        <v>-184502</v>
      </c>
      <c r="AS67" s="239">
        <v>-41513</v>
      </c>
      <c r="AT67" s="239">
        <v>-4613</v>
      </c>
      <c r="AU67" s="239">
        <v>-461254</v>
      </c>
      <c r="AV67" s="239">
        <v>-480632</v>
      </c>
      <c r="AW67" s="239">
        <v>-384506</v>
      </c>
      <c r="AX67" s="239">
        <v>-86513</v>
      </c>
      <c r="AY67" s="239">
        <v>-9613</v>
      </c>
      <c r="AZ67" s="239">
        <v>-961264</v>
      </c>
      <c r="BA67" s="239">
        <v>-2831926</v>
      </c>
      <c r="BB67" s="239">
        <v>-2265542</v>
      </c>
      <c r="BC67" s="239">
        <v>-509748</v>
      </c>
      <c r="BD67" s="239">
        <v>-56638</v>
      </c>
      <c r="BE67" s="239">
        <v>-5663854</v>
      </c>
      <c r="BF67" s="239">
        <v>654478</v>
      </c>
      <c r="BG67" s="239">
        <v>523583</v>
      </c>
      <c r="BH67" s="239">
        <v>117806</v>
      </c>
      <c r="BI67" s="239">
        <v>13090</v>
      </c>
      <c r="BJ67" s="239">
        <v>1308957</v>
      </c>
      <c r="BK67" s="239">
        <v>-1559275</v>
      </c>
      <c r="BL67" s="239">
        <v>-1247420</v>
      </c>
      <c r="BM67" s="239">
        <v>-280669</v>
      </c>
      <c r="BN67" s="239">
        <v>-31185</v>
      </c>
      <c r="BO67" s="239">
        <v>-3118549</v>
      </c>
      <c r="BP67" s="239">
        <v>-3736723</v>
      </c>
      <c r="BQ67" s="239">
        <v>-2989379</v>
      </c>
      <c r="BR67" s="239">
        <v>-672611</v>
      </c>
      <c r="BS67" s="239">
        <v>-74733</v>
      </c>
      <c r="BT67" s="239">
        <v>-7473446</v>
      </c>
      <c r="BU67" s="239">
        <v>-1490908</v>
      </c>
      <c r="BV67" s="239">
        <v>-1192727</v>
      </c>
      <c r="BW67" s="239">
        <v>-268364</v>
      </c>
      <c r="BX67" s="239">
        <v>-29818</v>
      </c>
      <c r="BY67" s="239">
        <v>-2981817</v>
      </c>
      <c r="BZ67" s="239">
        <v>341103</v>
      </c>
      <c r="CA67" s="239">
        <v>272882</v>
      </c>
      <c r="CB67" s="239">
        <v>61399</v>
      </c>
      <c r="CC67" s="239">
        <v>6822</v>
      </c>
      <c r="CD67" s="239">
        <v>682206</v>
      </c>
      <c r="CE67" s="239">
        <v>-1832011</v>
      </c>
      <c r="CF67" s="239">
        <v>-1465609</v>
      </c>
      <c r="CG67" s="239">
        <v>-329763</v>
      </c>
      <c r="CH67" s="239">
        <v>-36640</v>
      </c>
      <c r="CI67" s="239">
        <v>-3664023</v>
      </c>
      <c r="CJ67" s="239">
        <v>31131355</v>
      </c>
      <c r="CK67" s="239">
        <v>24905084</v>
      </c>
      <c r="CL67" s="239">
        <v>5603644</v>
      </c>
      <c r="CM67" s="239">
        <v>622627</v>
      </c>
      <c r="CN67" s="239">
        <v>62262710</v>
      </c>
      <c r="CO67" s="239">
        <v>29943357</v>
      </c>
      <c r="CP67" s="239">
        <v>23954685</v>
      </c>
      <c r="CQ67" s="239">
        <v>5389804</v>
      </c>
      <c r="CR67" s="239">
        <v>598867</v>
      </c>
      <c r="CS67" s="239">
        <v>59886713</v>
      </c>
      <c r="CT67" s="239">
        <v>-1187998</v>
      </c>
      <c r="CU67" s="239">
        <v>-950399</v>
      </c>
      <c r="CV67" s="239">
        <v>-213840</v>
      </c>
      <c r="CW67" s="239">
        <v>-23760</v>
      </c>
      <c r="CX67" s="239">
        <v>-2375997</v>
      </c>
      <c r="CY67" s="239">
        <v>-3020009</v>
      </c>
      <c r="CZ67" s="239">
        <v>-2416008</v>
      </c>
      <c r="DA67" s="239">
        <v>-543603</v>
      </c>
      <c r="DB67" s="239">
        <v>-60400</v>
      </c>
      <c r="DC67" s="239">
        <v>-6040020</v>
      </c>
      <c r="DD67" s="214">
        <v>0.5</v>
      </c>
      <c r="DE67" s="214">
        <v>0.4</v>
      </c>
      <c r="DF67" s="214">
        <v>0.09</v>
      </c>
      <c r="DG67" s="214">
        <v>0.01</v>
      </c>
      <c r="DH67" s="214">
        <v>1</v>
      </c>
      <c r="DI67" s="214" t="s">
        <v>1294</v>
      </c>
    </row>
    <row r="68" spans="1:113" s="214" customFormat="1" x14ac:dyDescent="0.2">
      <c r="B68" s="610" t="s">
        <v>219</v>
      </c>
      <c r="C68" s="610" t="s">
        <v>218</v>
      </c>
      <c r="D68" s="239">
        <v>22186637</v>
      </c>
      <c r="E68" s="239">
        <v>17749310</v>
      </c>
      <c r="F68" s="239">
        <v>4437327</v>
      </c>
      <c r="G68" s="239">
        <v>0</v>
      </c>
      <c r="H68" s="239">
        <v>44373274</v>
      </c>
      <c r="I68" s="239">
        <v>0</v>
      </c>
      <c r="J68" s="239">
        <v>0</v>
      </c>
      <c r="K68" s="239">
        <v>22186637</v>
      </c>
      <c r="L68" s="239">
        <v>111659</v>
      </c>
      <c r="M68" s="239">
        <v>111659</v>
      </c>
      <c r="N68" s="239">
        <v>0</v>
      </c>
      <c r="O68" s="239">
        <v>0</v>
      </c>
      <c r="P68" s="239">
        <v>25521</v>
      </c>
      <c r="Q68" s="239">
        <v>0</v>
      </c>
      <c r="R68" s="239">
        <v>25521</v>
      </c>
      <c r="S68" s="239">
        <v>0</v>
      </c>
      <c r="T68" s="239">
        <v>0</v>
      </c>
      <c r="U68" s="239">
        <v>0</v>
      </c>
      <c r="V68" s="239">
        <v>0</v>
      </c>
      <c r="W68" s="239">
        <v>273460</v>
      </c>
      <c r="X68" s="239">
        <v>218768</v>
      </c>
      <c r="Y68" s="239">
        <v>54692</v>
      </c>
      <c r="Z68" s="239">
        <v>0</v>
      </c>
      <c r="AA68" s="239">
        <v>546920</v>
      </c>
      <c r="AB68" s="239">
        <v>-15928388</v>
      </c>
      <c r="AC68" s="239">
        <v>-12742710</v>
      </c>
      <c r="AD68" s="239">
        <v>-3185678</v>
      </c>
      <c r="AE68" s="239">
        <v>0</v>
      </c>
      <c r="AF68" s="239">
        <v>-31856776</v>
      </c>
      <c r="AG68" s="239">
        <v>-143753</v>
      </c>
      <c r="AH68" s="239">
        <v>-115003</v>
      </c>
      <c r="AI68" s="239">
        <v>-28751</v>
      </c>
      <c r="AJ68" s="239">
        <v>0</v>
      </c>
      <c r="AK68" s="239">
        <v>-287507</v>
      </c>
      <c r="AL68" s="239">
        <v>143753</v>
      </c>
      <c r="AM68" s="239">
        <v>115003</v>
      </c>
      <c r="AN68" s="239">
        <v>28751</v>
      </c>
      <c r="AO68" s="239">
        <v>0</v>
      </c>
      <c r="AP68" s="239">
        <v>287507</v>
      </c>
      <c r="AQ68" s="239">
        <v>-75000</v>
      </c>
      <c r="AR68" s="239">
        <v>-60000</v>
      </c>
      <c r="AS68" s="239">
        <v>-15000</v>
      </c>
      <c r="AT68" s="239">
        <v>0</v>
      </c>
      <c r="AU68" s="239">
        <v>-150000</v>
      </c>
      <c r="AV68" s="239">
        <v>-75000</v>
      </c>
      <c r="AW68" s="239">
        <v>-60000</v>
      </c>
      <c r="AX68" s="239">
        <v>-15000</v>
      </c>
      <c r="AY68" s="239">
        <v>0</v>
      </c>
      <c r="AZ68" s="239">
        <v>-150000</v>
      </c>
      <c r="BA68" s="239">
        <v>-16647690</v>
      </c>
      <c r="BB68" s="239">
        <v>-13318151</v>
      </c>
      <c r="BC68" s="239">
        <v>-3329538</v>
      </c>
      <c r="BD68" s="239">
        <v>0</v>
      </c>
      <c r="BE68" s="239">
        <v>-33295379</v>
      </c>
      <c r="BF68" s="239">
        <v>12943434</v>
      </c>
      <c r="BG68" s="239">
        <v>10354748</v>
      </c>
      <c r="BH68" s="239">
        <v>2588687</v>
      </c>
      <c r="BI68" s="239">
        <v>0</v>
      </c>
      <c r="BJ68" s="239">
        <v>25886869</v>
      </c>
      <c r="BK68" s="239">
        <v>3375210</v>
      </c>
      <c r="BL68" s="239">
        <v>2700168</v>
      </c>
      <c r="BM68" s="239">
        <v>675042</v>
      </c>
      <c r="BN68" s="239">
        <v>0</v>
      </c>
      <c r="BO68" s="239">
        <v>6750420</v>
      </c>
      <c r="BP68" s="239">
        <v>-329046</v>
      </c>
      <c r="BQ68" s="239">
        <v>-263235</v>
      </c>
      <c r="BR68" s="239">
        <v>-65809</v>
      </c>
      <c r="BS68" s="239">
        <v>0</v>
      </c>
      <c r="BT68" s="239">
        <v>-658090</v>
      </c>
      <c r="BU68" s="239">
        <v>-8691468</v>
      </c>
      <c r="BV68" s="239">
        <v>-6953174</v>
      </c>
      <c r="BW68" s="239">
        <v>-1738294</v>
      </c>
      <c r="BX68" s="239">
        <v>0</v>
      </c>
      <c r="BY68" s="239">
        <v>-17382936</v>
      </c>
      <c r="BZ68" s="239">
        <v>-8716415</v>
      </c>
      <c r="CA68" s="239">
        <v>-6973132</v>
      </c>
      <c r="CB68" s="239">
        <v>-1743283</v>
      </c>
      <c r="CC68" s="239">
        <v>0</v>
      </c>
      <c r="CD68" s="239">
        <v>-17432830</v>
      </c>
      <c r="CE68" s="239">
        <v>24947</v>
      </c>
      <c r="CF68" s="239">
        <v>19958</v>
      </c>
      <c r="CG68" s="239">
        <v>4989</v>
      </c>
      <c r="CH68" s="239">
        <v>0</v>
      </c>
      <c r="CI68" s="239">
        <v>49894</v>
      </c>
      <c r="CJ68" s="239">
        <v>18138510</v>
      </c>
      <c r="CK68" s="239">
        <v>14510808</v>
      </c>
      <c r="CL68" s="239">
        <v>3627702</v>
      </c>
      <c r="CM68" s="239">
        <v>0</v>
      </c>
      <c r="CN68" s="239">
        <v>36277020</v>
      </c>
      <c r="CO68" s="239">
        <v>22186637</v>
      </c>
      <c r="CP68" s="239">
        <v>17749310</v>
      </c>
      <c r="CQ68" s="239">
        <v>4437327</v>
      </c>
      <c r="CR68" s="239">
        <v>0</v>
      </c>
      <c r="CS68" s="239">
        <v>44373274</v>
      </c>
      <c r="CT68" s="239">
        <v>4048127</v>
      </c>
      <c r="CU68" s="239">
        <v>3238502</v>
      </c>
      <c r="CV68" s="239">
        <v>809625</v>
      </c>
      <c r="CW68" s="239">
        <v>0</v>
      </c>
      <c r="CX68" s="239">
        <v>8096254</v>
      </c>
      <c r="CY68" s="239">
        <v>4073074</v>
      </c>
      <c r="CZ68" s="239">
        <v>3258460</v>
      </c>
      <c r="DA68" s="239">
        <v>814614</v>
      </c>
      <c r="DB68" s="239">
        <v>0</v>
      </c>
      <c r="DC68" s="239">
        <v>8146148</v>
      </c>
      <c r="DD68" s="214">
        <v>0.5</v>
      </c>
      <c r="DE68" s="214">
        <v>0.4</v>
      </c>
      <c r="DF68" s="214">
        <v>0.1</v>
      </c>
      <c r="DG68" s="214">
        <v>0</v>
      </c>
      <c r="DH68" s="214">
        <v>1</v>
      </c>
      <c r="DI68" s="214" t="s">
        <v>1294</v>
      </c>
    </row>
    <row r="69" spans="1:113" s="214" customFormat="1" x14ac:dyDescent="0.2">
      <c r="B69" s="610" t="s">
        <v>221</v>
      </c>
      <c r="C69" s="610" t="s">
        <v>220</v>
      </c>
      <c r="D69" s="239">
        <v>16820086</v>
      </c>
      <c r="E69" s="239">
        <v>13456069</v>
      </c>
      <c r="F69" s="239">
        <v>3364017</v>
      </c>
      <c r="G69" s="239">
        <v>0</v>
      </c>
      <c r="H69" s="239">
        <v>33640172</v>
      </c>
      <c r="I69" s="239">
        <v>0</v>
      </c>
      <c r="J69" s="239">
        <v>0</v>
      </c>
      <c r="K69" s="239">
        <v>16820086</v>
      </c>
      <c r="L69" s="239">
        <v>88686</v>
      </c>
      <c r="M69" s="239">
        <v>88686</v>
      </c>
      <c r="N69" s="239">
        <v>0</v>
      </c>
      <c r="O69" s="239">
        <v>0</v>
      </c>
      <c r="P69" s="239">
        <v>0</v>
      </c>
      <c r="Q69" s="239">
        <v>0</v>
      </c>
      <c r="R69" s="239">
        <v>0</v>
      </c>
      <c r="S69" s="239">
        <v>0</v>
      </c>
      <c r="T69" s="239">
        <v>0</v>
      </c>
      <c r="U69" s="239">
        <v>0</v>
      </c>
      <c r="V69" s="239">
        <v>0</v>
      </c>
      <c r="W69" s="239">
        <v>1313605</v>
      </c>
      <c r="X69" s="239">
        <v>1050884</v>
      </c>
      <c r="Y69" s="239">
        <v>262721</v>
      </c>
      <c r="Z69" s="239">
        <v>0</v>
      </c>
      <c r="AA69" s="239">
        <v>2627210</v>
      </c>
      <c r="AB69" s="239">
        <v>-306032</v>
      </c>
      <c r="AC69" s="239">
        <v>-244826</v>
      </c>
      <c r="AD69" s="239">
        <v>-61207</v>
      </c>
      <c r="AE69" s="239">
        <v>0</v>
      </c>
      <c r="AF69" s="239">
        <v>-612065</v>
      </c>
      <c r="AG69" s="239">
        <v>-573160.69999999995</v>
      </c>
      <c r="AH69" s="239">
        <v>-458527</v>
      </c>
      <c r="AI69" s="239">
        <v>-114631</v>
      </c>
      <c r="AJ69" s="239">
        <v>0</v>
      </c>
      <c r="AK69" s="239">
        <v>-1146318.7</v>
      </c>
      <c r="AL69" s="239">
        <v>233367</v>
      </c>
      <c r="AM69" s="239">
        <v>186693</v>
      </c>
      <c r="AN69" s="239">
        <v>46673</v>
      </c>
      <c r="AO69" s="239">
        <v>0</v>
      </c>
      <c r="AP69" s="239">
        <v>466733</v>
      </c>
      <c r="AQ69" s="239">
        <v>-104437</v>
      </c>
      <c r="AR69" s="239">
        <v>-83549</v>
      </c>
      <c r="AS69" s="239">
        <v>-20887</v>
      </c>
      <c r="AT69" s="239">
        <v>0</v>
      </c>
      <c r="AU69" s="239">
        <v>-208873</v>
      </c>
      <c r="AV69" s="239">
        <v>-444230.69999999995</v>
      </c>
      <c r="AW69" s="239">
        <v>-355383</v>
      </c>
      <c r="AX69" s="239">
        <v>-88845</v>
      </c>
      <c r="AY69" s="239">
        <v>0</v>
      </c>
      <c r="AZ69" s="239">
        <v>-888458.7</v>
      </c>
      <c r="BA69" s="239">
        <v>-928804</v>
      </c>
      <c r="BB69" s="239">
        <v>-743045</v>
      </c>
      <c r="BC69" s="239">
        <v>-185761</v>
      </c>
      <c r="BD69" s="239">
        <v>0</v>
      </c>
      <c r="BE69" s="239">
        <v>-1857610</v>
      </c>
      <c r="BF69" s="239">
        <v>206000</v>
      </c>
      <c r="BG69" s="239">
        <v>164800</v>
      </c>
      <c r="BH69" s="239">
        <v>41200</v>
      </c>
      <c r="BI69" s="239">
        <v>0</v>
      </c>
      <c r="BJ69" s="239">
        <v>412000</v>
      </c>
      <c r="BK69" s="239">
        <v>-663353</v>
      </c>
      <c r="BL69" s="239">
        <v>-530683</v>
      </c>
      <c r="BM69" s="239">
        <v>-132671</v>
      </c>
      <c r="BN69" s="239">
        <v>0</v>
      </c>
      <c r="BO69" s="239">
        <v>-1326707</v>
      </c>
      <c r="BP69" s="239">
        <v>-1386157</v>
      </c>
      <c r="BQ69" s="239">
        <v>-1108928</v>
      </c>
      <c r="BR69" s="239">
        <v>-277232</v>
      </c>
      <c r="BS69" s="239">
        <v>0</v>
      </c>
      <c r="BT69" s="239">
        <v>-2772317</v>
      </c>
      <c r="BU69" s="239">
        <v>-2436045</v>
      </c>
      <c r="BV69" s="239">
        <v>-1948836</v>
      </c>
      <c r="BW69" s="239">
        <v>-487209</v>
      </c>
      <c r="BX69" s="239">
        <v>0</v>
      </c>
      <c r="BY69" s="239">
        <v>-4872090</v>
      </c>
      <c r="BZ69" s="239">
        <v>-1735849</v>
      </c>
      <c r="CA69" s="239">
        <v>-1388679</v>
      </c>
      <c r="CB69" s="239">
        <v>-347170</v>
      </c>
      <c r="CC69" s="239">
        <v>0</v>
      </c>
      <c r="CD69" s="239">
        <v>-3471698</v>
      </c>
      <c r="CE69" s="239">
        <v>-700196</v>
      </c>
      <c r="CF69" s="239">
        <v>-560157</v>
      </c>
      <c r="CG69" s="239">
        <v>-140039</v>
      </c>
      <c r="CH69" s="239">
        <v>0</v>
      </c>
      <c r="CI69" s="239">
        <v>-1400392</v>
      </c>
      <c r="CJ69" s="239">
        <v>17362775</v>
      </c>
      <c r="CK69" s="239">
        <v>13890220</v>
      </c>
      <c r="CL69" s="239">
        <v>3472555</v>
      </c>
      <c r="CM69" s="239">
        <v>0</v>
      </c>
      <c r="CN69" s="239">
        <v>34725550</v>
      </c>
      <c r="CO69" s="239">
        <v>16820086</v>
      </c>
      <c r="CP69" s="239">
        <v>13456069</v>
      </c>
      <c r="CQ69" s="239">
        <v>3364017</v>
      </c>
      <c r="CR69" s="239">
        <v>0</v>
      </c>
      <c r="CS69" s="239">
        <v>33640172</v>
      </c>
      <c r="CT69" s="239">
        <v>-542689</v>
      </c>
      <c r="CU69" s="239">
        <v>-434151</v>
      </c>
      <c r="CV69" s="239">
        <v>-108538</v>
      </c>
      <c r="CW69" s="239">
        <v>0</v>
      </c>
      <c r="CX69" s="239">
        <v>-1085378</v>
      </c>
      <c r="CY69" s="239">
        <v>-1242885</v>
      </c>
      <c r="CZ69" s="239">
        <v>-994308</v>
      </c>
      <c r="DA69" s="239">
        <v>-248577</v>
      </c>
      <c r="DB69" s="239">
        <v>0</v>
      </c>
      <c r="DC69" s="239">
        <v>-2485770</v>
      </c>
      <c r="DD69" s="214">
        <v>0.5</v>
      </c>
      <c r="DE69" s="214">
        <v>0.4</v>
      </c>
      <c r="DF69" s="214">
        <v>0.1</v>
      </c>
      <c r="DG69" s="214">
        <v>0</v>
      </c>
      <c r="DH69" s="214">
        <v>1</v>
      </c>
      <c r="DI69" s="214" t="s">
        <v>1294</v>
      </c>
    </row>
    <row r="70" spans="1:113" s="214" customFormat="1" x14ac:dyDescent="0.2">
      <c r="B70" s="610" t="s">
        <v>223</v>
      </c>
      <c r="C70" s="610" t="s">
        <v>222</v>
      </c>
      <c r="D70" s="239">
        <v>72467539</v>
      </c>
      <c r="E70" s="239">
        <v>72467540</v>
      </c>
      <c r="F70" s="239">
        <v>0</v>
      </c>
      <c r="G70" s="239">
        <v>0</v>
      </c>
      <c r="H70" s="239">
        <v>144935079</v>
      </c>
      <c r="I70" s="239">
        <v>172592.80000000002</v>
      </c>
      <c r="J70" s="239">
        <v>172592.80000000002</v>
      </c>
      <c r="K70" s="239">
        <v>72294946.200000003</v>
      </c>
      <c r="L70" s="239">
        <v>1112614</v>
      </c>
      <c r="M70" s="239">
        <v>1112614</v>
      </c>
      <c r="N70" s="239">
        <v>34624</v>
      </c>
      <c r="O70" s="239">
        <v>34624</v>
      </c>
      <c r="P70" s="239">
        <v>1274719</v>
      </c>
      <c r="Q70" s="239">
        <v>0</v>
      </c>
      <c r="R70" s="239">
        <v>1274719</v>
      </c>
      <c r="S70" s="239">
        <v>172592.80000000002</v>
      </c>
      <c r="T70" s="239">
        <v>0</v>
      </c>
      <c r="U70" s="239">
        <v>0</v>
      </c>
      <c r="V70" s="239">
        <v>172592.80000000002</v>
      </c>
      <c r="W70" s="239">
        <v>4075627</v>
      </c>
      <c r="X70" s="239">
        <v>4075628</v>
      </c>
      <c r="Y70" s="239">
        <v>0</v>
      </c>
      <c r="Z70" s="239">
        <v>0</v>
      </c>
      <c r="AA70" s="239">
        <v>8151255</v>
      </c>
      <c r="AB70" s="239">
        <v>-1424943</v>
      </c>
      <c r="AC70" s="239">
        <v>-1424944</v>
      </c>
      <c r="AD70" s="239">
        <v>0</v>
      </c>
      <c r="AE70" s="239">
        <v>0</v>
      </c>
      <c r="AF70" s="239">
        <v>-2849887</v>
      </c>
      <c r="AG70" s="239">
        <v>-1358700</v>
      </c>
      <c r="AH70" s="239">
        <v>-1358701</v>
      </c>
      <c r="AI70" s="239">
        <v>0</v>
      </c>
      <c r="AJ70" s="239">
        <v>0</v>
      </c>
      <c r="AK70" s="239">
        <v>-2717401</v>
      </c>
      <c r="AL70" s="239">
        <v>642845</v>
      </c>
      <c r="AM70" s="239">
        <v>642846</v>
      </c>
      <c r="AN70" s="239">
        <v>0</v>
      </c>
      <c r="AO70" s="239">
        <v>0</v>
      </c>
      <c r="AP70" s="239">
        <v>1285691</v>
      </c>
      <c r="AQ70" s="239">
        <v>-738050</v>
      </c>
      <c r="AR70" s="239">
        <v>-738050</v>
      </c>
      <c r="AS70" s="239">
        <v>0</v>
      </c>
      <c r="AT70" s="239">
        <v>0</v>
      </c>
      <c r="AU70" s="239">
        <v>-1476100</v>
      </c>
      <c r="AV70" s="239">
        <v>-1453905</v>
      </c>
      <c r="AW70" s="239">
        <v>-1453905</v>
      </c>
      <c r="AX70" s="239">
        <v>0</v>
      </c>
      <c r="AY70" s="239">
        <v>0</v>
      </c>
      <c r="AZ70" s="239">
        <v>-2907810</v>
      </c>
      <c r="BA70" s="239">
        <v>-8062000</v>
      </c>
      <c r="BB70" s="239">
        <v>-8062000</v>
      </c>
      <c r="BC70" s="239">
        <v>0</v>
      </c>
      <c r="BD70" s="239">
        <v>0</v>
      </c>
      <c r="BE70" s="239">
        <v>-16124000</v>
      </c>
      <c r="BF70" s="239">
        <v>0</v>
      </c>
      <c r="BG70" s="239">
        <v>0</v>
      </c>
      <c r="BH70" s="239">
        <v>0</v>
      </c>
      <c r="BI70" s="239">
        <v>0</v>
      </c>
      <c r="BJ70" s="239">
        <v>0</v>
      </c>
      <c r="BK70" s="239">
        <v>-2732800</v>
      </c>
      <c r="BL70" s="239">
        <v>-2732800</v>
      </c>
      <c r="BM70" s="239">
        <v>0</v>
      </c>
      <c r="BN70" s="239">
        <v>0</v>
      </c>
      <c r="BO70" s="239">
        <v>-5465600</v>
      </c>
      <c r="BP70" s="239">
        <v>-10794800</v>
      </c>
      <c r="BQ70" s="239">
        <v>-10794800</v>
      </c>
      <c r="BR70" s="239">
        <v>0</v>
      </c>
      <c r="BS70" s="239">
        <v>0</v>
      </c>
      <c r="BT70" s="239">
        <v>-21589600</v>
      </c>
      <c r="BU70" s="239">
        <v>1418717</v>
      </c>
      <c r="BV70" s="239">
        <v>1418717</v>
      </c>
      <c r="BW70" s="239">
        <v>0</v>
      </c>
      <c r="BX70" s="239">
        <v>0</v>
      </c>
      <c r="BY70" s="239">
        <v>2837434</v>
      </c>
      <c r="BZ70" s="239">
        <v>1023498</v>
      </c>
      <c r="CA70" s="239">
        <v>1023498</v>
      </c>
      <c r="CB70" s="239">
        <v>0</v>
      </c>
      <c r="CC70" s="239">
        <v>0</v>
      </c>
      <c r="CD70" s="239">
        <v>2046996</v>
      </c>
      <c r="CE70" s="239">
        <v>395219</v>
      </c>
      <c r="CF70" s="239">
        <v>395219</v>
      </c>
      <c r="CG70" s="239">
        <v>0</v>
      </c>
      <c r="CH70" s="239">
        <v>0</v>
      </c>
      <c r="CI70" s="239">
        <v>790438</v>
      </c>
      <c r="CJ70" s="239">
        <v>72855902</v>
      </c>
      <c r="CK70" s="239">
        <v>72855903</v>
      </c>
      <c r="CL70" s="239">
        <v>0</v>
      </c>
      <c r="CM70" s="239">
        <v>0</v>
      </c>
      <c r="CN70" s="239">
        <v>145711805</v>
      </c>
      <c r="CO70" s="239">
        <v>72467539</v>
      </c>
      <c r="CP70" s="239">
        <v>72467540</v>
      </c>
      <c r="CQ70" s="239">
        <v>0</v>
      </c>
      <c r="CR70" s="239">
        <v>0</v>
      </c>
      <c r="CS70" s="239">
        <v>144935079</v>
      </c>
      <c r="CT70" s="239">
        <v>-388363</v>
      </c>
      <c r="CU70" s="239">
        <v>-388363</v>
      </c>
      <c r="CV70" s="239">
        <v>0</v>
      </c>
      <c r="CW70" s="239">
        <v>0</v>
      </c>
      <c r="CX70" s="239">
        <v>-776726</v>
      </c>
      <c r="CY70" s="239">
        <v>6856</v>
      </c>
      <c r="CZ70" s="239">
        <v>6856</v>
      </c>
      <c r="DA70" s="239">
        <v>0</v>
      </c>
      <c r="DB70" s="239">
        <v>0</v>
      </c>
      <c r="DC70" s="239">
        <v>13712</v>
      </c>
      <c r="DD70" s="214">
        <v>0.5</v>
      </c>
      <c r="DE70" s="214">
        <v>0.5</v>
      </c>
      <c r="DF70" s="214">
        <v>0</v>
      </c>
      <c r="DG70" s="214">
        <v>0</v>
      </c>
      <c r="DH70" s="214">
        <v>1</v>
      </c>
      <c r="DI70" s="214" t="s">
        <v>748</v>
      </c>
    </row>
    <row r="71" spans="1:113" s="214" customFormat="1" x14ac:dyDescent="0.2">
      <c r="B71" s="610" t="s">
        <v>225</v>
      </c>
      <c r="C71" s="610" t="s">
        <v>224</v>
      </c>
      <c r="D71" s="239">
        <v>14564377</v>
      </c>
      <c r="E71" s="239">
        <v>11651501</v>
      </c>
      <c r="F71" s="239">
        <v>2912875</v>
      </c>
      <c r="G71" s="239">
        <v>0</v>
      </c>
      <c r="H71" s="239">
        <v>29128753</v>
      </c>
      <c r="I71" s="239">
        <v>0</v>
      </c>
      <c r="J71" s="239">
        <v>0</v>
      </c>
      <c r="K71" s="239">
        <v>14564377</v>
      </c>
      <c r="L71" s="239">
        <v>178723</v>
      </c>
      <c r="M71" s="239">
        <v>178723</v>
      </c>
      <c r="N71" s="239">
        <v>0</v>
      </c>
      <c r="O71" s="239">
        <v>0</v>
      </c>
      <c r="P71" s="239">
        <v>92687</v>
      </c>
      <c r="Q71" s="239">
        <v>0</v>
      </c>
      <c r="R71" s="239">
        <v>92687</v>
      </c>
      <c r="S71" s="239">
        <v>0</v>
      </c>
      <c r="T71" s="239">
        <v>0</v>
      </c>
      <c r="U71" s="239">
        <v>0</v>
      </c>
      <c r="V71" s="239">
        <v>0</v>
      </c>
      <c r="W71" s="239">
        <v>367303</v>
      </c>
      <c r="X71" s="239">
        <v>293843</v>
      </c>
      <c r="Y71" s="239">
        <v>73461</v>
      </c>
      <c r="Z71" s="239">
        <v>0</v>
      </c>
      <c r="AA71" s="239">
        <v>734607</v>
      </c>
      <c r="AB71" s="239">
        <v>-87844</v>
      </c>
      <c r="AC71" s="239">
        <v>-70276</v>
      </c>
      <c r="AD71" s="239">
        <v>-17569</v>
      </c>
      <c r="AE71" s="239">
        <v>0</v>
      </c>
      <c r="AF71" s="239">
        <v>-175689</v>
      </c>
      <c r="AG71" s="239">
        <v>-259952</v>
      </c>
      <c r="AH71" s="239">
        <v>-207962</v>
      </c>
      <c r="AI71" s="239">
        <v>-51990</v>
      </c>
      <c r="AJ71" s="239">
        <v>0</v>
      </c>
      <c r="AK71" s="239">
        <v>-519904</v>
      </c>
      <c r="AL71" s="239">
        <v>40632</v>
      </c>
      <c r="AM71" s="239">
        <v>32505</v>
      </c>
      <c r="AN71" s="239">
        <v>8126</v>
      </c>
      <c r="AO71" s="239">
        <v>0</v>
      </c>
      <c r="AP71" s="239">
        <v>81263</v>
      </c>
      <c r="AQ71" s="239">
        <v>113846</v>
      </c>
      <c r="AR71" s="239">
        <v>91076</v>
      </c>
      <c r="AS71" s="239">
        <v>22769</v>
      </c>
      <c r="AT71" s="239">
        <v>0</v>
      </c>
      <c r="AU71" s="239">
        <v>227691</v>
      </c>
      <c r="AV71" s="239">
        <v>-105474</v>
      </c>
      <c r="AW71" s="239">
        <v>-84381</v>
      </c>
      <c r="AX71" s="239">
        <v>-21095</v>
      </c>
      <c r="AY71" s="239">
        <v>0</v>
      </c>
      <c r="AZ71" s="239">
        <v>-210950</v>
      </c>
      <c r="BA71" s="239">
        <v>-1038874</v>
      </c>
      <c r="BB71" s="239">
        <v>-831101</v>
      </c>
      <c r="BC71" s="239">
        <v>-207776</v>
      </c>
      <c r="BD71" s="239">
        <v>0</v>
      </c>
      <c r="BE71" s="239">
        <v>-2077751</v>
      </c>
      <c r="BF71" s="239">
        <v>299294</v>
      </c>
      <c r="BG71" s="239">
        <v>239436</v>
      </c>
      <c r="BH71" s="239">
        <v>59859</v>
      </c>
      <c r="BI71" s="239">
        <v>0</v>
      </c>
      <c r="BJ71" s="239">
        <v>598589</v>
      </c>
      <c r="BK71" s="239">
        <v>-555096</v>
      </c>
      <c r="BL71" s="239">
        <v>-444076</v>
      </c>
      <c r="BM71" s="239">
        <v>-111019</v>
      </c>
      <c r="BN71" s="239">
        <v>0</v>
      </c>
      <c r="BO71" s="239">
        <v>-1110191</v>
      </c>
      <c r="BP71" s="239">
        <v>-1294676</v>
      </c>
      <c r="BQ71" s="239">
        <v>-1035741</v>
      </c>
      <c r="BR71" s="239">
        <v>-258936</v>
      </c>
      <c r="BS71" s="239">
        <v>0</v>
      </c>
      <c r="BT71" s="239">
        <v>-2589353</v>
      </c>
      <c r="BU71" s="239">
        <v>-722481</v>
      </c>
      <c r="BV71" s="239">
        <v>-577985</v>
      </c>
      <c r="BW71" s="239">
        <v>-144496</v>
      </c>
      <c r="BX71" s="239">
        <v>0</v>
      </c>
      <c r="BY71" s="239">
        <v>-1444962</v>
      </c>
      <c r="BZ71" s="239">
        <v>59788</v>
      </c>
      <c r="CA71" s="239">
        <v>47830</v>
      </c>
      <c r="CB71" s="239">
        <v>11958</v>
      </c>
      <c r="CC71" s="239">
        <v>0</v>
      </c>
      <c r="CD71" s="239">
        <v>119576</v>
      </c>
      <c r="CE71" s="239">
        <v>-782269</v>
      </c>
      <c r="CF71" s="239">
        <v>-625815</v>
      </c>
      <c r="CG71" s="239">
        <v>-156454</v>
      </c>
      <c r="CH71" s="239">
        <v>0</v>
      </c>
      <c r="CI71" s="239">
        <v>-1564538</v>
      </c>
      <c r="CJ71" s="239">
        <v>14922143</v>
      </c>
      <c r="CK71" s="239">
        <v>11937715</v>
      </c>
      <c r="CL71" s="239">
        <v>2984429</v>
      </c>
      <c r="CM71" s="239">
        <v>0</v>
      </c>
      <c r="CN71" s="239">
        <v>29844287</v>
      </c>
      <c r="CO71" s="239">
        <v>14564377</v>
      </c>
      <c r="CP71" s="239">
        <v>11651501</v>
      </c>
      <c r="CQ71" s="239">
        <v>2912875</v>
      </c>
      <c r="CR71" s="239">
        <v>0</v>
      </c>
      <c r="CS71" s="239">
        <v>29128753</v>
      </c>
      <c r="CT71" s="239">
        <v>-357766</v>
      </c>
      <c r="CU71" s="239">
        <v>-286214</v>
      </c>
      <c r="CV71" s="239">
        <v>-71554</v>
      </c>
      <c r="CW71" s="239">
        <v>0</v>
      </c>
      <c r="CX71" s="239">
        <v>-715534</v>
      </c>
      <c r="CY71" s="239">
        <v>-1140035</v>
      </c>
      <c r="CZ71" s="239">
        <v>-912029</v>
      </c>
      <c r="DA71" s="239">
        <v>-228008</v>
      </c>
      <c r="DB71" s="239">
        <v>0</v>
      </c>
      <c r="DC71" s="239">
        <v>-2280072</v>
      </c>
      <c r="DD71" s="214">
        <v>0.5</v>
      </c>
      <c r="DE71" s="214">
        <v>0.4</v>
      </c>
      <c r="DF71" s="214">
        <v>0.1</v>
      </c>
      <c r="DG71" s="214">
        <v>0</v>
      </c>
      <c r="DH71" s="214">
        <v>1</v>
      </c>
      <c r="DI71" s="214" t="s">
        <v>1294</v>
      </c>
    </row>
    <row r="72" spans="1:113" s="214" customFormat="1" x14ac:dyDescent="0.2">
      <c r="B72" s="610" t="s">
        <v>227</v>
      </c>
      <c r="C72" s="610" t="s">
        <v>226</v>
      </c>
      <c r="D72" s="239">
        <v>59435371</v>
      </c>
      <c r="E72" s="239">
        <v>58246664</v>
      </c>
      <c r="F72" s="239">
        <v>0</v>
      </c>
      <c r="G72" s="239">
        <v>1188707</v>
      </c>
      <c r="H72" s="239">
        <v>118870742</v>
      </c>
      <c r="I72" s="239">
        <v>0</v>
      </c>
      <c r="J72" s="239">
        <v>0</v>
      </c>
      <c r="K72" s="239">
        <v>59435371</v>
      </c>
      <c r="L72" s="239">
        <v>381387</v>
      </c>
      <c r="M72" s="239">
        <v>381387</v>
      </c>
      <c r="N72" s="239">
        <v>0</v>
      </c>
      <c r="O72" s="239">
        <v>0</v>
      </c>
      <c r="P72" s="239">
        <v>0</v>
      </c>
      <c r="Q72" s="239">
        <v>0</v>
      </c>
      <c r="R72" s="239">
        <v>0</v>
      </c>
      <c r="S72" s="239">
        <v>0</v>
      </c>
      <c r="T72" s="239">
        <v>0</v>
      </c>
      <c r="U72" s="239">
        <v>0</v>
      </c>
      <c r="V72" s="239">
        <v>0</v>
      </c>
      <c r="W72" s="239">
        <v>2958361</v>
      </c>
      <c r="X72" s="239">
        <v>2899194</v>
      </c>
      <c r="Y72" s="239">
        <v>0</v>
      </c>
      <c r="Z72" s="239">
        <v>59167</v>
      </c>
      <c r="AA72" s="239">
        <v>5916722</v>
      </c>
      <c r="AB72" s="239">
        <v>-957040</v>
      </c>
      <c r="AC72" s="239">
        <v>-937900</v>
      </c>
      <c r="AD72" s="239">
        <v>0</v>
      </c>
      <c r="AE72" s="239">
        <v>-19141</v>
      </c>
      <c r="AF72" s="239">
        <v>-1914081</v>
      </c>
      <c r="AG72" s="239">
        <v>-1613309</v>
      </c>
      <c r="AH72" s="239">
        <v>-1581042</v>
      </c>
      <c r="AI72" s="239">
        <v>0</v>
      </c>
      <c r="AJ72" s="239">
        <v>-32266</v>
      </c>
      <c r="AK72" s="239">
        <v>-3226617</v>
      </c>
      <c r="AL72" s="239">
        <v>964788</v>
      </c>
      <c r="AM72" s="239">
        <v>945492</v>
      </c>
      <c r="AN72" s="239">
        <v>0</v>
      </c>
      <c r="AO72" s="239">
        <v>19296</v>
      </c>
      <c r="AP72" s="239">
        <v>1929576</v>
      </c>
      <c r="AQ72" s="239">
        <v>-873325</v>
      </c>
      <c r="AR72" s="239">
        <v>-855859</v>
      </c>
      <c r="AS72" s="239">
        <v>0</v>
      </c>
      <c r="AT72" s="239">
        <v>-17467</v>
      </c>
      <c r="AU72" s="239">
        <v>-1746651</v>
      </c>
      <c r="AV72" s="239">
        <v>-1521846</v>
      </c>
      <c r="AW72" s="239">
        <v>-1491409</v>
      </c>
      <c r="AX72" s="239">
        <v>0</v>
      </c>
      <c r="AY72" s="239">
        <v>-30437</v>
      </c>
      <c r="AZ72" s="239">
        <v>-3043692</v>
      </c>
      <c r="BA72" s="239">
        <v>-3975421</v>
      </c>
      <c r="BB72" s="239">
        <v>-3895913</v>
      </c>
      <c r="BC72" s="239">
        <v>0</v>
      </c>
      <c r="BD72" s="239">
        <v>-79508</v>
      </c>
      <c r="BE72" s="239">
        <v>-7950842</v>
      </c>
      <c r="BF72" s="239">
        <v>932224</v>
      </c>
      <c r="BG72" s="239">
        <v>913581</v>
      </c>
      <c r="BH72" s="239">
        <v>0</v>
      </c>
      <c r="BI72" s="239">
        <v>18645</v>
      </c>
      <c r="BJ72" s="239">
        <v>1864450</v>
      </c>
      <c r="BK72" s="239">
        <v>-1267037</v>
      </c>
      <c r="BL72" s="239">
        <v>-1241697</v>
      </c>
      <c r="BM72" s="239">
        <v>0</v>
      </c>
      <c r="BN72" s="239">
        <v>-25341</v>
      </c>
      <c r="BO72" s="239">
        <v>-2534075</v>
      </c>
      <c r="BP72" s="239">
        <v>-4310234</v>
      </c>
      <c r="BQ72" s="239">
        <v>-4224029</v>
      </c>
      <c r="BR72" s="239">
        <v>0</v>
      </c>
      <c r="BS72" s="239">
        <v>-86204</v>
      </c>
      <c r="BT72" s="239">
        <v>-8620467</v>
      </c>
      <c r="BU72" s="239">
        <v>-27481</v>
      </c>
      <c r="BV72" s="239">
        <v>-26932</v>
      </c>
      <c r="BW72" s="239">
        <v>0</v>
      </c>
      <c r="BX72" s="239">
        <v>-550</v>
      </c>
      <c r="BY72" s="239">
        <v>-54963</v>
      </c>
      <c r="BZ72" s="239">
        <v>1663713</v>
      </c>
      <c r="CA72" s="239">
        <v>1630438</v>
      </c>
      <c r="CB72" s="239">
        <v>0</v>
      </c>
      <c r="CC72" s="239">
        <v>33274</v>
      </c>
      <c r="CD72" s="239">
        <v>3327425</v>
      </c>
      <c r="CE72" s="239">
        <v>-1691194</v>
      </c>
      <c r="CF72" s="239">
        <v>-1657370</v>
      </c>
      <c r="CG72" s="239">
        <v>0</v>
      </c>
      <c r="CH72" s="239">
        <v>-33824</v>
      </c>
      <c r="CI72" s="239">
        <v>-3382388</v>
      </c>
      <c r="CJ72" s="239">
        <v>58770116</v>
      </c>
      <c r="CK72" s="239">
        <v>57594713</v>
      </c>
      <c r="CL72" s="239">
        <v>0</v>
      </c>
      <c r="CM72" s="239">
        <v>1175402</v>
      </c>
      <c r="CN72" s="239">
        <v>117540231</v>
      </c>
      <c r="CO72" s="239">
        <v>59435371</v>
      </c>
      <c r="CP72" s="239">
        <v>58246664</v>
      </c>
      <c r="CQ72" s="239">
        <v>0</v>
      </c>
      <c r="CR72" s="239">
        <v>1188707</v>
      </c>
      <c r="CS72" s="239">
        <v>118870742</v>
      </c>
      <c r="CT72" s="239">
        <v>665255</v>
      </c>
      <c r="CU72" s="239">
        <v>651951</v>
      </c>
      <c r="CV72" s="239">
        <v>0</v>
      </c>
      <c r="CW72" s="239">
        <v>13305</v>
      </c>
      <c r="CX72" s="239">
        <v>1330511</v>
      </c>
      <c r="CY72" s="239">
        <v>-1025939</v>
      </c>
      <c r="CZ72" s="239">
        <v>-1005419</v>
      </c>
      <c r="DA72" s="239">
        <v>0</v>
      </c>
      <c r="DB72" s="239">
        <v>-20519</v>
      </c>
      <c r="DC72" s="239">
        <v>-2051877</v>
      </c>
      <c r="DD72" s="214">
        <v>0.5</v>
      </c>
      <c r="DE72" s="214">
        <v>0.49</v>
      </c>
      <c r="DF72" s="214">
        <v>0</v>
      </c>
      <c r="DG72" s="214">
        <v>0.01</v>
      </c>
      <c r="DH72" s="214">
        <v>1</v>
      </c>
      <c r="DI72" s="214" t="s">
        <v>1296</v>
      </c>
    </row>
    <row r="73" spans="1:113" s="214" customFormat="1" x14ac:dyDescent="0.2">
      <c r="B73" s="610" t="s">
        <v>229</v>
      </c>
      <c r="C73" s="610" t="s">
        <v>228</v>
      </c>
      <c r="D73" s="239">
        <v>8207325</v>
      </c>
      <c r="E73" s="239">
        <v>6565861</v>
      </c>
      <c r="F73" s="239">
        <v>1477319</v>
      </c>
      <c r="G73" s="239">
        <v>164147</v>
      </c>
      <c r="H73" s="239">
        <v>16414652</v>
      </c>
      <c r="I73" s="239">
        <v>0</v>
      </c>
      <c r="J73" s="239">
        <v>0</v>
      </c>
      <c r="K73" s="239">
        <v>8207325</v>
      </c>
      <c r="L73" s="239">
        <v>120581</v>
      </c>
      <c r="M73" s="239">
        <v>120581</v>
      </c>
      <c r="N73" s="239">
        <v>0</v>
      </c>
      <c r="O73" s="239">
        <v>0</v>
      </c>
      <c r="P73" s="239">
        <v>0</v>
      </c>
      <c r="Q73" s="239">
        <v>0</v>
      </c>
      <c r="R73" s="239">
        <v>0</v>
      </c>
      <c r="S73" s="239">
        <v>0</v>
      </c>
      <c r="T73" s="239">
        <v>0</v>
      </c>
      <c r="U73" s="239">
        <v>0</v>
      </c>
      <c r="V73" s="239">
        <v>0</v>
      </c>
      <c r="W73" s="239">
        <v>173036</v>
      </c>
      <c r="X73" s="239">
        <v>138428</v>
      </c>
      <c r="Y73" s="239">
        <v>31146</v>
      </c>
      <c r="Z73" s="239">
        <v>3461</v>
      </c>
      <c r="AA73" s="239">
        <v>346071</v>
      </c>
      <c r="AB73" s="239">
        <v>-49344</v>
      </c>
      <c r="AC73" s="239">
        <v>-39475</v>
      </c>
      <c r="AD73" s="239">
        <v>-8882</v>
      </c>
      <c r="AE73" s="239">
        <v>-987</v>
      </c>
      <c r="AF73" s="239">
        <v>-98688</v>
      </c>
      <c r="AG73" s="239">
        <v>-108174</v>
      </c>
      <c r="AH73" s="239">
        <v>-86540</v>
      </c>
      <c r="AI73" s="239">
        <v>-19472</v>
      </c>
      <c r="AJ73" s="239">
        <v>-2164</v>
      </c>
      <c r="AK73" s="239">
        <v>-216350</v>
      </c>
      <c r="AL73" s="239">
        <v>65007</v>
      </c>
      <c r="AM73" s="239">
        <v>52005</v>
      </c>
      <c r="AN73" s="239">
        <v>11701</v>
      </c>
      <c r="AO73" s="239">
        <v>1300</v>
      </c>
      <c r="AP73" s="239">
        <v>130013</v>
      </c>
      <c r="AQ73" s="239">
        <v>-23681</v>
      </c>
      <c r="AR73" s="239">
        <v>-18945</v>
      </c>
      <c r="AS73" s="239">
        <v>-4263</v>
      </c>
      <c r="AT73" s="239">
        <v>-474</v>
      </c>
      <c r="AU73" s="239">
        <v>-47363</v>
      </c>
      <c r="AV73" s="239">
        <v>-66848</v>
      </c>
      <c r="AW73" s="239">
        <v>-53480</v>
      </c>
      <c r="AX73" s="239">
        <v>-12034</v>
      </c>
      <c r="AY73" s="239">
        <v>-1338</v>
      </c>
      <c r="AZ73" s="239">
        <v>-133700</v>
      </c>
      <c r="BA73" s="239">
        <v>-460786</v>
      </c>
      <c r="BB73" s="239">
        <v>-368629</v>
      </c>
      <c r="BC73" s="239">
        <v>-82941</v>
      </c>
      <c r="BD73" s="239">
        <v>-9216</v>
      </c>
      <c r="BE73" s="239">
        <v>-921572</v>
      </c>
      <c r="BF73" s="239">
        <v>269872</v>
      </c>
      <c r="BG73" s="239">
        <v>215898</v>
      </c>
      <c r="BH73" s="239">
        <v>48577</v>
      </c>
      <c r="BI73" s="239">
        <v>5397</v>
      </c>
      <c r="BJ73" s="239">
        <v>539744</v>
      </c>
      <c r="BK73" s="239">
        <v>-839486</v>
      </c>
      <c r="BL73" s="239">
        <v>-671589</v>
      </c>
      <c r="BM73" s="239">
        <v>-151107</v>
      </c>
      <c r="BN73" s="239">
        <v>-16790</v>
      </c>
      <c r="BO73" s="239">
        <v>-1678972</v>
      </c>
      <c r="BP73" s="239">
        <v>-1030400</v>
      </c>
      <c r="BQ73" s="239">
        <v>-824320</v>
      </c>
      <c r="BR73" s="239">
        <v>-185471</v>
      </c>
      <c r="BS73" s="239">
        <v>-20609</v>
      </c>
      <c r="BT73" s="239">
        <v>-2060800</v>
      </c>
      <c r="BU73" s="239">
        <v>-1654776</v>
      </c>
      <c r="BV73" s="239">
        <v>-1323821</v>
      </c>
      <c r="BW73" s="239">
        <v>-297860</v>
      </c>
      <c r="BX73" s="239">
        <v>-33096</v>
      </c>
      <c r="BY73" s="239">
        <v>-3309553</v>
      </c>
      <c r="BZ73" s="239">
        <v>-1200087</v>
      </c>
      <c r="CA73" s="239">
        <v>-960070</v>
      </c>
      <c r="CB73" s="239">
        <v>-216016</v>
      </c>
      <c r="CC73" s="239">
        <v>-24002</v>
      </c>
      <c r="CD73" s="239">
        <v>-2400175</v>
      </c>
      <c r="CE73" s="239">
        <v>-454689</v>
      </c>
      <c r="CF73" s="239">
        <v>-363751</v>
      </c>
      <c r="CG73" s="239">
        <v>-81844</v>
      </c>
      <c r="CH73" s="239">
        <v>-9094</v>
      </c>
      <c r="CI73" s="239">
        <v>-909378</v>
      </c>
      <c r="CJ73" s="239">
        <v>8811928</v>
      </c>
      <c r="CK73" s="239">
        <v>7049543</v>
      </c>
      <c r="CL73" s="239">
        <v>1586147</v>
      </c>
      <c r="CM73" s="239">
        <v>176239</v>
      </c>
      <c r="CN73" s="239">
        <v>17623857</v>
      </c>
      <c r="CO73" s="239">
        <v>8207325</v>
      </c>
      <c r="CP73" s="239">
        <v>6565861</v>
      </c>
      <c r="CQ73" s="239">
        <v>1477319</v>
      </c>
      <c r="CR73" s="239">
        <v>164147</v>
      </c>
      <c r="CS73" s="239">
        <v>16414652</v>
      </c>
      <c r="CT73" s="239">
        <v>-604603</v>
      </c>
      <c r="CU73" s="239">
        <v>-483682</v>
      </c>
      <c r="CV73" s="239">
        <v>-108828</v>
      </c>
      <c r="CW73" s="239">
        <v>-12092</v>
      </c>
      <c r="CX73" s="239">
        <v>-1209205</v>
      </c>
      <c r="CY73" s="239">
        <v>-1059292</v>
      </c>
      <c r="CZ73" s="239">
        <v>-847433</v>
      </c>
      <c r="DA73" s="239">
        <v>-190672</v>
      </c>
      <c r="DB73" s="239">
        <v>-21186</v>
      </c>
      <c r="DC73" s="239">
        <v>-2118583</v>
      </c>
      <c r="DD73" s="214">
        <v>0.5</v>
      </c>
      <c r="DE73" s="214">
        <v>0.4</v>
      </c>
      <c r="DF73" s="214">
        <v>0.09</v>
      </c>
      <c r="DG73" s="214">
        <v>0.01</v>
      </c>
      <c r="DH73" s="214">
        <v>1</v>
      </c>
      <c r="DI73" s="214" t="s">
        <v>1294</v>
      </c>
    </row>
    <row r="74" spans="1:113" s="214" customFormat="1" x14ac:dyDescent="0.2">
      <c r="B74" s="610" t="s">
        <v>231</v>
      </c>
      <c r="C74" s="610" t="s">
        <v>230</v>
      </c>
      <c r="D74" s="239">
        <v>57090537</v>
      </c>
      <c r="E74" s="239">
        <v>45672430</v>
      </c>
      <c r="F74" s="239">
        <v>11418108</v>
      </c>
      <c r="G74" s="239">
        <v>0</v>
      </c>
      <c r="H74" s="239">
        <v>114181075</v>
      </c>
      <c r="I74" s="239">
        <v>0</v>
      </c>
      <c r="J74" s="239">
        <v>0</v>
      </c>
      <c r="K74" s="239">
        <v>57090537</v>
      </c>
      <c r="L74" s="239">
        <v>208046</v>
      </c>
      <c r="M74" s="239">
        <v>208046</v>
      </c>
      <c r="N74" s="239">
        <v>0</v>
      </c>
      <c r="O74" s="239">
        <v>0</v>
      </c>
      <c r="P74" s="239">
        <v>0</v>
      </c>
      <c r="Q74" s="239">
        <v>0</v>
      </c>
      <c r="R74" s="239">
        <v>0</v>
      </c>
      <c r="S74" s="239">
        <v>0</v>
      </c>
      <c r="T74" s="239">
        <v>0</v>
      </c>
      <c r="U74" s="239">
        <v>0</v>
      </c>
      <c r="V74" s="239">
        <v>0</v>
      </c>
      <c r="W74" s="239">
        <v>838322</v>
      </c>
      <c r="X74" s="239">
        <v>670658</v>
      </c>
      <c r="Y74" s="239">
        <v>167664</v>
      </c>
      <c r="Z74" s="239">
        <v>0</v>
      </c>
      <c r="AA74" s="239">
        <v>1676644</v>
      </c>
      <c r="AB74" s="239">
        <v>-1378422</v>
      </c>
      <c r="AC74" s="239">
        <v>-1102737</v>
      </c>
      <c r="AD74" s="239">
        <v>-275684</v>
      </c>
      <c r="AE74" s="239">
        <v>0</v>
      </c>
      <c r="AF74" s="239">
        <v>-2756843</v>
      </c>
      <c r="AG74" s="239">
        <v>-358142</v>
      </c>
      <c r="AH74" s="239">
        <v>-286513</v>
      </c>
      <c r="AI74" s="239">
        <v>-71628</v>
      </c>
      <c r="AJ74" s="239">
        <v>0</v>
      </c>
      <c r="AK74" s="239">
        <v>-716283</v>
      </c>
      <c r="AL74" s="239">
        <v>124487</v>
      </c>
      <c r="AM74" s="239">
        <v>99589</v>
      </c>
      <c r="AN74" s="239">
        <v>24897</v>
      </c>
      <c r="AO74" s="239">
        <v>0</v>
      </c>
      <c r="AP74" s="239">
        <v>248973</v>
      </c>
      <c r="AQ74" s="239">
        <v>-197577</v>
      </c>
      <c r="AR74" s="239">
        <v>-158061</v>
      </c>
      <c r="AS74" s="239">
        <v>-39515</v>
      </c>
      <c r="AT74" s="239">
        <v>0</v>
      </c>
      <c r="AU74" s="239">
        <v>-395153</v>
      </c>
      <c r="AV74" s="239">
        <v>-431232</v>
      </c>
      <c r="AW74" s="239">
        <v>-344985</v>
      </c>
      <c r="AX74" s="239">
        <v>-86246</v>
      </c>
      <c r="AY74" s="239">
        <v>0</v>
      </c>
      <c r="AZ74" s="239">
        <v>-862463</v>
      </c>
      <c r="BA74" s="239">
        <v>-3365513</v>
      </c>
      <c r="BB74" s="239">
        <v>-2692408</v>
      </c>
      <c r="BC74" s="239">
        <v>-673102</v>
      </c>
      <c r="BD74" s="239">
        <v>0</v>
      </c>
      <c r="BE74" s="239">
        <v>-6731023</v>
      </c>
      <c r="BF74" s="239">
        <v>495596</v>
      </c>
      <c r="BG74" s="239">
        <v>396476</v>
      </c>
      <c r="BH74" s="239">
        <v>99119</v>
      </c>
      <c r="BI74" s="239">
        <v>0</v>
      </c>
      <c r="BJ74" s="239">
        <v>991191</v>
      </c>
      <c r="BK74" s="239">
        <v>-1559011</v>
      </c>
      <c r="BL74" s="239">
        <v>-1247208</v>
      </c>
      <c r="BM74" s="239">
        <v>-311802</v>
      </c>
      <c r="BN74" s="239">
        <v>0</v>
      </c>
      <c r="BO74" s="239">
        <v>-3118021</v>
      </c>
      <c r="BP74" s="239">
        <v>-4428928</v>
      </c>
      <c r="BQ74" s="239">
        <v>-3543140</v>
      </c>
      <c r="BR74" s="239">
        <v>-885785</v>
      </c>
      <c r="BS74" s="239">
        <v>0</v>
      </c>
      <c r="BT74" s="239">
        <v>-8857853</v>
      </c>
      <c r="BU74" s="239">
        <v>3127316</v>
      </c>
      <c r="BV74" s="239">
        <v>2501852</v>
      </c>
      <c r="BW74" s="239">
        <v>625463</v>
      </c>
      <c r="BX74" s="239">
        <v>0</v>
      </c>
      <c r="BY74" s="239">
        <v>6254631</v>
      </c>
      <c r="BZ74" s="239">
        <v>403095</v>
      </c>
      <c r="CA74" s="239">
        <v>322476</v>
      </c>
      <c r="CB74" s="239">
        <v>80619</v>
      </c>
      <c r="CC74" s="239">
        <v>0</v>
      </c>
      <c r="CD74" s="239">
        <v>806190</v>
      </c>
      <c r="CE74" s="239">
        <v>2724221</v>
      </c>
      <c r="CF74" s="239">
        <v>2179376</v>
      </c>
      <c r="CG74" s="239">
        <v>544844</v>
      </c>
      <c r="CH74" s="239">
        <v>0</v>
      </c>
      <c r="CI74" s="239">
        <v>5448441</v>
      </c>
      <c r="CJ74" s="239">
        <v>59102698</v>
      </c>
      <c r="CK74" s="239">
        <v>47282158</v>
      </c>
      <c r="CL74" s="239">
        <v>11820540</v>
      </c>
      <c r="CM74" s="239">
        <v>0</v>
      </c>
      <c r="CN74" s="239">
        <v>118205396</v>
      </c>
      <c r="CO74" s="239">
        <v>57090537</v>
      </c>
      <c r="CP74" s="239">
        <v>45672430</v>
      </c>
      <c r="CQ74" s="239">
        <v>11418108</v>
      </c>
      <c r="CR74" s="239">
        <v>0</v>
      </c>
      <c r="CS74" s="239">
        <v>114181075</v>
      </c>
      <c r="CT74" s="239">
        <v>-2012161</v>
      </c>
      <c r="CU74" s="239">
        <v>-1609728</v>
      </c>
      <c r="CV74" s="239">
        <v>-402432</v>
      </c>
      <c r="CW74" s="239">
        <v>0</v>
      </c>
      <c r="CX74" s="239">
        <v>-4024321</v>
      </c>
      <c r="CY74" s="239">
        <v>712060</v>
      </c>
      <c r="CZ74" s="239">
        <v>569648</v>
      </c>
      <c r="DA74" s="239">
        <v>142412</v>
      </c>
      <c r="DB74" s="239">
        <v>0</v>
      </c>
      <c r="DC74" s="239">
        <v>1424120</v>
      </c>
      <c r="DD74" s="214">
        <v>0.5</v>
      </c>
      <c r="DE74" s="214">
        <v>0.4</v>
      </c>
      <c r="DF74" s="214">
        <v>0.1</v>
      </c>
      <c r="DG74" s="214">
        <v>0</v>
      </c>
      <c r="DH74" s="214">
        <v>1</v>
      </c>
      <c r="DI74" s="214" t="s">
        <v>1294</v>
      </c>
    </row>
    <row r="75" spans="1:113" s="214" customFormat="1" x14ac:dyDescent="0.2">
      <c r="A75" s="215" t="s">
        <v>1321</v>
      </c>
      <c r="B75" s="610" t="s">
        <v>233</v>
      </c>
      <c r="C75" s="610" t="s">
        <v>232</v>
      </c>
      <c r="D75" s="239">
        <v>43829556</v>
      </c>
      <c r="E75" s="239">
        <v>26297733</v>
      </c>
      <c r="F75" s="239">
        <v>17531822</v>
      </c>
      <c r="G75" s="239">
        <v>0</v>
      </c>
      <c r="H75" s="239">
        <v>87659111</v>
      </c>
      <c r="I75" s="239">
        <v>41185.995833333334</v>
      </c>
      <c r="J75" s="239">
        <v>41185.995833333334</v>
      </c>
      <c r="K75" s="239">
        <v>43788370.00416667</v>
      </c>
      <c r="L75" s="239">
        <v>427611</v>
      </c>
      <c r="M75" s="239">
        <v>427611</v>
      </c>
      <c r="N75" s="239">
        <v>0</v>
      </c>
      <c r="O75" s="239">
        <v>0</v>
      </c>
      <c r="P75" s="239">
        <v>0</v>
      </c>
      <c r="Q75" s="239">
        <v>0</v>
      </c>
      <c r="R75" s="239">
        <v>0</v>
      </c>
      <c r="S75" s="239">
        <v>24711.5975</v>
      </c>
      <c r="T75" s="239">
        <v>16474.398333333334</v>
      </c>
      <c r="U75" s="239">
        <v>0</v>
      </c>
      <c r="V75" s="239">
        <v>41185.995833333334</v>
      </c>
      <c r="W75" s="239">
        <v>6137669</v>
      </c>
      <c r="X75" s="239">
        <v>3682602</v>
      </c>
      <c r="Y75" s="239">
        <v>2455068</v>
      </c>
      <c r="Z75" s="239">
        <v>0</v>
      </c>
      <c r="AA75" s="239">
        <v>12275339</v>
      </c>
      <c r="AB75" s="239">
        <v>-1732177</v>
      </c>
      <c r="AC75" s="239">
        <v>-1039307</v>
      </c>
      <c r="AD75" s="239">
        <v>-692871</v>
      </c>
      <c r="AE75" s="239">
        <v>0</v>
      </c>
      <c r="AF75" s="239">
        <v>-3464355</v>
      </c>
      <c r="AG75" s="239">
        <v>-5316207</v>
      </c>
      <c r="AH75" s="239">
        <v>-3189725</v>
      </c>
      <c r="AI75" s="239">
        <v>-2126483</v>
      </c>
      <c r="AJ75" s="239">
        <v>0</v>
      </c>
      <c r="AK75" s="239">
        <v>-10632415</v>
      </c>
      <c r="AL75" s="239">
        <v>1100586</v>
      </c>
      <c r="AM75" s="239">
        <v>660351</v>
      </c>
      <c r="AN75" s="239">
        <v>440234</v>
      </c>
      <c r="AO75" s="239">
        <v>0</v>
      </c>
      <c r="AP75" s="239">
        <v>2201171</v>
      </c>
      <c r="AQ75" s="239">
        <v>-1126512</v>
      </c>
      <c r="AR75" s="239">
        <v>-675907</v>
      </c>
      <c r="AS75" s="239">
        <v>-450605</v>
      </c>
      <c r="AT75" s="239">
        <v>0</v>
      </c>
      <c r="AU75" s="239">
        <v>-2253024</v>
      </c>
      <c r="AV75" s="239">
        <v>-5342133</v>
      </c>
      <c r="AW75" s="239">
        <v>-3205281</v>
      </c>
      <c r="AX75" s="239">
        <v>-2136854</v>
      </c>
      <c r="AY75" s="239">
        <v>0</v>
      </c>
      <c r="AZ75" s="239">
        <v>-10684268</v>
      </c>
      <c r="BA75" s="239">
        <v>-3400000</v>
      </c>
      <c r="BB75" s="239">
        <v>-2040000</v>
      </c>
      <c r="BC75" s="239">
        <v>-1360000</v>
      </c>
      <c r="BD75" s="239">
        <v>0</v>
      </c>
      <c r="BE75" s="239">
        <v>-6800000</v>
      </c>
      <c r="BF75" s="239">
        <v>3171328</v>
      </c>
      <c r="BG75" s="239">
        <v>1902797</v>
      </c>
      <c r="BH75" s="239">
        <v>1268531</v>
      </c>
      <c r="BI75" s="239">
        <v>0</v>
      </c>
      <c r="BJ75" s="239">
        <v>6342656</v>
      </c>
      <c r="BK75" s="239">
        <v>-13021328</v>
      </c>
      <c r="BL75" s="239">
        <v>-7812797</v>
      </c>
      <c r="BM75" s="239">
        <v>-5208531</v>
      </c>
      <c r="BN75" s="239">
        <v>0</v>
      </c>
      <c r="BO75" s="239">
        <v>-26042656</v>
      </c>
      <c r="BP75" s="239">
        <v>-13250000</v>
      </c>
      <c r="BQ75" s="239">
        <v>-7950000</v>
      </c>
      <c r="BR75" s="239">
        <v>-5300000</v>
      </c>
      <c r="BS75" s="239">
        <v>0</v>
      </c>
      <c r="BT75" s="239">
        <v>-26500000</v>
      </c>
      <c r="BU75" s="239">
        <v>-5668831</v>
      </c>
      <c r="BV75" s="239">
        <v>-3401298</v>
      </c>
      <c r="BW75" s="239">
        <v>-2267532</v>
      </c>
      <c r="BX75" s="239">
        <v>0</v>
      </c>
      <c r="BY75" s="239">
        <v>-11337661</v>
      </c>
      <c r="BZ75" s="239">
        <v>-5789462</v>
      </c>
      <c r="CA75" s="239">
        <v>-3473678</v>
      </c>
      <c r="CB75" s="239">
        <v>-2315785</v>
      </c>
      <c r="CC75" s="239">
        <v>0</v>
      </c>
      <c r="CD75" s="239">
        <v>-11578925</v>
      </c>
      <c r="CE75" s="239">
        <v>120631</v>
      </c>
      <c r="CF75" s="239">
        <v>72380</v>
      </c>
      <c r="CG75" s="239">
        <v>48253</v>
      </c>
      <c r="CH75" s="239">
        <v>0</v>
      </c>
      <c r="CI75" s="239">
        <v>241264</v>
      </c>
      <c r="CJ75" s="239">
        <v>57448037</v>
      </c>
      <c r="CK75" s="239">
        <v>34468823</v>
      </c>
      <c r="CL75" s="239">
        <v>22979215</v>
      </c>
      <c r="CM75" s="239">
        <v>0</v>
      </c>
      <c r="CN75" s="239">
        <v>114896075</v>
      </c>
      <c r="CO75" s="239">
        <v>43829556</v>
      </c>
      <c r="CP75" s="239">
        <v>26297733</v>
      </c>
      <c r="CQ75" s="239">
        <v>17531822</v>
      </c>
      <c r="CR75" s="239">
        <v>0</v>
      </c>
      <c r="CS75" s="239">
        <v>87659111</v>
      </c>
      <c r="CT75" s="239">
        <v>-13618481</v>
      </c>
      <c r="CU75" s="239">
        <v>-8171090</v>
      </c>
      <c r="CV75" s="239">
        <v>-5447393</v>
      </c>
      <c r="CW75" s="239">
        <v>0</v>
      </c>
      <c r="CX75" s="239">
        <v>-27236964</v>
      </c>
      <c r="CY75" s="239">
        <v>-13497850</v>
      </c>
      <c r="CZ75" s="239">
        <v>-8098710</v>
      </c>
      <c r="DA75" s="239">
        <v>-5399140</v>
      </c>
      <c r="DB75" s="239">
        <v>0</v>
      </c>
      <c r="DC75" s="239">
        <v>-26995700</v>
      </c>
      <c r="DD75" s="214">
        <v>0.5</v>
      </c>
      <c r="DE75" s="214">
        <v>0.3</v>
      </c>
      <c r="DF75" s="214">
        <v>0.2</v>
      </c>
      <c r="DG75" s="214">
        <v>0</v>
      </c>
      <c r="DH75" s="214">
        <v>1</v>
      </c>
      <c r="DI75" s="214" t="s">
        <v>1295</v>
      </c>
    </row>
    <row r="76" spans="1:113" s="214" customFormat="1" x14ac:dyDescent="0.2">
      <c r="B76" s="610" t="s">
        <v>235</v>
      </c>
      <c r="C76" s="610" t="s">
        <v>234</v>
      </c>
      <c r="D76" s="239">
        <v>30837761</v>
      </c>
      <c r="E76" s="239">
        <v>24670209</v>
      </c>
      <c r="F76" s="239">
        <v>6167552</v>
      </c>
      <c r="G76" s="239">
        <v>0</v>
      </c>
      <c r="H76" s="239">
        <v>61675522</v>
      </c>
      <c r="I76" s="239">
        <v>0</v>
      </c>
      <c r="J76" s="239">
        <v>0</v>
      </c>
      <c r="K76" s="239">
        <v>30837761</v>
      </c>
      <c r="L76" s="239">
        <v>218200</v>
      </c>
      <c r="M76" s="239">
        <v>218200</v>
      </c>
      <c r="N76" s="239">
        <v>0</v>
      </c>
      <c r="O76" s="239">
        <v>0</v>
      </c>
      <c r="P76" s="239">
        <v>0</v>
      </c>
      <c r="Q76" s="239">
        <v>0</v>
      </c>
      <c r="R76" s="239">
        <v>0</v>
      </c>
      <c r="S76" s="239">
        <v>0</v>
      </c>
      <c r="T76" s="239">
        <v>0</v>
      </c>
      <c r="U76" s="239">
        <v>0</v>
      </c>
      <c r="V76" s="239">
        <v>0</v>
      </c>
      <c r="W76" s="239">
        <v>1296373</v>
      </c>
      <c r="X76" s="239">
        <v>1037098</v>
      </c>
      <c r="Y76" s="239">
        <v>259275</v>
      </c>
      <c r="Z76" s="239">
        <v>0</v>
      </c>
      <c r="AA76" s="239">
        <v>2592746</v>
      </c>
      <c r="AB76" s="239">
        <v>-464372</v>
      </c>
      <c r="AC76" s="239">
        <v>-371497</v>
      </c>
      <c r="AD76" s="239">
        <v>-92874</v>
      </c>
      <c r="AE76" s="239">
        <v>0</v>
      </c>
      <c r="AF76" s="239">
        <v>-928743</v>
      </c>
      <c r="AG76" s="239">
        <v>-472875</v>
      </c>
      <c r="AH76" s="239">
        <v>-378301</v>
      </c>
      <c r="AI76" s="239">
        <v>-94575</v>
      </c>
      <c r="AJ76" s="239">
        <v>0</v>
      </c>
      <c r="AK76" s="239">
        <v>-945751</v>
      </c>
      <c r="AL76" s="239">
        <v>472896</v>
      </c>
      <c r="AM76" s="239">
        <v>378317</v>
      </c>
      <c r="AN76" s="239">
        <v>94579</v>
      </c>
      <c r="AO76" s="239">
        <v>0</v>
      </c>
      <c r="AP76" s="239">
        <v>945792</v>
      </c>
      <c r="AQ76" s="239">
        <v>-305373</v>
      </c>
      <c r="AR76" s="239">
        <v>-244298</v>
      </c>
      <c r="AS76" s="239">
        <v>-61075</v>
      </c>
      <c r="AT76" s="239">
        <v>0</v>
      </c>
      <c r="AU76" s="239">
        <v>-610746</v>
      </c>
      <c r="AV76" s="239">
        <v>-305352</v>
      </c>
      <c r="AW76" s="239">
        <v>-244282</v>
      </c>
      <c r="AX76" s="239">
        <v>-61071</v>
      </c>
      <c r="AY76" s="239">
        <v>0</v>
      </c>
      <c r="AZ76" s="239">
        <v>-610705</v>
      </c>
      <c r="BA76" s="239">
        <v>-5569542.5999999996</v>
      </c>
      <c r="BB76" s="239">
        <v>-4455633</v>
      </c>
      <c r="BC76" s="239">
        <v>-1113908</v>
      </c>
      <c r="BD76" s="239">
        <v>0</v>
      </c>
      <c r="BE76" s="239">
        <v>-11139083</v>
      </c>
      <c r="BF76" s="239">
        <v>532761</v>
      </c>
      <c r="BG76" s="239">
        <v>426209</v>
      </c>
      <c r="BH76" s="239">
        <v>106552</v>
      </c>
      <c r="BI76" s="239">
        <v>0</v>
      </c>
      <c r="BJ76" s="239">
        <v>1065522</v>
      </c>
      <c r="BK76" s="239">
        <v>174773</v>
      </c>
      <c r="BL76" s="239">
        <v>139819</v>
      </c>
      <c r="BM76" s="239">
        <v>34955</v>
      </c>
      <c r="BN76" s="239">
        <v>0</v>
      </c>
      <c r="BO76" s="239">
        <v>349547</v>
      </c>
      <c r="BP76" s="239">
        <v>-4862008.5999999996</v>
      </c>
      <c r="BQ76" s="239">
        <v>-3889605</v>
      </c>
      <c r="BR76" s="239">
        <v>-972401</v>
      </c>
      <c r="BS76" s="239">
        <v>0</v>
      </c>
      <c r="BT76" s="239">
        <v>-9724014</v>
      </c>
      <c r="BU76" s="239">
        <v>-1197927</v>
      </c>
      <c r="BV76" s="239">
        <v>-958342</v>
      </c>
      <c r="BW76" s="239">
        <v>-239585</v>
      </c>
      <c r="BX76" s="239">
        <v>0</v>
      </c>
      <c r="BY76" s="239">
        <v>-2395854</v>
      </c>
      <c r="BZ76" s="239">
        <v>1816599</v>
      </c>
      <c r="CA76" s="239">
        <v>1453280</v>
      </c>
      <c r="CB76" s="239">
        <v>363320</v>
      </c>
      <c r="CC76" s="239">
        <v>0</v>
      </c>
      <c r="CD76" s="239">
        <v>3633199</v>
      </c>
      <c r="CE76" s="239">
        <v>-3014526</v>
      </c>
      <c r="CF76" s="239">
        <v>-2411622</v>
      </c>
      <c r="CG76" s="239">
        <v>-602905</v>
      </c>
      <c r="CH76" s="239">
        <v>0</v>
      </c>
      <c r="CI76" s="239">
        <v>-6029053</v>
      </c>
      <c r="CJ76" s="239">
        <v>30091643</v>
      </c>
      <c r="CK76" s="239">
        <v>24073314</v>
      </c>
      <c r="CL76" s="239">
        <v>6018329</v>
      </c>
      <c r="CM76" s="239">
        <v>0</v>
      </c>
      <c r="CN76" s="239">
        <v>60183286</v>
      </c>
      <c r="CO76" s="239">
        <v>30837761</v>
      </c>
      <c r="CP76" s="239">
        <v>24670209</v>
      </c>
      <c r="CQ76" s="239">
        <v>6167552</v>
      </c>
      <c r="CR76" s="239">
        <v>0</v>
      </c>
      <c r="CS76" s="239">
        <v>61675522</v>
      </c>
      <c r="CT76" s="239">
        <v>746118</v>
      </c>
      <c r="CU76" s="239">
        <v>596895</v>
      </c>
      <c r="CV76" s="239">
        <v>149223</v>
      </c>
      <c r="CW76" s="239">
        <v>0</v>
      </c>
      <c r="CX76" s="239">
        <v>1492236</v>
      </c>
      <c r="CY76" s="239">
        <v>-2268408</v>
      </c>
      <c r="CZ76" s="239">
        <v>-1814727</v>
      </c>
      <c r="DA76" s="239">
        <v>-453682</v>
      </c>
      <c r="DB76" s="239">
        <v>0</v>
      </c>
      <c r="DC76" s="239">
        <v>-4536817</v>
      </c>
      <c r="DD76" s="214">
        <v>0.5</v>
      </c>
      <c r="DE76" s="214">
        <v>0.4</v>
      </c>
      <c r="DF76" s="214">
        <v>0.1</v>
      </c>
      <c r="DG76" s="214">
        <v>0</v>
      </c>
      <c r="DH76" s="214">
        <v>1</v>
      </c>
      <c r="DI76" s="214" t="s">
        <v>1294</v>
      </c>
    </row>
    <row r="77" spans="1:113" s="214" customFormat="1" x14ac:dyDescent="0.2">
      <c r="B77" s="610" t="s">
        <v>237</v>
      </c>
      <c r="C77" s="610" t="s">
        <v>236</v>
      </c>
      <c r="D77" s="239">
        <v>16139916</v>
      </c>
      <c r="E77" s="239">
        <v>15817117</v>
      </c>
      <c r="F77" s="239">
        <v>0</v>
      </c>
      <c r="G77" s="239">
        <v>322798</v>
      </c>
      <c r="H77" s="239">
        <v>32279831</v>
      </c>
      <c r="I77" s="239">
        <v>0</v>
      </c>
      <c r="J77" s="239">
        <v>0</v>
      </c>
      <c r="K77" s="239">
        <v>16139916</v>
      </c>
      <c r="L77" s="239">
        <v>145025</v>
      </c>
      <c r="M77" s="239">
        <v>145025</v>
      </c>
      <c r="N77" s="239">
        <v>0</v>
      </c>
      <c r="O77" s="239">
        <v>0</v>
      </c>
      <c r="P77" s="239">
        <v>0</v>
      </c>
      <c r="Q77" s="239">
        <v>0</v>
      </c>
      <c r="R77" s="239">
        <v>0</v>
      </c>
      <c r="S77" s="239">
        <v>0</v>
      </c>
      <c r="T77" s="239">
        <v>0</v>
      </c>
      <c r="U77" s="239">
        <v>0</v>
      </c>
      <c r="V77" s="239">
        <v>0</v>
      </c>
      <c r="W77" s="239">
        <v>706257</v>
      </c>
      <c r="X77" s="239">
        <v>692132</v>
      </c>
      <c r="Y77" s="239">
        <v>0</v>
      </c>
      <c r="Z77" s="239">
        <v>14125</v>
      </c>
      <c r="AA77" s="239">
        <v>1412514</v>
      </c>
      <c r="AB77" s="239">
        <v>-249981</v>
      </c>
      <c r="AC77" s="239">
        <v>-244982</v>
      </c>
      <c r="AD77" s="239">
        <v>0</v>
      </c>
      <c r="AE77" s="239">
        <v>-5000</v>
      </c>
      <c r="AF77" s="239">
        <v>-499963</v>
      </c>
      <c r="AG77" s="239">
        <v>-258000</v>
      </c>
      <c r="AH77" s="239">
        <v>-252840</v>
      </c>
      <c r="AI77" s="239">
        <v>0</v>
      </c>
      <c r="AJ77" s="239">
        <v>-5160</v>
      </c>
      <c r="AK77" s="239">
        <v>-516000</v>
      </c>
      <c r="AL77" s="239">
        <v>362422</v>
      </c>
      <c r="AM77" s="239">
        <v>355174</v>
      </c>
      <c r="AN77" s="239">
        <v>0</v>
      </c>
      <c r="AO77" s="239">
        <v>7248</v>
      </c>
      <c r="AP77" s="239">
        <v>724844</v>
      </c>
      <c r="AQ77" s="239">
        <v>-281000</v>
      </c>
      <c r="AR77" s="239">
        <v>-275380</v>
      </c>
      <c r="AS77" s="239">
        <v>0</v>
      </c>
      <c r="AT77" s="239">
        <v>-5620</v>
      </c>
      <c r="AU77" s="239">
        <v>-562000</v>
      </c>
      <c r="AV77" s="239">
        <v>-176578</v>
      </c>
      <c r="AW77" s="239">
        <v>-173046</v>
      </c>
      <c r="AX77" s="239">
        <v>0</v>
      </c>
      <c r="AY77" s="239">
        <v>-3532</v>
      </c>
      <c r="AZ77" s="239">
        <v>-353156</v>
      </c>
      <c r="BA77" s="239">
        <v>-324918</v>
      </c>
      <c r="BB77" s="239">
        <v>-318419</v>
      </c>
      <c r="BC77" s="239">
        <v>0</v>
      </c>
      <c r="BD77" s="239">
        <v>-6499</v>
      </c>
      <c r="BE77" s="239">
        <v>-649836</v>
      </c>
      <c r="BF77" s="239">
        <v>129351</v>
      </c>
      <c r="BG77" s="239">
        <v>126764</v>
      </c>
      <c r="BH77" s="239">
        <v>0</v>
      </c>
      <c r="BI77" s="239">
        <v>2587</v>
      </c>
      <c r="BJ77" s="239">
        <v>258702</v>
      </c>
      <c r="BK77" s="239">
        <v>-175896</v>
      </c>
      <c r="BL77" s="239">
        <v>-172378</v>
      </c>
      <c r="BM77" s="239">
        <v>0</v>
      </c>
      <c r="BN77" s="239">
        <v>-3518</v>
      </c>
      <c r="BO77" s="239">
        <v>-351792</v>
      </c>
      <c r="BP77" s="239">
        <v>-371463</v>
      </c>
      <c r="BQ77" s="239">
        <v>-364033</v>
      </c>
      <c r="BR77" s="239">
        <v>0</v>
      </c>
      <c r="BS77" s="239">
        <v>-7430</v>
      </c>
      <c r="BT77" s="239">
        <v>-742926</v>
      </c>
      <c r="BU77" s="239">
        <v>-1169306</v>
      </c>
      <c r="BV77" s="239">
        <v>-1145920</v>
      </c>
      <c r="BW77" s="239">
        <v>0</v>
      </c>
      <c r="BX77" s="239">
        <v>-23386</v>
      </c>
      <c r="BY77" s="239">
        <v>-2338612</v>
      </c>
      <c r="BZ77" s="239">
        <v>-1059499</v>
      </c>
      <c r="CA77" s="239">
        <v>-1038309</v>
      </c>
      <c r="CB77" s="239">
        <v>0</v>
      </c>
      <c r="CC77" s="239">
        <v>-21190</v>
      </c>
      <c r="CD77" s="239">
        <v>-2118998</v>
      </c>
      <c r="CE77" s="239">
        <v>-109807</v>
      </c>
      <c r="CF77" s="239">
        <v>-107611</v>
      </c>
      <c r="CG77" s="239">
        <v>0</v>
      </c>
      <c r="CH77" s="239">
        <v>-2196</v>
      </c>
      <c r="CI77" s="239">
        <v>-219614</v>
      </c>
      <c r="CJ77" s="239">
        <v>17576233</v>
      </c>
      <c r="CK77" s="239">
        <v>17224708</v>
      </c>
      <c r="CL77" s="239">
        <v>0</v>
      </c>
      <c r="CM77" s="239">
        <v>351525</v>
      </c>
      <c r="CN77" s="239">
        <v>35152466</v>
      </c>
      <c r="CO77" s="239">
        <v>16139916</v>
      </c>
      <c r="CP77" s="239">
        <v>15817117</v>
      </c>
      <c r="CQ77" s="239">
        <v>0</v>
      </c>
      <c r="CR77" s="239">
        <v>322798</v>
      </c>
      <c r="CS77" s="239">
        <v>32279831</v>
      </c>
      <c r="CT77" s="239">
        <v>-1436317</v>
      </c>
      <c r="CU77" s="239">
        <v>-1407591</v>
      </c>
      <c r="CV77" s="239">
        <v>0</v>
      </c>
      <c r="CW77" s="239">
        <v>-28727</v>
      </c>
      <c r="CX77" s="239">
        <v>-2872635</v>
      </c>
      <c r="CY77" s="239">
        <v>-1546124</v>
      </c>
      <c r="CZ77" s="239">
        <v>-1515202</v>
      </c>
      <c r="DA77" s="239">
        <v>0</v>
      </c>
      <c r="DB77" s="239">
        <v>-30923</v>
      </c>
      <c r="DC77" s="239">
        <v>-3092249</v>
      </c>
      <c r="DD77" s="214">
        <v>0.5</v>
      </c>
      <c r="DE77" s="214">
        <v>0.49</v>
      </c>
      <c r="DF77" s="214">
        <v>0</v>
      </c>
      <c r="DG77" s="214">
        <v>0.01</v>
      </c>
      <c r="DH77" s="214">
        <v>1</v>
      </c>
      <c r="DI77" s="214" t="s">
        <v>748</v>
      </c>
    </row>
    <row r="78" spans="1:113" s="214" customFormat="1" x14ac:dyDescent="0.2">
      <c r="B78" s="610" t="s">
        <v>239</v>
      </c>
      <c r="C78" s="610" t="s">
        <v>238</v>
      </c>
      <c r="D78" s="239">
        <v>42346393</v>
      </c>
      <c r="E78" s="239">
        <v>33877115</v>
      </c>
      <c r="F78" s="239">
        <v>7622351</v>
      </c>
      <c r="G78" s="239">
        <v>846928</v>
      </c>
      <c r="H78" s="239">
        <v>84692787</v>
      </c>
      <c r="I78" s="239">
        <v>0</v>
      </c>
      <c r="J78" s="239">
        <v>0</v>
      </c>
      <c r="K78" s="239">
        <v>42346393</v>
      </c>
      <c r="L78" s="239">
        <v>175686</v>
      </c>
      <c r="M78" s="239">
        <v>175686</v>
      </c>
      <c r="N78" s="239">
        <v>0</v>
      </c>
      <c r="O78" s="239">
        <v>0</v>
      </c>
      <c r="P78" s="239">
        <v>0</v>
      </c>
      <c r="Q78" s="239">
        <v>0</v>
      </c>
      <c r="R78" s="239">
        <v>0</v>
      </c>
      <c r="S78" s="239">
        <v>0</v>
      </c>
      <c r="T78" s="239">
        <v>0</v>
      </c>
      <c r="U78" s="239">
        <v>0</v>
      </c>
      <c r="V78" s="239">
        <v>0</v>
      </c>
      <c r="W78" s="239">
        <v>841345</v>
      </c>
      <c r="X78" s="239">
        <v>673076</v>
      </c>
      <c r="Y78" s="239">
        <v>151442</v>
      </c>
      <c r="Z78" s="239">
        <v>16827</v>
      </c>
      <c r="AA78" s="239">
        <v>1682690</v>
      </c>
      <c r="AB78" s="239">
        <v>-1193359</v>
      </c>
      <c r="AC78" s="239">
        <v>-954687</v>
      </c>
      <c r="AD78" s="239">
        <v>-214805</v>
      </c>
      <c r="AE78" s="239">
        <v>-23867</v>
      </c>
      <c r="AF78" s="239">
        <v>-2386718</v>
      </c>
      <c r="AG78" s="239">
        <v>-932102</v>
      </c>
      <c r="AH78" s="239">
        <v>-745683</v>
      </c>
      <c r="AI78" s="239">
        <v>-167779</v>
      </c>
      <c r="AJ78" s="239">
        <v>-18642</v>
      </c>
      <c r="AK78" s="239">
        <v>-1864206</v>
      </c>
      <c r="AL78" s="239">
        <v>446524</v>
      </c>
      <c r="AM78" s="239">
        <v>357218</v>
      </c>
      <c r="AN78" s="239">
        <v>80374</v>
      </c>
      <c r="AO78" s="239">
        <v>8930</v>
      </c>
      <c r="AP78" s="239">
        <v>893046</v>
      </c>
      <c r="AQ78" s="239">
        <v>-193604</v>
      </c>
      <c r="AR78" s="239">
        <v>-154883</v>
      </c>
      <c r="AS78" s="239">
        <v>-34849</v>
      </c>
      <c r="AT78" s="239">
        <v>-3872</v>
      </c>
      <c r="AU78" s="239">
        <v>-387208</v>
      </c>
      <c r="AV78" s="239">
        <v>-679182</v>
      </c>
      <c r="AW78" s="239">
        <v>-543348</v>
      </c>
      <c r="AX78" s="239">
        <v>-122254</v>
      </c>
      <c r="AY78" s="239">
        <v>-13584</v>
      </c>
      <c r="AZ78" s="239">
        <v>-1358368</v>
      </c>
      <c r="BA78" s="239">
        <v>-4935922</v>
      </c>
      <c r="BB78" s="239">
        <v>-3948737</v>
      </c>
      <c r="BC78" s="239">
        <v>-888466</v>
      </c>
      <c r="BD78" s="239">
        <v>-98718</v>
      </c>
      <c r="BE78" s="239">
        <v>-9871843</v>
      </c>
      <c r="BF78" s="239">
        <v>1160441</v>
      </c>
      <c r="BG78" s="239">
        <v>928352</v>
      </c>
      <c r="BH78" s="239">
        <v>208879</v>
      </c>
      <c r="BI78" s="239">
        <v>23209</v>
      </c>
      <c r="BJ78" s="239">
        <v>2320881</v>
      </c>
      <c r="BK78" s="239">
        <v>-2281441</v>
      </c>
      <c r="BL78" s="239">
        <v>-1825152</v>
      </c>
      <c r="BM78" s="239">
        <v>-410659</v>
      </c>
      <c r="BN78" s="239">
        <v>-45629</v>
      </c>
      <c r="BO78" s="239">
        <v>-4562881</v>
      </c>
      <c r="BP78" s="239">
        <v>-6056922</v>
      </c>
      <c r="BQ78" s="239">
        <v>-4845537</v>
      </c>
      <c r="BR78" s="239">
        <v>-1090246</v>
      </c>
      <c r="BS78" s="239">
        <v>-121138</v>
      </c>
      <c r="BT78" s="239">
        <v>-12113843</v>
      </c>
      <c r="BU78" s="239">
        <v>1644884</v>
      </c>
      <c r="BV78" s="239">
        <v>1315908</v>
      </c>
      <c r="BW78" s="239">
        <v>296079</v>
      </c>
      <c r="BX78" s="239">
        <v>32898</v>
      </c>
      <c r="BY78" s="239">
        <v>3289769</v>
      </c>
      <c r="BZ78" s="239">
        <v>3016813</v>
      </c>
      <c r="CA78" s="239">
        <v>2413450</v>
      </c>
      <c r="CB78" s="239">
        <v>543026</v>
      </c>
      <c r="CC78" s="239">
        <v>60336</v>
      </c>
      <c r="CD78" s="239">
        <v>6033625</v>
      </c>
      <c r="CE78" s="239">
        <v>-1371929</v>
      </c>
      <c r="CF78" s="239">
        <v>-1097542</v>
      </c>
      <c r="CG78" s="239">
        <v>-246947</v>
      </c>
      <c r="CH78" s="239">
        <v>-27438</v>
      </c>
      <c r="CI78" s="239">
        <v>-2743856</v>
      </c>
      <c r="CJ78" s="239">
        <v>42400336</v>
      </c>
      <c r="CK78" s="239">
        <v>33920269</v>
      </c>
      <c r="CL78" s="239">
        <v>7632060</v>
      </c>
      <c r="CM78" s="239">
        <v>848007</v>
      </c>
      <c r="CN78" s="239">
        <v>84800672</v>
      </c>
      <c r="CO78" s="239">
        <v>42346393</v>
      </c>
      <c r="CP78" s="239">
        <v>33877115</v>
      </c>
      <c r="CQ78" s="239">
        <v>7622351</v>
      </c>
      <c r="CR78" s="239">
        <v>846928</v>
      </c>
      <c r="CS78" s="239">
        <v>84692787</v>
      </c>
      <c r="CT78" s="239">
        <v>-53943</v>
      </c>
      <c r="CU78" s="239">
        <v>-43154</v>
      </c>
      <c r="CV78" s="239">
        <v>-9709</v>
      </c>
      <c r="CW78" s="239">
        <v>-1079</v>
      </c>
      <c r="CX78" s="239">
        <v>-107885</v>
      </c>
      <c r="CY78" s="239">
        <v>-1425872</v>
      </c>
      <c r="CZ78" s="239">
        <v>-1140696</v>
      </c>
      <c r="DA78" s="239">
        <v>-256656</v>
      </c>
      <c r="DB78" s="239">
        <v>-28517</v>
      </c>
      <c r="DC78" s="239">
        <v>-2851741</v>
      </c>
      <c r="DD78" s="214">
        <v>0.5</v>
      </c>
      <c r="DE78" s="214">
        <v>0.4</v>
      </c>
      <c r="DF78" s="214">
        <v>0.09</v>
      </c>
      <c r="DG78" s="214">
        <v>0.01</v>
      </c>
      <c r="DH78" s="214">
        <v>1</v>
      </c>
      <c r="DI78" s="214" t="s">
        <v>1294</v>
      </c>
    </row>
    <row r="79" spans="1:113" s="214" customFormat="1" x14ac:dyDescent="0.2">
      <c r="B79" s="610" t="s">
        <v>241</v>
      </c>
      <c r="C79" s="610" t="s">
        <v>240</v>
      </c>
      <c r="D79" s="239">
        <v>21935164</v>
      </c>
      <c r="E79" s="239">
        <v>17548132</v>
      </c>
      <c r="F79" s="239">
        <v>4387033</v>
      </c>
      <c r="G79" s="239">
        <v>0</v>
      </c>
      <c r="H79" s="239">
        <v>43870329</v>
      </c>
      <c r="I79" s="239">
        <v>0</v>
      </c>
      <c r="J79" s="239">
        <v>0</v>
      </c>
      <c r="K79" s="239">
        <v>21935164</v>
      </c>
      <c r="L79" s="239">
        <v>116858</v>
      </c>
      <c r="M79" s="239">
        <v>116858</v>
      </c>
      <c r="N79" s="239">
        <v>0</v>
      </c>
      <c r="O79" s="239">
        <v>0</v>
      </c>
      <c r="P79" s="239">
        <v>391159</v>
      </c>
      <c r="Q79" s="239">
        <v>0</v>
      </c>
      <c r="R79" s="239">
        <v>391159</v>
      </c>
      <c r="S79" s="239">
        <v>0</v>
      </c>
      <c r="T79" s="239">
        <v>0</v>
      </c>
      <c r="U79" s="239">
        <v>0</v>
      </c>
      <c r="V79" s="239">
        <v>0</v>
      </c>
      <c r="W79" s="239">
        <v>164292</v>
      </c>
      <c r="X79" s="239">
        <v>131434</v>
      </c>
      <c r="Y79" s="239">
        <v>32859</v>
      </c>
      <c r="Z79" s="239">
        <v>0</v>
      </c>
      <c r="AA79" s="239">
        <v>328585</v>
      </c>
      <c r="AB79" s="239">
        <v>-50622</v>
      </c>
      <c r="AC79" s="239">
        <v>-40498</v>
      </c>
      <c r="AD79" s="239">
        <v>-10124</v>
      </c>
      <c r="AE79" s="239">
        <v>0</v>
      </c>
      <c r="AF79" s="239">
        <v>-101244</v>
      </c>
      <c r="AG79" s="239">
        <v>-124970</v>
      </c>
      <c r="AH79" s="239">
        <v>-99977</v>
      </c>
      <c r="AI79" s="239">
        <v>-24995</v>
      </c>
      <c r="AJ79" s="239">
        <v>0</v>
      </c>
      <c r="AK79" s="239">
        <v>-249942</v>
      </c>
      <c r="AL79" s="239">
        <v>28323</v>
      </c>
      <c r="AM79" s="239">
        <v>22659</v>
      </c>
      <c r="AN79" s="239">
        <v>5665</v>
      </c>
      <c r="AO79" s="239">
        <v>0</v>
      </c>
      <c r="AP79" s="239">
        <v>56647</v>
      </c>
      <c r="AQ79" s="239">
        <v>-5819</v>
      </c>
      <c r="AR79" s="239">
        <v>-4656</v>
      </c>
      <c r="AS79" s="239">
        <v>-1164</v>
      </c>
      <c r="AT79" s="239">
        <v>0</v>
      </c>
      <c r="AU79" s="239">
        <v>-11639</v>
      </c>
      <c r="AV79" s="239">
        <v>-102466</v>
      </c>
      <c r="AW79" s="239">
        <v>-81974</v>
      </c>
      <c r="AX79" s="239">
        <v>-20494</v>
      </c>
      <c r="AY79" s="239">
        <v>0</v>
      </c>
      <c r="AZ79" s="239">
        <v>-204934</v>
      </c>
      <c r="BA79" s="239">
        <v>-2521365</v>
      </c>
      <c r="BB79" s="239">
        <v>-2017092</v>
      </c>
      <c r="BC79" s="239">
        <v>-504272</v>
      </c>
      <c r="BD79" s="239">
        <v>0</v>
      </c>
      <c r="BE79" s="239">
        <v>-5042729</v>
      </c>
      <c r="BF79" s="239">
        <v>288682</v>
      </c>
      <c r="BG79" s="239">
        <v>230946</v>
      </c>
      <c r="BH79" s="239">
        <v>57737</v>
      </c>
      <c r="BI79" s="239">
        <v>0</v>
      </c>
      <c r="BJ79" s="239">
        <v>577365</v>
      </c>
      <c r="BK79" s="239">
        <v>115434</v>
      </c>
      <c r="BL79" s="239">
        <v>92348</v>
      </c>
      <c r="BM79" s="239">
        <v>23087</v>
      </c>
      <c r="BN79" s="239">
        <v>0</v>
      </c>
      <c r="BO79" s="239">
        <v>230869</v>
      </c>
      <c r="BP79" s="239">
        <v>-2117249</v>
      </c>
      <c r="BQ79" s="239">
        <v>-1693798</v>
      </c>
      <c r="BR79" s="239">
        <v>-423448</v>
      </c>
      <c r="BS79" s="239">
        <v>0</v>
      </c>
      <c r="BT79" s="239">
        <v>-4234495</v>
      </c>
      <c r="BU79" s="239">
        <v>-2005526</v>
      </c>
      <c r="BV79" s="239">
        <v>-1604420</v>
      </c>
      <c r="BW79" s="239">
        <v>-401105</v>
      </c>
      <c r="BX79" s="239">
        <v>0</v>
      </c>
      <c r="BY79" s="239">
        <v>-4011051</v>
      </c>
      <c r="BZ79" s="239">
        <v>-1068269</v>
      </c>
      <c r="CA79" s="239">
        <v>-854615</v>
      </c>
      <c r="CB79" s="239">
        <v>-213654</v>
      </c>
      <c r="CC79" s="239">
        <v>0</v>
      </c>
      <c r="CD79" s="239">
        <v>-2136538</v>
      </c>
      <c r="CE79" s="239">
        <v>-937257</v>
      </c>
      <c r="CF79" s="239">
        <v>-749805</v>
      </c>
      <c r="CG79" s="239">
        <v>-187451</v>
      </c>
      <c r="CH79" s="239">
        <v>0</v>
      </c>
      <c r="CI79" s="239">
        <v>-1874513</v>
      </c>
      <c r="CJ79" s="239">
        <v>20377613</v>
      </c>
      <c r="CK79" s="239">
        <v>16302090</v>
      </c>
      <c r="CL79" s="239">
        <v>4075523</v>
      </c>
      <c r="CM79" s="239">
        <v>0</v>
      </c>
      <c r="CN79" s="239">
        <v>40755226</v>
      </c>
      <c r="CO79" s="239">
        <v>21935164</v>
      </c>
      <c r="CP79" s="239">
        <v>17548132</v>
      </c>
      <c r="CQ79" s="239">
        <v>4387033</v>
      </c>
      <c r="CR79" s="239">
        <v>0</v>
      </c>
      <c r="CS79" s="239">
        <v>43870329</v>
      </c>
      <c r="CT79" s="239">
        <v>1557551</v>
      </c>
      <c r="CU79" s="239">
        <v>1246042</v>
      </c>
      <c r="CV79" s="239">
        <v>311510</v>
      </c>
      <c r="CW79" s="239">
        <v>0</v>
      </c>
      <c r="CX79" s="239">
        <v>3115103</v>
      </c>
      <c r="CY79" s="239">
        <v>620294</v>
      </c>
      <c r="CZ79" s="239">
        <v>496237</v>
      </c>
      <c r="DA79" s="239">
        <v>124059</v>
      </c>
      <c r="DB79" s="239">
        <v>0</v>
      </c>
      <c r="DC79" s="239">
        <v>1240590</v>
      </c>
      <c r="DD79" s="214">
        <v>0.5</v>
      </c>
      <c r="DE79" s="214">
        <v>0.4</v>
      </c>
      <c r="DF79" s="214">
        <v>0.1</v>
      </c>
      <c r="DG79" s="214">
        <v>0</v>
      </c>
      <c r="DH79" s="214">
        <v>1</v>
      </c>
      <c r="DI79" s="214" t="s">
        <v>1294</v>
      </c>
    </row>
    <row r="80" spans="1:113" s="214" customFormat="1" x14ac:dyDescent="0.2">
      <c r="B80" s="610" t="s">
        <v>243</v>
      </c>
      <c r="C80" s="610" t="s">
        <v>242</v>
      </c>
      <c r="D80" s="239">
        <v>43231241</v>
      </c>
      <c r="E80" s="239">
        <v>42366617</v>
      </c>
      <c r="F80" s="239">
        <v>0</v>
      </c>
      <c r="G80" s="239">
        <v>864625</v>
      </c>
      <c r="H80" s="239">
        <v>86462483</v>
      </c>
      <c r="I80" s="239">
        <v>0</v>
      </c>
      <c r="J80" s="239">
        <v>0</v>
      </c>
      <c r="K80" s="239">
        <v>43231241</v>
      </c>
      <c r="L80" s="239">
        <v>314969</v>
      </c>
      <c r="M80" s="239">
        <v>314969</v>
      </c>
      <c r="N80" s="239">
        <v>0</v>
      </c>
      <c r="O80" s="239">
        <v>0</v>
      </c>
      <c r="P80" s="239">
        <v>724710</v>
      </c>
      <c r="Q80" s="239">
        <v>0</v>
      </c>
      <c r="R80" s="239">
        <v>724710</v>
      </c>
      <c r="S80" s="239">
        <v>0</v>
      </c>
      <c r="T80" s="239">
        <v>0</v>
      </c>
      <c r="U80" s="239">
        <v>0</v>
      </c>
      <c r="V80" s="239">
        <v>0</v>
      </c>
      <c r="W80" s="239">
        <v>3003025</v>
      </c>
      <c r="X80" s="239">
        <v>2942964</v>
      </c>
      <c r="Y80" s="239">
        <v>0</v>
      </c>
      <c r="Z80" s="239">
        <v>60060</v>
      </c>
      <c r="AA80" s="239">
        <v>6006049</v>
      </c>
      <c r="AB80" s="239">
        <v>-176293</v>
      </c>
      <c r="AC80" s="239">
        <v>-172768</v>
      </c>
      <c r="AD80" s="239">
        <v>0</v>
      </c>
      <c r="AE80" s="239">
        <v>-3526</v>
      </c>
      <c r="AF80" s="239">
        <v>-352587</v>
      </c>
      <c r="AG80" s="239">
        <v>-1500465</v>
      </c>
      <c r="AH80" s="239">
        <v>-1470456</v>
      </c>
      <c r="AI80" s="239">
        <v>0</v>
      </c>
      <c r="AJ80" s="239">
        <v>-30010</v>
      </c>
      <c r="AK80" s="239">
        <v>-3000931</v>
      </c>
      <c r="AL80" s="239">
        <v>131329</v>
      </c>
      <c r="AM80" s="239">
        <v>128703</v>
      </c>
      <c r="AN80" s="239">
        <v>0</v>
      </c>
      <c r="AO80" s="239">
        <v>2627</v>
      </c>
      <c r="AP80" s="239">
        <v>262659</v>
      </c>
      <c r="AQ80" s="239">
        <v>-526741</v>
      </c>
      <c r="AR80" s="239">
        <v>-516206</v>
      </c>
      <c r="AS80" s="239">
        <v>0</v>
      </c>
      <c r="AT80" s="239">
        <v>-10535</v>
      </c>
      <c r="AU80" s="239">
        <v>-1053482</v>
      </c>
      <c r="AV80" s="239">
        <v>-1895877</v>
      </c>
      <c r="AW80" s="239">
        <v>-1857959</v>
      </c>
      <c r="AX80" s="239">
        <v>0</v>
      </c>
      <c r="AY80" s="239">
        <v>-37918</v>
      </c>
      <c r="AZ80" s="239">
        <v>-3791754</v>
      </c>
      <c r="BA80" s="239">
        <v>-3601467</v>
      </c>
      <c r="BB80" s="239">
        <v>-3529437</v>
      </c>
      <c r="BC80" s="239">
        <v>0</v>
      </c>
      <c r="BD80" s="239">
        <v>-72030</v>
      </c>
      <c r="BE80" s="239">
        <v>-7202934</v>
      </c>
      <c r="BF80" s="239">
        <v>678557</v>
      </c>
      <c r="BG80" s="239">
        <v>664986</v>
      </c>
      <c r="BH80" s="239">
        <v>0</v>
      </c>
      <c r="BI80" s="239">
        <v>13571</v>
      </c>
      <c r="BJ80" s="239">
        <v>1357114</v>
      </c>
      <c r="BK80" s="239">
        <v>-1082742</v>
      </c>
      <c r="BL80" s="239">
        <v>-1061087</v>
      </c>
      <c r="BM80" s="239">
        <v>0</v>
      </c>
      <c r="BN80" s="239">
        <v>-21655</v>
      </c>
      <c r="BO80" s="239">
        <v>-2165484</v>
      </c>
      <c r="BP80" s="239">
        <v>-4005652</v>
      </c>
      <c r="BQ80" s="239">
        <v>-3925538</v>
      </c>
      <c r="BR80" s="239">
        <v>0</v>
      </c>
      <c r="BS80" s="239">
        <v>-80114</v>
      </c>
      <c r="BT80" s="239">
        <v>-8011304</v>
      </c>
      <c r="BU80" s="239">
        <v>1691000</v>
      </c>
      <c r="BV80" s="239">
        <v>1657180</v>
      </c>
      <c r="BW80" s="239">
        <v>0</v>
      </c>
      <c r="BX80" s="239">
        <v>33820</v>
      </c>
      <c r="BY80" s="239">
        <v>3382000</v>
      </c>
      <c r="BZ80" s="239">
        <v>3016820</v>
      </c>
      <c r="CA80" s="239">
        <v>2956484</v>
      </c>
      <c r="CB80" s="239">
        <v>0</v>
      </c>
      <c r="CC80" s="239">
        <v>60336</v>
      </c>
      <c r="CD80" s="239">
        <v>6033640</v>
      </c>
      <c r="CE80" s="239">
        <v>-1325820</v>
      </c>
      <c r="CF80" s="239">
        <v>-1299304</v>
      </c>
      <c r="CG80" s="239">
        <v>0</v>
      </c>
      <c r="CH80" s="239">
        <v>-26516</v>
      </c>
      <c r="CI80" s="239">
        <v>-2651640</v>
      </c>
      <c r="CJ80" s="239">
        <v>43040366</v>
      </c>
      <c r="CK80" s="239">
        <v>42179558</v>
      </c>
      <c r="CL80" s="239">
        <v>0</v>
      </c>
      <c r="CM80" s="239">
        <v>860807</v>
      </c>
      <c r="CN80" s="239">
        <v>86080731</v>
      </c>
      <c r="CO80" s="239">
        <v>43231241</v>
      </c>
      <c r="CP80" s="239">
        <v>42366617</v>
      </c>
      <c r="CQ80" s="239">
        <v>0</v>
      </c>
      <c r="CR80" s="239">
        <v>864625</v>
      </c>
      <c r="CS80" s="239">
        <v>86462483</v>
      </c>
      <c r="CT80" s="239">
        <v>190875</v>
      </c>
      <c r="CU80" s="239">
        <v>187059</v>
      </c>
      <c r="CV80" s="239">
        <v>0</v>
      </c>
      <c r="CW80" s="239">
        <v>3818</v>
      </c>
      <c r="CX80" s="239">
        <v>381752</v>
      </c>
      <c r="CY80" s="239">
        <v>-1134945</v>
      </c>
      <c r="CZ80" s="239">
        <v>-1112245</v>
      </c>
      <c r="DA80" s="239">
        <v>0</v>
      </c>
      <c r="DB80" s="239">
        <v>-22698</v>
      </c>
      <c r="DC80" s="239">
        <v>-2269888</v>
      </c>
      <c r="DD80" s="214">
        <v>0.5</v>
      </c>
      <c r="DE80" s="214">
        <v>0.49</v>
      </c>
      <c r="DF80" s="214">
        <v>0</v>
      </c>
      <c r="DG80" s="214">
        <v>0.01</v>
      </c>
      <c r="DH80" s="214">
        <v>1</v>
      </c>
      <c r="DI80" s="214" t="s">
        <v>748</v>
      </c>
    </row>
    <row r="81" spans="2:113" s="214" customFormat="1" x14ac:dyDescent="0.2">
      <c r="B81" s="610" t="s">
        <v>245</v>
      </c>
      <c r="C81" s="610" t="s">
        <v>244</v>
      </c>
      <c r="D81" s="239">
        <v>8339875</v>
      </c>
      <c r="E81" s="239">
        <v>6671899</v>
      </c>
      <c r="F81" s="239">
        <v>1501177</v>
      </c>
      <c r="G81" s="239">
        <v>166797</v>
      </c>
      <c r="H81" s="239">
        <v>16679748</v>
      </c>
      <c r="I81" s="239">
        <v>0</v>
      </c>
      <c r="J81" s="239">
        <v>0</v>
      </c>
      <c r="K81" s="239">
        <v>8339875</v>
      </c>
      <c r="L81" s="239">
        <v>146857</v>
      </c>
      <c r="M81" s="239">
        <v>146857</v>
      </c>
      <c r="N81" s="239">
        <v>0</v>
      </c>
      <c r="O81" s="239">
        <v>0</v>
      </c>
      <c r="P81" s="239">
        <v>140998</v>
      </c>
      <c r="Q81" s="239">
        <v>0</v>
      </c>
      <c r="R81" s="239">
        <v>140998</v>
      </c>
      <c r="S81" s="239">
        <v>0</v>
      </c>
      <c r="T81" s="239">
        <v>0</v>
      </c>
      <c r="U81" s="239">
        <v>0</v>
      </c>
      <c r="V81" s="239">
        <v>0</v>
      </c>
      <c r="W81" s="239">
        <v>582213</v>
      </c>
      <c r="X81" s="239">
        <v>465770</v>
      </c>
      <c r="Y81" s="239">
        <v>104798</v>
      </c>
      <c r="Z81" s="239">
        <v>11644</v>
      </c>
      <c r="AA81" s="239">
        <v>1164425</v>
      </c>
      <c r="AB81" s="239">
        <v>-130446</v>
      </c>
      <c r="AC81" s="239">
        <v>-104357</v>
      </c>
      <c r="AD81" s="239">
        <v>-23480</v>
      </c>
      <c r="AE81" s="239">
        <v>-2609</v>
      </c>
      <c r="AF81" s="239">
        <v>-260892</v>
      </c>
      <c r="AG81" s="239">
        <v>-114000</v>
      </c>
      <c r="AH81" s="239">
        <v>-91200</v>
      </c>
      <c r="AI81" s="239">
        <v>-20520</v>
      </c>
      <c r="AJ81" s="239">
        <v>-2280</v>
      </c>
      <c r="AK81" s="239">
        <v>-228000</v>
      </c>
      <c r="AL81" s="239">
        <v>82597</v>
      </c>
      <c r="AM81" s="239">
        <v>66078</v>
      </c>
      <c r="AN81" s="239">
        <v>14868</v>
      </c>
      <c r="AO81" s="239">
        <v>1652</v>
      </c>
      <c r="AP81" s="239">
        <v>165195</v>
      </c>
      <c r="AQ81" s="239">
        <v>-101097</v>
      </c>
      <c r="AR81" s="239">
        <v>-80878</v>
      </c>
      <c r="AS81" s="239">
        <v>-18198</v>
      </c>
      <c r="AT81" s="239">
        <v>-2022</v>
      </c>
      <c r="AU81" s="239">
        <v>-202195</v>
      </c>
      <c r="AV81" s="239">
        <v>-132500</v>
      </c>
      <c r="AW81" s="239">
        <v>-106000</v>
      </c>
      <c r="AX81" s="239">
        <v>-23850</v>
      </c>
      <c r="AY81" s="239">
        <v>-2650</v>
      </c>
      <c r="AZ81" s="239">
        <v>-265000</v>
      </c>
      <c r="BA81" s="239">
        <v>-297685</v>
      </c>
      <c r="BB81" s="239">
        <v>-238149</v>
      </c>
      <c r="BC81" s="239">
        <v>-53583</v>
      </c>
      <c r="BD81" s="239">
        <v>-5954</v>
      </c>
      <c r="BE81" s="239">
        <v>-595371</v>
      </c>
      <c r="BF81" s="239">
        <v>35591</v>
      </c>
      <c r="BG81" s="239">
        <v>28474</v>
      </c>
      <c r="BH81" s="239">
        <v>6407</v>
      </c>
      <c r="BI81" s="239">
        <v>712</v>
      </c>
      <c r="BJ81" s="239">
        <v>71184</v>
      </c>
      <c r="BK81" s="239">
        <v>-41489</v>
      </c>
      <c r="BL81" s="239">
        <v>-33191</v>
      </c>
      <c r="BM81" s="239">
        <v>-7468</v>
      </c>
      <c r="BN81" s="239">
        <v>-830</v>
      </c>
      <c r="BO81" s="239">
        <v>-82978</v>
      </c>
      <c r="BP81" s="239">
        <v>-303583</v>
      </c>
      <c r="BQ81" s="239">
        <v>-242866</v>
      </c>
      <c r="BR81" s="239">
        <v>-54644</v>
      </c>
      <c r="BS81" s="239">
        <v>-6072</v>
      </c>
      <c r="BT81" s="239">
        <v>-607165</v>
      </c>
      <c r="BU81" s="239">
        <v>106866</v>
      </c>
      <c r="BV81" s="239">
        <v>85492</v>
      </c>
      <c r="BW81" s="239">
        <v>19236</v>
      </c>
      <c r="BX81" s="239">
        <v>2137</v>
      </c>
      <c r="BY81" s="239">
        <v>213731</v>
      </c>
      <c r="BZ81" s="239">
        <v>338770</v>
      </c>
      <c r="CA81" s="239">
        <v>271016</v>
      </c>
      <c r="CB81" s="239">
        <v>60979</v>
      </c>
      <c r="CC81" s="239">
        <v>6775</v>
      </c>
      <c r="CD81" s="239">
        <v>677540</v>
      </c>
      <c r="CE81" s="239">
        <v>-231904</v>
      </c>
      <c r="CF81" s="239">
        <v>-185524</v>
      </c>
      <c r="CG81" s="239">
        <v>-41743</v>
      </c>
      <c r="CH81" s="239">
        <v>-4638</v>
      </c>
      <c r="CI81" s="239">
        <v>-463809</v>
      </c>
      <c r="CJ81" s="239">
        <v>8502884</v>
      </c>
      <c r="CK81" s="239">
        <v>6802307</v>
      </c>
      <c r="CL81" s="239">
        <v>1530519</v>
      </c>
      <c r="CM81" s="239">
        <v>170058</v>
      </c>
      <c r="CN81" s="239">
        <v>17005768</v>
      </c>
      <c r="CO81" s="239">
        <v>8339875</v>
      </c>
      <c r="CP81" s="239">
        <v>6671899</v>
      </c>
      <c r="CQ81" s="239">
        <v>1501177</v>
      </c>
      <c r="CR81" s="239">
        <v>166797</v>
      </c>
      <c r="CS81" s="239">
        <v>16679748</v>
      </c>
      <c r="CT81" s="239">
        <v>-163009</v>
      </c>
      <c r="CU81" s="239">
        <v>-130408</v>
      </c>
      <c r="CV81" s="239">
        <v>-29342</v>
      </c>
      <c r="CW81" s="239">
        <v>-3261</v>
      </c>
      <c r="CX81" s="239">
        <v>-326020</v>
      </c>
      <c r="CY81" s="239">
        <v>-394913</v>
      </c>
      <c r="CZ81" s="239">
        <v>-315932</v>
      </c>
      <c r="DA81" s="239">
        <v>-71085</v>
      </c>
      <c r="DB81" s="239">
        <v>-7899</v>
      </c>
      <c r="DC81" s="239">
        <v>-789829</v>
      </c>
      <c r="DD81" s="214">
        <v>0.5</v>
      </c>
      <c r="DE81" s="214">
        <v>0.4</v>
      </c>
      <c r="DF81" s="214">
        <v>0.09</v>
      </c>
      <c r="DG81" s="214">
        <v>0.01</v>
      </c>
      <c r="DH81" s="214">
        <v>1</v>
      </c>
      <c r="DI81" s="214" t="s">
        <v>1294</v>
      </c>
    </row>
    <row r="82" spans="2:113" s="214" customFormat="1" x14ac:dyDescent="0.2">
      <c r="B82" s="610" t="s">
        <v>247</v>
      </c>
      <c r="C82" s="610" t="s">
        <v>246</v>
      </c>
      <c r="D82" s="239">
        <v>47095633</v>
      </c>
      <c r="E82" s="239">
        <v>46153721</v>
      </c>
      <c r="F82" s="239">
        <v>0</v>
      </c>
      <c r="G82" s="239">
        <v>941913</v>
      </c>
      <c r="H82" s="239">
        <v>94191267</v>
      </c>
      <c r="I82" s="239">
        <v>0</v>
      </c>
      <c r="J82" s="239">
        <v>0</v>
      </c>
      <c r="K82" s="239">
        <v>47095633</v>
      </c>
      <c r="L82" s="239">
        <v>374362</v>
      </c>
      <c r="M82" s="239">
        <v>374362</v>
      </c>
      <c r="N82" s="239">
        <v>0</v>
      </c>
      <c r="O82" s="239">
        <v>0</v>
      </c>
      <c r="P82" s="239">
        <v>217866</v>
      </c>
      <c r="Q82" s="239">
        <v>0</v>
      </c>
      <c r="R82" s="239">
        <v>217866</v>
      </c>
      <c r="S82" s="239">
        <v>0</v>
      </c>
      <c r="T82" s="239">
        <v>0</v>
      </c>
      <c r="U82" s="239">
        <v>0</v>
      </c>
      <c r="V82" s="239">
        <v>0</v>
      </c>
      <c r="W82" s="239">
        <v>4926843</v>
      </c>
      <c r="X82" s="239">
        <v>4828307</v>
      </c>
      <c r="Y82" s="239">
        <v>0</v>
      </c>
      <c r="Z82" s="239">
        <v>98537</v>
      </c>
      <c r="AA82" s="239">
        <v>9853687</v>
      </c>
      <c r="AB82" s="239">
        <v>-890976</v>
      </c>
      <c r="AC82" s="239">
        <v>-873156</v>
      </c>
      <c r="AD82" s="239">
        <v>0</v>
      </c>
      <c r="AE82" s="239">
        <v>-17820</v>
      </c>
      <c r="AF82" s="239">
        <v>-1781952</v>
      </c>
      <c r="AG82" s="239">
        <v>-2327172</v>
      </c>
      <c r="AH82" s="239">
        <v>-2280628</v>
      </c>
      <c r="AI82" s="239">
        <v>0</v>
      </c>
      <c r="AJ82" s="239">
        <v>-46543</v>
      </c>
      <c r="AK82" s="239">
        <v>-4654343</v>
      </c>
      <c r="AL82" s="239">
        <v>1197491</v>
      </c>
      <c r="AM82" s="239">
        <v>1173542</v>
      </c>
      <c r="AN82" s="239">
        <v>0</v>
      </c>
      <c r="AO82" s="239">
        <v>23950</v>
      </c>
      <c r="AP82" s="239">
        <v>2394983</v>
      </c>
      <c r="AQ82" s="239">
        <v>-840684</v>
      </c>
      <c r="AR82" s="239">
        <v>-823870</v>
      </c>
      <c r="AS82" s="239">
        <v>0</v>
      </c>
      <c r="AT82" s="239">
        <v>-16814</v>
      </c>
      <c r="AU82" s="239">
        <v>-1681368</v>
      </c>
      <c r="AV82" s="239">
        <v>-1970365</v>
      </c>
      <c r="AW82" s="239">
        <v>-1930956</v>
      </c>
      <c r="AX82" s="239">
        <v>0</v>
      </c>
      <c r="AY82" s="239">
        <v>-39407</v>
      </c>
      <c r="AZ82" s="239">
        <v>-3940728</v>
      </c>
      <c r="BA82" s="239">
        <v>-5036045</v>
      </c>
      <c r="BB82" s="239">
        <v>-4935327</v>
      </c>
      <c r="BC82" s="239">
        <v>0</v>
      </c>
      <c r="BD82" s="239">
        <v>-100722</v>
      </c>
      <c r="BE82" s="239">
        <v>-10072094</v>
      </c>
      <c r="BF82" s="239">
        <v>787137</v>
      </c>
      <c r="BG82" s="239">
        <v>771394</v>
      </c>
      <c r="BH82" s="239">
        <v>0</v>
      </c>
      <c r="BI82" s="239">
        <v>15743</v>
      </c>
      <c r="BJ82" s="239">
        <v>1574274</v>
      </c>
      <c r="BK82" s="239">
        <v>-334179</v>
      </c>
      <c r="BL82" s="239">
        <v>-327496</v>
      </c>
      <c r="BM82" s="239">
        <v>0</v>
      </c>
      <c r="BN82" s="239">
        <v>-6684</v>
      </c>
      <c r="BO82" s="239">
        <v>-668359</v>
      </c>
      <c r="BP82" s="239">
        <v>-4583087</v>
      </c>
      <c r="BQ82" s="239">
        <v>-4491429</v>
      </c>
      <c r="BR82" s="239">
        <v>0</v>
      </c>
      <c r="BS82" s="239">
        <v>-91663</v>
      </c>
      <c r="BT82" s="239">
        <v>-9166179</v>
      </c>
      <c r="BU82" s="239">
        <v>-2057162</v>
      </c>
      <c r="BV82" s="239">
        <v>-2016018</v>
      </c>
      <c r="BW82" s="239">
        <v>0</v>
      </c>
      <c r="BX82" s="239">
        <v>-41143</v>
      </c>
      <c r="BY82" s="239">
        <v>-4114323</v>
      </c>
      <c r="BZ82" s="239">
        <v>-1190258</v>
      </c>
      <c r="CA82" s="239">
        <v>-1166453</v>
      </c>
      <c r="CB82" s="239">
        <v>0</v>
      </c>
      <c r="CC82" s="239">
        <v>-23805</v>
      </c>
      <c r="CD82" s="239">
        <v>-2380516</v>
      </c>
      <c r="CE82" s="239">
        <v>-866904</v>
      </c>
      <c r="CF82" s="239">
        <v>-849565</v>
      </c>
      <c r="CG82" s="239">
        <v>0</v>
      </c>
      <c r="CH82" s="239">
        <v>-17338</v>
      </c>
      <c r="CI82" s="239">
        <v>-1733807</v>
      </c>
      <c r="CJ82" s="239">
        <v>46723435</v>
      </c>
      <c r="CK82" s="239">
        <v>45788967</v>
      </c>
      <c r="CL82" s="239">
        <v>0</v>
      </c>
      <c r="CM82" s="239">
        <v>934469</v>
      </c>
      <c r="CN82" s="239">
        <v>93446871</v>
      </c>
      <c r="CO82" s="239">
        <v>47095633</v>
      </c>
      <c r="CP82" s="239">
        <v>46153721</v>
      </c>
      <c r="CQ82" s="239">
        <v>0</v>
      </c>
      <c r="CR82" s="239">
        <v>941913</v>
      </c>
      <c r="CS82" s="239">
        <v>94191267</v>
      </c>
      <c r="CT82" s="239">
        <v>372198</v>
      </c>
      <c r="CU82" s="239">
        <v>364754</v>
      </c>
      <c r="CV82" s="239">
        <v>0</v>
      </c>
      <c r="CW82" s="239">
        <v>7444</v>
      </c>
      <c r="CX82" s="239">
        <v>744396</v>
      </c>
      <c r="CY82" s="239">
        <v>-494706</v>
      </c>
      <c r="CZ82" s="239">
        <v>-484811</v>
      </c>
      <c r="DA82" s="239">
        <v>0</v>
      </c>
      <c r="DB82" s="239">
        <v>-9894</v>
      </c>
      <c r="DC82" s="239">
        <v>-989411</v>
      </c>
      <c r="DD82" s="214">
        <v>0.5</v>
      </c>
      <c r="DE82" s="214">
        <v>0.49</v>
      </c>
      <c r="DF82" s="214">
        <v>0</v>
      </c>
      <c r="DG82" s="214">
        <v>0.01</v>
      </c>
      <c r="DH82" s="214">
        <v>1</v>
      </c>
      <c r="DI82" s="214" t="s">
        <v>1296</v>
      </c>
    </row>
    <row r="83" spans="2:113" s="214" customFormat="1" x14ac:dyDescent="0.2">
      <c r="B83" s="610" t="s">
        <v>249</v>
      </c>
      <c r="C83" s="610" t="s">
        <v>248</v>
      </c>
      <c r="D83" s="239">
        <v>17607678</v>
      </c>
      <c r="E83" s="239">
        <v>14086143</v>
      </c>
      <c r="F83" s="239">
        <v>3169382</v>
      </c>
      <c r="G83" s="239">
        <v>352154</v>
      </c>
      <c r="H83" s="239">
        <v>35215357</v>
      </c>
      <c r="I83" s="239">
        <v>1321410.0739583333</v>
      </c>
      <c r="J83" s="239">
        <v>1321410.0739583333</v>
      </c>
      <c r="K83" s="239">
        <v>16286267.926041666</v>
      </c>
      <c r="L83" s="239">
        <v>156088</v>
      </c>
      <c r="M83" s="239">
        <v>156088</v>
      </c>
      <c r="N83" s="239">
        <v>0</v>
      </c>
      <c r="O83" s="239">
        <v>0</v>
      </c>
      <c r="P83" s="239">
        <v>11593</v>
      </c>
      <c r="Q83" s="239">
        <v>0</v>
      </c>
      <c r="R83" s="239">
        <v>11593</v>
      </c>
      <c r="S83" s="239">
        <v>1057128.0591666668</v>
      </c>
      <c r="T83" s="239">
        <v>237853.81331250002</v>
      </c>
      <c r="U83" s="239">
        <v>26428.20147916667</v>
      </c>
      <c r="V83" s="239">
        <v>1321410.0739583333</v>
      </c>
      <c r="W83" s="239">
        <v>1400257</v>
      </c>
      <c r="X83" s="239">
        <v>1120206</v>
      </c>
      <c r="Y83" s="239">
        <v>252046</v>
      </c>
      <c r="Z83" s="239">
        <v>28005</v>
      </c>
      <c r="AA83" s="239">
        <v>2800514</v>
      </c>
      <c r="AB83" s="239">
        <v>-1546897</v>
      </c>
      <c r="AC83" s="239">
        <v>-1237518</v>
      </c>
      <c r="AD83" s="239">
        <v>-278441</v>
      </c>
      <c r="AE83" s="239">
        <v>-30938</v>
      </c>
      <c r="AF83" s="239">
        <v>-3093794</v>
      </c>
      <c r="AG83" s="239">
        <v>-826392</v>
      </c>
      <c r="AH83" s="239">
        <v>-661115</v>
      </c>
      <c r="AI83" s="239">
        <v>-148751</v>
      </c>
      <c r="AJ83" s="239">
        <v>-16528</v>
      </c>
      <c r="AK83" s="239">
        <v>-1652786</v>
      </c>
      <c r="AL83" s="239">
        <v>168125</v>
      </c>
      <c r="AM83" s="239">
        <v>134499</v>
      </c>
      <c r="AN83" s="239">
        <v>30262</v>
      </c>
      <c r="AO83" s="239">
        <v>3362</v>
      </c>
      <c r="AP83" s="239">
        <v>336248</v>
      </c>
      <c r="AQ83" s="239">
        <v>-320716</v>
      </c>
      <c r="AR83" s="239">
        <v>-256573</v>
      </c>
      <c r="AS83" s="239">
        <v>-57729</v>
      </c>
      <c r="AT83" s="239">
        <v>-6414</v>
      </c>
      <c r="AU83" s="239">
        <v>-641432</v>
      </c>
      <c r="AV83" s="239">
        <v>-978983</v>
      </c>
      <c r="AW83" s="239">
        <v>-783189</v>
      </c>
      <c r="AX83" s="239">
        <v>-176218</v>
      </c>
      <c r="AY83" s="239">
        <v>-19580</v>
      </c>
      <c r="AZ83" s="239">
        <v>-1957970</v>
      </c>
      <c r="BA83" s="239">
        <v>-4044500</v>
      </c>
      <c r="BB83" s="239">
        <v>-3235600</v>
      </c>
      <c r="BC83" s="239">
        <v>-728010</v>
      </c>
      <c r="BD83" s="239">
        <v>-80890</v>
      </c>
      <c r="BE83" s="239">
        <v>-8089000</v>
      </c>
      <c r="BF83" s="239">
        <v>1616500</v>
      </c>
      <c r="BG83" s="239">
        <v>1293200</v>
      </c>
      <c r="BH83" s="239">
        <v>290970</v>
      </c>
      <c r="BI83" s="239">
        <v>32330</v>
      </c>
      <c r="BJ83" s="239">
        <v>3233000</v>
      </c>
      <c r="BK83" s="239">
        <v>1018000</v>
      </c>
      <c r="BL83" s="239">
        <v>814400</v>
      </c>
      <c r="BM83" s="239">
        <v>183240</v>
      </c>
      <c r="BN83" s="239">
        <v>20360</v>
      </c>
      <c r="BO83" s="239">
        <v>2036000</v>
      </c>
      <c r="BP83" s="239">
        <v>-1410000</v>
      </c>
      <c r="BQ83" s="239">
        <v>-1128000</v>
      </c>
      <c r="BR83" s="239">
        <v>-253800</v>
      </c>
      <c r="BS83" s="239">
        <v>-28200</v>
      </c>
      <c r="BT83" s="239">
        <v>-2820000</v>
      </c>
      <c r="BU83" s="239">
        <v>-1763224</v>
      </c>
      <c r="BV83" s="239">
        <v>-1410580</v>
      </c>
      <c r="BW83" s="239">
        <v>-317381</v>
      </c>
      <c r="BX83" s="239">
        <v>-35265</v>
      </c>
      <c r="BY83" s="239">
        <v>-3526450</v>
      </c>
      <c r="BZ83" s="239">
        <v>250393</v>
      </c>
      <c r="CA83" s="239">
        <v>200315</v>
      </c>
      <c r="CB83" s="239">
        <v>45071</v>
      </c>
      <c r="CC83" s="239">
        <v>5008</v>
      </c>
      <c r="CD83" s="239">
        <v>500787</v>
      </c>
      <c r="CE83" s="239">
        <v>-2013617</v>
      </c>
      <c r="CF83" s="239">
        <v>-1610895</v>
      </c>
      <c r="CG83" s="239">
        <v>-362452</v>
      </c>
      <c r="CH83" s="239">
        <v>-40273</v>
      </c>
      <c r="CI83" s="239">
        <v>-4027237</v>
      </c>
      <c r="CJ83" s="239">
        <v>17423810</v>
      </c>
      <c r="CK83" s="239">
        <v>13939048</v>
      </c>
      <c r="CL83" s="239">
        <v>3136286</v>
      </c>
      <c r="CM83" s="239">
        <v>348476</v>
      </c>
      <c r="CN83" s="239">
        <v>34847620</v>
      </c>
      <c r="CO83" s="239">
        <v>17607678</v>
      </c>
      <c r="CP83" s="239">
        <v>14086143</v>
      </c>
      <c r="CQ83" s="239">
        <v>3169382</v>
      </c>
      <c r="CR83" s="239">
        <v>352154</v>
      </c>
      <c r="CS83" s="239">
        <v>35215357</v>
      </c>
      <c r="CT83" s="239">
        <v>183868</v>
      </c>
      <c r="CU83" s="239">
        <v>147095</v>
      </c>
      <c r="CV83" s="239">
        <v>33096</v>
      </c>
      <c r="CW83" s="239">
        <v>3678</v>
      </c>
      <c r="CX83" s="239">
        <v>367737</v>
      </c>
      <c r="CY83" s="239">
        <v>-1829749</v>
      </c>
      <c r="CZ83" s="239">
        <v>-1463800</v>
      </c>
      <c r="DA83" s="239">
        <v>-329356</v>
      </c>
      <c r="DB83" s="239">
        <v>-36595</v>
      </c>
      <c r="DC83" s="239">
        <v>-3659500</v>
      </c>
      <c r="DD83" s="214">
        <v>0.5</v>
      </c>
      <c r="DE83" s="214">
        <v>0.4</v>
      </c>
      <c r="DF83" s="214">
        <v>0.09</v>
      </c>
      <c r="DG83" s="214">
        <v>0.01</v>
      </c>
      <c r="DH83" s="214">
        <v>1</v>
      </c>
      <c r="DI83" s="214" t="s">
        <v>1294</v>
      </c>
    </row>
    <row r="84" spans="2:113" s="214" customFormat="1" x14ac:dyDescent="0.2">
      <c r="B84" s="610" t="s">
        <v>251</v>
      </c>
      <c r="C84" s="610" t="s">
        <v>250</v>
      </c>
      <c r="D84" s="239">
        <v>47669446</v>
      </c>
      <c r="E84" s="239">
        <v>46716058</v>
      </c>
      <c r="F84" s="239">
        <v>0</v>
      </c>
      <c r="G84" s="239">
        <v>953389</v>
      </c>
      <c r="H84" s="239">
        <v>95338893</v>
      </c>
      <c r="I84" s="239">
        <v>0</v>
      </c>
      <c r="J84" s="239">
        <v>0</v>
      </c>
      <c r="K84" s="239">
        <v>47669446</v>
      </c>
      <c r="L84" s="239">
        <v>429762</v>
      </c>
      <c r="M84" s="239">
        <v>429762</v>
      </c>
      <c r="N84" s="239">
        <v>0</v>
      </c>
      <c r="O84" s="239">
        <v>0</v>
      </c>
      <c r="P84" s="239">
        <v>0</v>
      </c>
      <c r="Q84" s="239">
        <v>0</v>
      </c>
      <c r="R84" s="239">
        <v>0</v>
      </c>
      <c r="S84" s="239">
        <v>0</v>
      </c>
      <c r="T84" s="239">
        <v>0</v>
      </c>
      <c r="U84" s="239">
        <v>0</v>
      </c>
      <c r="V84" s="239">
        <v>0</v>
      </c>
      <c r="W84" s="239">
        <v>3105252</v>
      </c>
      <c r="X84" s="239">
        <v>3043147</v>
      </c>
      <c r="Y84" s="239">
        <v>0</v>
      </c>
      <c r="Z84" s="239">
        <v>62105</v>
      </c>
      <c r="AA84" s="239">
        <v>6210504</v>
      </c>
      <c r="AB84" s="239">
        <v>-491228</v>
      </c>
      <c r="AC84" s="239">
        <v>-481403</v>
      </c>
      <c r="AD84" s="239">
        <v>0</v>
      </c>
      <c r="AE84" s="239">
        <v>-9825</v>
      </c>
      <c r="AF84" s="239">
        <v>-982456</v>
      </c>
      <c r="AG84" s="239">
        <v>-1297000</v>
      </c>
      <c r="AH84" s="239">
        <v>-1271060</v>
      </c>
      <c r="AI84" s="239">
        <v>0</v>
      </c>
      <c r="AJ84" s="239">
        <v>-25940</v>
      </c>
      <c r="AK84" s="239">
        <v>-2594000</v>
      </c>
      <c r="AL84" s="239">
        <v>369307</v>
      </c>
      <c r="AM84" s="239">
        <v>361920</v>
      </c>
      <c r="AN84" s="239">
        <v>0</v>
      </c>
      <c r="AO84" s="239">
        <v>7386</v>
      </c>
      <c r="AP84" s="239">
        <v>738613</v>
      </c>
      <c r="AQ84" s="239">
        <v>-639807</v>
      </c>
      <c r="AR84" s="239">
        <v>-627010</v>
      </c>
      <c r="AS84" s="239">
        <v>0</v>
      </c>
      <c r="AT84" s="239">
        <v>-12796</v>
      </c>
      <c r="AU84" s="239">
        <v>-1279613</v>
      </c>
      <c r="AV84" s="239">
        <v>-1567500</v>
      </c>
      <c r="AW84" s="239">
        <v>-1536150</v>
      </c>
      <c r="AX84" s="239">
        <v>0</v>
      </c>
      <c r="AY84" s="239">
        <v>-31350</v>
      </c>
      <c r="AZ84" s="239">
        <v>-3135000</v>
      </c>
      <c r="BA84" s="239">
        <v>-5300000</v>
      </c>
      <c r="BB84" s="239">
        <v>-5194000</v>
      </c>
      <c r="BC84" s="239">
        <v>0</v>
      </c>
      <c r="BD84" s="239">
        <v>-106000</v>
      </c>
      <c r="BE84" s="239">
        <v>-10600000</v>
      </c>
      <c r="BF84" s="239">
        <v>428188</v>
      </c>
      <c r="BG84" s="239">
        <v>419624</v>
      </c>
      <c r="BH84" s="239">
        <v>0</v>
      </c>
      <c r="BI84" s="239">
        <v>8564</v>
      </c>
      <c r="BJ84" s="239">
        <v>856376</v>
      </c>
      <c r="BK84" s="239">
        <v>-428188</v>
      </c>
      <c r="BL84" s="239">
        <v>-419624</v>
      </c>
      <c r="BM84" s="239">
        <v>0</v>
      </c>
      <c r="BN84" s="239">
        <v>-8564</v>
      </c>
      <c r="BO84" s="239">
        <v>-856376</v>
      </c>
      <c r="BP84" s="239">
        <v>-5300000</v>
      </c>
      <c r="BQ84" s="239">
        <v>-5194000</v>
      </c>
      <c r="BR84" s="239">
        <v>0</v>
      </c>
      <c r="BS84" s="239">
        <v>-106000</v>
      </c>
      <c r="BT84" s="239">
        <v>-10600000</v>
      </c>
      <c r="BU84" s="239">
        <v>-5238500</v>
      </c>
      <c r="BV84" s="239">
        <v>-5133730</v>
      </c>
      <c r="BW84" s="239">
        <v>0</v>
      </c>
      <c r="BX84" s="239">
        <v>-104770</v>
      </c>
      <c r="BY84" s="239">
        <v>-10477000</v>
      </c>
      <c r="BZ84" s="239">
        <v>-2724385</v>
      </c>
      <c r="CA84" s="239">
        <v>-2669898</v>
      </c>
      <c r="CB84" s="239">
        <v>0</v>
      </c>
      <c r="CC84" s="239">
        <v>-54488</v>
      </c>
      <c r="CD84" s="239">
        <v>-5448771</v>
      </c>
      <c r="CE84" s="239">
        <v>-2514115</v>
      </c>
      <c r="CF84" s="239">
        <v>-2463832</v>
      </c>
      <c r="CG84" s="239">
        <v>0</v>
      </c>
      <c r="CH84" s="239">
        <v>-50282</v>
      </c>
      <c r="CI84" s="239">
        <v>-5028229</v>
      </c>
      <c r="CJ84" s="239">
        <v>46018129</v>
      </c>
      <c r="CK84" s="239">
        <v>45097766</v>
      </c>
      <c r="CL84" s="239">
        <v>0</v>
      </c>
      <c r="CM84" s="239">
        <v>920363</v>
      </c>
      <c r="CN84" s="239">
        <v>92036258</v>
      </c>
      <c r="CO84" s="239">
        <v>47669446</v>
      </c>
      <c r="CP84" s="239">
        <v>46716058</v>
      </c>
      <c r="CQ84" s="239">
        <v>0</v>
      </c>
      <c r="CR84" s="239">
        <v>953389</v>
      </c>
      <c r="CS84" s="239">
        <v>95338893</v>
      </c>
      <c r="CT84" s="239">
        <v>1651317</v>
      </c>
      <c r="CU84" s="239">
        <v>1618292</v>
      </c>
      <c r="CV84" s="239">
        <v>0</v>
      </c>
      <c r="CW84" s="239">
        <v>33026</v>
      </c>
      <c r="CX84" s="239">
        <v>3302635</v>
      </c>
      <c r="CY84" s="239">
        <v>-862798</v>
      </c>
      <c r="CZ84" s="239">
        <v>-845540</v>
      </c>
      <c r="DA84" s="239">
        <v>0</v>
      </c>
      <c r="DB84" s="239">
        <v>-17256</v>
      </c>
      <c r="DC84" s="239">
        <v>-1725594</v>
      </c>
      <c r="DD84" s="214">
        <v>0.5</v>
      </c>
      <c r="DE84" s="214">
        <v>0.49</v>
      </c>
      <c r="DF84" s="214">
        <v>0</v>
      </c>
      <c r="DG84" s="214">
        <v>0.01</v>
      </c>
      <c r="DH84" s="214">
        <v>1</v>
      </c>
      <c r="DI84" s="214" t="s">
        <v>1296</v>
      </c>
    </row>
    <row r="85" spans="2:113" s="214" customFormat="1" x14ac:dyDescent="0.2">
      <c r="B85" s="610" t="s">
        <v>253</v>
      </c>
      <c r="C85" s="610" t="s">
        <v>252</v>
      </c>
      <c r="D85" s="239">
        <v>51819286</v>
      </c>
      <c r="E85" s="239">
        <v>50782900</v>
      </c>
      <c r="F85" s="239">
        <v>0</v>
      </c>
      <c r="G85" s="239">
        <v>1036386</v>
      </c>
      <c r="H85" s="239">
        <v>103638572</v>
      </c>
      <c r="I85" s="239">
        <v>0</v>
      </c>
      <c r="J85" s="239">
        <v>0</v>
      </c>
      <c r="K85" s="239">
        <v>51819286</v>
      </c>
      <c r="L85" s="239">
        <v>601017</v>
      </c>
      <c r="M85" s="239">
        <v>601017</v>
      </c>
      <c r="N85" s="239">
        <v>0</v>
      </c>
      <c r="O85" s="239">
        <v>0</v>
      </c>
      <c r="P85" s="239">
        <v>53354</v>
      </c>
      <c r="Q85" s="239">
        <v>0</v>
      </c>
      <c r="R85" s="239">
        <v>53354</v>
      </c>
      <c r="S85" s="239">
        <v>0</v>
      </c>
      <c r="T85" s="239">
        <v>0</v>
      </c>
      <c r="U85" s="239">
        <v>0</v>
      </c>
      <c r="V85" s="239">
        <v>0</v>
      </c>
      <c r="W85" s="239">
        <v>3464405</v>
      </c>
      <c r="X85" s="239">
        <v>3395116</v>
      </c>
      <c r="Y85" s="239">
        <v>0</v>
      </c>
      <c r="Z85" s="239">
        <v>69288</v>
      </c>
      <c r="AA85" s="239">
        <v>6928809</v>
      </c>
      <c r="AB85" s="239">
        <v>-944626</v>
      </c>
      <c r="AC85" s="239">
        <v>-925734</v>
      </c>
      <c r="AD85" s="239">
        <v>0</v>
      </c>
      <c r="AE85" s="239">
        <v>-18893</v>
      </c>
      <c r="AF85" s="239">
        <v>-1889253</v>
      </c>
      <c r="AG85" s="239">
        <v>-2512200</v>
      </c>
      <c r="AH85" s="239">
        <v>-2461956</v>
      </c>
      <c r="AI85" s="239">
        <v>0</v>
      </c>
      <c r="AJ85" s="239">
        <v>-50243</v>
      </c>
      <c r="AK85" s="239">
        <v>-5024399</v>
      </c>
      <c r="AL85" s="239">
        <v>861095</v>
      </c>
      <c r="AM85" s="239">
        <v>843873</v>
      </c>
      <c r="AN85" s="239">
        <v>0</v>
      </c>
      <c r="AO85" s="239">
        <v>17222</v>
      </c>
      <c r="AP85" s="239">
        <v>1722190</v>
      </c>
      <c r="AQ85" s="239">
        <v>-877885</v>
      </c>
      <c r="AR85" s="239">
        <v>-860328</v>
      </c>
      <c r="AS85" s="239">
        <v>0</v>
      </c>
      <c r="AT85" s="239">
        <v>-17558</v>
      </c>
      <c r="AU85" s="239">
        <v>-1755771</v>
      </c>
      <c r="AV85" s="239">
        <v>-2528990</v>
      </c>
      <c r="AW85" s="239">
        <v>-2478411</v>
      </c>
      <c r="AX85" s="239">
        <v>0</v>
      </c>
      <c r="AY85" s="239">
        <v>-50579</v>
      </c>
      <c r="AZ85" s="239">
        <v>-5057980</v>
      </c>
      <c r="BA85" s="239">
        <v>-3842407</v>
      </c>
      <c r="BB85" s="239">
        <v>-3765558</v>
      </c>
      <c r="BC85" s="239">
        <v>0</v>
      </c>
      <c r="BD85" s="239">
        <v>-76848</v>
      </c>
      <c r="BE85" s="239">
        <v>-7684813</v>
      </c>
      <c r="BF85" s="239">
        <v>445121</v>
      </c>
      <c r="BG85" s="239">
        <v>436218</v>
      </c>
      <c r="BH85" s="239">
        <v>0</v>
      </c>
      <c r="BI85" s="239">
        <v>8902</v>
      </c>
      <c r="BJ85" s="239">
        <v>890241</v>
      </c>
      <c r="BK85" s="239">
        <v>-5726446</v>
      </c>
      <c r="BL85" s="239">
        <v>-5611918</v>
      </c>
      <c r="BM85" s="239">
        <v>0</v>
      </c>
      <c r="BN85" s="239">
        <v>-114529</v>
      </c>
      <c r="BO85" s="239">
        <v>-11452893</v>
      </c>
      <c r="BP85" s="239">
        <v>-9123732</v>
      </c>
      <c r="BQ85" s="239">
        <v>-8941258</v>
      </c>
      <c r="BR85" s="239">
        <v>0</v>
      </c>
      <c r="BS85" s="239">
        <v>-182475</v>
      </c>
      <c r="BT85" s="239">
        <v>-18247465</v>
      </c>
      <c r="BU85" s="239">
        <v>762123</v>
      </c>
      <c r="BV85" s="239">
        <v>746880</v>
      </c>
      <c r="BW85" s="239">
        <v>0</v>
      </c>
      <c r="BX85" s="239">
        <v>15242</v>
      </c>
      <c r="BY85" s="239">
        <v>1524245</v>
      </c>
      <c r="BZ85" s="239">
        <v>510408</v>
      </c>
      <c r="CA85" s="239">
        <v>500200</v>
      </c>
      <c r="CB85" s="239">
        <v>0</v>
      </c>
      <c r="CC85" s="239">
        <v>10208</v>
      </c>
      <c r="CD85" s="239">
        <v>1020816</v>
      </c>
      <c r="CE85" s="239">
        <v>251715</v>
      </c>
      <c r="CF85" s="239">
        <v>246680</v>
      </c>
      <c r="CG85" s="239">
        <v>0</v>
      </c>
      <c r="CH85" s="239">
        <v>5034</v>
      </c>
      <c r="CI85" s="239">
        <v>503429</v>
      </c>
      <c r="CJ85" s="239">
        <v>55916265</v>
      </c>
      <c r="CK85" s="239">
        <v>54797939</v>
      </c>
      <c r="CL85" s="239">
        <v>0</v>
      </c>
      <c r="CM85" s="239">
        <v>1118325</v>
      </c>
      <c r="CN85" s="239">
        <v>111832529</v>
      </c>
      <c r="CO85" s="239">
        <v>51819286</v>
      </c>
      <c r="CP85" s="239">
        <v>50782900</v>
      </c>
      <c r="CQ85" s="239">
        <v>0</v>
      </c>
      <c r="CR85" s="239">
        <v>1036386</v>
      </c>
      <c r="CS85" s="239">
        <v>103638572</v>
      </c>
      <c r="CT85" s="239">
        <v>-4096979</v>
      </c>
      <c r="CU85" s="239">
        <v>-4015039</v>
      </c>
      <c r="CV85" s="239">
        <v>0</v>
      </c>
      <c r="CW85" s="239">
        <v>-81939</v>
      </c>
      <c r="CX85" s="239">
        <v>-8193957</v>
      </c>
      <c r="CY85" s="239">
        <v>-3845264</v>
      </c>
      <c r="CZ85" s="239">
        <v>-3768359</v>
      </c>
      <c r="DA85" s="239">
        <v>0</v>
      </c>
      <c r="DB85" s="239">
        <v>-76905</v>
      </c>
      <c r="DC85" s="239">
        <v>-7690528</v>
      </c>
      <c r="DD85" s="214">
        <v>0.5</v>
      </c>
      <c r="DE85" s="214">
        <v>0.49</v>
      </c>
      <c r="DF85" s="214">
        <v>0</v>
      </c>
      <c r="DG85" s="214">
        <v>0.01</v>
      </c>
      <c r="DH85" s="214">
        <v>1</v>
      </c>
      <c r="DI85" s="214" t="s">
        <v>748</v>
      </c>
    </row>
    <row r="86" spans="2:113" s="214" customFormat="1" x14ac:dyDescent="0.2">
      <c r="B86" s="610" t="s">
        <v>255</v>
      </c>
      <c r="C86" s="610" t="s">
        <v>254</v>
      </c>
      <c r="D86" s="239">
        <v>72323351</v>
      </c>
      <c r="E86" s="239">
        <v>43394011</v>
      </c>
      <c r="F86" s="239">
        <v>28929340</v>
      </c>
      <c r="G86" s="239">
        <v>0</v>
      </c>
      <c r="H86" s="239">
        <v>144646702</v>
      </c>
      <c r="I86" s="239">
        <v>0</v>
      </c>
      <c r="J86" s="239">
        <v>0</v>
      </c>
      <c r="K86" s="239">
        <v>72323351</v>
      </c>
      <c r="L86" s="239">
        <v>492431</v>
      </c>
      <c r="M86" s="239">
        <v>492431</v>
      </c>
      <c r="N86" s="239">
        <v>0</v>
      </c>
      <c r="O86" s="239">
        <v>0</v>
      </c>
      <c r="P86" s="239">
        <v>0</v>
      </c>
      <c r="Q86" s="239">
        <v>0</v>
      </c>
      <c r="R86" s="239">
        <v>0</v>
      </c>
      <c r="S86" s="239">
        <v>0</v>
      </c>
      <c r="T86" s="239">
        <v>0</v>
      </c>
      <c r="U86" s="239">
        <v>0</v>
      </c>
      <c r="V86" s="239">
        <v>0</v>
      </c>
      <c r="W86" s="239">
        <v>10970947</v>
      </c>
      <c r="X86" s="239">
        <v>6582568</v>
      </c>
      <c r="Y86" s="239">
        <v>4388379</v>
      </c>
      <c r="Z86" s="239">
        <v>0</v>
      </c>
      <c r="AA86" s="239">
        <v>21941894</v>
      </c>
      <c r="AB86" s="239">
        <v>-5683976</v>
      </c>
      <c r="AC86" s="239">
        <v>-3410386</v>
      </c>
      <c r="AD86" s="239">
        <v>-2273591</v>
      </c>
      <c r="AE86" s="239">
        <v>0</v>
      </c>
      <c r="AF86" s="239">
        <v>-11367953</v>
      </c>
      <c r="AG86" s="239">
        <v>-6996489.5650000004</v>
      </c>
      <c r="AH86" s="239">
        <v>-4197893.7390000001</v>
      </c>
      <c r="AI86" s="239">
        <v>-2798595.8260000004</v>
      </c>
      <c r="AJ86" s="239">
        <v>0</v>
      </c>
      <c r="AK86" s="239">
        <v>-13992979.130000001</v>
      </c>
      <c r="AL86" s="239">
        <v>986231.07000000007</v>
      </c>
      <c r="AM86" s="239">
        <v>591739</v>
      </c>
      <c r="AN86" s="239">
        <v>394492</v>
      </c>
      <c r="AO86" s="239">
        <v>0</v>
      </c>
      <c r="AP86" s="239">
        <v>1972462.07</v>
      </c>
      <c r="AQ86" s="239">
        <v>-132918</v>
      </c>
      <c r="AR86" s="239">
        <v>-79751</v>
      </c>
      <c r="AS86" s="239">
        <v>-53167</v>
      </c>
      <c r="AT86" s="239">
        <v>0</v>
      </c>
      <c r="AU86" s="239">
        <v>-265836</v>
      </c>
      <c r="AV86" s="239">
        <v>-6143176.4950000001</v>
      </c>
      <c r="AW86" s="239">
        <v>-3685905.7390000001</v>
      </c>
      <c r="AX86" s="239">
        <v>-2457270.8260000004</v>
      </c>
      <c r="AY86" s="239">
        <v>0</v>
      </c>
      <c r="AZ86" s="239">
        <v>-12286353.060000001</v>
      </c>
      <c r="BA86" s="239">
        <v>-7098678</v>
      </c>
      <c r="BB86" s="239">
        <v>-4259206</v>
      </c>
      <c r="BC86" s="239">
        <v>-2839472</v>
      </c>
      <c r="BD86" s="239">
        <v>0</v>
      </c>
      <c r="BE86" s="239">
        <v>-14197356</v>
      </c>
      <c r="BF86" s="239">
        <v>1670197</v>
      </c>
      <c r="BG86" s="239">
        <v>1002119</v>
      </c>
      <c r="BH86" s="239">
        <v>668079</v>
      </c>
      <c r="BI86" s="239">
        <v>0</v>
      </c>
      <c r="BJ86" s="239">
        <v>3340395</v>
      </c>
      <c r="BK86" s="239">
        <v>-2250644</v>
      </c>
      <c r="BL86" s="239">
        <v>-1350386</v>
      </c>
      <c r="BM86" s="239">
        <v>-900258</v>
      </c>
      <c r="BN86" s="239">
        <v>0</v>
      </c>
      <c r="BO86" s="239">
        <v>-4501288</v>
      </c>
      <c r="BP86" s="239">
        <v>-7679125</v>
      </c>
      <c r="BQ86" s="239">
        <v>-4607473</v>
      </c>
      <c r="BR86" s="239">
        <v>-3071651</v>
      </c>
      <c r="BS86" s="239">
        <v>0</v>
      </c>
      <c r="BT86" s="239">
        <v>-15358249</v>
      </c>
      <c r="BU86" s="239">
        <v>9472500</v>
      </c>
      <c r="BV86" s="239">
        <v>5683500</v>
      </c>
      <c r="BW86" s="239">
        <v>3789000</v>
      </c>
      <c r="BX86" s="239">
        <v>0</v>
      </c>
      <c r="BY86" s="239">
        <v>18945000</v>
      </c>
      <c r="BZ86" s="239">
        <v>-1965000</v>
      </c>
      <c r="CA86" s="239">
        <v>-1179000</v>
      </c>
      <c r="CB86" s="239">
        <v>-786000</v>
      </c>
      <c r="CC86" s="239">
        <v>0</v>
      </c>
      <c r="CD86" s="239">
        <v>-3930000</v>
      </c>
      <c r="CE86" s="239">
        <v>11437500</v>
      </c>
      <c r="CF86" s="239">
        <v>6862500</v>
      </c>
      <c r="CG86" s="239">
        <v>4575000</v>
      </c>
      <c r="CH86" s="239">
        <v>0</v>
      </c>
      <c r="CI86" s="239">
        <v>22875000</v>
      </c>
      <c r="CJ86" s="239">
        <v>65992319</v>
      </c>
      <c r="CK86" s="239">
        <v>39595392</v>
      </c>
      <c r="CL86" s="239">
        <v>26396928</v>
      </c>
      <c r="CM86" s="239">
        <v>0</v>
      </c>
      <c r="CN86" s="239">
        <v>131984639</v>
      </c>
      <c r="CO86" s="239">
        <v>72323351</v>
      </c>
      <c r="CP86" s="239">
        <v>43394011</v>
      </c>
      <c r="CQ86" s="239">
        <v>28929340</v>
      </c>
      <c r="CR86" s="239">
        <v>0</v>
      </c>
      <c r="CS86" s="239">
        <v>144646702</v>
      </c>
      <c r="CT86" s="239">
        <v>6331032</v>
      </c>
      <c r="CU86" s="239">
        <v>3798619</v>
      </c>
      <c r="CV86" s="239">
        <v>2532412</v>
      </c>
      <c r="CW86" s="239">
        <v>0</v>
      </c>
      <c r="CX86" s="239">
        <v>12662063</v>
      </c>
      <c r="CY86" s="239">
        <v>17768532</v>
      </c>
      <c r="CZ86" s="239">
        <v>10661119</v>
      </c>
      <c r="DA86" s="239">
        <v>7107412</v>
      </c>
      <c r="DB86" s="239">
        <v>0</v>
      </c>
      <c r="DC86" s="239">
        <v>35537063</v>
      </c>
      <c r="DD86" s="214">
        <v>0.5</v>
      </c>
      <c r="DE86" s="214">
        <v>0.3</v>
      </c>
      <c r="DF86" s="214">
        <v>0.2</v>
      </c>
      <c r="DG86" s="214">
        <v>0</v>
      </c>
      <c r="DH86" s="214">
        <v>1</v>
      </c>
      <c r="DI86" s="214" t="s">
        <v>1295</v>
      </c>
    </row>
    <row r="87" spans="2:113" s="214" customFormat="1" x14ac:dyDescent="0.2">
      <c r="B87" s="610" t="s">
        <v>257</v>
      </c>
      <c r="C87" s="610" t="s">
        <v>256</v>
      </c>
      <c r="D87" s="239">
        <v>9214351</v>
      </c>
      <c r="E87" s="239">
        <v>7371481</v>
      </c>
      <c r="F87" s="239">
        <v>1658583</v>
      </c>
      <c r="G87" s="239">
        <v>184287</v>
      </c>
      <c r="H87" s="239">
        <v>18428702</v>
      </c>
      <c r="I87" s="239">
        <v>0</v>
      </c>
      <c r="J87" s="239">
        <v>0</v>
      </c>
      <c r="K87" s="239">
        <v>9214351</v>
      </c>
      <c r="L87" s="239">
        <v>92995</v>
      </c>
      <c r="M87" s="239">
        <v>92995</v>
      </c>
      <c r="N87" s="239">
        <v>0</v>
      </c>
      <c r="O87" s="239">
        <v>0</v>
      </c>
      <c r="P87" s="239">
        <v>354054</v>
      </c>
      <c r="Q87" s="239">
        <v>0</v>
      </c>
      <c r="R87" s="239">
        <v>354054</v>
      </c>
      <c r="S87" s="239">
        <v>0</v>
      </c>
      <c r="T87" s="239">
        <v>0</v>
      </c>
      <c r="U87" s="239">
        <v>0</v>
      </c>
      <c r="V87" s="239">
        <v>0</v>
      </c>
      <c r="W87" s="239">
        <v>443178</v>
      </c>
      <c r="X87" s="239">
        <v>354543</v>
      </c>
      <c r="Y87" s="239">
        <v>79772</v>
      </c>
      <c r="Z87" s="239">
        <v>8864</v>
      </c>
      <c r="AA87" s="239">
        <v>886357</v>
      </c>
      <c r="AB87" s="239">
        <v>-93024</v>
      </c>
      <c r="AC87" s="239">
        <v>-74418</v>
      </c>
      <c r="AD87" s="239">
        <v>-16744</v>
      </c>
      <c r="AE87" s="239">
        <v>-1860</v>
      </c>
      <c r="AF87" s="239">
        <v>-186046</v>
      </c>
      <c r="AG87" s="239">
        <v>-116138.47</v>
      </c>
      <c r="AH87" s="239">
        <v>-92911</v>
      </c>
      <c r="AI87" s="239">
        <v>-20905</v>
      </c>
      <c r="AJ87" s="239">
        <v>-2324</v>
      </c>
      <c r="AK87" s="239">
        <v>-232278.47</v>
      </c>
      <c r="AL87" s="239">
        <v>0</v>
      </c>
      <c r="AM87" s="239">
        <v>0</v>
      </c>
      <c r="AN87" s="239">
        <v>0</v>
      </c>
      <c r="AO87" s="239">
        <v>0</v>
      </c>
      <c r="AP87" s="239">
        <v>0</v>
      </c>
      <c r="AQ87" s="239">
        <v>-197</v>
      </c>
      <c r="AR87" s="239">
        <v>-158</v>
      </c>
      <c r="AS87" s="239">
        <v>-36</v>
      </c>
      <c r="AT87" s="239">
        <v>-4</v>
      </c>
      <c r="AU87" s="239">
        <v>-395</v>
      </c>
      <c r="AV87" s="239">
        <v>-116335.47</v>
      </c>
      <c r="AW87" s="239">
        <v>-93069</v>
      </c>
      <c r="AX87" s="239">
        <v>-20941</v>
      </c>
      <c r="AY87" s="239">
        <v>-2328</v>
      </c>
      <c r="AZ87" s="239">
        <v>-232673.47</v>
      </c>
      <c r="BA87" s="239">
        <v>-259859</v>
      </c>
      <c r="BB87" s="239">
        <v>-207886</v>
      </c>
      <c r="BC87" s="239">
        <v>-46774</v>
      </c>
      <c r="BD87" s="239">
        <v>-5198</v>
      </c>
      <c r="BE87" s="239">
        <v>-519717</v>
      </c>
      <c r="BF87" s="239">
        <v>66703</v>
      </c>
      <c r="BG87" s="239">
        <v>53362</v>
      </c>
      <c r="BH87" s="239">
        <v>12006</v>
      </c>
      <c r="BI87" s="239">
        <v>1334</v>
      </c>
      <c r="BJ87" s="239">
        <v>133405</v>
      </c>
      <c r="BK87" s="239">
        <v>-338403</v>
      </c>
      <c r="BL87" s="239">
        <v>-270722</v>
      </c>
      <c r="BM87" s="239">
        <v>-60912</v>
      </c>
      <c r="BN87" s="239">
        <v>-6768</v>
      </c>
      <c r="BO87" s="239">
        <v>-676805</v>
      </c>
      <c r="BP87" s="239">
        <v>-531559</v>
      </c>
      <c r="BQ87" s="239">
        <v>-425246</v>
      </c>
      <c r="BR87" s="239">
        <v>-95680</v>
      </c>
      <c r="BS87" s="239">
        <v>-10632</v>
      </c>
      <c r="BT87" s="239">
        <v>-1063117</v>
      </c>
      <c r="BU87" s="239">
        <v>353867</v>
      </c>
      <c r="BV87" s="239">
        <v>283094</v>
      </c>
      <c r="BW87" s="239">
        <v>63696</v>
      </c>
      <c r="BX87" s="239">
        <v>7077</v>
      </c>
      <c r="BY87" s="239">
        <v>707734</v>
      </c>
      <c r="BZ87" s="239">
        <v>228956</v>
      </c>
      <c r="CA87" s="239">
        <v>183165</v>
      </c>
      <c r="CB87" s="239">
        <v>41212</v>
      </c>
      <c r="CC87" s="239">
        <v>4579</v>
      </c>
      <c r="CD87" s="239">
        <v>457912</v>
      </c>
      <c r="CE87" s="239">
        <v>124911</v>
      </c>
      <c r="CF87" s="239">
        <v>99929</v>
      </c>
      <c r="CG87" s="239">
        <v>22484</v>
      </c>
      <c r="CH87" s="239">
        <v>2498</v>
      </c>
      <c r="CI87" s="239">
        <v>249822</v>
      </c>
      <c r="CJ87" s="239">
        <v>9039472</v>
      </c>
      <c r="CK87" s="239">
        <v>7231577</v>
      </c>
      <c r="CL87" s="239">
        <v>1627105</v>
      </c>
      <c r="CM87" s="239">
        <v>180789</v>
      </c>
      <c r="CN87" s="239">
        <v>18078943</v>
      </c>
      <c r="CO87" s="239">
        <v>9214351</v>
      </c>
      <c r="CP87" s="239">
        <v>7371481</v>
      </c>
      <c r="CQ87" s="239">
        <v>1658583</v>
      </c>
      <c r="CR87" s="239">
        <v>184287</v>
      </c>
      <c r="CS87" s="239">
        <v>18428702</v>
      </c>
      <c r="CT87" s="239">
        <v>174879</v>
      </c>
      <c r="CU87" s="239">
        <v>139904</v>
      </c>
      <c r="CV87" s="239">
        <v>31478</v>
      </c>
      <c r="CW87" s="239">
        <v>3498</v>
      </c>
      <c r="CX87" s="239">
        <v>349759</v>
      </c>
      <c r="CY87" s="239">
        <v>299790</v>
      </c>
      <c r="CZ87" s="239">
        <v>239833</v>
      </c>
      <c r="DA87" s="239">
        <v>53962</v>
      </c>
      <c r="DB87" s="239">
        <v>5996</v>
      </c>
      <c r="DC87" s="239">
        <v>599581</v>
      </c>
      <c r="DD87" s="214">
        <v>0.5</v>
      </c>
      <c r="DE87" s="214">
        <v>0.4</v>
      </c>
      <c r="DF87" s="214">
        <v>0.09</v>
      </c>
      <c r="DG87" s="214">
        <v>0.01</v>
      </c>
      <c r="DH87" s="214">
        <v>1</v>
      </c>
      <c r="DI87" s="214" t="s">
        <v>1294</v>
      </c>
    </row>
    <row r="88" spans="2:113" s="214" customFormat="1" x14ac:dyDescent="0.2">
      <c r="B88" s="610" t="s">
        <v>259</v>
      </c>
      <c r="C88" s="610" t="s">
        <v>258</v>
      </c>
      <c r="D88" s="239">
        <v>15999205</v>
      </c>
      <c r="E88" s="239">
        <v>12799364</v>
      </c>
      <c r="F88" s="239">
        <v>2879857</v>
      </c>
      <c r="G88" s="239">
        <v>319984</v>
      </c>
      <c r="H88" s="239">
        <v>31998410</v>
      </c>
      <c r="I88" s="239">
        <v>0</v>
      </c>
      <c r="J88" s="239">
        <v>0</v>
      </c>
      <c r="K88" s="239">
        <v>15999205</v>
      </c>
      <c r="L88" s="239">
        <v>226929</v>
      </c>
      <c r="M88" s="239">
        <v>226929</v>
      </c>
      <c r="N88" s="239">
        <v>0</v>
      </c>
      <c r="O88" s="239">
        <v>0</v>
      </c>
      <c r="P88" s="239">
        <v>198263</v>
      </c>
      <c r="Q88" s="239">
        <v>0</v>
      </c>
      <c r="R88" s="239">
        <v>198263</v>
      </c>
      <c r="S88" s="239">
        <v>0</v>
      </c>
      <c r="T88" s="239">
        <v>0</v>
      </c>
      <c r="U88" s="239">
        <v>0</v>
      </c>
      <c r="V88" s="239">
        <v>0</v>
      </c>
      <c r="W88" s="239">
        <v>590141</v>
      </c>
      <c r="X88" s="239">
        <v>472114</v>
      </c>
      <c r="Y88" s="239">
        <v>106226</v>
      </c>
      <c r="Z88" s="239">
        <v>11803</v>
      </c>
      <c r="AA88" s="239">
        <v>1180284</v>
      </c>
      <c r="AB88" s="239">
        <v>-142619</v>
      </c>
      <c r="AC88" s="239">
        <v>-114096</v>
      </c>
      <c r="AD88" s="239">
        <v>-25672</v>
      </c>
      <c r="AE88" s="239">
        <v>-2852</v>
      </c>
      <c r="AF88" s="239">
        <v>-285239</v>
      </c>
      <c r="AG88" s="239">
        <v>-71416</v>
      </c>
      <c r="AH88" s="239">
        <v>-57132</v>
      </c>
      <c r="AI88" s="239">
        <v>-12855</v>
      </c>
      <c r="AJ88" s="239">
        <v>-1428</v>
      </c>
      <c r="AK88" s="239">
        <v>-142831</v>
      </c>
      <c r="AL88" s="239">
        <v>48017</v>
      </c>
      <c r="AM88" s="239">
        <v>38413</v>
      </c>
      <c r="AN88" s="239">
        <v>8643</v>
      </c>
      <c r="AO88" s="239">
        <v>960</v>
      </c>
      <c r="AP88" s="239">
        <v>96033</v>
      </c>
      <c r="AQ88" s="239">
        <v>-67275</v>
      </c>
      <c r="AR88" s="239">
        <v>-53821</v>
      </c>
      <c r="AS88" s="239">
        <v>-12110</v>
      </c>
      <c r="AT88" s="239">
        <v>-1346</v>
      </c>
      <c r="AU88" s="239">
        <v>-134552</v>
      </c>
      <c r="AV88" s="239">
        <v>-90674</v>
      </c>
      <c r="AW88" s="239">
        <v>-72540</v>
      </c>
      <c r="AX88" s="239">
        <v>-16322</v>
      </c>
      <c r="AY88" s="239">
        <v>-1814</v>
      </c>
      <c r="AZ88" s="239">
        <v>-181350</v>
      </c>
      <c r="BA88" s="239">
        <v>-1724644</v>
      </c>
      <c r="BB88" s="239">
        <v>-1379714</v>
      </c>
      <c r="BC88" s="239">
        <v>-310435</v>
      </c>
      <c r="BD88" s="239">
        <v>-34493</v>
      </c>
      <c r="BE88" s="239">
        <v>-3449286</v>
      </c>
      <c r="BF88" s="239">
        <v>247188</v>
      </c>
      <c r="BG88" s="239">
        <v>197751</v>
      </c>
      <c r="BH88" s="239">
        <v>44494</v>
      </c>
      <c r="BI88" s="239">
        <v>4944</v>
      </c>
      <c r="BJ88" s="239">
        <v>494377</v>
      </c>
      <c r="BK88" s="239">
        <v>-193998</v>
      </c>
      <c r="BL88" s="239">
        <v>-155198</v>
      </c>
      <c r="BM88" s="239">
        <v>-34920</v>
      </c>
      <c r="BN88" s="239">
        <v>-3880</v>
      </c>
      <c r="BO88" s="239">
        <v>-387996</v>
      </c>
      <c r="BP88" s="239">
        <v>-1671454</v>
      </c>
      <c r="BQ88" s="239">
        <v>-1337161</v>
      </c>
      <c r="BR88" s="239">
        <v>-300861</v>
      </c>
      <c r="BS88" s="239">
        <v>-33429</v>
      </c>
      <c r="BT88" s="239">
        <v>-3342905</v>
      </c>
      <c r="BU88" s="239">
        <v>-1426686</v>
      </c>
      <c r="BV88" s="239">
        <v>-1141349</v>
      </c>
      <c r="BW88" s="239">
        <v>-256803</v>
      </c>
      <c r="BX88" s="239">
        <v>-28534</v>
      </c>
      <c r="BY88" s="239">
        <v>-2853372</v>
      </c>
      <c r="BZ88" s="239">
        <v>-792156</v>
      </c>
      <c r="CA88" s="239">
        <v>-633725</v>
      </c>
      <c r="CB88" s="239">
        <v>-142588</v>
      </c>
      <c r="CC88" s="239">
        <v>-15843</v>
      </c>
      <c r="CD88" s="239">
        <v>-1584312</v>
      </c>
      <c r="CE88" s="239">
        <v>-634530</v>
      </c>
      <c r="CF88" s="239">
        <v>-507624</v>
      </c>
      <c r="CG88" s="239">
        <v>-114215</v>
      </c>
      <c r="CH88" s="239">
        <v>-12691</v>
      </c>
      <c r="CI88" s="239">
        <v>-1269060</v>
      </c>
      <c r="CJ88" s="239">
        <v>16167864</v>
      </c>
      <c r="CK88" s="239">
        <v>12934291</v>
      </c>
      <c r="CL88" s="239">
        <v>2910216</v>
      </c>
      <c r="CM88" s="239">
        <v>323357</v>
      </c>
      <c r="CN88" s="239">
        <v>32335728</v>
      </c>
      <c r="CO88" s="239">
        <v>15999205</v>
      </c>
      <c r="CP88" s="239">
        <v>12799364</v>
      </c>
      <c r="CQ88" s="239">
        <v>2879857</v>
      </c>
      <c r="CR88" s="239">
        <v>319984</v>
      </c>
      <c r="CS88" s="239">
        <v>31998410</v>
      </c>
      <c r="CT88" s="239">
        <v>-168659</v>
      </c>
      <c r="CU88" s="239">
        <v>-134927</v>
      </c>
      <c r="CV88" s="239">
        <v>-30359</v>
      </c>
      <c r="CW88" s="239">
        <v>-3373</v>
      </c>
      <c r="CX88" s="239">
        <v>-337318</v>
      </c>
      <c r="CY88" s="239">
        <v>-803189</v>
      </c>
      <c r="CZ88" s="239">
        <v>-642551</v>
      </c>
      <c r="DA88" s="239">
        <v>-144574</v>
      </c>
      <c r="DB88" s="239">
        <v>-16064</v>
      </c>
      <c r="DC88" s="239">
        <v>-1606378</v>
      </c>
      <c r="DD88" s="214">
        <v>0.5</v>
      </c>
      <c r="DE88" s="214">
        <v>0.4</v>
      </c>
      <c r="DF88" s="214">
        <v>0.09</v>
      </c>
      <c r="DG88" s="214">
        <v>0.01</v>
      </c>
      <c r="DH88" s="214">
        <v>1</v>
      </c>
      <c r="DI88" s="214" t="s">
        <v>1294</v>
      </c>
    </row>
    <row r="89" spans="2:113" s="214" customFormat="1" x14ac:dyDescent="0.2">
      <c r="B89" s="610" t="s">
        <v>261</v>
      </c>
      <c r="C89" s="610" t="s">
        <v>260</v>
      </c>
      <c r="D89" s="239">
        <v>10116746.27</v>
      </c>
      <c r="E89" s="239">
        <v>8093397</v>
      </c>
      <c r="F89" s="239">
        <v>1821014</v>
      </c>
      <c r="G89" s="239">
        <v>202335</v>
      </c>
      <c r="H89" s="239">
        <v>20233492.27</v>
      </c>
      <c r="I89" s="239">
        <v>0</v>
      </c>
      <c r="J89" s="239">
        <v>0</v>
      </c>
      <c r="K89" s="239">
        <v>10116746.27</v>
      </c>
      <c r="L89" s="239">
        <v>108361</v>
      </c>
      <c r="M89" s="239">
        <v>108361</v>
      </c>
      <c r="N89" s="239">
        <v>0</v>
      </c>
      <c r="O89" s="239">
        <v>0</v>
      </c>
      <c r="P89" s="239">
        <v>216785</v>
      </c>
      <c r="Q89" s="239">
        <v>0</v>
      </c>
      <c r="R89" s="239">
        <v>216785</v>
      </c>
      <c r="S89" s="239">
        <v>0</v>
      </c>
      <c r="T89" s="239">
        <v>0</v>
      </c>
      <c r="U89" s="239">
        <v>0</v>
      </c>
      <c r="V89" s="239">
        <v>0</v>
      </c>
      <c r="W89" s="239">
        <v>279373</v>
      </c>
      <c r="X89" s="239">
        <v>223498</v>
      </c>
      <c r="Y89" s="239">
        <v>50287</v>
      </c>
      <c r="Z89" s="239">
        <v>5587</v>
      </c>
      <c r="AA89" s="239">
        <v>558745</v>
      </c>
      <c r="AB89" s="239">
        <v>-59474</v>
      </c>
      <c r="AC89" s="239">
        <v>-47579</v>
      </c>
      <c r="AD89" s="239">
        <v>-10705</v>
      </c>
      <c r="AE89" s="239">
        <v>-1189</v>
      </c>
      <c r="AF89" s="239">
        <v>-118947</v>
      </c>
      <c r="AG89" s="239">
        <v>-198390</v>
      </c>
      <c r="AH89" s="239">
        <v>-158714</v>
      </c>
      <c r="AI89" s="239">
        <v>-35711</v>
      </c>
      <c r="AJ89" s="239">
        <v>-3968</v>
      </c>
      <c r="AK89" s="239">
        <v>-396783</v>
      </c>
      <c r="AL89" s="239">
        <v>33546.729999999996</v>
      </c>
      <c r="AM89" s="239">
        <v>26838</v>
      </c>
      <c r="AN89" s="239">
        <v>6039</v>
      </c>
      <c r="AO89" s="239">
        <v>671</v>
      </c>
      <c r="AP89" s="239">
        <v>67094.73</v>
      </c>
      <c r="AQ89" s="239">
        <v>-559.73</v>
      </c>
      <c r="AR89" s="239">
        <v>-447</v>
      </c>
      <c r="AS89" s="239">
        <v>-101</v>
      </c>
      <c r="AT89" s="239">
        <v>-11</v>
      </c>
      <c r="AU89" s="239">
        <v>-1118.73</v>
      </c>
      <c r="AV89" s="239">
        <v>-165403.00000000003</v>
      </c>
      <c r="AW89" s="239">
        <v>-132323</v>
      </c>
      <c r="AX89" s="239">
        <v>-29773</v>
      </c>
      <c r="AY89" s="239">
        <v>-3308</v>
      </c>
      <c r="AZ89" s="239">
        <v>-330807</v>
      </c>
      <c r="BA89" s="239">
        <v>-466927.4</v>
      </c>
      <c r="BB89" s="239">
        <v>-373542</v>
      </c>
      <c r="BC89" s="239">
        <v>-84047</v>
      </c>
      <c r="BD89" s="239">
        <v>-9339</v>
      </c>
      <c r="BE89" s="239">
        <v>-933855.4</v>
      </c>
      <c r="BF89" s="239">
        <v>167879</v>
      </c>
      <c r="BG89" s="239">
        <v>134303</v>
      </c>
      <c r="BH89" s="239">
        <v>30218</v>
      </c>
      <c r="BI89" s="239">
        <v>3358</v>
      </c>
      <c r="BJ89" s="239">
        <v>335758</v>
      </c>
      <c r="BK89" s="239">
        <v>-739769</v>
      </c>
      <c r="BL89" s="239">
        <v>-591815</v>
      </c>
      <c r="BM89" s="239">
        <v>-133158</v>
      </c>
      <c r="BN89" s="239">
        <v>-14795</v>
      </c>
      <c r="BO89" s="239">
        <v>-1479537</v>
      </c>
      <c r="BP89" s="239">
        <v>-1038817.4</v>
      </c>
      <c r="BQ89" s="239">
        <v>-831054</v>
      </c>
      <c r="BR89" s="239">
        <v>-186987</v>
      </c>
      <c r="BS89" s="239">
        <v>-20776</v>
      </c>
      <c r="BT89" s="239">
        <v>-2077634.4</v>
      </c>
      <c r="BU89" s="239">
        <v>618681</v>
      </c>
      <c r="BV89" s="239">
        <v>494944</v>
      </c>
      <c r="BW89" s="239">
        <v>111362</v>
      </c>
      <c r="BX89" s="239">
        <v>12374</v>
      </c>
      <c r="BY89" s="239">
        <v>1237361</v>
      </c>
      <c r="BZ89" s="239">
        <v>536297</v>
      </c>
      <c r="CA89" s="239">
        <v>429038</v>
      </c>
      <c r="CB89" s="239">
        <v>96533</v>
      </c>
      <c r="CC89" s="239">
        <v>10726</v>
      </c>
      <c r="CD89" s="239">
        <v>1072594</v>
      </c>
      <c r="CE89" s="239">
        <v>82384</v>
      </c>
      <c r="CF89" s="239">
        <v>65906</v>
      </c>
      <c r="CG89" s="239">
        <v>14829</v>
      </c>
      <c r="CH89" s="239">
        <v>1648</v>
      </c>
      <c r="CI89" s="239">
        <v>164767</v>
      </c>
      <c r="CJ89" s="239">
        <v>10614580</v>
      </c>
      <c r="CK89" s="239">
        <v>8491665</v>
      </c>
      <c r="CL89" s="239">
        <v>1910625</v>
      </c>
      <c r="CM89" s="239">
        <v>212292</v>
      </c>
      <c r="CN89" s="239">
        <v>21229162</v>
      </c>
      <c r="CO89" s="239">
        <v>10116746.27</v>
      </c>
      <c r="CP89" s="239">
        <v>8093397</v>
      </c>
      <c r="CQ89" s="239">
        <v>1821014</v>
      </c>
      <c r="CR89" s="239">
        <v>202335</v>
      </c>
      <c r="CS89" s="239">
        <v>20233492.27</v>
      </c>
      <c r="CT89" s="239">
        <v>-497833.73000000045</v>
      </c>
      <c r="CU89" s="239">
        <v>-398268</v>
      </c>
      <c r="CV89" s="239">
        <v>-89611</v>
      </c>
      <c r="CW89" s="239">
        <v>-9957</v>
      </c>
      <c r="CX89" s="239">
        <v>-995669.73000000045</v>
      </c>
      <c r="CY89" s="239">
        <v>-415449.73000000045</v>
      </c>
      <c r="CZ89" s="239">
        <v>-332362</v>
      </c>
      <c r="DA89" s="239">
        <v>-74782</v>
      </c>
      <c r="DB89" s="239">
        <v>-8309</v>
      </c>
      <c r="DC89" s="239">
        <v>-830902.73000000045</v>
      </c>
      <c r="DD89" s="214">
        <v>0.5</v>
      </c>
      <c r="DE89" s="214">
        <v>0.4</v>
      </c>
      <c r="DF89" s="214">
        <v>0.09</v>
      </c>
      <c r="DG89" s="214">
        <v>0.01</v>
      </c>
      <c r="DH89" s="214">
        <v>1</v>
      </c>
      <c r="DI89" s="214" t="s">
        <v>1294</v>
      </c>
    </row>
    <row r="90" spans="2:113" s="214" customFormat="1" x14ac:dyDescent="0.2">
      <c r="B90" s="610" t="s">
        <v>263</v>
      </c>
      <c r="C90" s="610" t="s">
        <v>262</v>
      </c>
      <c r="D90" s="239">
        <v>13491092</v>
      </c>
      <c r="E90" s="239">
        <v>10792874</v>
      </c>
      <c r="F90" s="239">
        <v>2428397</v>
      </c>
      <c r="G90" s="239">
        <v>269822</v>
      </c>
      <c r="H90" s="239">
        <v>26982185</v>
      </c>
      <c r="I90" s="239">
        <v>0</v>
      </c>
      <c r="J90" s="239">
        <v>0</v>
      </c>
      <c r="K90" s="239">
        <v>13491092</v>
      </c>
      <c r="L90" s="239">
        <v>152268</v>
      </c>
      <c r="M90" s="239">
        <v>152268</v>
      </c>
      <c r="N90" s="239">
        <v>0</v>
      </c>
      <c r="O90" s="239">
        <v>0</v>
      </c>
      <c r="P90" s="239">
        <v>0</v>
      </c>
      <c r="Q90" s="239">
        <v>0</v>
      </c>
      <c r="R90" s="239">
        <v>0</v>
      </c>
      <c r="S90" s="239">
        <v>0</v>
      </c>
      <c r="T90" s="239">
        <v>0</v>
      </c>
      <c r="U90" s="239">
        <v>0</v>
      </c>
      <c r="V90" s="239">
        <v>0</v>
      </c>
      <c r="W90" s="239">
        <v>368862</v>
      </c>
      <c r="X90" s="239">
        <v>295089</v>
      </c>
      <c r="Y90" s="239">
        <v>66395</v>
      </c>
      <c r="Z90" s="239">
        <v>7377</v>
      </c>
      <c r="AA90" s="239">
        <v>737723</v>
      </c>
      <c r="AB90" s="239">
        <v>-571501</v>
      </c>
      <c r="AC90" s="239">
        <v>-457201</v>
      </c>
      <c r="AD90" s="239">
        <v>-102870</v>
      </c>
      <c r="AE90" s="239">
        <v>-11430</v>
      </c>
      <c r="AF90" s="239">
        <v>-1143002</v>
      </c>
      <c r="AG90" s="239">
        <v>-96265</v>
      </c>
      <c r="AH90" s="239">
        <v>-77012</v>
      </c>
      <c r="AI90" s="239">
        <v>-17327</v>
      </c>
      <c r="AJ90" s="239">
        <v>-1926</v>
      </c>
      <c r="AK90" s="239">
        <v>-192530</v>
      </c>
      <c r="AL90" s="239">
        <v>42734</v>
      </c>
      <c r="AM90" s="239">
        <v>34188</v>
      </c>
      <c r="AN90" s="239">
        <v>7692</v>
      </c>
      <c r="AO90" s="239">
        <v>855</v>
      </c>
      <c r="AP90" s="239">
        <v>85469</v>
      </c>
      <c r="AQ90" s="239">
        <v>-117217</v>
      </c>
      <c r="AR90" s="239">
        <v>-93773</v>
      </c>
      <c r="AS90" s="239">
        <v>-21099</v>
      </c>
      <c r="AT90" s="239">
        <v>-2344</v>
      </c>
      <c r="AU90" s="239">
        <v>-234433</v>
      </c>
      <c r="AV90" s="239">
        <v>-170748</v>
      </c>
      <c r="AW90" s="239">
        <v>-136597</v>
      </c>
      <c r="AX90" s="239">
        <v>-30734</v>
      </c>
      <c r="AY90" s="239">
        <v>-3415</v>
      </c>
      <c r="AZ90" s="239">
        <v>-341494</v>
      </c>
      <c r="BA90" s="239">
        <v>-253395</v>
      </c>
      <c r="BB90" s="239">
        <v>-202715</v>
      </c>
      <c r="BC90" s="239">
        <v>-45611</v>
      </c>
      <c r="BD90" s="239">
        <v>-5068</v>
      </c>
      <c r="BE90" s="239">
        <v>-506789</v>
      </c>
      <c r="BF90" s="239">
        <v>280000</v>
      </c>
      <c r="BG90" s="239">
        <v>224000</v>
      </c>
      <c r="BH90" s="239">
        <v>50400</v>
      </c>
      <c r="BI90" s="239">
        <v>5600</v>
      </c>
      <c r="BJ90" s="239">
        <v>560000</v>
      </c>
      <c r="BK90" s="239">
        <v>-979336</v>
      </c>
      <c r="BL90" s="239">
        <v>-783469</v>
      </c>
      <c r="BM90" s="239">
        <v>-176281</v>
      </c>
      <c r="BN90" s="239">
        <v>-19587</v>
      </c>
      <c r="BO90" s="239">
        <v>-1958673</v>
      </c>
      <c r="BP90" s="239">
        <v>-952731</v>
      </c>
      <c r="BQ90" s="239">
        <v>-762184</v>
      </c>
      <c r="BR90" s="239">
        <v>-171492</v>
      </c>
      <c r="BS90" s="239">
        <v>-19055</v>
      </c>
      <c r="BT90" s="239">
        <v>-1905462</v>
      </c>
      <c r="BU90" s="239">
        <v>584852</v>
      </c>
      <c r="BV90" s="239">
        <v>467882</v>
      </c>
      <c r="BW90" s="239">
        <v>105273</v>
      </c>
      <c r="BX90" s="239">
        <v>11697</v>
      </c>
      <c r="BY90" s="239">
        <v>1169704</v>
      </c>
      <c r="BZ90" s="239">
        <v>335440</v>
      </c>
      <c r="CA90" s="239">
        <v>268352</v>
      </c>
      <c r="CB90" s="239">
        <v>60379</v>
      </c>
      <c r="CC90" s="239">
        <v>6709</v>
      </c>
      <c r="CD90" s="239">
        <v>670880</v>
      </c>
      <c r="CE90" s="239">
        <v>249412</v>
      </c>
      <c r="CF90" s="239">
        <v>199530</v>
      </c>
      <c r="CG90" s="239">
        <v>44894</v>
      </c>
      <c r="CH90" s="239">
        <v>4988</v>
      </c>
      <c r="CI90" s="239">
        <v>498824</v>
      </c>
      <c r="CJ90" s="239">
        <v>14408658</v>
      </c>
      <c r="CK90" s="239">
        <v>11526926</v>
      </c>
      <c r="CL90" s="239">
        <v>2593558</v>
      </c>
      <c r="CM90" s="239">
        <v>288173</v>
      </c>
      <c r="CN90" s="239">
        <v>28817315</v>
      </c>
      <c r="CO90" s="239">
        <v>13491092</v>
      </c>
      <c r="CP90" s="239">
        <v>10792874</v>
      </c>
      <c r="CQ90" s="239">
        <v>2428397</v>
      </c>
      <c r="CR90" s="239">
        <v>269822</v>
      </c>
      <c r="CS90" s="239">
        <v>26982185</v>
      </c>
      <c r="CT90" s="239">
        <v>-917566</v>
      </c>
      <c r="CU90" s="239">
        <v>-734052</v>
      </c>
      <c r="CV90" s="239">
        <v>-165161</v>
      </c>
      <c r="CW90" s="239">
        <v>-18351</v>
      </c>
      <c r="CX90" s="239">
        <v>-1835130</v>
      </c>
      <c r="CY90" s="239">
        <v>-668154</v>
      </c>
      <c r="CZ90" s="239">
        <v>-534522</v>
      </c>
      <c r="DA90" s="239">
        <v>-120267</v>
      </c>
      <c r="DB90" s="239">
        <v>-13363</v>
      </c>
      <c r="DC90" s="239">
        <v>-1336306</v>
      </c>
      <c r="DD90" s="214">
        <v>0.5</v>
      </c>
      <c r="DE90" s="214">
        <v>0.4</v>
      </c>
      <c r="DF90" s="214">
        <v>0.09</v>
      </c>
      <c r="DG90" s="214">
        <v>0.01</v>
      </c>
      <c r="DH90" s="214">
        <v>1</v>
      </c>
      <c r="DI90" s="214" t="s">
        <v>1294</v>
      </c>
    </row>
    <row r="91" spans="2:113" s="214" customFormat="1" x14ac:dyDescent="0.2">
      <c r="B91" s="610" t="s">
        <v>265</v>
      </c>
      <c r="C91" s="610" t="s">
        <v>264</v>
      </c>
      <c r="D91" s="239">
        <v>21927350</v>
      </c>
      <c r="E91" s="239">
        <v>17541880</v>
      </c>
      <c r="F91" s="239">
        <v>4385470</v>
      </c>
      <c r="G91" s="239">
        <v>0</v>
      </c>
      <c r="H91" s="239">
        <v>43854700</v>
      </c>
      <c r="I91" s="239">
        <v>0</v>
      </c>
      <c r="J91" s="239">
        <v>0</v>
      </c>
      <c r="K91" s="239">
        <v>21927350</v>
      </c>
      <c r="L91" s="239">
        <v>194976</v>
      </c>
      <c r="M91" s="239">
        <v>194976</v>
      </c>
      <c r="N91" s="239">
        <v>0</v>
      </c>
      <c r="O91" s="239">
        <v>0</v>
      </c>
      <c r="P91" s="239">
        <v>0</v>
      </c>
      <c r="Q91" s="239">
        <v>0</v>
      </c>
      <c r="R91" s="239">
        <v>0</v>
      </c>
      <c r="S91" s="239">
        <v>0</v>
      </c>
      <c r="T91" s="239">
        <v>0</v>
      </c>
      <c r="U91" s="239">
        <v>0</v>
      </c>
      <c r="V91" s="239">
        <v>0</v>
      </c>
      <c r="W91" s="239">
        <v>952479</v>
      </c>
      <c r="X91" s="239">
        <v>761984</v>
      </c>
      <c r="Y91" s="239">
        <v>190496</v>
      </c>
      <c r="Z91" s="239">
        <v>0</v>
      </c>
      <c r="AA91" s="239">
        <v>1904959</v>
      </c>
      <c r="AB91" s="239">
        <v>-127728</v>
      </c>
      <c r="AC91" s="239">
        <v>-102182</v>
      </c>
      <c r="AD91" s="239">
        <v>-25546</v>
      </c>
      <c r="AE91" s="239">
        <v>0</v>
      </c>
      <c r="AF91" s="239">
        <v>-255456</v>
      </c>
      <c r="AG91" s="239">
        <v>-533384</v>
      </c>
      <c r="AH91" s="239">
        <v>-426706</v>
      </c>
      <c r="AI91" s="239">
        <v>-106677</v>
      </c>
      <c r="AJ91" s="239">
        <v>0</v>
      </c>
      <c r="AK91" s="239">
        <v>-1066767</v>
      </c>
      <c r="AL91" s="239">
        <v>112372</v>
      </c>
      <c r="AM91" s="239">
        <v>89898</v>
      </c>
      <c r="AN91" s="239">
        <v>22475</v>
      </c>
      <c r="AO91" s="239">
        <v>0</v>
      </c>
      <c r="AP91" s="239">
        <v>224745</v>
      </c>
      <c r="AQ91" s="239">
        <v>-145909</v>
      </c>
      <c r="AR91" s="239">
        <v>-116728</v>
      </c>
      <c r="AS91" s="239">
        <v>-29182</v>
      </c>
      <c r="AT91" s="239">
        <v>0</v>
      </c>
      <c r="AU91" s="239">
        <v>-291819</v>
      </c>
      <c r="AV91" s="239">
        <v>-566921</v>
      </c>
      <c r="AW91" s="239">
        <v>-453536</v>
      </c>
      <c r="AX91" s="239">
        <v>-113384</v>
      </c>
      <c r="AY91" s="239">
        <v>0</v>
      </c>
      <c r="AZ91" s="239">
        <v>-1133841</v>
      </c>
      <c r="BA91" s="239">
        <v>-3148320</v>
      </c>
      <c r="BB91" s="239">
        <v>-2518657</v>
      </c>
      <c r="BC91" s="239">
        <v>-629665</v>
      </c>
      <c r="BD91" s="239">
        <v>0</v>
      </c>
      <c r="BE91" s="239">
        <v>-6296642</v>
      </c>
      <c r="BF91" s="239">
        <v>135759</v>
      </c>
      <c r="BG91" s="239">
        <v>108608</v>
      </c>
      <c r="BH91" s="239">
        <v>27152</v>
      </c>
      <c r="BI91" s="239">
        <v>0</v>
      </c>
      <c r="BJ91" s="239">
        <v>271519</v>
      </c>
      <c r="BK91" s="239">
        <v>-150181</v>
      </c>
      <c r="BL91" s="239">
        <v>-120144</v>
      </c>
      <c r="BM91" s="239">
        <v>-30036</v>
      </c>
      <c r="BN91" s="239">
        <v>0</v>
      </c>
      <c r="BO91" s="239">
        <v>-300361</v>
      </c>
      <c r="BP91" s="239">
        <v>-3162742</v>
      </c>
      <c r="BQ91" s="239">
        <v>-2530193</v>
      </c>
      <c r="BR91" s="239">
        <v>-632549</v>
      </c>
      <c r="BS91" s="239">
        <v>0</v>
      </c>
      <c r="BT91" s="239">
        <v>-6325484</v>
      </c>
      <c r="BU91" s="239">
        <v>-4359762</v>
      </c>
      <c r="BV91" s="239">
        <v>-3487810</v>
      </c>
      <c r="BW91" s="239">
        <v>-871953</v>
      </c>
      <c r="BX91" s="239">
        <v>0</v>
      </c>
      <c r="BY91" s="239">
        <v>-8719525</v>
      </c>
      <c r="BZ91" s="239">
        <v>-1895976</v>
      </c>
      <c r="CA91" s="239">
        <v>-1516780</v>
      </c>
      <c r="CB91" s="239">
        <v>-379195</v>
      </c>
      <c r="CC91" s="239">
        <v>0</v>
      </c>
      <c r="CD91" s="239">
        <v>-3791951</v>
      </c>
      <c r="CE91" s="239">
        <v>-2463786</v>
      </c>
      <c r="CF91" s="239">
        <v>-1971030</v>
      </c>
      <c r="CG91" s="239">
        <v>-492758</v>
      </c>
      <c r="CH91" s="239">
        <v>0</v>
      </c>
      <c r="CI91" s="239">
        <v>-4927574</v>
      </c>
      <c r="CJ91" s="239">
        <v>22387466</v>
      </c>
      <c r="CK91" s="239">
        <v>17909972</v>
      </c>
      <c r="CL91" s="239">
        <v>4477493</v>
      </c>
      <c r="CM91" s="239">
        <v>0</v>
      </c>
      <c r="CN91" s="239">
        <v>44774931</v>
      </c>
      <c r="CO91" s="239">
        <v>21927350</v>
      </c>
      <c r="CP91" s="239">
        <v>17541880</v>
      </c>
      <c r="CQ91" s="239">
        <v>4385470</v>
      </c>
      <c r="CR91" s="239">
        <v>0</v>
      </c>
      <c r="CS91" s="239">
        <v>43854700</v>
      </c>
      <c r="CT91" s="239">
        <v>-460116</v>
      </c>
      <c r="CU91" s="239">
        <v>-368092</v>
      </c>
      <c r="CV91" s="239">
        <v>-92023</v>
      </c>
      <c r="CW91" s="239">
        <v>0</v>
      </c>
      <c r="CX91" s="239">
        <v>-920231</v>
      </c>
      <c r="CY91" s="239">
        <v>-2923902</v>
      </c>
      <c r="CZ91" s="239">
        <v>-2339122</v>
      </c>
      <c r="DA91" s="239">
        <v>-584781</v>
      </c>
      <c r="DB91" s="239">
        <v>0</v>
      </c>
      <c r="DC91" s="239">
        <v>-5847805</v>
      </c>
      <c r="DD91" s="214">
        <v>0.5</v>
      </c>
      <c r="DE91" s="214">
        <v>0.4</v>
      </c>
      <c r="DF91" s="214">
        <v>0.1</v>
      </c>
      <c r="DG91" s="214">
        <v>0</v>
      </c>
      <c r="DH91" s="214">
        <v>1</v>
      </c>
      <c r="DI91" s="214" t="s">
        <v>1294</v>
      </c>
    </row>
    <row r="92" spans="2:113" s="214" customFormat="1" x14ac:dyDescent="0.2">
      <c r="B92" s="610" t="s">
        <v>267</v>
      </c>
      <c r="C92" s="610" t="s">
        <v>266</v>
      </c>
      <c r="D92" s="239">
        <v>15101369</v>
      </c>
      <c r="E92" s="239">
        <v>12081096</v>
      </c>
      <c r="F92" s="239">
        <v>3020274</v>
      </c>
      <c r="G92" s="239">
        <v>0</v>
      </c>
      <c r="H92" s="239">
        <v>30202739</v>
      </c>
      <c r="I92" s="239">
        <v>0</v>
      </c>
      <c r="J92" s="239">
        <v>0</v>
      </c>
      <c r="K92" s="239">
        <v>15101369</v>
      </c>
      <c r="L92" s="239">
        <v>268475</v>
      </c>
      <c r="M92" s="239">
        <v>268475</v>
      </c>
      <c r="N92" s="239">
        <v>0</v>
      </c>
      <c r="O92" s="239">
        <v>0</v>
      </c>
      <c r="P92" s="239">
        <v>158557</v>
      </c>
      <c r="Q92" s="239">
        <v>49673</v>
      </c>
      <c r="R92" s="239">
        <v>208230</v>
      </c>
      <c r="S92" s="239">
        <v>0</v>
      </c>
      <c r="T92" s="239">
        <v>0</v>
      </c>
      <c r="U92" s="239">
        <v>0</v>
      </c>
      <c r="V92" s="239">
        <v>0</v>
      </c>
      <c r="W92" s="239">
        <v>1522339</v>
      </c>
      <c r="X92" s="239">
        <v>1217871</v>
      </c>
      <c r="Y92" s="239">
        <v>304468</v>
      </c>
      <c r="Z92" s="239">
        <v>0</v>
      </c>
      <c r="AA92" s="239">
        <v>3044678</v>
      </c>
      <c r="AB92" s="239">
        <v>-414840</v>
      </c>
      <c r="AC92" s="239">
        <v>-331872</v>
      </c>
      <c r="AD92" s="239">
        <v>-82968</v>
      </c>
      <c r="AE92" s="239">
        <v>0</v>
      </c>
      <c r="AF92" s="239">
        <v>-829680</v>
      </c>
      <c r="AG92" s="239">
        <v>-429000</v>
      </c>
      <c r="AH92" s="239">
        <v>-343200</v>
      </c>
      <c r="AI92" s="239">
        <v>-85800</v>
      </c>
      <c r="AJ92" s="239">
        <v>0</v>
      </c>
      <c r="AK92" s="239">
        <v>-858000</v>
      </c>
      <c r="AL92" s="239">
        <v>152249</v>
      </c>
      <c r="AM92" s="239">
        <v>121800</v>
      </c>
      <c r="AN92" s="239">
        <v>30450</v>
      </c>
      <c r="AO92" s="239">
        <v>0</v>
      </c>
      <c r="AP92" s="239">
        <v>304499</v>
      </c>
      <c r="AQ92" s="239">
        <v>-245249</v>
      </c>
      <c r="AR92" s="239">
        <v>-196199</v>
      </c>
      <c r="AS92" s="239">
        <v>-49050</v>
      </c>
      <c r="AT92" s="239">
        <v>0</v>
      </c>
      <c r="AU92" s="239">
        <v>-490498</v>
      </c>
      <c r="AV92" s="239">
        <v>-522000</v>
      </c>
      <c r="AW92" s="239">
        <v>-417599</v>
      </c>
      <c r="AX92" s="239">
        <v>-104400</v>
      </c>
      <c r="AY92" s="239">
        <v>0</v>
      </c>
      <c r="AZ92" s="239">
        <v>-1043999</v>
      </c>
      <c r="BA92" s="239">
        <v>-1411396</v>
      </c>
      <c r="BB92" s="239">
        <v>-1129118</v>
      </c>
      <c r="BC92" s="239">
        <v>-282279</v>
      </c>
      <c r="BD92" s="239">
        <v>0</v>
      </c>
      <c r="BE92" s="239">
        <v>-2822793</v>
      </c>
      <c r="BF92" s="239">
        <v>74302</v>
      </c>
      <c r="BG92" s="239">
        <v>59442</v>
      </c>
      <c r="BH92" s="239">
        <v>14861</v>
      </c>
      <c r="BI92" s="239">
        <v>0</v>
      </c>
      <c r="BJ92" s="239">
        <v>148605</v>
      </c>
      <c r="BK92" s="239">
        <v>-278379</v>
      </c>
      <c r="BL92" s="239">
        <v>-222704</v>
      </c>
      <c r="BM92" s="239">
        <v>-55676</v>
      </c>
      <c r="BN92" s="239">
        <v>0</v>
      </c>
      <c r="BO92" s="239">
        <v>-556759</v>
      </c>
      <c r="BP92" s="239">
        <v>-1615473</v>
      </c>
      <c r="BQ92" s="239">
        <v>-1292380</v>
      </c>
      <c r="BR92" s="239">
        <v>-323094</v>
      </c>
      <c r="BS92" s="239">
        <v>0</v>
      </c>
      <c r="BT92" s="239">
        <v>-3230947</v>
      </c>
      <c r="BU92" s="239">
        <v>-608533</v>
      </c>
      <c r="BV92" s="239">
        <v>-486827</v>
      </c>
      <c r="BW92" s="239">
        <v>-121707</v>
      </c>
      <c r="BX92" s="239">
        <v>0</v>
      </c>
      <c r="BY92" s="239">
        <v>-1217067</v>
      </c>
      <c r="BZ92" s="239">
        <v>-96416</v>
      </c>
      <c r="CA92" s="239">
        <v>-77132</v>
      </c>
      <c r="CB92" s="239">
        <v>-19283</v>
      </c>
      <c r="CC92" s="239">
        <v>0</v>
      </c>
      <c r="CD92" s="239">
        <v>-192831</v>
      </c>
      <c r="CE92" s="239">
        <v>-512117</v>
      </c>
      <c r="CF92" s="239">
        <v>-409695</v>
      </c>
      <c r="CG92" s="239">
        <v>-102424</v>
      </c>
      <c r="CH92" s="239">
        <v>0</v>
      </c>
      <c r="CI92" s="239">
        <v>-1024236</v>
      </c>
      <c r="CJ92" s="239">
        <v>16465123</v>
      </c>
      <c r="CK92" s="239">
        <v>13172099</v>
      </c>
      <c r="CL92" s="239">
        <v>3293025</v>
      </c>
      <c r="CM92" s="239">
        <v>0</v>
      </c>
      <c r="CN92" s="239">
        <v>32930247</v>
      </c>
      <c r="CO92" s="239">
        <v>15101369</v>
      </c>
      <c r="CP92" s="239">
        <v>12081096</v>
      </c>
      <c r="CQ92" s="239">
        <v>3020274</v>
      </c>
      <c r="CR92" s="239">
        <v>0</v>
      </c>
      <c r="CS92" s="239">
        <v>30202739</v>
      </c>
      <c r="CT92" s="239">
        <v>-1363754</v>
      </c>
      <c r="CU92" s="239">
        <v>-1091003</v>
      </c>
      <c r="CV92" s="239">
        <v>-272751</v>
      </c>
      <c r="CW92" s="239">
        <v>0</v>
      </c>
      <c r="CX92" s="239">
        <v>-2727508</v>
      </c>
      <c r="CY92" s="239">
        <v>-1875871</v>
      </c>
      <c r="CZ92" s="239">
        <v>-1500698</v>
      </c>
      <c r="DA92" s="239">
        <v>-375175</v>
      </c>
      <c r="DB92" s="239">
        <v>0</v>
      </c>
      <c r="DC92" s="239">
        <v>-3751744</v>
      </c>
      <c r="DD92" s="214">
        <v>0.5</v>
      </c>
      <c r="DE92" s="214">
        <v>0.4</v>
      </c>
      <c r="DF92" s="214">
        <v>0.1</v>
      </c>
      <c r="DG92" s="214">
        <v>0</v>
      </c>
      <c r="DH92" s="214">
        <v>1</v>
      </c>
      <c r="DI92" s="214" t="s">
        <v>1294</v>
      </c>
    </row>
    <row r="93" spans="2:113" s="214" customFormat="1" x14ac:dyDescent="0.2">
      <c r="B93" s="610" t="s">
        <v>269</v>
      </c>
      <c r="C93" s="610" t="s">
        <v>268</v>
      </c>
      <c r="D93" s="239">
        <v>11164653</v>
      </c>
      <c r="E93" s="239">
        <v>8931722</v>
      </c>
      <c r="F93" s="239">
        <v>2232931</v>
      </c>
      <c r="G93" s="239">
        <v>0</v>
      </c>
      <c r="H93" s="239">
        <v>22329306</v>
      </c>
      <c r="I93" s="239">
        <v>0</v>
      </c>
      <c r="J93" s="239">
        <v>0</v>
      </c>
      <c r="K93" s="239">
        <v>11164653</v>
      </c>
      <c r="L93" s="239">
        <v>100730</v>
      </c>
      <c r="M93" s="239">
        <v>100730</v>
      </c>
      <c r="N93" s="239">
        <v>0</v>
      </c>
      <c r="O93" s="239">
        <v>0</v>
      </c>
      <c r="P93" s="239">
        <v>483529</v>
      </c>
      <c r="Q93" s="239">
        <v>0</v>
      </c>
      <c r="R93" s="239">
        <v>483529</v>
      </c>
      <c r="S93" s="239">
        <v>0</v>
      </c>
      <c r="T93" s="239">
        <v>0</v>
      </c>
      <c r="U93" s="239">
        <v>0</v>
      </c>
      <c r="V93" s="239">
        <v>0</v>
      </c>
      <c r="W93" s="239">
        <v>121747</v>
      </c>
      <c r="X93" s="239">
        <v>97397</v>
      </c>
      <c r="Y93" s="239">
        <v>24349</v>
      </c>
      <c r="Z93" s="239">
        <v>0</v>
      </c>
      <c r="AA93" s="239">
        <v>243493</v>
      </c>
      <c r="AB93" s="239">
        <v>-139813</v>
      </c>
      <c r="AC93" s="239">
        <v>-111850</v>
      </c>
      <c r="AD93" s="239">
        <v>-27963</v>
      </c>
      <c r="AE93" s="239">
        <v>0</v>
      </c>
      <c r="AF93" s="239">
        <v>-279626</v>
      </c>
      <c r="AG93" s="239">
        <v>-35485</v>
      </c>
      <c r="AH93" s="239">
        <v>-28386</v>
      </c>
      <c r="AI93" s="239">
        <v>-7096</v>
      </c>
      <c r="AJ93" s="239">
        <v>0</v>
      </c>
      <c r="AK93" s="239">
        <v>-70967</v>
      </c>
      <c r="AL93" s="239">
        <v>45978</v>
      </c>
      <c r="AM93" s="239">
        <v>36783</v>
      </c>
      <c r="AN93" s="239">
        <v>9196</v>
      </c>
      <c r="AO93" s="239">
        <v>0</v>
      </c>
      <c r="AP93" s="239">
        <v>91957</v>
      </c>
      <c r="AQ93" s="239">
        <v>-70573</v>
      </c>
      <c r="AR93" s="239">
        <v>-56459</v>
      </c>
      <c r="AS93" s="239">
        <v>-14115</v>
      </c>
      <c r="AT93" s="239">
        <v>0</v>
      </c>
      <c r="AU93" s="239">
        <v>-141147</v>
      </c>
      <c r="AV93" s="239">
        <v>-60080</v>
      </c>
      <c r="AW93" s="239">
        <v>-48062</v>
      </c>
      <c r="AX93" s="239">
        <v>-12015</v>
      </c>
      <c r="AY93" s="239">
        <v>0</v>
      </c>
      <c r="AZ93" s="239">
        <v>-120157</v>
      </c>
      <c r="BA93" s="239">
        <v>-937298</v>
      </c>
      <c r="BB93" s="239">
        <v>-749838</v>
      </c>
      <c r="BC93" s="239">
        <v>-187460</v>
      </c>
      <c r="BD93" s="239">
        <v>0</v>
      </c>
      <c r="BE93" s="239">
        <v>-1874596</v>
      </c>
      <c r="BF93" s="239">
        <v>144811</v>
      </c>
      <c r="BG93" s="239">
        <v>115849</v>
      </c>
      <c r="BH93" s="239">
        <v>28962</v>
      </c>
      <c r="BI93" s="239">
        <v>0</v>
      </c>
      <c r="BJ93" s="239">
        <v>289622</v>
      </c>
      <c r="BK93" s="239">
        <v>-200377</v>
      </c>
      <c r="BL93" s="239">
        <v>-160302</v>
      </c>
      <c r="BM93" s="239">
        <v>-40075</v>
      </c>
      <c r="BN93" s="239">
        <v>0</v>
      </c>
      <c r="BO93" s="239">
        <v>-400754</v>
      </c>
      <c r="BP93" s="239">
        <v>-992864</v>
      </c>
      <c r="BQ93" s="239">
        <v>-794291</v>
      </c>
      <c r="BR93" s="239">
        <v>-198573</v>
      </c>
      <c r="BS93" s="239">
        <v>0</v>
      </c>
      <c r="BT93" s="239">
        <v>-1985728</v>
      </c>
      <c r="BU93" s="239">
        <v>-1502242</v>
      </c>
      <c r="BV93" s="239">
        <v>-1201793</v>
      </c>
      <c r="BW93" s="239">
        <v>-300448</v>
      </c>
      <c r="BX93" s="239">
        <v>0</v>
      </c>
      <c r="BY93" s="239">
        <v>-3004483</v>
      </c>
      <c r="BZ93" s="239">
        <v>-975502</v>
      </c>
      <c r="CA93" s="239">
        <v>-780402</v>
      </c>
      <c r="CB93" s="239">
        <v>-195100</v>
      </c>
      <c r="CC93" s="239">
        <v>0</v>
      </c>
      <c r="CD93" s="239">
        <v>-1951004</v>
      </c>
      <c r="CE93" s="239">
        <v>-526740</v>
      </c>
      <c r="CF93" s="239">
        <v>-421391</v>
      </c>
      <c r="CG93" s="239">
        <v>-105348</v>
      </c>
      <c r="CH93" s="239">
        <v>0</v>
      </c>
      <c r="CI93" s="239">
        <v>-1053479</v>
      </c>
      <c r="CJ93" s="239">
        <v>11065554</v>
      </c>
      <c r="CK93" s="239">
        <v>8852443</v>
      </c>
      <c r="CL93" s="239">
        <v>2213111</v>
      </c>
      <c r="CM93" s="239">
        <v>0</v>
      </c>
      <c r="CN93" s="239">
        <v>22131108</v>
      </c>
      <c r="CO93" s="239">
        <v>11164653</v>
      </c>
      <c r="CP93" s="239">
        <v>8931722</v>
      </c>
      <c r="CQ93" s="239">
        <v>2232931</v>
      </c>
      <c r="CR93" s="239">
        <v>0</v>
      </c>
      <c r="CS93" s="239">
        <v>22329306</v>
      </c>
      <c r="CT93" s="239">
        <v>99099</v>
      </c>
      <c r="CU93" s="239">
        <v>79279</v>
      </c>
      <c r="CV93" s="239">
        <v>19820</v>
      </c>
      <c r="CW93" s="239">
        <v>0</v>
      </c>
      <c r="CX93" s="239">
        <v>198198</v>
      </c>
      <c r="CY93" s="239">
        <v>-427641</v>
      </c>
      <c r="CZ93" s="239">
        <v>-342112</v>
      </c>
      <c r="DA93" s="239">
        <v>-85528</v>
      </c>
      <c r="DB93" s="239">
        <v>0</v>
      </c>
      <c r="DC93" s="239">
        <v>-855281</v>
      </c>
      <c r="DD93" s="214">
        <v>0.5</v>
      </c>
      <c r="DE93" s="214">
        <v>0.4</v>
      </c>
      <c r="DF93" s="214">
        <v>0.1</v>
      </c>
      <c r="DG93" s="214">
        <v>0</v>
      </c>
      <c r="DH93" s="214">
        <v>1</v>
      </c>
      <c r="DI93" s="214" t="s">
        <v>1294</v>
      </c>
    </row>
    <row r="94" spans="2:113" s="214" customFormat="1" x14ac:dyDescent="0.2">
      <c r="B94" s="610" t="s">
        <v>271</v>
      </c>
      <c r="C94" s="610" t="s">
        <v>270</v>
      </c>
      <c r="D94" s="239">
        <v>49050271</v>
      </c>
      <c r="E94" s="239">
        <v>48069265</v>
      </c>
      <c r="F94" s="239">
        <v>0</v>
      </c>
      <c r="G94" s="239">
        <v>981005</v>
      </c>
      <c r="H94" s="239">
        <v>98100541</v>
      </c>
      <c r="I94" s="239">
        <v>230543.26354166667</v>
      </c>
      <c r="J94" s="239">
        <v>230543.26354166667</v>
      </c>
      <c r="K94" s="239">
        <v>48819727.736458331</v>
      </c>
      <c r="L94" s="239">
        <v>442204</v>
      </c>
      <c r="M94" s="239">
        <v>442204</v>
      </c>
      <c r="N94" s="239">
        <v>0</v>
      </c>
      <c r="O94" s="239">
        <v>0</v>
      </c>
      <c r="P94" s="239">
        <v>3130966</v>
      </c>
      <c r="Q94" s="239">
        <v>0</v>
      </c>
      <c r="R94" s="239">
        <v>3130966</v>
      </c>
      <c r="S94" s="239">
        <v>227236.48281250001</v>
      </c>
      <c r="T94" s="239">
        <v>0</v>
      </c>
      <c r="U94" s="239">
        <v>3306.7807291666668</v>
      </c>
      <c r="V94" s="239">
        <v>230543.26354166667</v>
      </c>
      <c r="W94" s="239">
        <v>1857672</v>
      </c>
      <c r="X94" s="239">
        <v>1820519</v>
      </c>
      <c r="Y94" s="239">
        <v>0</v>
      </c>
      <c r="Z94" s="239">
        <v>37153</v>
      </c>
      <c r="AA94" s="239">
        <v>3715344</v>
      </c>
      <c r="AB94" s="239">
        <v>-1269361</v>
      </c>
      <c r="AC94" s="239">
        <v>-1243973</v>
      </c>
      <c r="AD94" s="239">
        <v>0</v>
      </c>
      <c r="AE94" s="239">
        <v>-25387</v>
      </c>
      <c r="AF94" s="239">
        <v>-2538721</v>
      </c>
      <c r="AG94" s="239">
        <v>-986664</v>
      </c>
      <c r="AH94" s="239">
        <v>-966931</v>
      </c>
      <c r="AI94" s="239">
        <v>0</v>
      </c>
      <c r="AJ94" s="239">
        <v>-19733</v>
      </c>
      <c r="AK94" s="239">
        <v>-1973328</v>
      </c>
      <c r="AL94" s="239">
        <v>388891</v>
      </c>
      <c r="AM94" s="239">
        <v>381114</v>
      </c>
      <c r="AN94" s="239">
        <v>0</v>
      </c>
      <c r="AO94" s="239">
        <v>7778</v>
      </c>
      <c r="AP94" s="239">
        <v>777783</v>
      </c>
      <c r="AQ94" s="239">
        <v>-274799</v>
      </c>
      <c r="AR94" s="239">
        <v>-269303</v>
      </c>
      <c r="AS94" s="239">
        <v>0</v>
      </c>
      <c r="AT94" s="239">
        <v>-5496</v>
      </c>
      <c r="AU94" s="239">
        <v>-549598</v>
      </c>
      <c r="AV94" s="239">
        <v>-872572</v>
      </c>
      <c r="AW94" s="239">
        <v>-855120</v>
      </c>
      <c r="AX94" s="239">
        <v>0</v>
      </c>
      <c r="AY94" s="239">
        <v>-17451</v>
      </c>
      <c r="AZ94" s="239">
        <v>-1745143</v>
      </c>
      <c r="BA94" s="239">
        <v>-5478266</v>
      </c>
      <c r="BB94" s="239">
        <v>-5368699</v>
      </c>
      <c r="BC94" s="239">
        <v>0</v>
      </c>
      <c r="BD94" s="239">
        <v>-109565</v>
      </c>
      <c r="BE94" s="239">
        <v>-10956530</v>
      </c>
      <c r="BF94" s="239">
        <v>4576516</v>
      </c>
      <c r="BG94" s="239">
        <v>4484986</v>
      </c>
      <c r="BH94" s="239">
        <v>0</v>
      </c>
      <c r="BI94" s="239">
        <v>91530</v>
      </c>
      <c r="BJ94" s="239">
        <v>9153032</v>
      </c>
      <c r="BK94" s="239">
        <v>-1526950</v>
      </c>
      <c r="BL94" s="239">
        <v>-1496411</v>
      </c>
      <c r="BM94" s="239">
        <v>0</v>
      </c>
      <c r="BN94" s="239">
        <v>-30539</v>
      </c>
      <c r="BO94" s="239">
        <v>-3053900</v>
      </c>
      <c r="BP94" s="239">
        <v>-2428700</v>
      </c>
      <c r="BQ94" s="239">
        <v>-2380124</v>
      </c>
      <c r="BR94" s="239">
        <v>0</v>
      </c>
      <c r="BS94" s="239">
        <v>-48574</v>
      </c>
      <c r="BT94" s="239">
        <v>-4857398</v>
      </c>
      <c r="BU94" s="239">
        <v>5221726</v>
      </c>
      <c r="BV94" s="239">
        <v>5117291</v>
      </c>
      <c r="BW94" s="239">
        <v>0</v>
      </c>
      <c r="BX94" s="239">
        <v>104435</v>
      </c>
      <c r="BY94" s="239">
        <v>10443452</v>
      </c>
      <c r="BZ94" s="239">
        <v>3142049</v>
      </c>
      <c r="CA94" s="239">
        <v>3079208</v>
      </c>
      <c r="CB94" s="239">
        <v>0</v>
      </c>
      <c r="CC94" s="239">
        <v>62841</v>
      </c>
      <c r="CD94" s="239">
        <v>6284098</v>
      </c>
      <c r="CE94" s="239">
        <v>2079677</v>
      </c>
      <c r="CF94" s="239">
        <v>2038083</v>
      </c>
      <c r="CG94" s="239">
        <v>0</v>
      </c>
      <c r="CH94" s="239">
        <v>41594</v>
      </c>
      <c r="CI94" s="239">
        <v>4159354</v>
      </c>
      <c r="CJ94" s="239">
        <v>49658604</v>
      </c>
      <c r="CK94" s="239">
        <v>48665431</v>
      </c>
      <c r="CL94" s="239">
        <v>0</v>
      </c>
      <c r="CM94" s="239">
        <v>993172</v>
      </c>
      <c r="CN94" s="239">
        <v>99317207</v>
      </c>
      <c r="CO94" s="239">
        <v>49050271</v>
      </c>
      <c r="CP94" s="239">
        <v>48069265</v>
      </c>
      <c r="CQ94" s="239">
        <v>0</v>
      </c>
      <c r="CR94" s="239">
        <v>981005</v>
      </c>
      <c r="CS94" s="239">
        <v>98100541</v>
      </c>
      <c r="CT94" s="239">
        <v>-608333</v>
      </c>
      <c r="CU94" s="239">
        <v>-596166</v>
      </c>
      <c r="CV94" s="239">
        <v>0</v>
      </c>
      <c r="CW94" s="239">
        <v>-12167</v>
      </c>
      <c r="CX94" s="239">
        <v>-1216666</v>
      </c>
      <c r="CY94" s="239">
        <v>1471344</v>
      </c>
      <c r="CZ94" s="239">
        <v>1441917</v>
      </c>
      <c r="DA94" s="239">
        <v>0</v>
      </c>
      <c r="DB94" s="239">
        <v>29427</v>
      </c>
      <c r="DC94" s="239">
        <v>2942688</v>
      </c>
      <c r="DD94" s="214">
        <v>0.5</v>
      </c>
      <c r="DE94" s="214">
        <v>0.49</v>
      </c>
      <c r="DF94" s="214">
        <v>0</v>
      </c>
      <c r="DG94" s="214">
        <v>0.01</v>
      </c>
      <c r="DH94" s="214">
        <v>1</v>
      </c>
      <c r="DI94" s="214" t="s">
        <v>748</v>
      </c>
    </row>
    <row r="95" spans="2:113" s="214" customFormat="1" x14ac:dyDescent="0.2">
      <c r="B95" s="610" t="s">
        <v>273</v>
      </c>
      <c r="C95" s="610" t="s">
        <v>272</v>
      </c>
      <c r="D95" s="239">
        <v>27556031</v>
      </c>
      <c r="E95" s="239">
        <v>22044824</v>
      </c>
      <c r="F95" s="239">
        <v>4960085</v>
      </c>
      <c r="G95" s="239">
        <v>551121</v>
      </c>
      <c r="H95" s="239">
        <v>55112061</v>
      </c>
      <c r="I95" s="239">
        <v>0</v>
      </c>
      <c r="J95" s="239">
        <v>0</v>
      </c>
      <c r="K95" s="239">
        <v>27556031</v>
      </c>
      <c r="L95" s="239">
        <v>179426</v>
      </c>
      <c r="M95" s="239">
        <v>179426</v>
      </c>
      <c r="N95" s="239">
        <v>0</v>
      </c>
      <c r="O95" s="239">
        <v>0</v>
      </c>
      <c r="P95" s="239">
        <v>0</v>
      </c>
      <c r="Q95" s="239">
        <v>0</v>
      </c>
      <c r="R95" s="239">
        <v>0</v>
      </c>
      <c r="S95" s="239">
        <v>0</v>
      </c>
      <c r="T95" s="239">
        <v>0</v>
      </c>
      <c r="U95" s="239">
        <v>0</v>
      </c>
      <c r="V95" s="239">
        <v>0</v>
      </c>
      <c r="W95" s="239">
        <v>988670</v>
      </c>
      <c r="X95" s="239">
        <v>790936</v>
      </c>
      <c r="Y95" s="239">
        <v>177961</v>
      </c>
      <c r="Z95" s="239">
        <v>19773</v>
      </c>
      <c r="AA95" s="239">
        <v>1977340</v>
      </c>
      <c r="AB95" s="239">
        <v>-455605</v>
      </c>
      <c r="AC95" s="239">
        <v>-364484</v>
      </c>
      <c r="AD95" s="239">
        <v>-82009</v>
      </c>
      <c r="AE95" s="239">
        <v>-9112</v>
      </c>
      <c r="AF95" s="239">
        <v>-911210</v>
      </c>
      <c r="AG95" s="239">
        <v>-229338</v>
      </c>
      <c r="AH95" s="239">
        <v>-183471</v>
      </c>
      <c r="AI95" s="239">
        <v>-41281</v>
      </c>
      <c r="AJ95" s="239">
        <v>-4587</v>
      </c>
      <c r="AK95" s="239">
        <v>-458677</v>
      </c>
      <c r="AL95" s="239">
        <v>336703</v>
      </c>
      <c r="AM95" s="239">
        <v>269362</v>
      </c>
      <c r="AN95" s="239">
        <v>60607</v>
      </c>
      <c r="AO95" s="239">
        <v>6734</v>
      </c>
      <c r="AP95" s="239">
        <v>673406</v>
      </c>
      <c r="AQ95" s="239">
        <v>-441369</v>
      </c>
      <c r="AR95" s="239">
        <v>-353096</v>
      </c>
      <c r="AS95" s="239">
        <v>-79447</v>
      </c>
      <c r="AT95" s="239">
        <v>-8827</v>
      </c>
      <c r="AU95" s="239">
        <v>-882739</v>
      </c>
      <c r="AV95" s="239">
        <v>-334004</v>
      </c>
      <c r="AW95" s="239">
        <v>-267205</v>
      </c>
      <c r="AX95" s="239">
        <v>-60121</v>
      </c>
      <c r="AY95" s="239">
        <v>-6680</v>
      </c>
      <c r="AZ95" s="239">
        <v>-668010</v>
      </c>
      <c r="BA95" s="239">
        <v>-2945627</v>
      </c>
      <c r="BB95" s="239">
        <v>-2356502</v>
      </c>
      <c r="BC95" s="239">
        <v>-530214</v>
      </c>
      <c r="BD95" s="239">
        <v>-58913</v>
      </c>
      <c r="BE95" s="239">
        <v>-5891256</v>
      </c>
      <c r="BF95" s="239">
        <v>467332</v>
      </c>
      <c r="BG95" s="239">
        <v>373866</v>
      </c>
      <c r="BH95" s="239">
        <v>84120</v>
      </c>
      <c r="BI95" s="239">
        <v>9347</v>
      </c>
      <c r="BJ95" s="239">
        <v>934665</v>
      </c>
      <c r="BK95" s="239">
        <v>-245242</v>
      </c>
      <c r="BL95" s="239">
        <v>-196193</v>
      </c>
      <c r="BM95" s="239">
        <v>-44143</v>
      </c>
      <c r="BN95" s="239">
        <v>-4905</v>
      </c>
      <c r="BO95" s="239">
        <v>-490483</v>
      </c>
      <c r="BP95" s="239">
        <v>-2723537</v>
      </c>
      <c r="BQ95" s="239">
        <v>-2178829</v>
      </c>
      <c r="BR95" s="239">
        <v>-490237</v>
      </c>
      <c r="BS95" s="239">
        <v>-54471</v>
      </c>
      <c r="BT95" s="239">
        <v>-5447074</v>
      </c>
      <c r="BU95" s="239">
        <v>-2402147</v>
      </c>
      <c r="BV95" s="239">
        <v>-1921717</v>
      </c>
      <c r="BW95" s="239">
        <v>-432386</v>
      </c>
      <c r="BX95" s="239">
        <v>-48043</v>
      </c>
      <c r="BY95" s="239">
        <v>-4804293</v>
      </c>
      <c r="BZ95" s="239">
        <v>-1594753</v>
      </c>
      <c r="CA95" s="239">
        <v>-1275803</v>
      </c>
      <c r="CB95" s="239">
        <v>-287056</v>
      </c>
      <c r="CC95" s="239">
        <v>-31895</v>
      </c>
      <c r="CD95" s="239">
        <v>-3189507</v>
      </c>
      <c r="CE95" s="239">
        <v>-807394</v>
      </c>
      <c r="CF95" s="239">
        <v>-645914</v>
      </c>
      <c r="CG95" s="239">
        <v>-145330</v>
      </c>
      <c r="CH95" s="239">
        <v>-16148</v>
      </c>
      <c r="CI95" s="239">
        <v>-1614786</v>
      </c>
      <c r="CJ95" s="239">
        <v>27117693</v>
      </c>
      <c r="CK95" s="239">
        <v>21694155</v>
      </c>
      <c r="CL95" s="239">
        <v>4881185</v>
      </c>
      <c r="CM95" s="239">
        <v>542354</v>
      </c>
      <c r="CN95" s="239">
        <v>54235387</v>
      </c>
      <c r="CO95" s="239">
        <v>27556031</v>
      </c>
      <c r="CP95" s="239">
        <v>22044824</v>
      </c>
      <c r="CQ95" s="239">
        <v>4960085</v>
      </c>
      <c r="CR95" s="239">
        <v>551121</v>
      </c>
      <c r="CS95" s="239">
        <v>55112061</v>
      </c>
      <c r="CT95" s="239">
        <v>438338</v>
      </c>
      <c r="CU95" s="239">
        <v>350669</v>
      </c>
      <c r="CV95" s="239">
        <v>78900</v>
      </c>
      <c r="CW95" s="239">
        <v>8767</v>
      </c>
      <c r="CX95" s="239">
        <v>876674</v>
      </c>
      <c r="CY95" s="239">
        <v>-369056</v>
      </c>
      <c r="CZ95" s="239">
        <v>-295245</v>
      </c>
      <c r="DA95" s="239">
        <v>-66430</v>
      </c>
      <c r="DB95" s="239">
        <v>-7381</v>
      </c>
      <c r="DC95" s="239">
        <v>-738112</v>
      </c>
      <c r="DD95" s="214">
        <v>0.5</v>
      </c>
      <c r="DE95" s="214">
        <v>0.4</v>
      </c>
      <c r="DF95" s="214">
        <v>0.09</v>
      </c>
      <c r="DG95" s="214">
        <v>0.01</v>
      </c>
      <c r="DH95" s="214">
        <v>1</v>
      </c>
      <c r="DI95" s="214" t="s">
        <v>1294</v>
      </c>
    </row>
    <row r="96" spans="2:113" s="214" customFormat="1" x14ac:dyDescent="0.2">
      <c r="B96" s="610" t="s">
        <v>275</v>
      </c>
      <c r="C96" s="610" t="s">
        <v>274</v>
      </c>
      <c r="D96" s="239">
        <v>16641834</v>
      </c>
      <c r="E96" s="239">
        <v>13313468</v>
      </c>
      <c r="F96" s="239">
        <v>2995530</v>
      </c>
      <c r="G96" s="239">
        <v>332837</v>
      </c>
      <c r="H96" s="239">
        <v>33283669</v>
      </c>
      <c r="I96" s="239">
        <v>0</v>
      </c>
      <c r="J96" s="239">
        <v>0</v>
      </c>
      <c r="K96" s="239">
        <v>16641834</v>
      </c>
      <c r="L96" s="239">
        <v>125494</v>
      </c>
      <c r="M96" s="239">
        <v>125494</v>
      </c>
      <c r="N96" s="239">
        <v>0</v>
      </c>
      <c r="O96" s="239">
        <v>0</v>
      </c>
      <c r="P96" s="239">
        <v>0</v>
      </c>
      <c r="Q96" s="239">
        <v>0</v>
      </c>
      <c r="R96" s="239">
        <v>0</v>
      </c>
      <c r="S96" s="239">
        <v>0</v>
      </c>
      <c r="T96" s="239">
        <v>0</v>
      </c>
      <c r="U96" s="239">
        <v>0</v>
      </c>
      <c r="V96" s="239">
        <v>0</v>
      </c>
      <c r="W96" s="239">
        <v>1083338</v>
      </c>
      <c r="X96" s="239">
        <v>866671</v>
      </c>
      <c r="Y96" s="239">
        <v>195001</v>
      </c>
      <c r="Z96" s="239">
        <v>21667</v>
      </c>
      <c r="AA96" s="239">
        <v>2166677</v>
      </c>
      <c r="AB96" s="239">
        <v>-684968</v>
      </c>
      <c r="AC96" s="239">
        <v>-547974</v>
      </c>
      <c r="AD96" s="239">
        <v>-123294</v>
      </c>
      <c r="AE96" s="239">
        <v>-13699</v>
      </c>
      <c r="AF96" s="239">
        <v>-1369935</v>
      </c>
      <c r="AG96" s="239">
        <v>-301572</v>
      </c>
      <c r="AH96" s="239">
        <v>-241258</v>
      </c>
      <c r="AI96" s="239">
        <v>-54284</v>
      </c>
      <c r="AJ96" s="239">
        <v>-6031</v>
      </c>
      <c r="AK96" s="239">
        <v>-603145</v>
      </c>
      <c r="AL96" s="239">
        <v>179950</v>
      </c>
      <c r="AM96" s="239">
        <v>143960</v>
      </c>
      <c r="AN96" s="239">
        <v>32391</v>
      </c>
      <c r="AO96" s="239">
        <v>3599</v>
      </c>
      <c r="AP96" s="239">
        <v>359900</v>
      </c>
      <c r="AQ96" s="239">
        <v>-113475</v>
      </c>
      <c r="AR96" s="239">
        <v>-90780</v>
      </c>
      <c r="AS96" s="239">
        <v>-20425</v>
      </c>
      <c r="AT96" s="239">
        <v>-2269</v>
      </c>
      <c r="AU96" s="239">
        <v>-226949</v>
      </c>
      <c r="AV96" s="239">
        <v>-235097</v>
      </c>
      <c r="AW96" s="239">
        <v>-188078</v>
      </c>
      <c r="AX96" s="239">
        <v>-42318</v>
      </c>
      <c r="AY96" s="239">
        <v>-4701</v>
      </c>
      <c r="AZ96" s="239">
        <v>-470194</v>
      </c>
      <c r="BA96" s="239">
        <v>-522538</v>
      </c>
      <c r="BB96" s="239">
        <v>-418032</v>
      </c>
      <c r="BC96" s="239">
        <v>-94056</v>
      </c>
      <c r="BD96" s="239">
        <v>-10451</v>
      </c>
      <c r="BE96" s="239">
        <v>-1045077</v>
      </c>
      <c r="BF96" s="239">
        <v>274501</v>
      </c>
      <c r="BG96" s="239">
        <v>219600</v>
      </c>
      <c r="BH96" s="239">
        <v>49410</v>
      </c>
      <c r="BI96" s="239">
        <v>5490</v>
      </c>
      <c r="BJ96" s="239">
        <v>549001</v>
      </c>
      <c r="BK96" s="239">
        <v>-477171</v>
      </c>
      <c r="BL96" s="239">
        <v>-381736</v>
      </c>
      <c r="BM96" s="239">
        <v>-85891</v>
      </c>
      <c r="BN96" s="239">
        <v>-9543</v>
      </c>
      <c r="BO96" s="239">
        <v>-954341</v>
      </c>
      <c r="BP96" s="239">
        <v>-725208</v>
      </c>
      <c r="BQ96" s="239">
        <v>-580168</v>
      </c>
      <c r="BR96" s="239">
        <v>-130537</v>
      </c>
      <c r="BS96" s="239">
        <v>-14504</v>
      </c>
      <c r="BT96" s="239">
        <v>-1450417</v>
      </c>
      <c r="BU96" s="239">
        <v>-894764</v>
      </c>
      <c r="BV96" s="239">
        <v>-715812</v>
      </c>
      <c r="BW96" s="239">
        <v>-161058</v>
      </c>
      <c r="BX96" s="239">
        <v>-17895</v>
      </c>
      <c r="BY96" s="239">
        <v>-1789529</v>
      </c>
      <c r="BZ96" s="239">
        <v>-647693</v>
      </c>
      <c r="CA96" s="239">
        <v>-518155</v>
      </c>
      <c r="CB96" s="239">
        <v>-116585</v>
      </c>
      <c r="CC96" s="239">
        <v>-12954</v>
      </c>
      <c r="CD96" s="239">
        <v>-1295387</v>
      </c>
      <c r="CE96" s="239">
        <v>-247071</v>
      </c>
      <c r="CF96" s="239">
        <v>-197657</v>
      </c>
      <c r="CG96" s="239">
        <v>-44473</v>
      </c>
      <c r="CH96" s="239">
        <v>-4941</v>
      </c>
      <c r="CI96" s="239">
        <v>-494142</v>
      </c>
      <c r="CJ96" s="239">
        <v>17199503</v>
      </c>
      <c r="CK96" s="239">
        <v>13759603</v>
      </c>
      <c r="CL96" s="239">
        <v>3095911</v>
      </c>
      <c r="CM96" s="239">
        <v>343990</v>
      </c>
      <c r="CN96" s="239">
        <v>34399007</v>
      </c>
      <c r="CO96" s="239">
        <v>16641834</v>
      </c>
      <c r="CP96" s="239">
        <v>13313468</v>
      </c>
      <c r="CQ96" s="239">
        <v>2995530</v>
      </c>
      <c r="CR96" s="239">
        <v>332837</v>
      </c>
      <c r="CS96" s="239">
        <v>33283669</v>
      </c>
      <c r="CT96" s="239">
        <v>-557669</v>
      </c>
      <c r="CU96" s="239">
        <v>-446135</v>
      </c>
      <c r="CV96" s="239">
        <v>-100381</v>
      </c>
      <c r="CW96" s="239">
        <v>-11153</v>
      </c>
      <c r="CX96" s="239">
        <v>-1115338</v>
      </c>
      <c r="CY96" s="239">
        <v>-804740</v>
      </c>
      <c r="CZ96" s="239">
        <v>-643792</v>
      </c>
      <c r="DA96" s="239">
        <v>-144854</v>
      </c>
      <c r="DB96" s="239">
        <v>-16094</v>
      </c>
      <c r="DC96" s="239">
        <v>-1609480</v>
      </c>
      <c r="DD96" s="214">
        <v>0.5</v>
      </c>
      <c r="DE96" s="214">
        <v>0.4</v>
      </c>
      <c r="DF96" s="214">
        <v>0.09</v>
      </c>
      <c r="DG96" s="214">
        <v>0.01</v>
      </c>
      <c r="DH96" s="214">
        <v>1</v>
      </c>
      <c r="DI96" s="214" t="s">
        <v>1294</v>
      </c>
    </row>
    <row r="97" spans="1:113" s="214" customFormat="1" x14ac:dyDescent="0.2">
      <c r="A97" s="215" t="s">
        <v>1321</v>
      </c>
      <c r="B97" s="610" t="s">
        <v>277</v>
      </c>
      <c r="C97" s="610" t="s">
        <v>276</v>
      </c>
      <c r="D97" s="239">
        <v>28723351</v>
      </c>
      <c r="E97" s="239">
        <v>22978680</v>
      </c>
      <c r="F97" s="239">
        <v>5170203</v>
      </c>
      <c r="G97" s="239">
        <v>574467</v>
      </c>
      <c r="H97" s="239">
        <v>57446701</v>
      </c>
      <c r="I97" s="239">
        <v>0</v>
      </c>
      <c r="J97" s="239">
        <v>0</v>
      </c>
      <c r="K97" s="239">
        <v>28723351</v>
      </c>
      <c r="L97" s="239">
        <v>246825</v>
      </c>
      <c r="M97" s="239">
        <v>246825</v>
      </c>
      <c r="N97" s="239">
        <v>0</v>
      </c>
      <c r="O97" s="239">
        <v>0</v>
      </c>
      <c r="P97" s="239">
        <v>0</v>
      </c>
      <c r="Q97" s="239">
        <v>0</v>
      </c>
      <c r="R97" s="239">
        <v>0</v>
      </c>
      <c r="S97" s="239">
        <v>0</v>
      </c>
      <c r="T97" s="239">
        <v>0</v>
      </c>
      <c r="U97" s="239">
        <v>0</v>
      </c>
      <c r="V97" s="239">
        <v>0</v>
      </c>
      <c r="W97" s="239">
        <v>685131</v>
      </c>
      <c r="X97" s="239">
        <v>548104</v>
      </c>
      <c r="Y97" s="239">
        <v>123323</v>
      </c>
      <c r="Z97" s="239">
        <v>13703</v>
      </c>
      <c r="AA97" s="239">
        <v>1370261</v>
      </c>
      <c r="AB97" s="239">
        <v>-227953</v>
      </c>
      <c r="AC97" s="239">
        <v>-182362</v>
      </c>
      <c r="AD97" s="239">
        <v>-41031</v>
      </c>
      <c r="AE97" s="239">
        <v>-4559</v>
      </c>
      <c r="AF97" s="239">
        <v>-455905</v>
      </c>
      <c r="AG97" s="239">
        <v>-231576</v>
      </c>
      <c r="AH97" s="239">
        <v>-185261</v>
      </c>
      <c r="AI97" s="239">
        <v>-41684</v>
      </c>
      <c r="AJ97" s="239">
        <v>-4632</v>
      </c>
      <c r="AK97" s="239">
        <v>-463153</v>
      </c>
      <c r="AL97" s="239">
        <v>54879</v>
      </c>
      <c r="AM97" s="239">
        <v>43903</v>
      </c>
      <c r="AN97" s="239">
        <v>9878</v>
      </c>
      <c r="AO97" s="239">
        <v>1098</v>
      </c>
      <c r="AP97" s="239">
        <v>109758</v>
      </c>
      <c r="AQ97" s="239">
        <v>-149402</v>
      </c>
      <c r="AR97" s="239">
        <v>-119522</v>
      </c>
      <c r="AS97" s="239">
        <v>-26892</v>
      </c>
      <c r="AT97" s="239">
        <v>-2988</v>
      </c>
      <c r="AU97" s="239">
        <v>-298804</v>
      </c>
      <c r="AV97" s="239">
        <v>-326099</v>
      </c>
      <c r="AW97" s="239">
        <v>-260880</v>
      </c>
      <c r="AX97" s="239">
        <v>-58698</v>
      </c>
      <c r="AY97" s="239">
        <v>-6522</v>
      </c>
      <c r="AZ97" s="239">
        <v>-652199</v>
      </c>
      <c r="BA97" s="239">
        <v>-2714475</v>
      </c>
      <c r="BB97" s="239">
        <v>-2171579</v>
      </c>
      <c r="BC97" s="239">
        <v>-488606</v>
      </c>
      <c r="BD97" s="239">
        <v>-54289</v>
      </c>
      <c r="BE97" s="239">
        <v>-5428949</v>
      </c>
      <c r="BF97" s="239">
        <v>289715</v>
      </c>
      <c r="BG97" s="239">
        <v>231772</v>
      </c>
      <c r="BH97" s="239">
        <v>52149</v>
      </c>
      <c r="BI97" s="239">
        <v>5794</v>
      </c>
      <c r="BJ97" s="239">
        <v>579430</v>
      </c>
      <c r="BK97" s="239">
        <v>-325241</v>
      </c>
      <c r="BL97" s="239">
        <v>-260192</v>
      </c>
      <c r="BM97" s="239">
        <v>-58543</v>
      </c>
      <c r="BN97" s="239">
        <v>-6505</v>
      </c>
      <c r="BO97" s="239">
        <v>-650481</v>
      </c>
      <c r="BP97" s="239">
        <v>-2750001</v>
      </c>
      <c r="BQ97" s="239">
        <v>-2199999</v>
      </c>
      <c r="BR97" s="239">
        <v>-495000</v>
      </c>
      <c r="BS97" s="239">
        <v>-55000</v>
      </c>
      <c r="BT97" s="239">
        <v>-5500000</v>
      </c>
      <c r="BU97" s="239">
        <v>124590</v>
      </c>
      <c r="BV97" s="239">
        <v>99672</v>
      </c>
      <c r="BW97" s="239">
        <v>22426</v>
      </c>
      <c r="BX97" s="239">
        <v>2492</v>
      </c>
      <c r="BY97" s="239">
        <v>249180</v>
      </c>
      <c r="BZ97" s="239">
        <v>181417</v>
      </c>
      <c r="CA97" s="239">
        <v>145134</v>
      </c>
      <c r="CB97" s="239">
        <v>32655</v>
      </c>
      <c r="CC97" s="239">
        <v>3628</v>
      </c>
      <c r="CD97" s="239">
        <v>362834</v>
      </c>
      <c r="CE97" s="239">
        <v>-56827</v>
      </c>
      <c r="CF97" s="239">
        <v>-45462</v>
      </c>
      <c r="CG97" s="239">
        <v>-10229</v>
      </c>
      <c r="CH97" s="239">
        <v>-1136</v>
      </c>
      <c r="CI97" s="239">
        <v>-113654</v>
      </c>
      <c r="CJ97" s="239">
        <v>28425053</v>
      </c>
      <c r="CK97" s="239">
        <v>22740043</v>
      </c>
      <c r="CL97" s="239">
        <v>5116510</v>
      </c>
      <c r="CM97" s="239">
        <v>568501</v>
      </c>
      <c r="CN97" s="239">
        <v>56850107</v>
      </c>
      <c r="CO97" s="239">
        <v>28723351</v>
      </c>
      <c r="CP97" s="239">
        <v>22978680</v>
      </c>
      <c r="CQ97" s="239">
        <v>5170203</v>
      </c>
      <c r="CR97" s="239">
        <v>574467</v>
      </c>
      <c r="CS97" s="239">
        <v>57446701</v>
      </c>
      <c r="CT97" s="239">
        <v>298298</v>
      </c>
      <c r="CU97" s="239">
        <v>238637</v>
      </c>
      <c r="CV97" s="239">
        <v>53693</v>
      </c>
      <c r="CW97" s="239">
        <v>5966</v>
      </c>
      <c r="CX97" s="239">
        <v>596594</v>
      </c>
      <c r="CY97" s="239">
        <v>241471</v>
      </c>
      <c r="CZ97" s="239">
        <v>193175</v>
      </c>
      <c r="DA97" s="239">
        <v>43464</v>
      </c>
      <c r="DB97" s="239">
        <v>4830</v>
      </c>
      <c r="DC97" s="239">
        <v>482940</v>
      </c>
      <c r="DD97" s="214">
        <v>0.5</v>
      </c>
      <c r="DE97" s="214">
        <v>0.4</v>
      </c>
      <c r="DF97" s="214">
        <v>0.09</v>
      </c>
      <c r="DG97" s="214">
        <v>0.01</v>
      </c>
      <c r="DH97" s="214">
        <v>1</v>
      </c>
      <c r="DI97" s="214" t="s">
        <v>1294</v>
      </c>
    </row>
    <row r="98" spans="1:113" s="214" customFormat="1" x14ac:dyDescent="0.2">
      <c r="B98" s="610" t="s">
        <v>279</v>
      </c>
      <c r="C98" s="610" t="s">
        <v>278</v>
      </c>
      <c r="D98" s="239">
        <v>9528899</v>
      </c>
      <c r="E98" s="239">
        <v>7623120</v>
      </c>
      <c r="F98" s="239">
        <v>1905780</v>
      </c>
      <c r="G98" s="239">
        <v>0</v>
      </c>
      <c r="H98" s="239">
        <v>19057799</v>
      </c>
      <c r="I98" s="239">
        <v>0</v>
      </c>
      <c r="J98" s="239">
        <v>0</v>
      </c>
      <c r="K98" s="239">
        <v>9528899</v>
      </c>
      <c r="L98" s="239">
        <v>128148</v>
      </c>
      <c r="M98" s="239">
        <v>128148</v>
      </c>
      <c r="N98" s="239">
        <v>0</v>
      </c>
      <c r="O98" s="239">
        <v>0</v>
      </c>
      <c r="P98" s="239">
        <v>0</v>
      </c>
      <c r="Q98" s="239">
        <v>0</v>
      </c>
      <c r="R98" s="239">
        <v>0</v>
      </c>
      <c r="S98" s="239">
        <v>0</v>
      </c>
      <c r="T98" s="239">
        <v>0</v>
      </c>
      <c r="U98" s="239">
        <v>0</v>
      </c>
      <c r="V98" s="239">
        <v>0</v>
      </c>
      <c r="W98" s="239">
        <v>304706</v>
      </c>
      <c r="X98" s="239">
        <v>243765</v>
      </c>
      <c r="Y98" s="239">
        <v>60941</v>
      </c>
      <c r="Z98" s="239">
        <v>0</v>
      </c>
      <c r="AA98" s="239">
        <v>609412</v>
      </c>
      <c r="AB98" s="239">
        <v>-39929</v>
      </c>
      <c r="AC98" s="239">
        <v>-31943</v>
      </c>
      <c r="AD98" s="239">
        <v>-7986</v>
      </c>
      <c r="AE98" s="239">
        <v>0</v>
      </c>
      <c r="AF98" s="239">
        <v>-79858</v>
      </c>
      <c r="AG98" s="239">
        <v>-68750</v>
      </c>
      <c r="AH98" s="239">
        <v>-55000</v>
      </c>
      <c r="AI98" s="239">
        <v>-13751</v>
      </c>
      <c r="AJ98" s="239">
        <v>0</v>
      </c>
      <c r="AK98" s="239">
        <v>-137501</v>
      </c>
      <c r="AL98" s="239">
        <v>53072</v>
      </c>
      <c r="AM98" s="239">
        <v>42458</v>
      </c>
      <c r="AN98" s="239">
        <v>10615</v>
      </c>
      <c r="AO98" s="239">
        <v>0</v>
      </c>
      <c r="AP98" s="239">
        <v>106145</v>
      </c>
      <c r="AQ98" s="239">
        <v>-51980</v>
      </c>
      <c r="AR98" s="239">
        <v>-41584</v>
      </c>
      <c r="AS98" s="239">
        <v>-10396</v>
      </c>
      <c r="AT98" s="239">
        <v>0</v>
      </c>
      <c r="AU98" s="239">
        <v>-103960</v>
      </c>
      <c r="AV98" s="239">
        <v>-67658</v>
      </c>
      <c r="AW98" s="239">
        <v>-54126</v>
      </c>
      <c r="AX98" s="239">
        <v>-13532</v>
      </c>
      <c r="AY98" s="239">
        <v>0</v>
      </c>
      <c r="AZ98" s="239">
        <v>-135316</v>
      </c>
      <c r="BA98" s="239">
        <v>-651854.04</v>
      </c>
      <c r="BB98" s="239">
        <v>-521484</v>
      </c>
      <c r="BC98" s="239">
        <v>-130372</v>
      </c>
      <c r="BD98" s="239">
        <v>0</v>
      </c>
      <c r="BE98" s="239">
        <v>-1303710</v>
      </c>
      <c r="BF98" s="239">
        <v>346714</v>
      </c>
      <c r="BG98" s="239">
        <v>277371</v>
      </c>
      <c r="BH98" s="239">
        <v>69343</v>
      </c>
      <c r="BI98" s="239">
        <v>0</v>
      </c>
      <c r="BJ98" s="239">
        <v>693428</v>
      </c>
      <c r="BK98" s="239">
        <v>-789321</v>
      </c>
      <c r="BL98" s="239">
        <v>-631456</v>
      </c>
      <c r="BM98" s="239">
        <v>-157864</v>
      </c>
      <c r="BN98" s="239">
        <v>0</v>
      </c>
      <c r="BO98" s="239">
        <v>-1578641</v>
      </c>
      <c r="BP98" s="239">
        <v>-1094461.04</v>
      </c>
      <c r="BQ98" s="239">
        <v>-875569</v>
      </c>
      <c r="BR98" s="239">
        <v>-218893</v>
      </c>
      <c r="BS98" s="239">
        <v>0</v>
      </c>
      <c r="BT98" s="239">
        <v>-2188923</v>
      </c>
      <c r="BU98" s="239">
        <v>-423930</v>
      </c>
      <c r="BV98" s="239">
        <v>-339144</v>
      </c>
      <c r="BW98" s="239">
        <v>-84786</v>
      </c>
      <c r="BX98" s="239">
        <v>0</v>
      </c>
      <c r="BY98" s="239">
        <v>-847860</v>
      </c>
      <c r="BZ98" s="239">
        <v>202278</v>
      </c>
      <c r="CA98" s="239">
        <v>161823</v>
      </c>
      <c r="CB98" s="239">
        <v>40456</v>
      </c>
      <c r="CC98" s="239">
        <v>0</v>
      </c>
      <c r="CD98" s="239">
        <v>404557</v>
      </c>
      <c r="CE98" s="239">
        <v>-626208</v>
      </c>
      <c r="CF98" s="239">
        <v>-500967</v>
      </c>
      <c r="CG98" s="239">
        <v>-125242</v>
      </c>
      <c r="CH98" s="239">
        <v>0</v>
      </c>
      <c r="CI98" s="239">
        <v>-1252417</v>
      </c>
      <c r="CJ98" s="239">
        <v>10604823</v>
      </c>
      <c r="CK98" s="239">
        <v>8483859</v>
      </c>
      <c r="CL98" s="239">
        <v>2120965</v>
      </c>
      <c r="CM98" s="239">
        <v>0</v>
      </c>
      <c r="CN98" s="239">
        <v>21209647</v>
      </c>
      <c r="CO98" s="239">
        <v>9528899</v>
      </c>
      <c r="CP98" s="239">
        <v>7623120</v>
      </c>
      <c r="CQ98" s="239">
        <v>1905780</v>
      </c>
      <c r="CR98" s="239">
        <v>0</v>
      </c>
      <c r="CS98" s="239">
        <v>19057799</v>
      </c>
      <c r="CT98" s="239">
        <v>-1075924</v>
      </c>
      <c r="CU98" s="239">
        <v>-860739</v>
      </c>
      <c r="CV98" s="239">
        <v>-215185</v>
      </c>
      <c r="CW98" s="239">
        <v>0</v>
      </c>
      <c r="CX98" s="239">
        <v>-2151848</v>
      </c>
      <c r="CY98" s="239">
        <v>-1702132</v>
      </c>
      <c r="CZ98" s="239">
        <v>-1361706</v>
      </c>
      <c r="DA98" s="239">
        <v>-340427</v>
      </c>
      <c r="DB98" s="239">
        <v>0</v>
      </c>
      <c r="DC98" s="239">
        <v>-3404265</v>
      </c>
      <c r="DD98" s="214">
        <v>0.5</v>
      </c>
      <c r="DE98" s="214">
        <v>0.4</v>
      </c>
      <c r="DF98" s="214">
        <v>0.1</v>
      </c>
      <c r="DG98" s="214">
        <v>0</v>
      </c>
      <c r="DH98" s="214">
        <v>1</v>
      </c>
      <c r="DI98" s="214" t="s">
        <v>1294</v>
      </c>
    </row>
    <row r="99" spans="1:113" s="214" customFormat="1" x14ac:dyDescent="0.2">
      <c r="B99" s="610" t="s">
        <v>281</v>
      </c>
      <c r="C99" s="610" t="s">
        <v>280</v>
      </c>
      <c r="D99" s="239">
        <v>30554874</v>
      </c>
      <c r="E99" s="239">
        <v>24443899</v>
      </c>
      <c r="F99" s="239">
        <v>6110975</v>
      </c>
      <c r="G99" s="239">
        <v>0</v>
      </c>
      <c r="H99" s="239">
        <v>61109748</v>
      </c>
      <c r="I99" s="239">
        <v>0</v>
      </c>
      <c r="J99" s="239">
        <v>0</v>
      </c>
      <c r="K99" s="239">
        <v>30554874</v>
      </c>
      <c r="L99" s="239">
        <v>181697</v>
      </c>
      <c r="M99" s="239">
        <v>181697</v>
      </c>
      <c r="N99" s="239">
        <v>0</v>
      </c>
      <c r="O99" s="239">
        <v>0</v>
      </c>
      <c r="P99" s="239">
        <v>0</v>
      </c>
      <c r="Q99" s="239">
        <v>0</v>
      </c>
      <c r="R99" s="239">
        <v>0</v>
      </c>
      <c r="S99" s="239">
        <v>0</v>
      </c>
      <c r="T99" s="239">
        <v>0</v>
      </c>
      <c r="U99" s="239">
        <v>0</v>
      </c>
      <c r="V99" s="239">
        <v>0</v>
      </c>
      <c r="W99" s="239">
        <v>583096</v>
      </c>
      <c r="X99" s="239">
        <v>466476</v>
      </c>
      <c r="Y99" s="239">
        <v>116619</v>
      </c>
      <c r="Z99" s="239">
        <v>0</v>
      </c>
      <c r="AA99" s="239">
        <v>1166191</v>
      </c>
      <c r="AB99" s="239">
        <v>-403106</v>
      </c>
      <c r="AC99" s="239">
        <v>-322484</v>
      </c>
      <c r="AD99" s="239">
        <v>-80621</v>
      </c>
      <c r="AE99" s="239">
        <v>0</v>
      </c>
      <c r="AF99" s="239">
        <v>-806211</v>
      </c>
      <c r="AG99" s="239">
        <v>-241000</v>
      </c>
      <c r="AH99" s="239">
        <v>-192800</v>
      </c>
      <c r="AI99" s="239">
        <v>-48200</v>
      </c>
      <c r="AJ99" s="239">
        <v>0</v>
      </c>
      <c r="AK99" s="239">
        <v>-482000</v>
      </c>
      <c r="AL99" s="239">
        <v>104431</v>
      </c>
      <c r="AM99" s="239">
        <v>83544</v>
      </c>
      <c r="AN99" s="239">
        <v>20886</v>
      </c>
      <c r="AO99" s="239">
        <v>0</v>
      </c>
      <c r="AP99" s="239">
        <v>208861</v>
      </c>
      <c r="AQ99" s="239">
        <v>-30931</v>
      </c>
      <c r="AR99" s="239">
        <v>-24744</v>
      </c>
      <c r="AS99" s="239">
        <v>-6186</v>
      </c>
      <c r="AT99" s="239">
        <v>0</v>
      </c>
      <c r="AU99" s="239">
        <v>-61861</v>
      </c>
      <c r="AV99" s="239">
        <v>-167500</v>
      </c>
      <c r="AW99" s="239">
        <v>-134000</v>
      </c>
      <c r="AX99" s="239">
        <v>-33500</v>
      </c>
      <c r="AY99" s="239">
        <v>0</v>
      </c>
      <c r="AZ99" s="239">
        <v>-335000</v>
      </c>
      <c r="BA99" s="239">
        <v>-3891116</v>
      </c>
      <c r="BB99" s="239">
        <v>-3112893</v>
      </c>
      <c r="BC99" s="239">
        <v>-778224</v>
      </c>
      <c r="BD99" s="239">
        <v>0</v>
      </c>
      <c r="BE99" s="239">
        <v>-7782233</v>
      </c>
      <c r="BF99" s="239">
        <v>160019</v>
      </c>
      <c r="BG99" s="239">
        <v>128016</v>
      </c>
      <c r="BH99" s="239">
        <v>32004</v>
      </c>
      <c r="BI99" s="239">
        <v>0</v>
      </c>
      <c r="BJ99" s="239">
        <v>320039</v>
      </c>
      <c r="BK99" s="239">
        <v>2513902</v>
      </c>
      <c r="BL99" s="239">
        <v>2011122</v>
      </c>
      <c r="BM99" s="239">
        <v>502781</v>
      </c>
      <c r="BN99" s="239">
        <v>0</v>
      </c>
      <c r="BO99" s="239">
        <v>5027805</v>
      </c>
      <c r="BP99" s="239">
        <v>-1217195</v>
      </c>
      <c r="BQ99" s="239">
        <v>-973755</v>
      </c>
      <c r="BR99" s="239">
        <v>-243439</v>
      </c>
      <c r="BS99" s="239">
        <v>0</v>
      </c>
      <c r="BT99" s="239">
        <v>-2434389</v>
      </c>
      <c r="BU99" s="239">
        <v>-2995500</v>
      </c>
      <c r="BV99" s="239">
        <v>-2396400</v>
      </c>
      <c r="BW99" s="239">
        <v>-599100</v>
      </c>
      <c r="BX99" s="239">
        <v>0</v>
      </c>
      <c r="BY99" s="239">
        <v>-5991000</v>
      </c>
      <c r="BZ99" s="239">
        <v>-142563</v>
      </c>
      <c r="CA99" s="239">
        <v>-114051</v>
      </c>
      <c r="CB99" s="239">
        <v>-28513</v>
      </c>
      <c r="CC99" s="239">
        <v>0</v>
      </c>
      <c r="CD99" s="239">
        <v>-285127</v>
      </c>
      <c r="CE99" s="239">
        <v>-2852937</v>
      </c>
      <c r="CF99" s="239">
        <v>-2282349</v>
      </c>
      <c r="CG99" s="239">
        <v>-570587</v>
      </c>
      <c r="CH99" s="239">
        <v>0</v>
      </c>
      <c r="CI99" s="239">
        <v>-5705873</v>
      </c>
      <c r="CJ99" s="239">
        <v>26902484</v>
      </c>
      <c r="CK99" s="239">
        <v>21521988</v>
      </c>
      <c r="CL99" s="239">
        <v>5380497</v>
      </c>
      <c r="CM99" s="239">
        <v>0</v>
      </c>
      <c r="CN99" s="239">
        <v>53804969</v>
      </c>
      <c r="CO99" s="239">
        <v>30554874</v>
      </c>
      <c r="CP99" s="239">
        <v>24443899</v>
      </c>
      <c r="CQ99" s="239">
        <v>6110975</v>
      </c>
      <c r="CR99" s="239">
        <v>0</v>
      </c>
      <c r="CS99" s="239">
        <v>61109748</v>
      </c>
      <c r="CT99" s="239">
        <v>3652390</v>
      </c>
      <c r="CU99" s="239">
        <v>2921911</v>
      </c>
      <c r="CV99" s="239">
        <v>730478</v>
      </c>
      <c r="CW99" s="239">
        <v>0</v>
      </c>
      <c r="CX99" s="239">
        <v>7304779</v>
      </c>
      <c r="CY99" s="239">
        <v>799453</v>
      </c>
      <c r="CZ99" s="239">
        <v>639562</v>
      </c>
      <c r="DA99" s="239">
        <v>159891</v>
      </c>
      <c r="DB99" s="239">
        <v>0</v>
      </c>
      <c r="DC99" s="239">
        <v>1598906</v>
      </c>
      <c r="DD99" s="214">
        <v>0.5</v>
      </c>
      <c r="DE99" s="214">
        <v>0.4</v>
      </c>
      <c r="DF99" s="214">
        <v>0.1</v>
      </c>
      <c r="DG99" s="214">
        <v>0</v>
      </c>
      <c r="DH99" s="214">
        <v>1</v>
      </c>
      <c r="DI99" s="214" t="s">
        <v>1294</v>
      </c>
    </row>
    <row r="100" spans="1:113" s="214" customFormat="1" x14ac:dyDescent="0.2">
      <c r="B100" s="610" t="s">
        <v>283</v>
      </c>
      <c r="C100" s="610" t="s">
        <v>282</v>
      </c>
      <c r="D100" s="239">
        <v>49981517</v>
      </c>
      <c r="E100" s="239">
        <v>29988911</v>
      </c>
      <c r="F100" s="239">
        <v>19992607</v>
      </c>
      <c r="G100" s="239">
        <v>0</v>
      </c>
      <c r="H100" s="239">
        <v>99963035</v>
      </c>
      <c r="I100" s="239">
        <v>0</v>
      </c>
      <c r="J100" s="239">
        <v>0</v>
      </c>
      <c r="K100" s="239">
        <v>49981517</v>
      </c>
      <c r="L100" s="239">
        <v>346759</v>
      </c>
      <c r="M100" s="239">
        <v>346759</v>
      </c>
      <c r="N100" s="239">
        <v>0</v>
      </c>
      <c r="O100" s="239">
        <v>0</v>
      </c>
      <c r="P100" s="239">
        <v>0</v>
      </c>
      <c r="Q100" s="239">
        <v>0</v>
      </c>
      <c r="R100" s="239">
        <v>0</v>
      </c>
      <c r="S100" s="239">
        <v>0</v>
      </c>
      <c r="T100" s="239">
        <v>0</v>
      </c>
      <c r="U100" s="239">
        <v>0</v>
      </c>
      <c r="V100" s="239">
        <v>0</v>
      </c>
      <c r="W100" s="239">
        <v>3970112</v>
      </c>
      <c r="X100" s="239">
        <v>2382068</v>
      </c>
      <c r="Y100" s="239">
        <v>1588045</v>
      </c>
      <c r="Z100" s="239">
        <v>0</v>
      </c>
      <c r="AA100" s="239">
        <v>7940225</v>
      </c>
      <c r="AB100" s="239">
        <v>-2345048</v>
      </c>
      <c r="AC100" s="239">
        <v>-1407029</v>
      </c>
      <c r="AD100" s="239">
        <v>-938019</v>
      </c>
      <c r="AE100" s="239">
        <v>0</v>
      </c>
      <c r="AF100" s="239">
        <v>-4690096</v>
      </c>
      <c r="AG100" s="239">
        <v>-2391631</v>
      </c>
      <c r="AH100" s="239">
        <v>-1434978</v>
      </c>
      <c r="AI100" s="239">
        <v>-956653</v>
      </c>
      <c r="AJ100" s="239">
        <v>0</v>
      </c>
      <c r="AK100" s="239">
        <v>-4783262</v>
      </c>
      <c r="AL100" s="239">
        <v>502374</v>
      </c>
      <c r="AM100" s="239">
        <v>301425</v>
      </c>
      <c r="AN100" s="239">
        <v>200950</v>
      </c>
      <c r="AO100" s="239">
        <v>0</v>
      </c>
      <c r="AP100" s="239">
        <v>1004749</v>
      </c>
      <c r="AQ100" s="239">
        <v>-702052</v>
      </c>
      <c r="AR100" s="239">
        <v>-421231</v>
      </c>
      <c r="AS100" s="239">
        <v>-280821</v>
      </c>
      <c r="AT100" s="239">
        <v>0</v>
      </c>
      <c r="AU100" s="239">
        <v>-1404104</v>
      </c>
      <c r="AV100" s="239">
        <v>-2591309</v>
      </c>
      <c r="AW100" s="239">
        <v>-1554784</v>
      </c>
      <c r="AX100" s="239">
        <v>-1036524</v>
      </c>
      <c r="AY100" s="239">
        <v>0</v>
      </c>
      <c r="AZ100" s="239">
        <v>-5182617</v>
      </c>
      <c r="BA100" s="239">
        <v>-3673471.5</v>
      </c>
      <c r="BB100" s="239">
        <v>-2204082</v>
      </c>
      <c r="BC100" s="239">
        <v>-1469389</v>
      </c>
      <c r="BD100" s="239">
        <v>0</v>
      </c>
      <c r="BE100" s="239">
        <v>-7346942.5</v>
      </c>
      <c r="BF100" s="239">
        <v>0</v>
      </c>
      <c r="BG100" s="239">
        <v>0</v>
      </c>
      <c r="BH100" s="239">
        <v>0</v>
      </c>
      <c r="BI100" s="239">
        <v>0</v>
      </c>
      <c r="BJ100" s="239">
        <v>0</v>
      </c>
      <c r="BK100" s="239">
        <v>-2628045</v>
      </c>
      <c r="BL100" s="239">
        <v>-1576827</v>
      </c>
      <c r="BM100" s="239">
        <v>-1051218</v>
      </c>
      <c r="BN100" s="239">
        <v>0</v>
      </c>
      <c r="BO100" s="239">
        <v>-5256090</v>
      </c>
      <c r="BP100" s="239">
        <v>-6301516.5</v>
      </c>
      <c r="BQ100" s="239">
        <v>-3780909</v>
      </c>
      <c r="BR100" s="239">
        <v>-2520607</v>
      </c>
      <c r="BS100" s="239">
        <v>0</v>
      </c>
      <c r="BT100" s="239">
        <v>-12603032.5</v>
      </c>
      <c r="BU100" s="239">
        <v>-4889762</v>
      </c>
      <c r="BV100" s="239">
        <v>-2933857</v>
      </c>
      <c r="BW100" s="239">
        <v>-1955905</v>
      </c>
      <c r="BX100" s="239">
        <v>0</v>
      </c>
      <c r="BY100" s="239">
        <v>-9779524</v>
      </c>
      <c r="BZ100" s="239">
        <v>-3594949</v>
      </c>
      <c r="CA100" s="239">
        <v>-2156969</v>
      </c>
      <c r="CB100" s="239">
        <v>-1437980</v>
      </c>
      <c r="CC100" s="239">
        <v>0</v>
      </c>
      <c r="CD100" s="239">
        <v>-7189898</v>
      </c>
      <c r="CE100" s="239">
        <v>-1294813</v>
      </c>
      <c r="CF100" s="239">
        <v>-776888</v>
      </c>
      <c r="CG100" s="239">
        <v>-517925</v>
      </c>
      <c r="CH100" s="239">
        <v>0</v>
      </c>
      <c r="CI100" s="239">
        <v>-2589626</v>
      </c>
      <c r="CJ100" s="239">
        <v>52531811</v>
      </c>
      <c r="CK100" s="239">
        <v>31519087</v>
      </c>
      <c r="CL100" s="239">
        <v>21012724</v>
      </c>
      <c r="CM100" s="239">
        <v>0</v>
      </c>
      <c r="CN100" s="239">
        <v>105063622</v>
      </c>
      <c r="CO100" s="239">
        <v>49981517</v>
      </c>
      <c r="CP100" s="239">
        <v>29988911</v>
      </c>
      <c r="CQ100" s="239">
        <v>19992607</v>
      </c>
      <c r="CR100" s="239">
        <v>0</v>
      </c>
      <c r="CS100" s="239">
        <v>99963035</v>
      </c>
      <c r="CT100" s="239">
        <v>-2550294</v>
      </c>
      <c r="CU100" s="239">
        <v>-1530176</v>
      </c>
      <c r="CV100" s="239">
        <v>-1020117</v>
      </c>
      <c r="CW100" s="239">
        <v>0</v>
      </c>
      <c r="CX100" s="239">
        <v>-5100587</v>
      </c>
      <c r="CY100" s="239">
        <v>-3845107</v>
      </c>
      <c r="CZ100" s="239">
        <v>-2307064</v>
      </c>
      <c r="DA100" s="239">
        <v>-1538042</v>
      </c>
      <c r="DB100" s="239">
        <v>0</v>
      </c>
      <c r="DC100" s="239">
        <v>-7690213</v>
      </c>
      <c r="DD100" s="214">
        <v>0.5</v>
      </c>
      <c r="DE100" s="214">
        <v>0.3</v>
      </c>
      <c r="DF100" s="214">
        <v>0.2</v>
      </c>
      <c r="DG100" s="214">
        <v>0</v>
      </c>
      <c r="DH100" s="214">
        <v>1</v>
      </c>
      <c r="DI100" s="214" t="s">
        <v>1295</v>
      </c>
    </row>
    <row r="101" spans="1:113" s="214" customFormat="1" x14ac:dyDescent="0.2">
      <c r="B101" s="610" t="s">
        <v>285</v>
      </c>
      <c r="C101" s="610" t="s">
        <v>284</v>
      </c>
      <c r="D101" s="239">
        <v>16756881</v>
      </c>
      <c r="E101" s="239">
        <v>13405504</v>
      </c>
      <c r="F101" s="239">
        <v>3016238</v>
      </c>
      <c r="G101" s="239">
        <v>335138</v>
      </c>
      <c r="H101" s="239">
        <v>33513761</v>
      </c>
      <c r="I101" s="239">
        <v>0</v>
      </c>
      <c r="J101" s="239">
        <v>0</v>
      </c>
      <c r="K101" s="239">
        <v>16756881</v>
      </c>
      <c r="L101" s="239">
        <v>170744</v>
      </c>
      <c r="M101" s="239">
        <v>170744</v>
      </c>
      <c r="N101" s="239">
        <v>0</v>
      </c>
      <c r="O101" s="239">
        <v>0</v>
      </c>
      <c r="P101" s="239">
        <v>0</v>
      </c>
      <c r="Q101" s="239">
        <v>0</v>
      </c>
      <c r="R101" s="239">
        <v>0</v>
      </c>
      <c r="S101" s="239">
        <v>0</v>
      </c>
      <c r="T101" s="239">
        <v>0</v>
      </c>
      <c r="U101" s="239">
        <v>0</v>
      </c>
      <c r="V101" s="239">
        <v>0</v>
      </c>
      <c r="W101" s="239">
        <v>615769</v>
      </c>
      <c r="X101" s="239">
        <v>492616</v>
      </c>
      <c r="Y101" s="239">
        <v>110839</v>
      </c>
      <c r="Z101" s="239">
        <v>12315</v>
      </c>
      <c r="AA101" s="239">
        <v>1231539</v>
      </c>
      <c r="AB101" s="239">
        <v>-480880</v>
      </c>
      <c r="AC101" s="239">
        <v>-384705</v>
      </c>
      <c r="AD101" s="239">
        <v>-86559</v>
      </c>
      <c r="AE101" s="239">
        <v>-9618</v>
      </c>
      <c r="AF101" s="239">
        <v>-961762</v>
      </c>
      <c r="AG101" s="239">
        <v>-166292</v>
      </c>
      <c r="AH101" s="239">
        <v>-133034</v>
      </c>
      <c r="AI101" s="239">
        <v>-29933</v>
      </c>
      <c r="AJ101" s="239">
        <v>-3326</v>
      </c>
      <c r="AK101" s="239">
        <v>-332585</v>
      </c>
      <c r="AL101" s="239">
        <v>159862</v>
      </c>
      <c r="AM101" s="239">
        <v>127890</v>
      </c>
      <c r="AN101" s="239">
        <v>28775</v>
      </c>
      <c r="AO101" s="239">
        <v>3197</v>
      </c>
      <c r="AP101" s="239">
        <v>319724</v>
      </c>
      <c r="AQ101" s="239">
        <v>-160155</v>
      </c>
      <c r="AR101" s="239">
        <v>-128124</v>
      </c>
      <c r="AS101" s="239">
        <v>-28828</v>
      </c>
      <c r="AT101" s="239">
        <v>-3203</v>
      </c>
      <c r="AU101" s="239">
        <v>-320310</v>
      </c>
      <c r="AV101" s="239">
        <v>-166585</v>
      </c>
      <c r="AW101" s="239">
        <v>-133268</v>
      </c>
      <c r="AX101" s="239">
        <v>-29986</v>
      </c>
      <c r="AY101" s="239">
        <v>-3332</v>
      </c>
      <c r="AZ101" s="239">
        <v>-333171</v>
      </c>
      <c r="BA101" s="239">
        <v>-1630970</v>
      </c>
      <c r="BB101" s="239">
        <v>-1304778</v>
      </c>
      <c r="BC101" s="239">
        <v>-293575</v>
      </c>
      <c r="BD101" s="239">
        <v>-32619</v>
      </c>
      <c r="BE101" s="239">
        <v>-3261942</v>
      </c>
      <c r="BF101" s="239">
        <v>412603</v>
      </c>
      <c r="BG101" s="239">
        <v>330083</v>
      </c>
      <c r="BH101" s="239">
        <v>74269</v>
      </c>
      <c r="BI101" s="239">
        <v>8252</v>
      </c>
      <c r="BJ101" s="239">
        <v>825207</v>
      </c>
      <c r="BK101" s="239">
        <v>-568935</v>
      </c>
      <c r="BL101" s="239">
        <v>-455148</v>
      </c>
      <c r="BM101" s="239">
        <v>-102408</v>
      </c>
      <c r="BN101" s="239">
        <v>-11379</v>
      </c>
      <c r="BO101" s="239">
        <v>-1137870</v>
      </c>
      <c r="BP101" s="239">
        <v>-1787302</v>
      </c>
      <c r="BQ101" s="239">
        <v>-1429843</v>
      </c>
      <c r="BR101" s="239">
        <v>-321714</v>
      </c>
      <c r="BS101" s="239">
        <v>-35746</v>
      </c>
      <c r="BT101" s="239">
        <v>-3574605</v>
      </c>
      <c r="BU101" s="239">
        <v>-523293</v>
      </c>
      <c r="BV101" s="239">
        <v>-418634</v>
      </c>
      <c r="BW101" s="239">
        <v>-94193</v>
      </c>
      <c r="BX101" s="239">
        <v>-10466</v>
      </c>
      <c r="BY101" s="239">
        <v>-1046586</v>
      </c>
      <c r="BZ101" s="239">
        <v>-315836</v>
      </c>
      <c r="CA101" s="239">
        <v>-252669</v>
      </c>
      <c r="CB101" s="239">
        <v>-56851</v>
      </c>
      <c r="CC101" s="239">
        <v>-6317</v>
      </c>
      <c r="CD101" s="239">
        <v>-631673</v>
      </c>
      <c r="CE101" s="239">
        <v>-207457</v>
      </c>
      <c r="CF101" s="239">
        <v>-165965</v>
      </c>
      <c r="CG101" s="239">
        <v>-37342</v>
      </c>
      <c r="CH101" s="239">
        <v>-4149</v>
      </c>
      <c r="CI101" s="239">
        <v>-414913</v>
      </c>
      <c r="CJ101" s="239">
        <v>17306603</v>
      </c>
      <c r="CK101" s="239">
        <v>13845282</v>
      </c>
      <c r="CL101" s="239">
        <v>3115188</v>
      </c>
      <c r="CM101" s="239">
        <v>346132</v>
      </c>
      <c r="CN101" s="239">
        <v>34613205</v>
      </c>
      <c r="CO101" s="239">
        <v>16756881</v>
      </c>
      <c r="CP101" s="239">
        <v>13405504</v>
      </c>
      <c r="CQ101" s="239">
        <v>3016238</v>
      </c>
      <c r="CR101" s="239">
        <v>335138</v>
      </c>
      <c r="CS101" s="239">
        <v>33513761</v>
      </c>
      <c r="CT101" s="239">
        <v>-549722</v>
      </c>
      <c r="CU101" s="239">
        <v>-439778</v>
      </c>
      <c r="CV101" s="239">
        <v>-98950</v>
      </c>
      <c r="CW101" s="239">
        <v>-10994</v>
      </c>
      <c r="CX101" s="239">
        <v>-1099444</v>
      </c>
      <c r="CY101" s="239">
        <v>-757179</v>
      </c>
      <c r="CZ101" s="239">
        <v>-605743</v>
      </c>
      <c r="DA101" s="239">
        <v>-136292</v>
      </c>
      <c r="DB101" s="239">
        <v>-15143</v>
      </c>
      <c r="DC101" s="239">
        <v>-1514357</v>
      </c>
      <c r="DD101" s="214">
        <v>0.5</v>
      </c>
      <c r="DE101" s="214">
        <v>0.4</v>
      </c>
      <c r="DF101" s="214">
        <v>0.09</v>
      </c>
      <c r="DG101" s="214">
        <v>0.01</v>
      </c>
      <c r="DH101" s="214">
        <v>1</v>
      </c>
      <c r="DI101" s="214" t="s">
        <v>1294</v>
      </c>
    </row>
    <row r="102" spans="1:113" s="214" customFormat="1" x14ac:dyDescent="0.2">
      <c r="B102" s="610" t="s">
        <v>287</v>
      </c>
      <c r="C102" s="610" t="s">
        <v>286</v>
      </c>
      <c r="D102" s="239">
        <v>11428315</v>
      </c>
      <c r="E102" s="239">
        <v>9142652</v>
      </c>
      <c r="F102" s="239">
        <v>2285663</v>
      </c>
      <c r="G102" s="239">
        <v>0</v>
      </c>
      <c r="H102" s="239">
        <v>22856630</v>
      </c>
      <c r="I102" s="239">
        <v>0</v>
      </c>
      <c r="J102" s="239">
        <v>0</v>
      </c>
      <c r="K102" s="239">
        <v>11428315</v>
      </c>
      <c r="L102" s="239">
        <v>86618</v>
      </c>
      <c r="M102" s="239">
        <v>86618</v>
      </c>
      <c r="N102" s="239">
        <v>0</v>
      </c>
      <c r="O102" s="239">
        <v>0</v>
      </c>
      <c r="P102" s="239">
        <v>0</v>
      </c>
      <c r="Q102" s="239">
        <v>0</v>
      </c>
      <c r="R102" s="239">
        <v>0</v>
      </c>
      <c r="S102" s="239">
        <v>0</v>
      </c>
      <c r="T102" s="239">
        <v>0</v>
      </c>
      <c r="U102" s="239">
        <v>0</v>
      </c>
      <c r="V102" s="239">
        <v>0</v>
      </c>
      <c r="W102" s="239">
        <v>103209</v>
      </c>
      <c r="X102" s="239">
        <v>82567</v>
      </c>
      <c r="Y102" s="239">
        <v>20642</v>
      </c>
      <c r="Z102" s="239">
        <v>0</v>
      </c>
      <c r="AA102" s="239">
        <v>206418</v>
      </c>
      <c r="AB102" s="239">
        <v>-84097</v>
      </c>
      <c r="AC102" s="239">
        <v>-67278</v>
      </c>
      <c r="AD102" s="239">
        <v>-16820</v>
      </c>
      <c r="AE102" s="239">
        <v>0</v>
      </c>
      <c r="AF102" s="239">
        <v>-168195</v>
      </c>
      <c r="AG102" s="239">
        <v>-33113</v>
      </c>
      <c r="AH102" s="239">
        <v>-26491</v>
      </c>
      <c r="AI102" s="239">
        <v>-6622</v>
      </c>
      <c r="AJ102" s="239">
        <v>0</v>
      </c>
      <c r="AK102" s="239">
        <v>-66226</v>
      </c>
      <c r="AL102" s="239">
        <v>13823</v>
      </c>
      <c r="AM102" s="239">
        <v>11059</v>
      </c>
      <c r="AN102" s="239">
        <v>2765</v>
      </c>
      <c r="AO102" s="239">
        <v>0</v>
      </c>
      <c r="AP102" s="239">
        <v>27647</v>
      </c>
      <c r="AQ102" s="239">
        <v>-28382</v>
      </c>
      <c r="AR102" s="239">
        <v>-22705</v>
      </c>
      <c r="AS102" s="239">
        <v>-5676</v>
      </c>
      <c r="AT102" s="239">
        <v>0</v>
      </c>
      <c r="AU102" s="239">
        <v>-56763</v>
      </c>
      <c r="AV102" s="239">
        <v>-47672</v>
      </c>
      <c r="AW102" s="239">
        <v>-38137</v>
      </c>
      <c r="AX102" s="239">
        <v>-9533</v>
      </c>
      <c r="AY102" s="239">
        <v>0</v>
      </c>
      <c r="AZ102" s="239">
        <v>-95342</v>
      </c>
      <c r="BA102" s="239">
        <v>-640272</v>
      </c>
      <c r="BB102" s="239">
        <v>-512218</v>
      </c>
      <c r="BC102" s="239">
        <v>-128055</v>
      </c>
      <c r="BD102" s="239">
        <v>0</v>
      </c>
      <c r="BE102" s="239">
        <v>-1280545</v>
      </c>
      <c r="BF102" s="239">
        <v>112682</v>
      </c>
      <c r="BG102" s="239">
        <v>90146</v>
      </c>
      <c r="BH102" s="239">
        <v>22536</v>
      </c>
      <c r="BI102" s="239">
        <v>0</v>
      </c>
      <c r="BJ102" s="239">
        <v>225364</v>
      </c>
      <c r="BK102" s="239">
        <v>-425840</v>
      </c>
      <c r="BL102" s="239">
        <v>-340672</v>
      </c>
      <c r="BM102" s="239">
        <v>-85168</v>
      </c>
      <c r="BN102" s="239">
        <v>0</v>
      </c>
      <c r="BO102" s="239">
        <v>-851680</v>
      </c>
      <c r="BP102" s="239">
        <v>-953430</v>
      </c>
      <c r="BQ102" s="239">
        <v>-762744</v>
      </c>
      <c r="BR102" s="239">
        <v>-190687</v>
      </c>
      <c r="BS102" s="239">
        <v>0</v>
      </c>
      <c r="BT102" s="239">
        <v>-1906861</v>
      </c>
      <c r="BU102" s="239">
        <v>-504613</v>
      </c>
      <c r="BV102" s="239">
        <v>-403691</v>
      </c>
      <c r="BW102" s="239">
        <v>-100923</v>
      </c>
      <c r="BX102" s="239">
        <v>0</v>
      </c>
      <c r="BY102" s="239">
        <v>-1009227</v>
      </c>
      <c r="BZ102" s="239">
        <v>-375215</v>
      </c>
      <c r="CA102" s="239">
        <v>-300172</v>
      </c>
      <c r="CB102" s="239">
        <v>-75043</v>
      </c>
      <c r="CC102" s="239">
        <v>0</v>
      </c>
      <c r="CD102" s="239">
        <v>-750430</v>
      </c>
      <c r="CE102" s="239">
        <v>-129398</v>
      </c>
      <c r="CF102" s="239">
        <v>-103519</v>
      </c>
      <c r="CG102" s="239">
        <v>-25880</v>
      </c>
      <c r="CH102" s="239">
        <v>0</v>
      </c>
      <c r="CI102" s="239">
        <v>-258797</v>
      </c>
      <c r="CJ102" s="239">
        <v>11550508</v>
      </c>
      <c r="CK102" s="239">
        <v>9240406</v>
      </c>
      <c r="CL102" s="239">
        <v>2310102</v>
      </c>
      <c r="CM102" s="239">
        <v>0</v>
      </c>
      <c r="CN102" s="239">
        <v>23101016</v>
      </c>
      <c r="CO102" s="239">
        <v>11428315</v>
      </c>
      <c r="CP102" s="239">
        <v>9142652</v>
      </c>
      <c r="CQ102" s="239">
        <v>2285663</v>
      </c>
      <c r="CR102" s="239">
        <v>0</v>
      </c>
      <c r="CS102" s="239">
        <v>22856630</v>
      </c>
      <c r="CT102" s="239">
        <v>-122193</v>
      </c>
      <c r="CU102" s="239">
        <v>-97754</v>
      </c>
      <c r="CV102" s="239">
        <v>-24439</v>
      </c>
      <c r="CW102" s="239">
        <v>0</v>
      </c>
      <c r="CX102" s="239">
        <v>-244386</v>
      </c>
      <c r="CY102" s="239">
        <v>-251591</v>
      </c>
      <c r="CZ102" s="239">
        <v>-201273</v>
      </c>
      <c r="DA102" s="239">
        <v>-50319</v>
      </c>
      <c r="DB102" s="239">
        <v>0</v>
      </c>
      <c r="DC102" s="239">
        <v>-503183</v>
      </c>
      <c r="DD102" s="214">
        <v>0.5</v>
      </c>
      <c r="DE102" s="214">
        <v>0.4</v>
      </c>
      <c r="DF102" s="214">
        <v>0.1</v>
      </c>
      <c r="DG102" s="214">
        <v>0</v>
      </c>
      <c r="DH102" s="214">
        <v>1</v>
      </c>
      <c r="DI102" s="214" t="s">
        <v>1294</v>
      </c>
    </row>
    <row r="103" spans="1:113" s="214" customFormat="1" x14ac:dyDescent="0.2">
      <c r="B103" s="610" t="s">
        <v>289</v>
      </c>
      <c r="C103" s="610" t="s">
        <v>288</v>
      </c>
      <c r="D103" s="239">
        <v>12417655</v>
      </c>
      <c r="E103" s="239">
        <v>9934124</v>
      </c>
      <c r="F103" s="239">
        <v>2235178</v>
      </c>
      <c r="G103" s="239">
        <v>248353</v>
      </c>
      <c r="H103" s="239">
        <v>24835310</v>
      </c>
      <c r="I103" s="239">
        <v>0</v>
      </c>
      <c r="J103" s="239">
        <v>0</v>
      </c>
      <c r="K103" s="239">
        <v>12417655</v>
      </c>
      <c r="L103" s="239">
        <v>134058</v>
      </c>
      <c r="M103" s="239">
        <v>134058</v>
      </c>
      <c r="N103" s="239">
        <v>0</v>
      </c>
      <c r="O103" s="239">
        <v>0</v>
      </c>
      <c r="P103" s="239">
        <v>0</v>
      </c>
      <c r="Q103" s="239">
        <v>0</v>
      </c>
      <c r="R103" s="239">
        <v>0</v>
      </c>
      <c r="S103" s="239">
        <v>0</v>
      </c>
      <c r="T103" s="239">
        <v>0</v>
      </c>
      <c r="U103" s="239">
        <v>0</v>
      </c>
      <c r="V103" s="239">
        <v>0</v>
      </c>
      <c r="W103" s="239">
        <v>649949</v>
      </c>
      <c r="X103" s="239">
        <v>519960</v>
      </c>
      <c r="Y103" s="239">
        <v>116991</v>
      </c>
      <c r="Z103" s="239">
        <v>12999</v>
      </c>
      <c r="AA103" s="239">
        <v>1299899</v>
      </c>
      <c r="AB103" s="239">
        <v>-225324</v>
      </c>
      <c r="AC103" s="239">
        <v>-180260</v>
      </c>
      <c r="AD103" s="239">
        <v>-40559</v>
      </c>
      <c r="AE103" s="239">
        <v>-4507</v>
      </c>
      <c r="AF103" s="239">
        <v>-450650</v>
      </c>
      <c r="AG103" s="239">
        <v>-269000</v>
      </c>
      <c r="AH103" s="239">
        <v>-215200</v>
      </c>
      <c r="AI103" s="239">
        <v>-48420</v>
      </c>
      <c r="AJ103" s="239">
        <v>-5380</v>
      </c>
      <c r="AK103" s="239">
        <v>-538000</v>
      </c>
      <c r="AL103" s="239">
        <v>69542</v>
      </c>
      <c r="AM103" s="239">
        <v>55633</v>
      </c>
      <c r="AN103" s="239">
        <v>12517</v>
      </c>
      <c r="AO103" s="239">
        <v>1391</v>
      </c>
      <c r="AP103" s="239">
        <v>139083</v>
      </c>
      <c r="AQ103" s="239">
        <v>-198542</v>
      </c>
      <c r="AR103" s="239">
        <v>-158833</v>
      </c>
      <c r="AS103" s="239">
        <v>-35737</v>
      </c>
      <c r="AT103" s="239">
        <v>-3971</v>
      </c>
      <c r="AU103" s="239">
        <v>-397083</v>
      </c>
      <c r="AV103" s="239">
        <v>-398000</v>
      </c>
      <c r="AW103" s="239">
        <v>-318400</v>
      </c>
      <c r="AX103" s="239">
        <v>-71640</v>
      </c>
      <c r="AY103" s="239">
        <v>-7960</v>
      </c>
      <c r="AZ103" s="239">
        <v>-796000</v>
      </c>
      <c r="BA103" s="239">
        <v>-217000</v>
      </c>
      <c r="BB103" s="239">
        <v>-173600</v>
      </c>
      <c r="BC103" s="239">
        <v>-39060</v>
      </c>
      <c r="BD103" s="239">
        <v>-4340</v>
      </c>
      <c r="BE103" s="239">
        <v>-434000</v>
      </c>
      <c r="BF103" s="239">
        <v>177409</v>
      </c>
      <c r="BG103" s="239">
        <v>141928</v>
      </c>
      <c r="BH103" s="239">
        <v>31934</v>
      </c>
      <c r="BI103" s="239">
        <v>3548</v>
      </c>
      <c r="BJ103" s="239">
        <v>354819</v>
      </c>
      <c r="BK103" s="239">
        <v>-247409</v>
      </c>
      <c r="BL103" s="239">
        <v>-197928</v>
      </c>
      <c r="BM103" s="239">
        <v>-44534</v>
      </c>
      <c r="BN103" s="239">
        <v>-4948</v>
      </c>
      <c r="BO103" s="239">
        <v>-494819</v>
      </c>
      <c r="BP103" s="239">
        <v>-287000</v>
      </c>
      <c r="BQ103" s="239">
        <v>-229600</v>
      </c>
      <c r="BR103" s="239">
        <v>-51660</v>
      </c>
      <c r="BS103" s="239">
        <v>-5740</v>
      </c>
      <c r="BT103" s="239">
        <v>-574000</v>
      </c>
      <c r="BU103" s="239">
        <v>532217</v>
      </c>
      <c r="BV103" s="239">
        <v>425774</v>
      </c>
      <c r="BW103" s="239">
        <v>95799</v>
      </c>
      <c r="BX103" s="239">
        <v>10644</v>
      </c>
      <c r="BY103" s="239">
        <v>1064434</v>
      </c>
      <c r="BZ103" s="239">
        <v>441201</v>
      </c>
      <c r="CA103" s="239">
        <v>352960</v>
      </c>
      <c r="CB103" s="239">
        <v>79416</v>
      </c>
      <c r="CC103" s="239">
        <v>8824</v>
      </c>
      <c r="CD103" s="239">
        <v>882401</v>
      </c>
      <c r="CE103" s="239">
        <v>91016</v>
      </c>
      <c r="CF103" s="239">
        <v>72814</v>
      </c>
      <c r="CG103" s="239">
        <v>16383</v>
      </c>
      <c r="CH103" s="239">
        <v>1820</v>
      </c>
      <c r="CI103" s="239">
        <v>182033</v>
      </c>
      <c r="CJ103" s="239">
        <v>12989496</v>
      </c>
      <c r="CK103" s="239">
        <v>10391597</v>
      </c>
      <c r="CL103" s="239">
        <v>2338109</v>
      </c>
      <c r="CM103" s="239">
        <v>259790</v>
      </c>
      <c r="CN103" s="239">
        <v>25978992</v>
      </c>
      <c r="CO103" s="239">
        <v>12417655</v>
      </c>
      <c r="CP103" s="239">
        <v>9934124</v>
      </c>
      <c r="CQ103" s="239">
        <v>2235178</v>
      </c>
      <c r="CR103" s="239">
        <v>248353</v>
      </c>
      <c r="CS103" s="239">
        <v>24835310</v>
      </c>
      <c r="CT103" s="239">
        <v>-571841</v>
      </c>
      <c r="CU103" s="239">
        <v>-457473</v>
      </c>
      <c r="CV103" s="239">
        <v>-102931</v>
      </c>
      <c r="CW103" s="239">
        <v>-11437</v>
      </c>
      <c r="CX103" s="239">
        <v>-1143682</v>
      </c>
      <c r="CY103" s="239">
        <v>-480825</v>
      </c>
      <c r="CZ103" s="239">
        <v>-384659</v>
      </c>
      <c r="DA103" s="239">
        <v>-86548</v>
      </c>
      <c r="DB103" s="239">
        <v>-9617</v>
      </c>
      <c r="DC103" s="239">
        <v>-961649</v>
      </c>
      <c r="DD103" s="214">
        <v>0.5</v>
      </c>
      <c r="DE103" s="214">
        <v>0.4</v>
      </c>
      <c r="DF103" s="214">
        <v>0.09</v>
      </c>
      <c r="DG103" s="214">
        <v>0.01</v>
      </c>
      <c r="DH103" s="214">
        <v>1</v>
      </c>
      <c r="DI103" s="214" t="s">
        <v>1294</v>
      </c>
    </row>
    <row r="104" spans="1:113" s="214" customFormat="1" x14ac:dyDescent="0.2">
      <c r="B104" s="610" t="s">
        <v>291</v>
      </c>
      <c r="C104" s="610" t="s">
        <v>290</v>
      </c>
      <c r="D104" s="239">
        <v>39081889</v>
      </c>
      <c r="E104" s="239">
        <v>31265512</v>
      </c>
      <c r="F104" s="239">
        <v>7034740</v>
      </c>
      <c r="G104" s="239">
        <v>781638</v>
      </c>
      <c r="H104" s="239">
        <v>78163779</v>
      </c>
      <c r="I104" s="239">
        <v>0</v>
      </c>
      <c r="J104" s="239">
        <v>0</v>
      </c>
      <c r="K104" s="239">
        <v>39081889</v>
      </c>
      <c r="L104" s="239">
        <v>220072</v>
      </c>
      <c r="M104" s="239">
        <v>220072</v>
      </c>
      <c r="N104" s="239">
        <v>0</v>
      </c>
      <c r="O104" s="239">
        <v>0</v>
      </c>
      <c r="P104" s="239">
        <v>0</v>
      </c>
      <c r="Q104" s="239">
        <v>0</v>
      </c>
      <c r="R104" s="239">
        <v>0</v>
      </c>
      <c r="S104" s="239">
        <v>0</v>
      </c>
      <c r="T104" s="239">
        <v>0</v>
      </c>
      <c r="U104" s="239">
        <v>0</v>
      </c>
      <c r="V104" s="239">
        <v>0</v>
      </c>
      <c r="W104" s="239">
        <v>958627</v>
      </c>
      <c r="X104" s="239">
        <v>766902</v>
      </c>
      <c r="Y104" s="239">
        <v>172553</v>
      </c>
      <c r="Z104" s="239">
        <v>19173</v>
      </c>
      <c r="AA104" s="239">
        <v>1917255</v>
      </c>
      <c r="AB104" s="239">
        <v>-548281</v>
      </c>
      <c r="AC104" s="239">
        <v>-438624</v>
      </c>
      <c r="AD104" s="239">
        <v>-98690</v>
      </c>
      <c r="AE104" s="239">
        <v>-10966</v>
      </c>
      <c r="AF104" s="239">
        <v>-1096561</v>
      </c>
      <c r="AG104" s="239">
        <v>-80000</v>
      </c>
      <c r="AH104" s="239">
        <v>-64000</v>
      </c>
      <c r="AI104" s="239">
        <v>-14400</v>
      </c>
      <c r="AJ104" s="239">
        <v>-1600</v>
      </c>
      <c r="AK104" s="239">
        <v>-160000</v>
      </c>
      <c r="AL104" s="239">
        <v>0</v>
      </c>
      <c r="AM104" s="239">
        <v>0</v>
      </c>
      <c r="AN104" s="239">
        <v>0</v>
      </c>
      <c r="AO104" s="239">
        <v>0</v>
      </c>
      <c r="AP104" s="239">
        <v>0</v>
      </c>
      <c r="AQ104" s="239">
        <v>20000</v>
      </c>
      <c r="AR104" s="239">
        <v>16000</v>
      </c>
      <c r="AS104" s="239">
        <v>3600</v>
      </c>
      <c r="AT104" s="239">
        <v>400</v>
      </c>
      <c r="AU104" s="239">
        <v>40000</v>
      </c>
      <c r="AV104" s="239">
        <v>-60000</v>
      </c>
      <c r="AW104" s="239">
        <v>-48000</v>
      </c>
      <c r="AX104" s="239">
        <v>-10800</v>
      </c>
      <c r="AY104" s="239">
        <v>-1200</v>
      </c>
      <c r="AZ104" s="239">
        <v>-120000</v>
      </c>
      <c r="BA104" s="239">
        <v>-1438697</v>
      </c>
      <c r="BB104" s="239">
        <v>-1150956</v>
      </c>
      <c r="BC104" s="239">
        <v>-258966</v>
      </c>
      <c r="BD104" s="239">
        <v>-28773</v>
      </c>
      <c r="BE104" s="239">
        <v>-2877392</v>
      </c>
      <c r="BF104" s="239">
        <v>770116</v>
      </c>
      <c r="BG104" s="239">
        <v>616093</v>
      </c>
      <c r="BH104" s="239">
        <v>138621</v>
      </c>
      <c r="BI104" s="239">
        <v>15402</v>
      </c>
      <c r="BJ104" s="239">
        <v>1540232</v>
      </c>
      <c r="BK104" s="239">
        <v>-139551</v>
      </c>
      <c r="BL104" s="239">
        <v>-111640</v>
      </c>
      <c r="BM104" s="239">
        <v>-25119</v>
      </c>
      <c r="BN104" s="239">
        <v>-2791</v>
      </c>
      <c r="BO104" s="239">
        <v>-279101</v>
      </c>
      <c r="BP104" s="239">
        <v>-808132</v>
      </c>
      <c r="BQ104" s="239">
        <v>-646503</v>
      </c>
      <c r="BR104" s="239">
        <v>-145464</v>
      </c>
      <c r="BS104" s="239">
        <v>-16162</v>
      </c>
      <c r="BT104" s="239">
        <v>-1616261</v>
      </c>
      <c r="BU104" s="239">
        <v>-991500</v>
      </c>
      <c r="BV104" s="239">
        <v>-793200</v>
      </c>
      <c r="BW104" s="239">
        <v>-178470</v>
      </c>
      <c r="BX104" s="239">
        <v>-19830</v>
      </c>
      <c r="BY104" s="239">
        <v>-1983000</v>
      </c>
      <c r="BZ104" s="239">
        <v>-910039</v>
      </c>
      <c r="CA104" s="239">
        <v>-728032</v>
      </c>
      <c r="CB104" s="239">
        <v>-163807</v>
      </c>
      <c r="CC104" s="239">
        <v>-18201</v>
      </c>
      <c r="CD104" s="239">
        <v>-1820079</v>
      </c>
      <c r="CE104" s="239">
        <v>-81461</v>
      </c>
      <c r="CF104" s="239">
        <v>-65168</v>
      </c>
      <c r="CG104" s="239">
        <v>-14663</v>
      </c>
      <c r="CH104" s="239">
        <v>-1629</v>
      </c>
      <c r="CI104" s="239">
        <v>-162921</v>
      </c>
      <c r="CJ104" s="239">
        <v>39383786</v>
      </c>
      <c r="CK104" s="239">
        <v>31507029</v>
      </c>
      <c r="CL104" s="239">
        <v>7089081</v>
      </c>
      <c r="CM104" s="239">
        <v>787676</v>
      </c>
      <c r="CN104" s="239">
        <v>78767572</v>
      </c>
      <c r="CO104" s="239">
        <v>39081889</v>
      </c>
      <c r="CP104" s="239">
        <v>31265512</v>
      </c>
      <c r="CQ104" s="239">
        <v>7034740</v>
      </c>
      <c r="CR104" s="239">
        <v>781638</v>
      </c>
      <c r="CS104" s="239">
        <v>78163779</v>
      </c>
      <c r="CT104" s="239">
        <v>-301897</v>
      </c>
      <c r="CU104" s="239">
        <v>-241517</v>
      </c>
      <c r="CV104" s="239">
        <v>-54341</v>
      </c>
      <c r="CW104" s="239">
        <v>-6038</v>
      </c>
      <c r="CX104" s="239">
        <v>-603793</v>
      </c>
      <c r="CY104" s="239">
        <v>-383358</v>
      </c>
      <c r="CZ104" s="239">
        <v>-306685</v>
      </c>
      <c r="DA104" s="239">
        <v>-69004</v>
      </c>
      <c r="DB104" s="239">
        <v>-7667</v>
      </c>
      <c r="DC104" s="239">
        <v>-766714</v>
      </c>
      <c r="DD104" s="214">
        <v>0.5</v>
      </c>
      <c r="DE104" s="214">
        <v>0.4</v>
      </c>
      <c r="DF104" s="214">
        <v>0.09</v>
      </c>
      <c r="DG104" s="214">
        <v>0.01</v>
      </c>
      <c r="DH104" s="214">
        <v>1</v>
      </c>
      <c r="DI104" s="214" t="s">
        <v>1294</v>
      </c>
    </row>
    <row r="105" spans="1:113" s="214" customFormat="1" x14ac:dyDescent="0.2">
      <c r="B105" s="610" t="s">
        <v>293</v>
      </c>
      <c r="C105" s="610" t="s">
        <v>292</v>
      </c>
      <c r="D105" s="239">
        <v>19215043</v>
      </c>
      <c r="E105" s="239">
        <v>15372035</v>
      </c>
      <c r="F105" s="239">
        <v>3458708</v>
      </c>
      <c r="G105" s="239">
        <v>384301</v>
      </c>
      <c r="H105" s="239">
        <v>38430087</v>
      </c>
      <c r="I105" s="239">
        <v>276328.87291666667</v>
      </c>
      <c r="J105" s="239">
        <v>276328.87291666667</v>
      </c>
      <c r="K105" s="239">
        <v>18938714.127083335</v>
      </c>
      <c r="L105" s="239">
        <v>142033</v>
      </c>
      <c r="M105" s="239">
        <v>142033</v>
      </c>
      <c r="N105" s="239">
        <v>5640</v>
      </c>
      <c r="O105" s="239">
        <v>5640</v>
      </c>
      <c r="P105" s="239">
        <v>80925</v>
      </c>
      <c r="Q105" s="239">
        <v>0</v>
      </c>
      <c r="R105" s="239">
        <v>80925</v>
      </c>
      <c r="S105" s="239">
        <v>276328.87291666667</v>
      </c>
      <c r="T105" s="239">
        <v>0</v>
      </c>
      <c r="U105" s="239">
        <v>0</v>
      </c>
      <c r="V105" s="239">
        <v>276328.87291666667</v>
      </c>
      <c r="W105" s="239">
        <v>398939</v>
      </c>
      <c r="X105" s="239">
        <v>319152</v>
      </c>
      <c r="Y105" s="239">
        <v>71809</v>
      </c>
      <c r="Z105" s="239">
        <v>7979</v>
      </c>
      <c r="AA105" s="239">
        <v>797879</v>
      </c>
      <c r="AB105" s="239">
        <v>-575154</v>
      </c>
      <c r="AC105" s="239">
        <v>-460123</v>
      </c>
      <c r="AD105" s="239">
        <v>-103528</v>
      </c>
      <c r="AE105" s="239">
        <v>-11503</v>
      </c>
      <c r="AF105" s="239">
        <v>-1150308</v>
      </c>
      <c r="AG105" s="239">
        <v>-158124.49</v>
      </c>
      <c r="AH105" s="239">
        <v>-126499</v>
      </c>
      <c r="AI105" s="239">
        <v>-28462</v>
      </c>
      <c r="AJ105" s="239">
        <v>-3163</v>
      </c>
      <c r="AK105" s="239">
        <v>-316248.49</v>
      </c>
      <c r="AL105" s="239">
        <v>91564</v>
      </c>
      <c r="AM105" s="239">
        <v>73252</v>
      </c>
      <c r="AN105" s="239">
        <v>16482</v>
      </c>
      <c r="AO105" s="239">
        <v>1831</v>
      </c>
      <c r="AP105" s="239">
        <v>183129</v>
      </c>
      <c r="AQ105" s="239">
        <v>-70297</v>
      </c>
      <c r="AR105" s="239">
        <v>-56238</v>
      </c>
      <c r="AS105" s="239">
        <v>-12654</v>
      </c>
      <c r="AT105" s="239">
        <v>-1406</v>
      </c>
      <c r="AU105" s="239">
        <v>-140595</v>
      </c>
      <c r="AV105" s="239">
        <v>-136857.49</v>
      </c>
      <c r="AW105" s="239">
        <v>-109485</v>
      </c>
      <c r="AX105" s="239">
        <v>-24634</v>
      </c>
      <c r="AY105" s="239">
        <v>-2738</v>
      </c>
      <c r="AZ105" s="239">
        <v>-273714.49</v>
      </c>
      <c r="BA105" s="239">
        <v>-3301913</v>
      </c>
      <c r="BB105" s="239">
        <v>-2641530</v>
      </c>
      <c r="BC105" s="239">
        <v>-594343</v>
      </c>
      <c r="BD105" s="239">
        <v>-66038</v>
      </c>
      <c r="BE105" s="239">
        <v>-6603824</v>
      </c>
      <c r="BF105" s="239">
        <v>125126</v>
      </c>
      <c r="BG105" s="239">
        <v>100102</v>
      </c>
      <c r="BH105" s="239">
        <v>22523</v>
      </c>
      <c r="BI105" s="239">
        <v>2503</v>
      </c>
      <c r="BJ105" s="239">
        <v>250254</v>
      </c>
      <c r="BK105" s="239">
        <v>-1527386</v>
      </c>
      <c r="BL105" s="239">
        <v>-1221910</v>
      </c>
      <c r="BM105" s="239">
        <v>-274930</v>
      </c>
      <c r="BN105" s="239">
        <v>-30548</v>
      </c>
      <c r="BO105" s="239">
        <v>-3054774</v>
      </c>
      <c r="BP105" s="239">
        <v>-4704173</v>
      </c>
      <c r="BQ105" s="239">
        <v>-3763338</v>
      </c>
      <c r="BR105" s="239">
        <v>-846750</v>
      </c>
      <c r="BS105" s="239">
        <v>-94083</v>
      </c>
      <c r="BT105" s="239">
        <v>-9408344</v>
      </c>
      <c r="BU105" s="239">
        <v>158220</v>
      </c>
      <c r="BV105" s="239">
        <v>126575</v>
      </c>
      <c r="BW105" s="239">
        <v>28479</v>
      </c>
      <c r="BX105" s="239">
        <v>3164</v>
      </c>
      <c r="BY105" s="239">
        <v>316438</v>
      </c>
      <c r="BZ105" s="239">
        <v>1769009</v>
      </c>
      <c r="CA105" s="239">
        <v>1415208</v>
      </c>
      <c r="CB105" s="239">
        <v>318422</v>
      </c>
      <c r="CC105" s="239">
        <v>35380</v>
      </c>
      <c r="CD105" s="239">
        <v>3538019</v>
      </c>
      <c r="CE105" s="239">
        <v>-1610789</v>
      </c>
      <c r="CF105" s="239">
        <v>-1288633</v>
      </c>
      <c r="CG105" s="239">
        <v>-289943</v>
      </c>
      <c r="CH105" s="239">
        <v>-32216</v>
      </c>
      <c r="CI105" s="239">
        <v>-3221581</v>
      </c>
      <c r="CJ105" s="239">
        <v>21360383</v>
      </c>
      <c r="CK105" s="239">
        <v>17088306</v>
      </c>
      <c r="CL105" s="239">
        <v>3844869</v>
      </c>
      <c r="CM105" s="239">
        <v>427208</v>
      </c>
      <c r="CN105" s="239">
        <v>42720766</v>
      </c>
      <c r="CO105" s="239">
        <v>19215043</v>
      </c>
      <c r="CP105" s="239">
        <v>15372035</v>
      </c>
      <c r="CQ105" s="239">
        <v>3458708</v>
      </c>
      <c r="CR105" s="239">
        <v>384301</v>
      </c>
      <c r="CS105" s="239">
        <v>38430087</v>
      </c>
      <c r="CT105" s="239">
        <v>-2145340</v>
      </c>
      <c r="CU105" s="239">
        <v>-1716271</v>
      </c>
      <c r="CV105" s="239">
        <v>-386161</v>
      </c>
      <c r="CW105" s="239">
        <v>-42907</v>
      </c>
      <c r="CX105" s="239">
        <v>-4290679</v>
      </c>
      <c r="CY105" s="239">
        <v>-3756129</v>
      </c>
      <c r="CZ105" s="239">
        <v>-3004904</v>
      </c>
      <c r="DA105" s="239">
        <v>-676104</v>
      </c>
      <c r="DB105" s="239">
        <v>-75123</v>
      </c>
      <c r="DC105" s="239">
        <v>-7512260</v>
      </c>
      <c r="DD105" s="214">
        <v>0.5</v>
      </c>
      <c r="DE105" s="214">
        <v>0.4</v>
      </c>
      <c r="DF105" s="214">
        <v>0.09</v>
      </c>
      <c r="DG105" s="214">
        <v>0.01</v>
      </c>
      <c r="DH105" s="214">
        <v>1</v>
      </c>
      <c r="DI105" s="214" t="s">
        <v>1294</v>
      </c>
    </row>
    <row r="106" spans="1:113" s="214" customFormat="1" x14ac:dyDescent="0.2">
      <c r="B106" s="610" t="s">
        <v>295</v>
      </c>
      <c r="C106" s="610" t="s">
        <v>294</v>
      </c>
      <c r="D106" s="239">
        <v>11892124</v>
      </c>
      <c r="E106" s="239">
        <v>9513698</v>
      </c>
      <c r="F106" s="239">
        <v>2140582</v>
      </c>
      <c r="G106" s="239">
        <v>237842</v>
      </c>
      <c r="H106" s="239">
        <v>23784246</v>
      </c>
      <c r="I106" s="239">
        <v>0</v>
      </c>
      <c r="J106" s="239">
        <v>0</v>
      </c>
      <c r="K106" s="239">
        <v>11892124</v>
      </c>
      <c r="L106" s="239">
        <v>127492</v>
      </c>
      <c r="M106" s="239">
        <v>127492</v>
      </c>
      <c r="N106" s="239">
        <v>0</v>
      </c>
      <c r="O106" s="239">
        <v>0</v>
      </c>
      <c r="P106" s="239">
        <v>162334</v>
      </c>
      <c r="Q106" s="239">
        <v>0</v>
      </c>
      <c r="R106" s="239">
        <v>162334</v>
      </c>
      <c r="S106" s="239">
        <v>0</v>
      </c>
      <c r="T106" s="239">
        <v>0</v>
      </c>
      <c r="U106" s="239">
        <v>0</v>
      </c>
      <c r="V106" s="239">
        <v>0</v>
      </c>
      <c r="W106" s="239">
        <v>575066</v>
      </c>
      <c r="X106" s="239">
        <v>460053</v>
      </c>
      <c r="Y106" s="239">
        <v>103512</v>
      </c>
      <c r="Z106" s="239">
        <v>11501</v>
      </c>
      <c r="AA106" s="239">
        <v>1150132</v>
      </c>
      <c r="AB106" s="239">
        <v>-110392</v>
      </c>
      <c r="AC106" s="239">
        <v>-88314</v>
      </c>
      <c r="AD106" s="239">
        <v>-19871</v>
      </c>
      <c r="AE106" s="239">
        <v>-2208</v>
      </c>
      <c r="AF106" s="239">
        <v>-220785</v>
      </c>
      <c r="AG106" s="239">
        <v>-232301.53</v>
      </c>
      <c r="AH106" s="239">
        <v>-185842</v>
      </c>
      <c r="AI106" s="239">
        <v>-41815</v>
      </c>
      <c r="AJ106" s="239">
        <v>-4646</v>
      </c>
      <c r="AK106" s="239">
        <v>-464604.53</v>
      </c>
      <c r="AL106" s="239">
        <v>5697</v>
      </c>
      <c r="AM106" s="239">
        <v>4558</v>
      </c>
      <c r="AN106" s="239">
        <v>1026</v>
      </c>
      <c r="AO106" s="239">
        <v>114</v>
      </c>
      <c r="AP106" s="239">
        <v>11395</v>
      </c>
      <c r="AQ106" s="239">
        <v>-94165</v>
      </c>
      <c r="AR106" s="239">
        <v>-75332</v>
      </c>
      <c r="AS106" s="239">
        <v>-16950</v>
      </c>
      <c r="AT106" s="239">
        <v>-1883</v>
      </c>
      <c r="AU106" s="239">
        <v>-188330</v>
      </c>
      <c r="AV106" s="239">
        <v>-320769.53000000003</v>
      </c>
      <c r="AW106" s="239">
        <v>-256616</v>
      </c>
      <c r="AX106" s="239">
        <v>-57739</v>
      </c>
      <c r="AY106" s="239">
        <v>-6415</v>
      </c>
      <c r="AZ106" s="239">
        <v>-641539.53</v>
      </c>
      <c r="BA106" s="239">
        <v>-730646</v>
      </c>
      <c r="BB106" s="239">
        <v>-584518</v>
      </c>
      <c r="BC106" s="239">
        <v>-131517</v>
      </c>
      <c r="BD106" s="239">
        <v>-14614</v>
      </c>
      <c r="BE106" s="239">
        <v>-1461295</v>
      </c>
      <c r="BF106" s="239">
        <v>116348</v>
      </c>
      <c r="BG106" s="239">
        <v>93078</v>
      </c>
      <c r="BH106" s="239">
        <v>20943</v>
      </c>
      <c r="BI106" s="239">
        <v>2327</v>
      </c>
      <c r="BJ106" s="239">
        <v>232696</v>
      </c>
      <c r="BK106" s="239">
        <v>-1045076</v>
      </c>
      <c r="BL106" s="239">
        <v>-836061</v>
      </c>
      <c r="BM106" s="239">
        <v>-188114</v>
      </c>
      <c r="BN106" s="239">
        <v>-20902</v>
      </c>
      <c r="BO106" s="239">
        <v>-2090153</v>
      </c>
      <c r="BP106" s="239">
        <v>-1659374</v>
      </c>
      <c r="BQ106" s="239">
        <v>-1327501</v>
      </c>
      <c r="BR106" s="239">
        <v>-298688</v>
      </c>
      <c r="BS106" s="239">
        <v>-33189</v>
      </c>
      <c r="BT106" s="239">
        <v>-3318752</v>
      </c>
      <c r="BU106" s="239">
        <v>396851</v>
      </c>
      <c r="BV106" s="239">
        <v>317481</v>
      </c>
      <c r="BW106" s="239">
        <v>71433</v>
      </c>
      <c r="BX106" s="239">
        <v>7937</v>
      </c>
      <c r="BY106" s="239">
        <v>793702</v>
      </c>
      <c r="BZ106" s="239">
        <v>437500</v>
      </c>
      <c r="CA106" s="239">
        <v>350000</v>
      </c>
      <c r="CB106" s="239">
        <v>78750</v>
      </c>
      <c r="CC106" s="239">
        <v>8750</v>
      </c>
      <c r="CD106" s="239">
        <v>875000</v>
      </c>
      <c r="CE106" s="239">
        <v>-40649</v>
      </c>
      <c r="CF106" s="239">
        <v>-32519</v>
      </c>
      <c r="CG106" s="239">
        <v>-7317</v>
      </c>
      <c r="CH106" s="239">
        <v>-813</v>
      </c>
      <c r="CI106" s="239">
        <v>-81298</v>
      </c>
      <c r="CJ106" s="239">
        <v>12219251</v>
      </c>
      <c r="CK106" s="239">
        <v>9775400</v>
      </c>
      <c r="CL106" s="239">
        <v>2199465</v>
      </c>
      <c r="CM106" s="239">
        <v>244385</v>
      </c>
      <c r="CN106" s="239">
        <v>24438501</v>
      </c>
      <c r="CO106" s="239">
        <v>11892124</v>
      </c>
      <c r="CP106" s="239">
        <v>9513698</v>
      </c>
      <c r="CQ106" s="239">
        <v>2140582</v>
      </c>
      <c r="CR106" s="239">
        <v>237842</v>
      </c>
      <c r="CS106" s="239">
        <v>23784246</v>
      </c>
      <c r="CT106" s="239">
        <v>-327127</v>
      </c>
      <c r="CU106" s="239">
        <v>-261702</v>
      </c>
      <c r="CV106" s="239">
        <v>-58883</v>
      </c>
      <c r="CW106" s="239">
        <v>-6543</v>
      </c>
      <c r="CX106" s="239">
        <v>-654255</v>
      </c>
      <c r="CY106" s="239">
        <v>-367776</v>
      </c>
      <c r="CZ106" s="239">
        <v>-294221</v>
      </c>
      <c r="DA106" s="239">
        <v>-66200</v>
      </c>
      <c r="DB106" s="239">
        <v>-7356</v>
      </c>
      <c r="DC106" s="239">
        <v>-735553</v>
      </c>
      <c r="DD106" s="214">
        <v>0.5</v>
      </c>
      <c r="DE106" s="214">
        <v>0.4</v>
      </c>
      <c r="DF106" s="214">
        <v>0.09</v>
      </c>
      <c r="DG106" s="214">
        <v>0.01</v>
      </c>
      <c r="DH106" s="214">
        <v>1</v>
      </c>
      <c r="DI106" s="214" t="s">
        <v>1294</v>
      </c>
    </row>
    <row r="107" spans="1:113" s="214" customFormat="1" x14ac:dyDescent="0.2">
      <c r="B107" s="610" t="s">
        <v>297</v>
      </c>
      <c r="C107" s="610" t="s">
        <v>296</v>
      </c>
      <c r="D107" s="239">
        <v>10963444</v>
      </c>
      <c r="E107" s="239">
        <v>8770756</v>
      </c>
      <c r="F107" s="239">
        <v>2192689</v>
      </c>
      <c r="G107" s="239">
        <v>0</v>
      </c>
      <c r="H107" s="239">
        <v>21926889</v>
      </c>
      <c r="I107" s="239">
        <v>0</v>
      </c>
      <c r="J107" s="239">
        <v>0</v>
      </c>
      <c r="K107" s="239">
        <v>10963444</v>
      </c>
      <c r="L107" s="239">
        <v>89555</v>
      </c>
      <c r="M107" s="239">
        <v>89555</v>
      </c>
      <c r="N107" s="239">
        <v>0</v>
      </c>
      <c r="O107" s="239">
        <v>0</v>
      </c>
      <c r="P107" s="239">
        <v>51519</v>
      </c>
      <c r="Q107" s="239">
        <v>0</v>
      </c>
      <c r="R107" s="239">
        <v>51519</v>
      </c>
      <c r="S107" s="239">
        <v>0</v>
      </c>
      <c r="T107" s="239">
        <v>0</v>
      </c>
      <c r="U107" s="239">
        <v>0</v>
      </c>
      <c r="V107" s="239">
        <v>0</v>
      </c>
      <c r="W107" s="239">
        <v>376024</v>
      </c>
      <c r="X107" s="239">
        <v>300819</v>
      </c>
      <c r="Y107" s="239">
        <v>75205</v>
      </c>
      <c r="Z107" s="239">
        <v>0</v>
      </c>
      <c r="AA107" s="239">
        <v>752048</v>
      </c>
      <c r="AB107" s="239">
        <v>-92113</v>
      </c>
      <c r="AC107" s="239">
        <v>-73691</v>
      </c>
      <c r="AD107" s="239">
        <v>-18423</v>
      </c>
      <c r="AE107" s="239">
        <v>0</v>
      </c>
      <c r="AF107" s="239">
        <v>-184227</v>
      </c>
      <c r="AG107" s="239">
        <v>-142241.60000000001</v>
      </c>
      <c r="AH107" s="239">
        <v>-113793</v>
      </c>
      <c r="AI107" s="239">
        <v>-28448</v>
      </c>
      <c r="AJ107" s="239">
        <v>0</v>
      </c>
      <c r="AK107" s="239">
        <v>-284482.59999999998</v>
      </c>
      <c r="AL107" s="239">
        <v>105323</v>
      </c>
      <c r="AM107" s="239">
        <v>84259</v>
      </c>
      <c r="AN107" s="239">
        <v>21065</v>
      </c>
      <c r="AO107" s="239">
        <v>0</v>
      </c>
      <c r="AP107" s="239">
        <v>210647</v>
      </c>
      <c r="AQ107" s="239">
        <v>-84856</v>
      </c>
      <c r="AR107" s="239">
        <v>-67884</v>
      </c>
      <c r="AS107" s="239">
        <v>-16971</v>
      </c>
      <c r="AT107" s="239">
        <v>0</v>
      </c>
      <c r="AU107" s="239">
        <v>-169711</v>
      </c>
      <c r="AV107" s="239">
        <v>-121774.6</v>
      </c>
      <c r="AW107" s="239">
        <v>-97418</v>
      </c>
      <c r="AX107" s="239">
        <v>-24354</v>
      </c>
      <c r="AY107" s="239">
        <v>0</v>
      </c>
      <c r="AZ107" s="239">
        <v>-243546.59999999998</v>
      </c>
      <c r="BA107" s="239">
        <v>-362183</v>
      </c>
      <c r="BB107" s="239">
        <v>-289748</v>
      </c>
      <c r="BC107" s="239">
        <v>-72436</v>
      </c>
      <c r="BD107" s="239">
        <v>0</v>
      </c>
      <c r="BE107" s="239">
        <v>-724367</v>
      </c>
      <c r="BF107" s="239">
        <v>63709</v>
      </c>
      <c r="BG107" s="239">
        <v>50967</v>
      </c>
      <c r="BH107" s="239">
        <v>12742</v>
      </c>
      <c r="BI107" s="239">
        <v>0</v>
      </c>
      <c r="BJ107" s="239">
        <v>127418</v>
      </c>
      <c r="BK107" s="239">
        <v>-266035</v>
      </c>
      <c r="BL107" s="239">
        <v>-212828</v>
      </c>
      <c r="BM107" s="239">
        <v>-53207</v>
      </c>
      <c r="BN107" s="239">
        <v>0</v>
      </c>
      <c r="BO107" s="239">
        <v>-532070</v>
      </c>
      <c r="BP107" s="239">
        <v>-564509</v>
      </c>
      <c r="BQ107" s="239">
        <v>-451609</v>
      </c>
      <c r="BR107" s="239">
        <v>-112901</v>
      </c>
      <c r="BS107" s="239">
        <v>0</v>
      </c>
      <c r="BT107" s="239">
        <v>-1129019</v>
      </c>
      <c r="BU107" s="239">
        <v>-156482</v>
      </c>
      <c r="BV107" s="239">
        <v>-125186</v>
      </c>
      <c r="BW107" s="239">
        <v>-31297</v>
      </c>
      <c r="BX107" s="239">
        <v>0</v>
      </c>
      <c r="BY107" s="239">
        <v>-312965</v>
      </c>
      <c r="BZ107" s="239">
        <v>-322677</v>
      </c>
      <c r="CA107" s="239">
        <v>-258141</v>
      </c>
      <c r="CB107" s="239">
        <v>-64535</v>
      </c>
      <c r="CC107" s="239">
        <v>0</v>
      </c>
      <c r="CD107" s="239">
        <v>-645353</v>
      </c>
      <c r="CE107" s="239">
        <v>166195</v>
      </c>
      <c r="CF107" s="239">
        <v>132955</v>
      </c>
      <c r="CG107" s="239">
        <v>33238</v>
      </c>
      <c r="CH107" s="239">
        <v>0</v>
      </c>
      <c r="CI107" s="239">
        <v>332388</v>
      </c>
      <c r="CJ107" s="239">
        <v>10857302</v>
      </c>
      <c r="CK107" s="239">
        <v>8685842</v>
      </c>
      <c r="CL107" s="239">
        <v>2171461</v>
      </c>
      <c r="CM107" s="239">
        <v>0</v>
      </c>
      <c r="CN107" s="239">
        <v>21714605</v>
      </c>
      <c r="CO107" s="239">
        <v>10963444</v>
      </c>
      <c r="CP107" s="239">
        <v>8770756</v>
      </c>
      <c r="CQ107" s="239">
        <v>2192689</v>
      </c>
      <c r="CR107" s="239">
        <v>0</v>
      </c>
      <c r="CS107" s="239">
        <v>21926889</v>
      </c>
      <c r="CT107" s="239">
        <v>106142</v>
      </c>
      <c r="CU107" s="239">
        <v>84914</v>
      </c>
      <c r="CV107" s="239">
        <v>21228</v>
      </c>
      <c r="CW107" s="239">
        <v>0</v>
      </c>
      <c r="CX107" s="239">
        <v>212284</v>
      </c>
      <c r="CY107" s="239">
        <v>272337</v>
      </c>
      <c r="CZ107" s="239">
        <v>217869</v>
      </c>
      <c r="DA107" s="239">
        <v>54466</v>
      </c>
      <c r="DB107" s="239">
        <v>0</v>
      </c>
      <c r="DC107" s="239">
        <v>544672</v>
      </c>
      <c r="DD107" s="214">
        <v>0.5</v>
      </c>
      <c r="DE107" s="214">
        <v>0.4</v>
      </c>
      <c r="DF107" s="214">
        <v>0.1</v>
      </c>
      <c r="DG107" s="214">
        <v>0</v>
      </c>
      <c r="DH107" s="214">
        <v>1</v>
      </c>
      <c r="DI107" s="214" t="s">
        <v>1294</v>
      </c>
    </row>
    <row r="108" spans="1:113" s="214" customFormat="1" x14ac:dyDescent="0.2">
      <c r="B108" s="610" t="s">
        <v>299</v>
      </c>
      <c r="C108" s="610" t="s">
        <v>298</v>
      </c>
      <c r="D108" s="239">
        <v>5160372</v>
      </c>
      <c r="E108" s="239">
        <v>4128297</v>
      </c>
      <c r="F108" s="239">
        <v>1032074</v>
      </c>
      <c r="G108" s="239">
        <v>0</v>
      </c>
      <c r="H108" s="239">
        <v>10320743</v>
      </c>
      <c r="I108" s="239">
        <v>0</v>
      </c>
      <c r="J108" s="239">
        <v>0</v>
      </c>
      <c r="K108" s="239">
        <v>5160372</v>
      </c>
      <c r="L108" s="239">
        <v>118413</v>
      </c>
      <c r="M108" s="239">
        <v>118413</v>
      </c>
      <c r="N108" s="239">
        <v>0</v>
      </c>
      <c r="O108" s="239">
        <v>0</v>
      </c>
      <c r="P108" s="239">
        <v>102335</v>
      </c>
      <c r="Q108" s="239">
        <v>0</v>
      </c>
      <c r="R108" s="239">
        <v>102335</v>
      </c>
      <c r="S108" s="239">
        <v>0</v>
      </c>
      <c r="T108" s="239">
        <v>0</v>
      </c>
      <c r="U108" s="239">
        <v>0</v>
      </c>
      <c r="V108" s="239">
        <v>0</v>
      </c>
      <c r="W108" s="239">
        <v>306391</v>
      </c>
      <c r="X108" s="239">
        <v>245112</v>
      </c>
      <c r="Y108" s="239">
        <v>61278</v>
      </c>
      <c r="Z108" s="239">
        <v>0</v>
      </c>
      <c r="AA108" s="239">
        <v>612781</v>
      </c>
      <c r="AB108" s="239">
        <v>-96572</v>
      </c>
      <c r="AC108" s="239">
        <v>-77258</v>
      </c>
      <c r="AD108" s="239">
        <v>-19315</v>
      </c>
      <c r="AE108" s="239">
        <v>0</v>
      </c>
      <c r="AF108" s="239">
        <v>-193145</v>
      </c>
      <c r="AG108" s="239">
        <v>-79963</v>
      </c>
      <c r="AH108" s="239">
        <v>-63969</v>
      </c>
      <c r="AI108" s="239">
        <v>-15993</v>
      </c>
      <c r="AJ108" s="239">
        <v>0</v>
      </c>
      <c r="AK108" s="239">
        <v>-159925</v>
      </c>
      <c r="AL108" s="239">
        <v>68317</v>
      </c>
      <c r="AM108" s="239">
        <v>54654</v>
      </c>
      <c r="AN108" s="239">
        <v>13663</v>
      </c>
      <c r="AO108" s="239">
        <v>0</v>
      </c>
      <c r="AP108" s="239">
        <v>136634</v>
      </c>
      <c r="AQ108" s="239">
        <v>-145494</v>
      </c>
      <c r="AR108" s="239">
        <v>-116395</v>
      </c>
      <c r="AS108" s="239">
        <v>-29099</v>
      </c>
      <c r="AT108" s="239">
        <v>0</v>
      </c>
      <c r="AU108" s="239">
        <v>-290988</v>
      </c>
      <c r="AV108" s="239">
        <v>-157140</v>
      </c>
      <c r="AW108" s="239">
        <v>-125710</v>
      </c>
      <c r="AX108" s="239">
        <v>-31429</v>
      </c>
      <c r="AY108" s="239">
        <v>0</v>
      </c>
      <c r="AZ108" s="239">
        <v>-314279</v>
      </c>
      <c r="BA108" s="239">
        <v>-78717</v>
      </c>
      <c r="BB108" s="239">
        <v>-62974</v>
      </c>
      <c r="BC108" s="239">
        <v>-15744</v>
      </c>
      <c r="BD108" s="239">
        <v>0</v>
      </c>
      <c r="BE108" s="239">
        <v>-157435</v>
      </c>
      <c r="BF108" s="239">
        <v>269800</v>
      </c>
      <c r="BG108" s="239">
        <v>215840</v>
      </c>
      <c r="BH108" s="239">
        <v>53960</v>
      </c>
      <c r="BI108" s="239">
        <v>0</v>
      </c>
      <c r="BJ108" s="239">
        <v>539600</v>
      </c>
      <c r="BK108" s="239">
        <v>-720082</v>
      </c>
      <c r="BL108" s="239">
        <v>-576066</v>
      </c>
      <c r="BM108" s="239">
        <v>-144017</v>
      </c>
      <c r="BN108" s="239">
        <v>0</v>
      </c>
      <c r="BO108" s="239">
        <v>-1440165</v>
      </c>
      <c r="BP108" s="239">
        <v>-528999</v>
      </c>
      <c r="BQ108" s="239">
        <v>-423200</v>
      </c>
      <c r="BR108" s="239">
        <v>-105801</v>
      </c>
      <c r="BS108" s="239">
        <v>0</v>
      </c>
      <c r="BT108" s="239">
        <v>-1058000</v>
      </c>
      <c r="BU108" s="239">
        <v>434506</v>
      </c>
      <c r="BV108" s="239">
        <v>347605</v>
      </c>
      <c r="BW108" s="239">
        <v>86901</v>
      </c>
      <c r="BX108" s="239">
        <v>0</v>
      </c>
      <c r="BY108" s="239">
        <v>869012</v>
      </c>
      <c r="BZ108" s="239">
        <v>285873</v>
      </c>
      <c r="CA108" s="239">
        <v>228698</v>
      </c>
      <c r="CB108" s="239">
        <v>57175</v>
      </c>
      <c r="CC108" s="239">
        <v>0</v>
      </c>
      <c r="CD108" s="239">
        <v>571746</v>
      </c>
      <c r="CE108" s="239">
        <v>148633</v>
      </c>
      <c r="CF108" s="239">
        <v>118907</v>
      </c>
      <c r="CG108" s="239">
        <v>29726</v>
      </c>
      <c r="CH108" s="239">
        <v>0</v>
      </c>
      <c r="CI108" s="239">
        <v>297266</v>
      </c>
      <c r="CJ108" s="239">
        <v>6207993</v>
      </c>
      <c r="CK108" s="239">
        <v>4966395</v>
      </c>
      <c r="CL108" s="239">
        <v>1241599</v>
      </c>
      <c r="CM108" s="239">
        <v>0</v>
      </c>
      <c r="CN108" s="239">
        <v>12415987</v>
      </c>
      <c r="CO108" s="239">
        <v>5160372</v>
      </c>
      <c r="CP108" s="239">
        <v>4128297</v>
      </c>
      <c r="CQ108" s="239">
        <v>1032074</v>
      </c>
      <c r="CR108" s="239">
        <v>0</v>
      </c>
      <c r="CS108" s="239">
        <v>10320743</v>
      </c>
      <c r="CT108" s="239">
        <v>-1047621</v>
      </c>
      <c r="CU108" s="239">
        <v>-838098</v>
      </c>
      <c r="CV108" s="239">
        <v>-209525</v>
      </c>
      <c r="CW108" s="239">
        <v>0</v>
      </c>
      <c r="CX108" s="239">
        <v>-2095244</v>
      </c>
      <c r="CY108" s="239">
        <v>-898988</v>
      </c>
      <c r="CZ108" s="239">
        <v>-719191</v>
      </c>
      <c r="DA108" s="239">
        <v>-179799</v>
      </c>
      <c r="DB108" s="239">
        <v>0</v>
      </c>
      <c r="DC108" s="239">
        <v>-1797978</v>
      </c>
      <c r="DD108" s="214">
        <v>0.5</v>
      </c>
      <c r="DE108" s="214">
        <v>0.4</v>
      </c>
      <c r="DF108" s="214">
        <v>0.1</v>
      </c>
      <c r="DG108" s="214">
        <v>0</v>
      </c>
      <c r="DH108" s="214">
        <v>1</v>
      </c>
      <c r="DI108" s="214" t="s">
        <v>1294</v>
      </c>
    </row>
    <row r="109" spans="1:113" s="214" customFormat="1" x14ac:dyDescent="0.2">
      <c r="B109" s="610" t="s">
        <v>301</v>
      </c>
      <c r="C109" s="610" t="s">
        <v>300</v>
      </c>
      <c r="D109" s="239">
        <v>10220969</v>
      </c>
      <c r="E109" s="239">
        <v>8176776</v>
      </c>
      <c r="F109" s="239">
        <v>1839775</v>
      </c>
      <c r="G109" s="239">
        <v>204419</v>
      </c>
      <c r="H109" s="239">
        <v>20441939</v>
      </c>
      <c r="I109" s="239">
        <v>0</v>
      </c>
      <c r="J109" s="239">
        <v>0</v>
      </c>
      <c r="K109" s="239">
        <v>10220969</v>
      </c>
      <c r="L109" s="239">
        <v>111852</v>
      </c>
      <c r="M109" s="239">
        <v>111852</v>
      </c>
      <c r="N109" s="239">
        <v>0</v>
      </c>
      <c r="O109" s="239">
        <v>0</v>
      </c>
      <c r="P109" s="239">
        <v>0</v>
      </c>
      <c r="Q109" s="239">
        <v>0</v>
      </c>
      <c r="R109" s="239">
        <v>0</v>
      </c>
      <c r="S109" s="239">
        <v>0</v>
      </c>
      <c r="T109" s="239">
        <v>0</v>
      </c>
      <c r="U109" s="239">
        <v>0</v>
      </c>
      <c r="V109" s="239">
        <v>0</v>
      </c>
      <c r="W109" s="239">
        <v>763643</v>
      </c>
      <c r="X109" s="239">
        <v>610914</v>
      </c>
      <c r="Y109" s="239">
        <v>137456</v>
      </c>
      <c r="Z109" s="239">
        <v>15273</v>
      </c>
      <c r="AA109" s="239">
        <v>1527286</v>
      </c>
      <c r="AB109" s="239">
        <v>-185075</v>
      </c>
      <c r="AC109" s="239">
        <v>-148059</v>
      </c>
      <c r="AD109" s="239">
        <v>-33313</v>
      </c>
      <c r="AE109" s="239">
        <v>-3701</v>
      </c>
      <c r="AF109" s="239">
        <v>-370148</v>
      </c>
      <c r="AG109" s="239">
        <v>-369544</v>
      </c>
      <c r="AH109" s="239">
        <v>-295636</v>
      </c>
      <c r="AI109" s="239">
        <v>-66518</v>
      </c>
      <c r="AJ109" s="239">
        <v>-7391</v>
      </c>
      <c r="AK109" s="239">
        <v>-739089</v>
      </c>
      <c r="AL109" s="239">
        <v>0</v>
      </c>
      <c r="AM109" s="239">
        <v>0</v>
      </c>
      <c r="AN109" s="239">
        <v>0</v>
      </c>
      <c r="AO109" s="239">
        <v>0</v>
      </c>
      <c r="AP109" s="239">
        <v>0</v>
      </c>
      <c r="AQ109" s="239">
        <v>-15524</v>
      </c>
      <c r="AR109" s="239">
        <v>-12420</v>
      </c>
      <c r="AS109" s="239">
        <v>-2795</v>
      </c>
      <c r="AT109" s="239">
        <v>-311</v>
      </c>
      <c r="AU109" s="239">
        <v>-31050</v>
      </c>
      <c r="AV109" s="239">
        <v>-385068</v>
      </c>
      <c r="AW109" s="239">
        <v>-308056</v>
      </c>
      <c r="AX109" s="239">
        <v>-69313</v>
      </c>
      <c r="AY109" s="239">
        <v>-7702</v>
      </c>
      <c r="AZ109" s="239">
        <v>-770139</v>
      </c>
      <c r="BA109" s="239">
        <v>-1780125</v>
      </c>
      <c r="BB109" s="239">
        <v>-1424100</v>
      </c>
      <c r="BC109" s="239">
        <v>-320422</v>
      </c>
      <c r="BD109" s="239">
        <v>-35603</v>
      </c>
      <c r="BE109" s="239">
        <v>-3560250</v>
      </c>
      <c r="BF109" s="239">
        <v>0</v>
      </c>
      <c r="BG109" s="239">
        <v>0</v>
      </c>
      <c r="BH109" s="239">
        <v>0</v>
      </c>
      <c r="BI109" s="239">
        <v>0</v>
      </c>
      <c r="BJ109" s="239">
        <v>0</v>
      </c>
      <c r="BK109" s="239">
        <v>-3026488</v>
      </c>
      <c r="BL109" s="239">
        <v>-2421191</v>
      </c>
      <c r="BM109" s="239">
        <v>-544768</v>
      </c>
      <c r="BN109" s="239">
        <v>-60530</v>
      </c>
      <c r="BO109" s="239">
        <v>-6052977</v>
      </c>
      <c r="BP109" s="239">
        <v>-4806613</v>
      </c>
      <c r="BQ109" s="239">
        <v>-3845291</v>
      </c>
      <c r="BR109" s="239">
        <v>-865190</v>
      </c>
      <c r="BS109" s="239">
        <v>-96133</v>
      </c>
      <c r="BT109" s="239">
        <v>-9613227</v>
      </c>
      <c r="BU109" s="239">
        <v>-632164</v>
      </c>
      <c r="BV109" s="239">
        <v>-505730</v>
      </c>
      <c r="BW109" s="239">
        <v>-113789</v>
      </c>
      <c r="BX109" s="239">
        <v>-12643</v>
      </c>
      <c r="BY109" s="239">
        <v>-1264326</v>
      </c>
      <c r="BZ109" s="239">
        <v>103940</v>
      </c>
      <c r="CA109" s="239">
        <v>83152</v>
      </c>
      <c r="CB109" s="239">
        <v>18709</v>
      </c>
      <c r="CC109" s="239">
        <v>2079</v>
      </c>
      <c r="CD109" s="239">
        <v>207880</v>
      </c>
      <c r="CE109" s="239">
        <v>-736104</v>
      </c>
      <c r="CF109" s="239">
        <v>-588882</v>
      </c>
      <c r="CG109" s="239">
        <v>-132498</v>
      </c>
      <c r="CH109" s="239">
        <v>-14722</v>
      </c>
      <c r="CI109" s="239">
        <v>-1472206</v>
      </c>
      <c r="CJ109" s="239">
        <v>12128003</v>
      </c>
      <c r="CK109" s="239">
        <v>9702402</v>
      </c>
      <c r="CL109" s="239">
        <v>2183040</v>
      </c>
      <c r="CM109" s="239">
        <v>242560</v>
      </c>
      <c r="CN109" s="239">
        <v>24256005</v>
      </c>
      <c r="CO109" s="239">
        <v>10220969</v>
      </c>
      <c r="CP109" s="239">
        <v>8176776</v>
      </c>
      <c r="CQ109" s="239">
        <v>1839775</v>
      </c>
      <c r="CR109" s="239">
        <v>204419</v>
      </c>
      <c r="CS109" s="239">
        <v>20441939</v>
      </c>
      <c r="CT109" s="239">
        <v>-1907034</v>
      </c>
      <c r="CU109" s="239">
        <v>-1525626</v>
      </c>
      <c r="CV109" s="239">
        <v>-343265</v>
      </c>
      <c r="CW109" s="239">
        <v>-38141</v>
      </c>
      <c r="CX109" s="239">
        <v>-3814066</v>
      </c>
      <c r="CY109" s="239">
        <v>-2643138</v>
      </c>
      <c r="CZ109" s="239">
        <v>-2114508</v>
      </c>
      <c r="DA109" s="239">
        <v>-475763</v>
      </c>
      <c r="DB109" s="239">
        <v>-52863</v>
      </c>
      <c r="DC109" s="239">
        <v>-5286272</v>
      </c>
      <c r="DD109" s="214">
        <v>0.5</v>
      </c>
      <c r="DE109" s="214">
        <v>0.4</v>
      </c>
      <c r="DF109" s="214">
        <v>0.09</v>
      </c>
      <c r="DG109" s="214">
        <v>0.01</v>
      </c>
      <c r="DH109" s="214">
        <v>1</v>
      </c>
      <c r="DI109" s="214" t="s">
        <v>1294</v>
      </c>
    </row>
    <row r="110" spans="1:113" s="214" customFormat="1" x14ac:dyDescent="0.2">
      <c r="B110" s="610" t="s">
        <v>303</v>
      </c>
      <c r="C110" s="610" t="s">
        <v>302</v>
      </c>
      <c r="D110" s="239">
        <v>43857691</v>
      </c>
      <c r="E110" s="239">
        <v>42980537</v>
      </c>
      <c r="F110" s="239">
        <v>0</v>
      </c>
      <c r="G110" s="239">
        <v>877154</v>
      </c>
      <c r="H110" s="239">
        <v>87715382</v>
      </c>
      <c r="I110" s="239">
        <v>0</v>
      </c>
      <c r="J110" s="239">
        <v>0</v>
      </c>
      <c r="K110" s="239">
        <v>43857691</v>
      </c>
      <c r="L110" s="239">
        <v>292496</v>
      </c>
      <c r="M110" s="239">
        <v>292496</v>
      </c>
      <c r="N110" s="239">
        <v>360293</v>
      </c>
      <c r="O110" s="239">
        <v>360293</v>
      </c>
      <c r="P110" s="239">
        <v>0</v>
      </c>
      <c r="Q110" s="239">
        <v>0</v>
      </c>
      <c r="R110" s="239">
        <v>0</v>
      </c>
      <c r="S110" s="239">
        <v>0</v>
      </c>
      <c r="T110" s="239">
        <v>0</v>
      </c>
      <c r="U110" s="239">
        <v>0</v>
      </c>
      <c r="V110" s="239">
        <v>0</v>
      </c>
      <c r="W110" s="239">
        <v>3454879</v>
      </c>
      <c r="X110" s="239">
        <v>3385782</v>
      </c>
      <c r="Y110" s="239">
        <v>0</v>
      </c>
      <c r="Z110" s="239">
        <v>69098</v>
      </c>
      <c r="AA110" s="239">
        <v>6909759</v>
      </c>
      <c r="AB110" s="239">
        <v>-1212248</v>
      </c>
      <c r="AC110" s="239">
        <v>-1188004</v>
      </c>
      <c r="AD110" s="239">
        <v>0</v>
      </c>
      <c r="AE110" s="239">
        <v>-24245</v>
      </c>
      <c r="AF110" s="239">
        <v>-2424497</v>
      </c>
      <c r="AG110" s="239">
        <v>-1582500</v>
      </c>
      <c r="AH110" s="239">
        <v>-1550850</v>
      </c>
      <c r="AI110" s="239">
        <v>0</v>
      </c>
      <c r="AJ110" s="239">
        <v>-31650</v>
      </c>
      <c r="AK110" s="239">
        <v>-3165000</v>
      </c>
      <c r="AL110" s="239">
        <v>471899</v>
      </c>
      <c r="AM110" s="239">
        <v>462462</v>
      </c>
      <c r="AN110" s="239">
        <v>0</v>
      </c>
      <c r="AO110" s="239">
        <v>9438</v>
      </c>
      <c r="AP110" s="239">
        <v>943799</v>
      </c>
      <c r="AQ110" s="239">
        <v>-471899</v>
      </c>
      <c r="AR110" s="239">
        <v>-462462</v>
      </c>
      <c r="AS110" s="239">
        <v>0</v>
      </c>
      <c r="AT110" s="239">
        <v>-9438</v>
      </c>
      <c r="AU110" s="239">
        <v>-943799</v>
      </c>
      <c r="AV110" s="239">
        <v>-1582500</v>
      </c>
      <c r="AW110" s="239">
        <v>-1550850</v>
      </c>
      <c r="AX110" s="239">
        <v>0</v>
      </c>
      <c r="AY110" s="239">
        <v>-31650</v>
      </c>
      <c r="AZ110" s="239">
        <v>-3165000</v>
      </c>
      <c r="BA110" s="239">
        <v>-1689937</v>
      </c>
      <c r="BB110" s="239">
        <v>-1656139</v>
      </c>
      <c r="BC110" s="239">
        <v>0</v>
      </c>
      <c r="BD110" s="239">
        <v>-33799</v>
      </c>
      <c r="BE110" s="239">
        <v>-3379875</v>
      </c>
      <c r="BF110" s="239">
        <v>1505531</v>
      </c>
      <c r="BG110" s="239">
        <v>1475421</v>
      </c>
      <c r="BH110" s="239">
        <v>0</v>
      </c>
      <c r="BI110" s="239">
        <v>30111</v>
      </c>
      <c r="BJ110" s="239">
        <v>3011063</v>
      </c>
      <c r="BK110" s="239">
        <v>-1505531</v>
      </c>
      <c r="BL110" s="239">
        <v>-1475421</v>
      </c>
      <c r="BM110" s="239">
        <v>0</v>
      </c>
      <c r="BN110" s="239">
        <v>-30111</v>
      </c>
      <c r="BO110" s="239">
        <v>-3011063</v>
      </c>
      <c r="BP110" s="239">
        <v>-1689937</v>
      </c>
      <c r="BQ110" s="239">
        <v>-1656139</v>
      </c>
      <c r="BR110" s="239">
        <v>0</v>
      </c>
      <c r="BS110" s="239">
        <v>-33799</v>
      </c>
      <c r="BT110" s="239">
        <v>-3379875</v>
      </c>
      <c r="BU110" s="239">
        <v>-2270000</v>
      </c>
      <c r="BV110" s="239">
        <v>-2224600</v>
      </c>
      <c r="BW110" s="239">
        <v>0</v>
      </c>
      <c r="BX110" s="239">
        <v>-45400</v>
      </c>
      <c r="BY110" s="239">
        <v>-4540000</v>
      </c>
      <c r="BZ110" s="239">
        <v>-1014022</v>
      </c>
      <c r="CA110" s="239">
        <v>-993741</v>
      </c>
      <c r="CB110" s="239">
        <v>0</v>
      </c>
      <c r="CC110" s="239">
        <v>-20280</v>
      </c>
      <c r="CD110" s="239">
        <v>-2028043</v>
      </c>
      <c r="CE110" s="239">
        <v>-1255978</v>
      </c>
      <c r="CF110" s="239">
        <v>-1230859</v>
      </c>
      <c r="CG110" s="239">
        <v>0</v>
      </c>
      <c r="CH110" s="239">
        <v>-25120</v>
      </c>
      <c r="CI110" s="239">
        <v>-2511957</v>
      </c>
      <c r="CJ110" s="239">
        <v>46336233</v>
      </c>
      <c r="CK110" s="239">
        <v>45409509</v>
      </c>
      <c r="CL110" s="239">
        <v>0</v>
      </c>
      <c r="CM110" s="239">
        <v>926725</v>
      </c>
      <c r="CN110" s="239">
        <v>92672467</v>
      </c>
      <c r="CO110" s="239">
        <v>43857691</v>
      </c>
      <c r="CP110" s="239">
        <v>42980537</v>
      </c>
      <c r="CQ110" s="239">
        <v>0</v>
      </c>
      <c r="CR110" s="239">
        <v>877154</v>
      </c>
      <c r="CS110" s="239">
        <v>87715382</v>
      </c>
      <c r="CT110" s="239">
        <v>-2478542</v>
      </c>
      <c r="CU110" s="239">
        <v>-2428972</v>
      </c>
      <c r="CV110" s="239">
        <v>0</v>
      </c>
      <c r="CW110" s="239">
        <v>-49571</v>
      </c>
      <c r="CX110" s="239">
        <v>-4957085</v>
      </c>
      <c r="CY110" s="239">
        <v>-3734520</v>
      </c>
      <c r="CZ110" s="239">
        <v>-3659831</v>
      </c>
      <c r="DA110" s="239">
        <v>0</v>
      </c>
      <c r="DB110" s="239">
        <v>-74691</v>
      </c>
      <c r="DC110" s="239">
        <v>-7469042</v>
      </c>
      <c r="DD110" s="214">
        <v>0.5</v>
      </c>
      <c r="DE110" s="214">
        <v>0.49</v>
      </c>
      <c r="DF110" s="214">
        <v>0</v>
      </c>
      <c r="DG110" s="214">
        <v>0.01</v>
      </c>
      <c r="DH110" s="214">
        <v>1</v>
      </c>
      <c r="DI110" s="214" t="s">
        <v>1296</v>
      </c>
    </row>
    <row r="111" spans="1:113" s="214" customFormat="1" x14ac:dyDescent="0.2">
      <c r="B111" s="610" t="s">
        <v>305</v>
      </c>
      <c r="C111" s="610" t="s">
        <v>304</v>
      </c>
      <c r="D111" s="239">
        <v>10345053</v>
      </c>
      <c r="E111" s="239">
        <v>8276042</v>
      </c>
      <c r="F111" s="239">
        <v>1862110</v>
      </c>
      <c r="G111" s="239">
        <v>206901</v>
      </c>
      <c r="H111" s="239">
        <v>20690106</v>
      </c>
      <c r="I111" s="239">
        <v>0</v>
      </c>
      <c r="J111" s="239">
        <v>0</v>
      </c>
      <c r="K111" s="239">
        <v>10345053</v>
      </c>
      <c r="L111" s="239">
        <v>101364</v>
      </c>
      <c r="M111" s="239">
        <v>101364</v>
      </c>
      <c r="N111" s="239">
        <v>0</v>
      </c>
      <c r="O111" s="239">
        <v>0</v>
      </c>
      <c r="P111" s="239">
        <v>79933</v>
      </c>
      <c r="Q111" s="239">
        <v>0</v>
      </c>
      <c r="R111" s="239">
        <v>79933</v>
      </c>
      <c r="S111" s="239">
        <v>0</v>
      </c>
      <c r="T111" s="239">
        <v>0</v>
      </c>
      <c r="U111" s="239">
        <v>0</v>
      </c>
      <c r="V111" s="239">
        <v>0</v>
      </c>
      <c r="W111" s="239">
        <v>132909</v>
      </c>
      <c r="X111" s="239">
        <v>106327</v>
      </c>
      <c r="Y111" s="239">
        <v>23924</v>
      </c>
      <c r="Z111" s="239">
        <v>2658</v>
      </c>
      <c r="AA111" s="239">
        <v>265818</v>
      </c>
      <c r="AB111" s="239">
        <v>-67629</v>
      </c>
      <c r="AC111" s="239">
        <v>-54103</v>
      </c>
      <c r="AD111" s="239">
        <v>-12173</v>
      </c>
      <c r="AE111" s="239">
        <v>-1353</v>
      </c>
      <c r="AF111" s="239">
        <v>-135258</v>
      </c>
      <c r="AG111" s="239">
        <v>-64013</v>
      </c>
      <c r="AH111" s="239">
        <v>-51211</v>
      </c>
      <c r="AI111" s="239">
        <v>-11523</v>
      </c>
      <c r="AJ111" s="239">
        <v>-1280</v>
      </c>
      <c r="AK111" s="239">
        <v>-128027</v>
      </c>
      <c r="AL111" s="239">
        <v>41202</v>
      </c>
      <c r="AM111" s="239">
        <v>32961</v>
      </c>
      <c r="AN111" s="239">
        <v>7416</v>
      </c>
      <c r="AO111" s="239">
        <v>824</v>
      </c>
      <c r="AP111" s="239">
        <v>82403</v>
      </c>
      <c r="AQ111" s="239">
        <v>-65521</v>
      </c>
      <c r="AR111" s="239">
        <v>-52417</v>
      </c>
      <c r="AS111" s="239">
        <v>-11794</v>
      </c>
      <c r="AT111" s="239">
        <v>-1310</v>
      </c>
      <c r="AU111" s="239">
        <v>-131042</v>
      </c>
      <c r="AV111" s="239">
        <v>-88332</v>
      </c>
      <c r="AW111" s="239">
        <v>-70667</v>
      </c>
      <c r="AX111" s="239">
        <v>-15901</v>
      </c>
      <c r="AY111" s="239">
        <v>-1766</v>
      </c>
      <c r="AZ111" s="239">
        <v>-176666</v>
      </c>
      <c r="BA111" s="239">
        <v>-888610</v>
      </c>
      <c r="BB111" s="239">
        <v>-710887</v>
      </c>
      <c r="BC111" s="239">
        <v>-159950</v>
      </c>
      <c r="BD111" s="239">
        <v>-17772</v>
      </c>
      <c r="BE111" s="239">
        <v>-1777219</v>
      </c>
      <c r="BF111" s="239">
        <v>298824</v>
      </c>
      <c r="BG111" s="239">
        <v>239058</v>
      </c>
      <c r="BH111" s="239">
        <v>53788</v>
      </c>
      <c r="BI111" s="239">
        <v>5976</v>
      </c>
      <c r="BJ111" s="239">
        <v>597646</v>
      </c>
      <c r="BK111" s="239">
        <v>-588175</v>
      </c>
      <c r="BL111" s="239">
        <v>-470540</v>
      </c>
      <c r="BM111" s="239">
        <v>-105871</v>
      </c>
      <c r="BN111" s="239">
        <v>-11763</v>
      </c>
      <c r="BO111" s="239">
        <v>-1176349</v>
      </c>
      <c r="BP111" s="239">
        <v>-1177961</v>
      </c>
      <c r="BQ111" s="239">
        <v>-942369</v>
      </c>
      <c r="BR111" s="239">
        <v>-212033</v>
      </c>
      <c r="BS111" s="239">
        <v>-23559</v>
      </c>
      <c r="BT111" s="239">
        <v>-2355922</v>
      </c>
      <c r="BU111" s="239">
        <v>-1001121</v>
      </c>
      <c r="BV111" s="239">
        <v>-800897</v>
      </c>
      <c r="BW111" s="239">
        <v>-180202</v>
      </c>
      <c r="BX111" s="239">
        <v>-20022</v>
      </c>
      <c r="BY111" s="239">
        <v>-2002242</v>
      </c>
      <c r="BZ111" s="239">
        <v>-1069514</v>
      </c>
      <c r="CA111" s="239">
        <v>-855611</v>
      </c>
      <c r="CB111" s="239">
        <v>-192512</v>
      </c>
      <c r="CC111" s="239">
        <v>-21390</v>
      </c>
      <c r="CD111" s="239">
        <v>-2139027</v>
      </c>
      <c r="CE111" s="239">
        <v>68393</v>
      </c>
      <c r="CF111" s="239">
        <v>54714</v>
      </c>
      <c r="CG111" s="239">
        <v>12310</v>
      </c>
      <c r="CH111" s="239">
        <v>1368</v>
      </c>
      <c r="CI111" s="239">
        <v>136785</v>
      </c>
      <c r="CJ111" s="239">
        <v>10782266</v>
      </c>
      <c r="CK111" s="239">
        <v>8625812</v>
      </c>
      <c r="CL111" s="239">
        <v>1940808</v>
      </c>
      <c r="CM111" s="239">
        <v>215645</v>
      </c>
      <c r="CN111" s="239">
        <v>21564531</v>
      </c>
      <c r="CO111" s="239">
        <v>10345053</v>
      </c>
      <c r="CP111" s="239">
        <v>8276042</v>
      </c>
      <c r="CQ111" s="239">
        <v>1862110</v>
      </c>
      <c r="CR111" s="239">
        <v>206901</v>
      </c>
      <c r="CS111" s="239">
        <v>20690106</v>
      </c>
      <c r="CT111" s="239">
        <v>-437213</v>
      </c>
      <c r="CU111" s="239">
        <v>-349770</v>
      </c>
      <c r="CV111" s="239">
        <v>-78698</v>
      </c>
      <c r="CW111" s="239">
        <v>-8744</v>
      </c>
      <c r="CX111" s="239">
        <v>-874425</v>
      </c>
      <c r="CY111" s="239">
        <v>-368820</v>
      </c>
      <c r="CZ111" s="239">
        <v>-295056</v>
      </c>
      <c r="DA111" s="239">
        <v>-66388</v>
      </c>
      <c r="DB111" s="239">
        <v>-7376</v>
      </c>
      <c r="DC111" s="239">
        <v>-737640</v>
      </c>
      <c r="DD111" s="214">
        <v>0.5</v>
      </c>
      <c r="DE111" s="214">
        <v>0.4</v>
      </c>
      <c r="DF111" s="214">
        <v>0.09</v>
      </c>
      <c r="DG111" s="214">
        <v>0.01</v>
      </c>
      <c r="DH111" s="214">
        <v>1</v>
      </c>
      <c r="DI111" s="214" t="s">
        <v>1294</v>
      </c>
    </row>
    <row r="112" spans="1:113" s="214" customFormat="1" x14ac:dyDescent="0.2">
      <c r="B112" s="610" t="s">
        <v>307</v>
      </c>
      <c r="C112" s="610" t="s">
        <v>306</v>
      </c>
      <c r="D112" s="239">
        <v>25667541</v>
      </c>
      <c r="E112" s="239">
        <v>20534033</v>
      </c>
      <c r="F112" s="239">
        <v>5133508</v>
      </c>
      <c r="G112" s="239">
        <v>0</v>
      </c>
      <c r="H112" s="239">
        <v>51335082</v>
      </c>
      <c r="I112" s="239">
        <v>0</v>
      </c>
      <c r="J112" s="239">
        <v>0</v>
      </c>
      <c r="K112" s="239">
        <v>25667541</v>
      </c>
      <c r="L112" s="239">
        <v>179533</v>
      </c>
      <c r="M112" s="239">
        <v>179533</v>
      </c>
      <c r="N112" s="239">
        <v>0</v>
      </c>
      <c r="O112" s="239">
        <v>0</v>
      </c>
      <c r="P112" s="239">
        <v>0</v>
      </c>
      <c r="Q112" s="239">
        <v>0</v>
      </c>
      <c r="R112" s="239">
        <v>0</v>
      </c>
      <c r="S112" s="239">
        <v>0</v>
      </c>
      <c r="T112" s="239">
        <v>0</v>
      </c>
      <c r="U112" s="239">
        <v>0</v>
      </c>
      <c r="V112" s="239">
        <v>0</v>
      </c>
      <c r="W112" s="239">
        <v>1165341</v>
      </c>
      <c r="X112" s="239">
        <v>932273</v>
      </c>
      <c r="Y112" s="239">
        <v>233068</v>
      </c>
      <c r="Z112" s="239">
        <v>0</v>
      </c>
      <c r="AA112" s="239">
        <v>2330682</v>
      </c>
      <c r="AB112" s="239">
        <v>-531083</v>
      </c>
      <c r="AC112" s="239">
        <v>-424866</v>
      </c>
      <c r="AD112" s="239">
        <v>-106217</v>
      </c>
      <c r="AE112" s="239">
        <v>0</v>
      </c>
      <c r="AF112" s="239">
        <v>-1062166</v>
      </c>
      <c r="AG112" s="239">
        <v>-644365</v>
      </c>
      <c r="AH112" s="239">
        <v>-515493</v>
      </c>
      <c r="AI112" s="239">
        <v>-128873</v>
      </c>
      <c r="AJ112" s="239">
        <v>0</v>
      </c>
      <c r="AK112" s="239">
        <v>-1288731</v>
      </c>
      <c r="AL112" s="239">
        <v>449871</v>
      </c>
      <c r="AM112" s="239">
        <v>359896</v>
      </c>
      <c r="AN112" s="239">
        <v>89974</v>
      </c>
      <c r="AO112" s="239">
        <v>0</v>
      </c>
      <c r="AP112" s="239">
        <v>899741</v>
      </c>
      <c r="AQ112" s="239">
        <v>-422877</v>
      </c>
      <c r="AR112" s="239">
        <v>-338301</v>
      </c>
      <c r="AS112" s="239">
        <v>-84575</v>
      </c>
      <c r="AT112" s="239">
        <v>0</v>
      </c>
      <c r="AU112" s="239">
        <v>-845753</v>
      </c>
      <c r="AV112" s="239">
        <v>-617371</v>
      </c>
      <c r="AW112" s="239">
        <v>-493898</v>
      </c>
      <c r="AX112" s="239">
        <v>-123474</v>
      </c>
      <c r="AY112" s="239">
        <v>0</v>
      </c>
      <c r="AZ112" s="239">
        <v>-1234743</v>
      </c>
      <c r="BA112" s="239">
        <v>-648276</v>
      </c>
      <c r="BB112" s="239">
        <v>-518621</v>
      </c>
      <c r="BC112" s="239">
        <v>-129654</v>
      </c>
      <c r="BD112" s="239">
        <v>0</v>
      </c>
      <c r="BE112" s="239">
        <v>-1296551</v>
      </c>
      <c r="BF112" s="239">
        <v>634156</v>
      </c>
      <c r="BG112" s="239">
        <v>507325</v>
      </c>
      <c r="BH112" s="239">
        <v>126831</v>
      </c>
      <c r="BI112" s="239">
        <v>0</v>
      </c>
      <c r="BJ112" s="239">
        <v>1268312</v>
      </c>
      <c r="BK112" s="239">
        <v>-1088711</v>
      </c>
      <c r="BL112" s="239">
        <v>-870968</v>
      </c>
      <c r="BM112" s="239">
        <v>-217742</v>
      </c>
      <c r="BN112" s="239">
        <v>0</v>
      </c>
      <c r="BO112" s="239">
        <v>-2177421</v>
      </c>
      <c r="BP112" s="239">
        <v>-1102831</v>
      </c>
      <c r="BQ112" s="239">
        <v>-882264</v>
      </c>
      <c r="BR112" s="239">
        <v>-220565</v>
      </c>
      <c r="BS112" s="239">
        <v>0</v>
      </c>
      <c r="BT112" s="239">
        <v>-2205660</v>
      </c>
      <c r="BU112" s="239">
        <v>-634737</v>
      </c>
      <c r="BV112" s="239">
        <v>-507789</v>
      </c>
      <c r="BW112" s="239">
        <v>-126947</v>
      </c>
      <c r="BX112" s="239">
        <v>0</v>
      </c>
      <c r="BY112" s="239">
        <v>-1269473</v>
      </c>
      <c r="BZ112" s="239">
        <v>-543098</v>
      </c>
      <c r="CA112" s="239">
        <v>-434478</v>
      </c>
      <c r="CB112" s="239">
        <v>-108620</v>
      </c>
      <c r="CC112" s="239">
        <v>0</v>
      </c>
      <c r="CD112" s="239">
        <v>-1086196</v>
      </c>
      <c r="CE112" s="239">
        <v>-91639</v>
      </c>
      <c r="CF112" s="239">
        <v>-73311</v>
      </c>
      <c r="CG112" s="239">
        <v>-18327</v>
      </c>
      <c r="CH112" s="239">
        <v>0</v>
      </c>
      <c r="CI112" s="239">
        <v>-183277</v>
      </c>
      <c r="CJ112" s="239">
        <v>26876817</v>
      </c>
      <c r="CK112" s="239">
        <v>21501454</v>
      </c>
      <c r="CL112" s="239">
        <v>5375364</v>
      </c>
      <c r="CM112" s="239">
        <v>0</v>
      </c>
      <c r="CN112" s="239">
        <v>53753635</v>
      </c>
      <c r="CO112" s="239">
        <v>25667541</v>
      </c>
      <c r="CP112" s="239">
        <v>20534033</v>
      </c>
      <c r="CQ112" s="239">
        <v>5133508</v>
      </c>
      <c r="CR112" s="239">
        <v>0</v>
      </c>
      <c r="CS112" s="239">
        <v>51335082</v>
      </c>
      <c r="CT112" s="239">
        <v>-1209276</v>
      </c>
      <c r="CU112" s="239">
        <v>-967421</v>
      </c>
      <c r="CV112" s="239">
        <v>-241856</v>
      </c>
      <c r="CW112" s="239">
        <v>0</v>
      </c>
      <c r="CX112" s="239">
        <v>-2418553</v>
      </c>
      <c r="CY112" s="239">
        <v>-1300915</v>
      </c>
      <c r="CZ112" s="239">
        <v>-1040732</v>
      </c>
      <c r="DA112" s="239">
        <v>-260183</v>
      </c>
      <c r="DB112" s="239">
        <v>0</v>
      </c>
      <c r="DC112" s="239">
        <v>-2601830</v>
      </c>
      <c r="DD112" s="214">
        <v>0.5</v>
      </c>
      <c r="DE112" s="214">
        <v>0.4</v>
      </c>
      <c r="DF112" s="214">
        <v>0.1</v>
      </c>
      <c r="DG112" s="214">
        <v>0</v>
      </c>
      <c r="DH112" s="214">
        <v>1</v>
      </c>
      <c r="DI112" s="214" t="s">
        <v>1294</v>
      </c>
    </row>
    <row r="113" spans="1:113" s="214" customFormat="1" x14ac:dyDescent="0.2">
      <c r="B113" s="610" t="s">
        <v>309</v>
      </c>
      <c r="C113" s="610" t="s">
        <v>308</v>
      </c>
      <c r="D113" s="239">
        <v>7161344</v>
      </c>
      <c r="E113" s="239">
        <v>5729076</v>
      </c>
      <c r="F113" s="239">
        <v>1289042</v>
      </c>
      <c r="G113" s="239">
        <v>143227</v>
      </c>
      <c r="H113" s="239">
        <v>14322689</v>
      </c>
      <c r="I113" s="239">
        <v>108152.55416666667</v>
      </c>
      <c r="J113" s="239">
        <v>108152.55416666667</v>
      </c>
      <c r="K113" s="239">
        <v>7053191.4458333338</v>
      </c>
      <c r="L113" s="239">
        <v>80817</v>
      </c>
      <c r="M113" s="239">
        <v>80817</v>
      </c>
      <c r="N113" s="239">
        <v>0</v>
      </c>
      <c r="O113" s="239">
        <v>0</v>
      </c>
      <c r="P113" s="239">
        <v>0</v>
      </c>
      <c r="Q113" s="239">
        <v>0</v>
      </c>
      <c r="R113" s="239">
        <v>0</v>
      </c>
      <c r="S113" s="239">
        <v>108152.55416666667</v>
      </c>
      <c r="T113" s="239">
        <v>0</v>
      </c>
      <c r="U113" s="239">
        <v>0</v>
      </c>
      <c r="V113" s="239">
        <v>108152.55416666667</v>
      </c>
      <c r="W113" s="239">
        <v>604675</v>
      </c>
      <c r="X113" s="239">
        <v>483741</v>
      </c>
      <c r="Y113" s="239">
        <v>108842</v>
      </c>
      <c r="Z113" s="239">
        <v>12094</v>
      </c>
      <c r="AA113" s="239">
        <v>1209352</v>
      </c>
      <c r="AB113" s="239">
        <v>-94599</v>
      </c>
      <c r="AC113" s="239">
        <v>-75679</v>
      </c>
      <c r="AD113" s="239">
        <v>-17028</v>
      </c>
      <c r="AE113" s="239">
        <v>-1892</v>
      </c>
      <c r="AF113" s="239">
        <v>-189198</v>
      </c>
      <c r="AG113" s="239">
        <v>-301950</v>
      </c>
      <c r="AH113" s="239">
        <v>-241560</v>
      </c>
      <c r="AI113" s="239">
        <v>-54351</v>
      </c>
      <c r="AJ113" s="239">
        <v>-6039</v>
      </c>
      <c r="AK113" s="239">
        <v>-603900</v>
      </c>
      <c r="AL113" s="239">
        <v>51176</v>
      </c>
      <c r="AM113" s="239">
        <v>40942</v>
      </c>
      <c r="AN113" s="239">
        <v>9212</v>
      </c>
      <c r="AO113" s="239">
        <v>1024</v>
      </c>
      <c r="AP113" s="239">
        <v>102354</v>
      </c>
      <c r="AQ113" s="239">
        <v>-106726</v>
      </c>
      <c r="AR113" s="239">
        <v>-85382</v>
      </c>
      <c r="AS113" s="239">
        <v>-19211</v>
      </c>
      <c r="AT113" s="239">
        <v>-2135</v>
      </c>
      <c r="AU113" s="239">
        <v>-213454</v>
      </c>
      <c r="AV113" s="239">
        <v>-357500</v>
      </c>
      <c r="AW113" s="239">
        <v>-286000</v>
      </c>
      <c r="AX113" s="239">
        <v>-64350</v>
      </c>
      <c r="AY113" s="239">
        <v>-7150</v>
      </c>
      <c r="AZ113" s="239">
        <v>-715000</v>
      </c>
      <c r="BA113" s="239">
        <v>-1726215</v>
      </c>
      <c r="BB113" s="239">
        <v>-1380971</v>
      </c>
      <c r="BC113" s="239">
        <v>-310718</v>
      </c>
      <c r="BD113" s="239">
        <v>-34524</v>
      </c>
      <c r="BE113" s="239">
        <v>-3452428</v>
      </c>
      <c r="BF113" s="239">
        <v>57809</v>
      </c>
      <c r="BG113" s="239">
        <v>46248</v>
      </c>
      <c r="BH113" s="239">
        <v>10406</v>
      </c>
      <c r="BI113" s="239">
        <v>1156</v>
      </c>
      <c r="BJ113" s="239">
        <v>115619</v>
      </c>
      <c r="BK113" s="239">
        <v>-784453</v>
      </c>
      <c r="BL113" s="239">
        <v>-627562</v>
      </c>
      <c r="BM113" s="239">
        <v>-141202</v>
      </c>
      <c r="BN113" s="239">
        <v>-15689</v>
      </c>
      <c r="BO113" s="239">
        <v>-1568906</v>
      </c>
      <c r="BP113" s="239">
        <v>-2452859</v>
      </c>
      <c r="BQ113" s="239">
        <v>-1962285</v>
      </c>
      <c r="BR113" s="239">
        <v>-441514</v>
      </c>
      <c r="BS113" s="239">
        <v>-49057</v>
      </c>
      <c r="BT113" s="239">
        <v>-4905715</v>
      </c>
      <c r="BU113" s="239">
        <v>771403</v>
      </c>
      <c r="BV113" s="239">
        <v>617123</v>
      </c>
      <c r="BW113" s="239">
        <v>138853</v>
      </c>
      <c r="BX113" s="239">
        <v>15428</v>
      </c>
      <c r="BY113" s="239">
        <v>1542807</v>
      </c>
      <c r="BZ113" s="239">
        <v>680959</v>
      </c>
      <c r="CA113" s="239">
        <v>544766</v>
      </c>
      <c r="CB113" s="239">
        <v>122572</v>
      </c>
      <c r="CC113" s="239">
        <v>13619</v>
      </c>
      <c r="CD113" s="239">
        <v>1361916</v>
      </c>
      <c r="CE113" s="239">
        <v>90444</v>
      </c>
      <c r="CF113" s="239">
        <v>72357</v>
      </c>
      <c r="CG113" s="239">
        <v>16281</v>
      </c>
      <c r="CH113" s="239">
        <v>1809</v>
      </c>
      <c r="CI113" s="239">
        <v>180891</v>
      </c>
      <c r="CJ113" s="239">
        <v>7431251</v>
      </c>
      <c r="CK113" s="239">
        <v>5945000</v>
      </c>
      <c r="CL113" s="239">
        <v>1337625</v>
      </c>
      <c r="CM113" s="239">
        <v>148625</v>
      </c>
      <c r="CN113" s="239">
        <v>14862501</v>
      </c>
      <c r="CO113" s="239">
        <v>7161344</v>
      </c>
      <c r="CP113" s="239">
        <v>5729076</v>
      </c>
      <c r="CQ113" s="239">
        <v>1289042</v>
      </c>
      <c r="CR113" s="239">
        <v>143227</v>
      </c>
      <c r="CS113" s="239">
        <v>14322689</v>
      </c>
      <c r="CT113" s="239">
        <v>-269907</v>
      </c>
      <c r="CU113" s="239">
        <v>-215924</v>
      </c>
      <c r="CV113" s="239">
        <v>-48583</v>
      </c>
      <c r="CW113" s="239">
        <v>-5398</v>
      </c>
      <c r="CX113" s="239">
        <v>-539812</v>
      </c>
      <c r="CY113" s="239">
        <v>-179463</v>
      </c>
      <c r="CZ113" s="239">
        <v>-143567</v>
      </c>
      <c r="DA113" s="239">
        <v>-32302</v>
      </c>
      <c r="DB113" s="239">
        <v>-3589</v>
      </c>
      <c r="DC113" s="239">
        <v>-358921</v>
      </c>
      <c r="DD113" s="214">
        <v>0.5</v>
      </c>
      <c r="DE113" s="214">
        <v>0.4</v>
      </c>
      <c r="DF113" s="214">
        <v>0.09</v>
      </c>
      <c r="DG113" s="214">
        <v>0.01</v>
      </c>
      <c r="DH113" s="214">
        <v>1</v>
      </c>
      <c r="DI113" s="214" t="s">
        <v>1294</v>
      </c>
    </row>
    <row r="114" spans="1:113" s="214" customFormat="1" x14ac:dyDescent="0.2">
      <c r="B114" s="610" t="s">
        <v>311</v>
      </c>
      <c r="C114" s="610" t="s">
        <v>310</v>
      </c>
      <c r="D114" s="239">
        <v>11959659</v>
      </c>
      <c r="E114" s="239">
        <v>9567728</v>
      </c>
      <c r="F114" s="239">
        <v>2152739</v>
      </c>
      <c r="G114" s="239">
        <v>239193</v>
      </c>
      <c r="H114" s="239">
        <v>23919319</v>
      </c>
      <c r="I114" s="239">
        <v>0</v>
      </c>
      <c r="J114" s="239">
        <v>0</v>
      </c>
      <c r="K114" s="239">
        <v>11959659</v>
      </c>
      <c r="L114" s="239">
        <v>96531</v>
      </c>
      <c r="M114" s="239">
        <v>96531</v>
      </c>
      <c r="N114" s="239">
        <v>0</v>
      </c>
      <c r="O114" s="239">
        <v>0</v>
      </c>
      <c r="P114" s="239">
        <v>0</v>
      </c>
      <c r="Q114" s="239">
        <v>0</v>
      </c>
      <c r="R114" s="239">
        <v>0</v>
      </c>
      <c r="S114" s="239">
        <v>0</v>
      </c>
      <c r="T114" s="239">
        <v>0</v>
      </c>
      <c r="U114" s="239">
        <v>0</v>
      </c>
      <c r="V114" s="239">
        <v>0</v>
      </c>
      <c r="W114" s="239">
        <v>825107</v>
      </c>
      <c r="X114" s="239">
        <v>660085</v>
      </c>
      <c r="Y114" s="239">
        <v>148519</v>
      </c>
      <c r="Z114" s="239">
        <v>16502</v>
      </c>
      <c r="AA114" s="239">
        <v>1650213</v>
      </c>
      <c r="AB114" s="239">
        <v>-94678</v>
      </c>
      <c r="AC114" s="239">
        <v>-75742</v>
      </c>
      <c r="AD114" s="239">
        <v>-17042</v>
      </c>
      <c r="AE114" s="239">
        <v>-1894</v>
      </c>
      <c r="AF114" s="239">
        <v>-189356</v>
      </c>
      <c r="AG114" s="239">
        <v>-957647</v>
      </c>
      <c r="AH114" s="239">
        <v>-766117.6</v>
      </c>
      <c r="AI114" s="239">
        <v>-172377</v>
      </c>
      <c r="AJ114" s="239">
        <v>-19152</v>
      </c>
      <c r="AK114" s="239">
        <v>-1915294</v>
      </c>
      <c r="AL114" s="239">
        <v>125551</v>
      </c>
      <c r="AM114" s="239">
        <v>100440</v>
      </c>
      <c r="AN114" s="239">
        <v>22599</v>
      </c>
      <c r="AO114" s="239">
        <v>2511</v>
      </c>
      <c r="AP114" s="239">
        <v>251101</v>
      </c>
      <c r="AQ114" s="239">
        <v>252192</v>
      </c>
      <c r="AR114" s="239">
        <v>201753</v>
      </c>
      <c r="AS114" s="239">
        <v>45394</v>
      </c>
      <c r="AT114" s="239">
        <v>5044</v>
      </c>
      <c r="AU114" s="239">
        <v>504383</v>
      </c>
      <c r="AV114" s="239">
        <v>-579904</v>
      </c>
      <c r="AW114" s="239">
        <v>-463924.6</v>
      </c>
      <c r="AX114" s="239">
        <v>-104384</v>
      </c>
      <c r="AY114" s="239">
        <v>-11597</v>
      </c>
      <c r="AZ114" s="239">
        <v>-1159810</v>
      </c>
      <c r="BA114" s="239">
        <v>-1400926</v>
      </c>
      <c r="BB114" s="239">
        <v>-1120741</v>
      </c>
      <c r="BC114" s="239">
        <v>-252167</v>
      </c>
      <c r="BD114" s="239">
        <v>-28019</v>
      </c>
      <c r="BE114" s="239">
        <v>-2801853</v>
      </c>
      <c r="BF114" s="239">
        <v>0</v>
      </c>
      <c r="BG114" s="239">
        <v>0</v>
      </c>
      <c r="BH114" s="239">
        <v>0</v>
      </c>
      <c r="BI114" s="239">
        <v>0</v>
      </c>
      <c r="BJ114" s="239">
        <v>0</v>
      </c>
      <c r="BK114" s="239">
        <v>-616074</v>
      </c>
      <c r="BL114" s="239">
        <v>-492859</v>
      </c>
      <c r="BM114" s="239">
        <v>-110893</v>
      </c>
      <c r="BN114" s="239">
        <v>-12321</v>
      </c>
      <c r="BO114" s="239">
        <v>-1232147</v>
      </c>
      <c r="BP114" s="239">
        <v>-2017000</v>
      </c>
      <c r="BQ114" s="239">
        <v>-1613600</v>
      </c>
      <c r="BR114" s="239">
        <v>-363060</v>
      </c>
      <c r="BS114" s="239">
        <v>-40340</v>
      </c>
      <c r="BT114" s="239">
        <v>-4034000</v>
      </c>
      <c r="BU114" s="239">
        <v>-1419878</v>
      </c>
      <c r="BV114" s="239">
        <v>-1135902</v>
      </c>
      <c r="BW114" s="239">
        <v>-255578</v>
      </c>
      <c r="BX114" s="239">
        <v>-28398</v>
      </c>
      <c r="BY114" s="239">
        <v>-2839756</v>
      </c>
      <c r="BZ114" s="239">
        <v>-807535</v>
      </c>
      <c r="CA114" s="239">
        <v>-646028</v>
      </c>
      <c r="CB114" s="239">
        <v>-145356</v>
      </c>
      <c r="CC114" s="239">
        <v>-16151</v>
      </c>
      <c r="CD114" s="239">
        <v>-1615070</v>
      </c>
      <c r="CE114" s="239">
        <v>-612343</v>
      </c>
      <c r="CF114" s="239">
        <v>-489874</v>
      </c>
      <c r="CG114" s="239">
        <v>-110222</v>
      </c>
      <c r="CH114" s="239">
        <v>-12247</v>
      </c>
      <c r="CI114" s="239">
        <v>-1224686</v>
      </c>
      <c r="CJ114" s="239">
        <v>11712319</v>
      </c>
      <c r="CK114" s="239">
        <v>9369854</v>
      </c>
      <c r="CL114" s="239">
        <v>2108217</v>
      </c>
      <c r="CM114" s="239">
        <v>234246</v>
      </c>
      <c r="CN114" s="239">
        <v>23424636</v>
      </c>
      <c r="CO114" s="239">
        <v>11959659</v>
      </c>
      <c r="CP114" s="239">
        <v>9567728</v>
      </c>
      <c r="CQ114" s="239">
        <v>2152739</v>
      </c>
      <c r="CR114" s="239">
        <v>239193</v>
      </c>
      <c r="CS114" s="239">
        <v>23919319</v>
      </c>
      <c r="CT114" s="239">
        <v>247340</v>
      </c>
      <c r="CU114" s="239">
        <v>197874</v>
      </c>
      <c r="CV114" s="239">
        <v>44522</v>
      </c>
      <c r="CW114" s="239">
        <v>4947</v>
      </c>
      <c r="CX114" s="239">
        <v>494683</v>
      </c>
      <c r="CY114" s="239">
        <v>-365003</v>
      </c>
      <c r="CZ114" s="239">
        <v>-292000</v>
      </c>
      <c r="DA114" s="239">
        <v>-65700</v>
      </c>
      <c r="DB114" s="239">
        <v>-7300</v>
      </c>
      <c r="DC114" s="239">
        <v>-730003</v>
      </c>
      <c r="DD114" s="214">
        <v>0.5</v>
      </c>
      <c r="DE114" s="214">
        <v>0.4</v>
      </c>
      <c r="DF114" s="214">
        <v>0.09</v>
      </c>
      <c r="DG114" s="214">
        <v>0.01</v>
      </c>
      <c r="DH114" s="214">
        <v>1</v>
      </c>
      <c r="DI114" s="214" t="s">
        <v>1294</v>
      </c>
    </row>
    <row r="115" spans="1:113" s="214" customFormat="1" x14ac:dyDescent="0.2">
      <c r="A115" s="215" t="s">
        <v>1321</v>
      </c>
      <c r="B115" s="610" t="s">
        <v>313</v>
      </c>
      <c r="C115" s="610" t="s">
        <v>312</v>
      </c>
      <c r="D115" s="239">
        <v>14925359</v>
      </c>
      <c r="E115" s="239">
        <v>11940288</v>
      </c>
      <c r="F115" s="239">
        <v>2985072</v>
      </c>
      <c r="G115" s="239">
        <v>0</v>
      </c>
      <c r="H115" s="239">
        <v>29850719</v>
      </c>
      <c r="I115" s="239">
        <v>409474.67291666666</v>
      </c>
      <c r="J115" s="239">
        <v>409474.67291666666</v>
      </c>
      <c r="K115" s="239">
        <v>14515884.327083332</v>
      </c>
      <c r="L115" s="239">
        <v>185334</v>
      </c>
      <c r="M115" s="239">
        <v>185334</v>
      </c>
      <c r="N115" s="239">
        <v>0</v>
      </c>
      <c r="O115" s="239">
        <v>0</v>
      </c>
      <c r="P115" s="239">
        <v>55216</v>
      </c>
      <c r="Q115" s="239">
        <v>0</v>
      </c>
      <c r="R115" s="239">
        <v>55216</v>
      </c>
      <c r="S115" s="239">
        <v>409474.67291666666</v>
      </c>
      <c r="T115" s="239">
        <v>0</v>
      </c>
      <c r="U115" s="239">
        <v>0</v>
      </c>
      <c r="V115" s="239">
        <v>409474.67291666666</v>
      </c>
      <c r="W115" s="239">
        <v>746573</v>
      </c>
      <c r="X115" s="239">
        <v>597259</v>
      </c>
      <c r="Y115" s="239">
        <v>149315</v>
      </c>
      <c r="Z115" s="239">
        <v>0</v>
      </c>
      <c r="AA115" s="239">
        <v>1493147</v>
      </c>
      <c r="AB115" s="239">
        <v>-100889</v>
      </c>
      <c r="AC115" s="239">
        <v>-80711</v>
      </c>
      <c r="AD115" s="239">
        <v>-20178</v>
      </c>
      <c r="AE115" s="239">
        <v>0</v>
      </c>
      <c r="AF115" s="239">
        <v>-201778</v>
      </c>
      <c r="AG115" s="239">
        <v>35292.32</v>
      </c>
      <c r="AH115" s="239">
        <v>28234</v>
      </c>
      <c r="AI115" s="239">
        <v>7059</v>
      </c>
      <c r="AJ115" s="239">
        <v>0</v>
      </c>
      <c r="AK115" s="239">
        <v>70585.320000000007</v>
      </c>
      <c r="AL115" s="239">
        <v>44868</v>
      </c>
      <c r="AM115" s="239">
        <v>35895</v>
      </c>
      <c r="AN115" s="239">
        <v>8974</v>
      </c>
      <c r="AO115" s="239">
        <v>0</v>
      </c>
      <c r="AP115" s="239">
        <v>89737</v>
      </c>
      <c r="AQ115" s="239">
        <v>-107070</v>
      </c>
      <c r="AR115" s="239">
        <v>-85656</v>
      </c>
      <c r="AS115" s="239">
        <v>-21414</v>
      </c>
      <c r="AT115" s="239">
        <v>0</v>
      </c>
      <c r="AU115" s="239">
        <v>-214140</v>
      </c>
      <c r="AV115" s="239">
        <v>-26909.679999999993</v>
      </c>
      <c r="AW115" s="239">
        <v>-21527</v>
      </c>
      <c r="AX115" s="239">
        <v>-5381</v>
      </c>
      <c r="AY115" s="239">
        <v>0</v>
      </c>
      <c r="AZ115" s="239">
        <v>-53817.679999999993</v>
      </c>
      <c r="BA115" s="239">
        <v>-6485891</v>
      </c>
      <c r="BB115" s="239">
        <v>-5188712</v>
      </c>
      <c r="BC115" s="239">
        <v>-1297178</v>
      </c>
      <c r="BD115" s="239">
        <v>0</v>
      </c>
      <c r="BE115" s="239">
        <v>-12971781</v>
      </c>
      <c r="BF115" s="239">
        <v>496602</v>
      </c>
      <c r="BG115" s="239">
        <v>397282</v>
      </c>
      <c r="BH115" s="239">
        <v>99321</v>
      </c>
      <c r="BI115" s="239">
        <v>0</v>
      </c>
      <c r="BJ115" s="239">
        <v>993205</v>
      </c>
      <c r="BK115" s="239">
        <v>-433235</v>
      </c>
      <c r="BL115" s="239">
        <v>-346588</v>
      </c>
      <c r="BM115" s="239">
        <v>-86647</v>
      </c>
      <c r="BN115" s="239">
        <v>0</v>
      </c>
      <c r="BO115" s="239">
        <v>-866470</v>
      </c>
      <c r="BP115" s="239">
        <v>-6422524</v>
      </c>
      <c r="BQ115" s="239">
        <v>-5138018</v>
      </c>
      <c r="BR115" s="239">
        <v>-1284504</v>
      </c>
      <c r="BS115" s="239">
        <v>0</v>
      </c>
      <c r="BT115" s="239">
        <v>-12845046</v>
      </c>
      <c r="BU115" s="239">
        <v>-5918500</v>
      </c>
      <c r="BV115" s="239">
        <v>-4734800</v>
      </c>
      <c r="BW115" s="239">
        <v>-1183700</v>
      </c>
      <c r="BX115" s="239">
        <v>0</v>
      </c>
      <c r="BY115" s="239">
        <v>-11837000</v>
      </c>
      <c r="BZ115" s="239">
        <v>-4474942</v>
      </c>
      <c r="CA115" s="239">
        <v>-3579954</v>
      </c>
      <c r="CB115" s="239">
        <v>-894989</v>
      </c>
      <c r="CC115" s="239">
        <v>0</v>
      </c>
      <c r="CD115" s="239">
        <v>-8949885</v>
      </c>
      <c r="CE115" s="239">
        <v>-1443558</v>
      </c>
      <c r="CF115" s="239">
        <v>-1154846</v>
      </c>
      <c r="CG115" s="239">
        <v>-288711</v>
      </c>
      <c r="CH115" s="239">
        <v>0</v>
      </c>
      <c r="CI115" s="239">
        <v>-2887115</v>
      </c>
      <c r="CJ115" s="239">
        <v>14212967</v>
      </c>
      <c r="CK115" s="239">
        <v>11370374</v>
      </c>
      <c r="CL115" s="239">
        <v>2842594</v>
      </c>
      <c r="CM115" s="239">
        <v>0</v>
      </c>
      <c r="CN115" s="239">
        <v>28425935</v>
      </c>
      <c r="CO115" s="239">
        <v>14925359</v>
      </c>
      <c r="CP115" s="239">
        <v>11940288</v>
      </c>
      <c r="CQ115" s="239">
        <v>2985072</v>
      </c>
      <c r="CR115" s="239">
        <v>0</v>
      </c>
      <c r="CS115" s="239">
        <v>29850719</v>
      </c>
      <c r="CT115" s="239">
        <v>712392</v>
      </c>
      <c r="CU115" s="239">
        <v>569914</v>
      </c>
      <c r="CV115" s="239">
        <v>142478</v>
      </c>
      <c r="CW115" s="239">
        <v>0</v>
      </c>
      <c r="CX115" s="239">
        <v>1424784</v>
      </c>
      <c r="CY115" s="239">
        <v>-731166</v>
      </c>
      <c r="CZ115" s="239">
        <v>-584932</v>
      </c>
      <c r="DA115" s="239">
        <v>-146233</v>
      </c>
      <c r="DB115" s="239">
        <v>0</v>
      </c>
      <c r="DC115" s="239">
        <v>-1462331</v>
      </c>
      <c r="DD115" s="214">
        <v>0.5</v>
      </c>
      <c r="DE115" s="214">
        <v>0.4</v>
      </c>
      <c r="DF115" s="214">
        <v>0.1</v>
      </c>
      <c r="DG115" s="214">
        <v>0</v>
      </c>
      <c r="DH115" s="214">
        <v>1</v>
      </c>
      <c r="DI115" s="214" t="s">
        <v>1294</v>
      </c>
    </row>
    <row r="116" spans="1:113" s="214" customFormat="1" x14ac:dyDescent="0.2">
      <c r="B116" s="610" t="s">
        <v>315</v>
      </c>
      <c r="C116" s="610" t="s">
        <v>314</v>
      </c>
      <c r="D116" s="239">
        <v>33218155</v>
      </c>
      <c r="E116" s="239">
        <v>19930893</v>
      </c>
      <c r="F116" s="239">
        <v>13287262</v>
      </c>
      <c r="G116" s="239">
        <v>0</v>
      </c>
      <c r="H116" s="239">
        <v>66436310</v>
      </c>
      <c r="I116" s="239">
        <v>0</v>
      </c>
      <c r="J116" s="239">
        <v>0</v>
      </c>
      <c r="K116" s="239">
        <v>33218155</v>
      </c>
      <c r="L116" s="239">
        <v>279949</v>
      </c>
      <c r="M116" s="239">
        <v>279949</v>
      </c>
      <c r="N116" s="239">
        <v>0</v>
      </c>
      <c r="O116" s="239">
        <v>0</v>
      </c>
      <c r="P116" s="239">
        <v>0</v>
      </c>
      <c r="Q116" s="239">
        <v>0</v>
      </c>
      <c r="R116" s="239">
        <v>0</v>
      </c>
      <c r="S116" s="239">
        <v>0</v>
      </c>
      <c r="T116" s="239">
        <v>0</v>
      </c>
      <c r="U116" s="239">
        <v>0</v>
      </c>
      <c r="V116" s="239">
        <v>0</v>
      </c>
      <c r="W116" s="239">
        <v>1776265</v>
      </c>
      <c r="X116" s="239">
        <v>1065759</v>
      </c>
      <c r="Y116" s="239">
        <v>710506</v>
      </c>
      <c r="Z116" s="239">
        <v>0</v>
      </c>
      <c r="AA116" s="239">
        <v>3552530</v>
      </c>
      <c r="AB116" s="239">
        <v>-699791</v>
      </c>
      <c r="AC116" s="239">
        <v>-419874</v>
      </c>
      <c r="AD116" s="239">
        <v>-279916</v>
      </c>
      <c r="AE116" s="239">
        <v>0</v>
      </c>
      <c r="AF116" s="239">
        <v>-1399581</v>
      </c>
      <c r="AG116" s="239">
        <v>-918409</v>
      </c>
      <c r="AH116" s="239">
        <v>-551046</v>
      </c>
      <c r="AI116" s="239">
        <v>-367363</v>
      </c>
      <c r="AJ116" s="239">
        <v>0</v>
      </c>
      <c r="AK116" s="239">
        <v>-1836818</v>
      </c>
      <c r="AL116" s="239">
        <v>338807</v>
      </c>
      <c r="AM116" s="239">
        <v>203284</v>
      </c>
      <c r="AN116" s="239">
        <v>135523</v>
      </c>
      <c r="AO116" s="239">
        <v>0</v>
      </c>
      <c r="AP116" s="239">
        <v>677614</v>
      </c>
      <c r="AQ116" s="239">
        <v>-345183</v>
      </c>
      <c r="AR116" s="239">
        <v>-207110</v>
      </c>
      <c r="AS116" s="239">
        <v>-138073</v>
      </c>
      <c r="AT116" s="239">
        <v>0</v>
      </c>
      <c r="AU116" s="239">
        <v>-690366</v>
      </c>
      <c r="AV116" s="239">
        <v>-924785</v>
      </c>
      <c r="AW116" s="239">
        <v>-554872</v>
      </c>
      <c r="AX116" s="239">
        <v>-369913</v>
      </c>
      <c r="AY116" s="239">
        <v>0</v>
      </c>
      <c r="AZ116" s="239">
        <v>-1849570</v>
      </c>
      <c r="BA116" s="239">
        <v>-2111000</v>
      </c>
      <c r="BB116" s="239">
        <v>-1266600</v>
      </c>
      <c r="BC116" s="239">
        <v>-844400</v>
      </c>
      <c r="BD116" s="239">
        <v>0</v>
      </c>
      <c r="BE116" s="239">
        <v>-4222000</v>
      </c>
      <c r="BF116" s="239">
        <v>1257000</v>
      </c>
      <c r="BG116" s="239">
        <v>754200</v>
      </c>
      <c r="BH116" s="239">
        <v>502800</v>
      </c>
      <c r="BI116" s="239">
        <v>0</v>
      </c>
      <c r="BJ116" s="239">
        <v>2514000</v>
      </c>
      <c r="BK116" s="239">
        <v>-2932776</v>
      </c>
      <c r="BL116" s="239">
        <v>-1759666</v>
      </c>
      <c r="BM116" s="239">
        <v>-1173111</v>
      </c>
      <c r="BN116" s="239">
        <v>0</v>
      </c>
      <c r="BO116" s="239">
        <v>-5865553</v>
      </c>
      <c r="BP116" s="239">
        <v>-3786776</v>
      </c>
      <c r="BQ116" s="239">
        <v>-2272066</v>
      </c>
      <c r="BR116" s="239">
        <v>-1514711</v>
      </c>
      <c r="BS116" s="239">
        <v>0</v>
      </c>
      <c r="BT116" s="239">
        <v>-7573553</v>
      </c>
      <c r="BU116" s="239">
        <v>-369500</v>
      </c>
      <c r="BV116" s="239">
        <v>-221700</v>
      </c>
      <c r="BW116" s="239">
        <v>-147800</v>
      </c>
      <c r="BX116" s="239">
        <v>0</v>
      </c>
      <c r="BY116" s="239">
        <v>-739000</v>
      </c>
      <c r="BZ116" s="239">
        <v>0</v>
      </c>
      <c r="CA116" s="239">
        <v>0</v>
      </c>
      <c r="CB116" s="239">
        <v>0</v>
      </c>
      <c r="CC116" s="239">
        <v>0</v>
      </c>
      <c r="CD116" s="239">
        <v>0</v>
      </c>
      <c r="CE116" s="239">
        <v>-369500</v>
      </c>
      <c r="CF116" s="239">
        <v>-221700</v>
      </c>
      <c r="CG116" s="239">
        <v>-147800</v>
      </c>
      <c r="CH116" s="239">
        <v>0</v>
      </c>
      <c r="CI116" s="239">
        <v>-739000</v>
      </c>
      <c r="CJ116" s="239">
        <v>34446524</v>
      </c>
      <c r="CK116" s="239">
        <v>20667915</v>
      </c>
      <c r="CL116" s="239">
        <v>13778610</v>
      </c>
      <c r="CM116" s="239">
        <v>0</v>
      </c>
      <c r="CN116" s="239">
        <v>68893049</v>
      </c>
      <c r="CO116" s="239">
        <v>33218155</v>
      </c>
      <c r="CP116" s="239">
        <v>19930893</v>
      </c>
      <c r="CQ116" s="239">
        <v>13287262</v>
      </c>
      <c r="CR116" s="239">
        <v>0</v>
      </c>
      <c r="CS116" s="239">
        <v>66436310</v>
      </c>
      <c r="CT116" s="239">
        <v>-1228369</v>
      </c>
      <c r="CU116" s="239">
        <v>-737022</v>
      </c>
      <c r="CV116" s="239">
        <v>-491348</v>
      </c>
      <c r="CW116" s="239">
        <v>0</v>
      </c>
      <c r="CX116" s="239">
        <v>-2456739</v>
      </c>
      <c r="CY116" s="239">
        <v>-1597869</v>
      </c>
      <c r="CZ116" s="239">
        <v>-958722</v>
      </c>
      <c r="DA116" s="239">
        <v>-639148</v>
      </c>
      <c r="DB116" s="239">
        <v>0</v>
      </c>
      <c r="DC116" s="239">
        <v>-3195739</v>
      </c>
      <c r="DD116" s="214">
        <v>0.5</v>
      </c>
      <c r="DE116" s="214">
        <v>0.3</v>
      </c>
      <c r="DF116" s="214">
        <v>0.2</v>
      </c>
      <c r="DG116" s="214">
        <v>0</v>
      </c>
      <c r="DH116" s="214">
        <v>1</v>
      </c>
      <c r="DI116" s="214" t="s">
        <v>1297</v>
      </c>
    </row>
    <row r="117" spans="1:113" s="214" customFormat="1" x14ac:dyDescent="0.2">
      <c r="B117" s="610" t="s">
        <v>317</v>
      </c>
      <c r="C117" s="610" t="s">
        <v>316</v>
      </c>
      <c r="D117" s="239">
        <v>37998217</v>
      </c>
      <c r="E117" s="239">
        <v>30398574</v>
      </c>
      <c r="F117" s="239">
        <v>7599644</v>
      </c>
      <c r="G117" s="239">
        <v>0</v>
      </c>
      <c r="H117" s="239">
        <v>75996435</v>
      </c>
      <c r="I117" s="239">
        <v>0</v>
      </c>
      <c r="J117" s="239">
        <v>0</v>
      </c>
      <c r="K117" s="239">
        <v>37998217</v>
      </c>
      <c r="L117" s="239">
        <v>234931</v>
      </c>
      <c r="M117" s="239">
        <v>234931</v>
      </c>
      <c r="N117" s="239">
        <v>0</v>
      </c>
      <c r="O117" s="239">
        <v>0</v>
      </c>
      <c r="P117" s="239">
        <v>0</v>
      </c>
      <c r="Q117" s="239">
        <v>0</v>
      </c>
      <c r="R117" s="239">
        <v>0</v>
      </c>
      <c r="S117" s="239">
        <v>0</v>
      </c>
      <c r="T117" s="239">
        <v>0</v>
      </c>
      <c r="U117" s="239">
        <v>0</v>
      </c>
      <c r="V117" s="239">
        <v>0</v>
      </c>
      <c r="W117" s="239">
        <v>987451</v>
      </c>
      <c r="X117" s="239">
        <v>789960</v>
      </c>
      <c r="Y117" s="239">
        <v>197490</v>
      </c>
      <c r="Z117" s="239">
        <v>0</v>
      </c>
      <c r="AA117" s="239">
        <v>1974901</v>
      </c>
      <c r="AB117" s="239">
        <v>-1792812</v>
      </c>
      <c r="AC117" s="239">
        <v>-1434250</v>
      </c>
      <c r="AD117" s="239">
        <v>-358562</v>
      </c>
      <c r="AE117" s="239">
        <v>0</v>
      </c>
      <c r="AF117" s="239">
        <v>-3585624</v>
      </c>
      <c r="AG117" s="239">
        <v>-432754</v>
      </c>
      <c r="AH117" s="239">
        <v>-346204</v>
      </c>
      <c r="AI117" s="239">
        <v>-86551</v>
      </c>
      <c r="AJ117" s="239">
        <v>0</v>
      </c>
      <c r="AK117" s="239">
        <v>-865509</v>
      </c>
      <c r="AL117" s="239">
        <v>146034</v>
      </c>
      <c r="AM117" s="239">
        <v>116828</v>
      </c>
      <c r="AN117" s="239">
        <v>29207</v>
      </c>
      <c r="AO117" s="239">
        <v>0</v>
      </c>
      <c r="AP117" s="239">
        <v>292069</v>
      </c>
      <c r="AQ117" s="239">
        <v>-75150</v>
      </c>
      <c r="AR117" s="239">
        <v>-60120</v>
      </c>
      <c r="AS117" s="239">
        <v>-15030</v>
      </c>
      <c r="AT117" s="239">
        <v>0</v>
      </c>
      <c r="AU117" s="239">
        <v>-150300</v>
      </c>
      <c r="AV117" s="239">
        <v>-361870</v>
      </c>
      <c r="AW117" s="239">
        <v>-289496</v>
      </c>
      <c r="AX117" s="239">
        <v>-72374</v>
      </c>
      <c r="AY117" s="239">
        <v>0</v>
      </c>
      <c r="AZ117" s="239">
        <v>-723740</v>
      </c>
      <c r="BA117" s="239">
        <v>-4113801</v>
      </c>
      <c r="BB117" s="239">
        <v>-3291041</v>
      </c>
      <c r="BC117" s="239">
        <v>-822761</v>
      </c>
      <c r="BD117" s="239">
        <v>0</v>
      </c>
      <c r="BE117" s="239">
        <v>-8227603</v>
      </c>
      <c r="BF117" s="239">
        <v>420858</v>
      </c>
      <c r="BG117" s="239">
        <v>336687</v>
      </c>
      <c r="BH117" s="239">
        <v>84172</v>
      </c>
      <c r="BI117" s="239">
        <v>0</v>
      </c>
      <c r="BJ117" s="239">
        <v>841717</v>
      </c>
      <c r="BK117" s="239">
        <v>-3160000</v>
      </c>
      <c r="BL117" s="239">
        <v>-2528000</v>
      </c>
      <c r="BM117" s="239">
        <v>-632000</v>
      </c>
      <c r="BN117" s="239">
        <v>0</v>
      </c>
      <c r="BO117" s="239">
        <v>-6320000</v>
      </c>
      <c r="BP117" s="239">
        <v>-6852943</v>
      </c>
      <c r="BQ117" s="239">
        <v>-5482354</v>
      </c>
      <c r="BR117" s="239">
        <v>-1370589</v>
      </c>
      <c r="BS117" s="239">
        <v>0</v>
      </c>
      <c r="BT117" s="239">
        <v>-13705886</v>
      </c>
      <c r="BU117" s="239">
        <v>-2053109</v>
      </c>
      <c r="BV117" s="239">
        <v>-1642488</v>
      </c>
      <c r="BW117" s="239">
        <v>-410622</v>
      </c>
      <c r="BX117" s="239">
        <v>0</v>
      </c>
      <c r="BY117" s="239">
        <v>-4106219</v>
      </c>
      <c r="BZ117" s="239">
        <v>958611</v>
      </c>
      <c r="CA117" s="239">
        <v>766888</v>
      </c>
      <c r="CB117" s="239">
        <v>191722</v>
      </c>
      <c r="CC117" s="239">
        <v>0</v>
      </c>
      <c r="CD117" s="239">
        <v>1917221</v>
      </c>
      <c r="CE117" s="239">
        <v>-3011720</v>
      </c>
      <c r="CF117" s="239">
        <v>-2409376</v>
      </c>
      <c r="CG117" s="239">
        <v>-602344</v>
      </c>
      <c r="CH117" s="239">
        <v>0</v>
      </c>
      <c r="CI117" s="239">
        <v>-6023440</v>
      </c>
      <c r="CJ117" s="239">
        <v>40083727</v>
      </c>
      <c r="CK117" s="239">
        <v>32066981</v>
      </c>
      <c r="CL117" s="239">
        <v>8016745</v>
      </c>
      <c r="CM117" s="239">
        <v>0</v>
      </c>
      <c r="CN117" s="239">
        <v>80167453</v>
      </c>
      <c r="CO117" s="239">
        <v>37998217</v>
      </c>
      <c r="CP117" s="239">
        <v>30398574</v>
      </c>
      <c r="CQ117" s="239">
        <v>7599644</v>
      </c>
      <c r="CR117" s="239">
        <v>0</v>
      </c>
      <c r="CS117" s="239">
        <v>75996435</v>
      </c>
      <c r="CT117" s="239">
        <v>-2085510</v>
      </c>
      <c r="CU117" s="239">
        <v>-1668407</v>
      </c>
      <c r="CV117" s="239">
        <v>-417101</v>
      </c>
      <c r="CW117" s="239">
        <v>0</v>
      </c>
      <c r="CX117" s="239">
        <v>-4171018</v>
      </c>
      <c r="CY117" s="239">
        <v>-5097230</v>
      </c>
      <c r="CZ117" s="239">
        <v>-4077783</v>
      </c>
      <c r="DA117" s="239">
        <v>-1019445</v>
      </c>
      <c r="DB117" s="239">
        <v>0</v>
      </c>
      <c r="DC117" s="239">
        <v>-10194458</v>
      </c>
      <c r="DD117" s="214">
        <v>0.5</v>
      </c>
      <c r="DE117" s="214">
        <v>0.4</v>
      </c>
      <c r="DF117" s="214">
        <v>0.1</v>
      </c>
      <c r="DG117" s="214">
        <v>0</v>
      </c>
      <c r="DH117" s="214">
        <v>1</v>
      </c>
      <c r="DI117" s="214" t="s">
        <v>1294</v>
      </c>
    </row>
    <row r="118" spans="1:113" s="214" customFormat="1" x14ac:dyDescent="0.2">
      <c r="B118" s="610" t="s">
        <v>319</v>
      </c>
      <c r="C118" s="610" t="s">
        <v>318</v>
      </c>
      <c r="D118" s="239">
        <v>41647765</v>
      </c>
      <c r="E118" s="239">
        <v>24988659</v>
      </c>
      <c r="F118" s="239">
        <v>16659106</v>
      </c>
      <c r="G118" s="239">
        <v>0</v>
      </c>
      <c r="H118" s="239">
        <v>83295530</v>
      </c>
      <c r="I118" s="239">
        <v>0</v>
      </c>
      <c r="J118" s="239">
        <v>0</v>
      </c>
      <c r="K118" s="239">
        <v>41647765</v>
      </c>
      <c r="L118" s="239">
        <v>505991</v>
      </c>
      <c r="M118" s="239">
        <v>505991</v>
      </c>
      <c r="N118" s="239">
        <v>0</v>
      </c>
      <c r="O118" s="239">
        <v>0</v>
      </c>
      <c r="P118" s="239">
        <v>0</v>
      </c>
      <c r="Q118" s="239">
        <v>0</v>
      </c>
      <c r="R118" s="239">
        <v>0</v>
      </c>
      <c r="S118" s="239">
        <v>0</v>
      </c>
      <c r="T118" s="239">
        <v>0</v>
      </c>
      <c r="U118" s="239">
        <v>0</v>
      </c>
      <c r="V118" s="239">
        <v>0</v>
      </c>
      <c r="W118" s="239">
        <v>11355785</v>
      </c>
      <c r="X118" s="239">
        <v>6813471</v>
      </c>
      <c r="Y118" s="239">
        <v>4542314</v>
      </c>
      <c r="Z118" s="239">
        <v>0</v>
      </c>
      <c r="AA118" s="239">
        <v>22711570</v>
      </c>
      <c r="AB118" s="239">
        <v>-4440366</v>
      </c>
      <c r="AC118" s="239">
        <v>-2664219</v>
      </c>
      <c r="AD118" s="239">
        <v>-1776146</v>
      </c>
      <c r="AE118" s="239">
        <v>0</v>
      </c>
      <c r="AF118" s="239">
        <v>-8880731</v>
      </c>
      <c r="AG118" s="239">
        <v>-6016141</v>
      </c>
      <c r="AH118" s="239">
        <v>-3609685</v>
      </c>
      <c r="AI118" s="239">
        <v>-2406456</v>
      </c>
      <c r="AJ118" s="239">
        <v>0</v>
      </c>
      <c r="AK118" s="239">
        <v>-12032282</v>
      </c>
      <c r="AL118" s="239">
        <v>0</v>
      </c>
      <c r="AM118" s="239">
        <v>0</v>
      </c>
      <c r="AN118" s="239">
        <v>0</v>
      </c>
      <c r="AO118" s="239">
        <v>0</v>
      </c>
      <c r="AP118" s="239">
        <v>0</v>
      </c>
      <c r="AQ118" s="239">
        <v>-1032404</v>
      </c>
      <c r="AR118" s="239">
        <v>-619442</v>
      </c>
      <c r="AS118" s="239">
        <v>-412962</v>
      </c>
      <c r="AT118" s="239">
        <v>0</v>
      </c>
      <c r="AU118" s="239">
        <v>-2064808</v>
      </c>
      <c r="AV118" s="239">
        <v>-7048545</v>
      </c>
      <c r="AW118" s="239">
        <v>-4229127</v>
      </c>
      <c r="AX118" s="239">
        <v>-2819418</v>
      </c>
      <c r="AY118" s="239">
        <v>0</v>
      </c>
      <c r="AZ118" s="239">
        <v>-14097090</v>
      </c>
      <c r="BA118" s="239">
        <v>-4571415</v>
      </c>
      <c r="BB118" s="239">
        <v>-2742850</v>
      </c>
      <c r="BC118" s="239">
        <v>-1828566</v>
      </c>
      <c r="BD118" s="239">
        <v>0</v>
      </c>
      <c r="BE118" s="239">
        <v>-9142831</v>
      </c>
      <c r="BF118" s="239">
        <v>1865831</v>
      </c>
      <c r="BG118" s="239">
        <v>1119498</v>
      </c>
      <c r="BH118" s="239">
        <v>746332</v>
      </c>
      <c r="BI118" s="239">
        <v>0</v>
      </c>
      <c r="BJ118" s="239">
        <v>3731661</v>
      </c>
      <c r="BK118" s="239">
        <v>-2239019</v>
      </c>
      <c r="BL118" s="239">
        <v>-1343412</v>
      </c>
      <c r="BM118" s="239">
        <v>-895608</v>
      </c>
      <c r="BN118" s="239">
        <v>0</v>
      </c>
      <c r="BO118" s="239">
        <v>-4478039</v>
      </c>
      <c r="BP118" s="239">
        <v>-4944603</v>
      </c>
      <c r="BQ118" s="239">
        <v>-2966764</v>
      </c>
      <c r="BR118" s="239">
        <v>-1977842</v>
      </c>
      <c r="BS118" s="239">
        <v>0</v>
      </c>
      <c r="BT118" s="239">
        <v>-9889209</v>
      </c>
      <c r="BU118" s="239">
        <v>-7195647</v>
      </c>
      <c r="BV118" s="239">
        <v>-4317388</v>
      </c>
      <c r="BW118" s="239">
        <v>-2878259</v>
      </c>
      <c r="BX118" s="239">
        <v>0</v>
      </c>
      <c r="BY118" s="239">
        <v>-14391294</v>
      </c>
      <c r="BZ118" s="239">
        <v>-2500000</v>
      </c>
      <c r="CA118" s="239">
        <v>-1500000</v>
      </c>
      <c r="CB118" s="239">
        <v>-1000000</v>
      </c>
      <c r="CC118" s="239">
        <v>0</v>
      </c>
      <c r="CD118" s="239">
        <v>-5000000</v>
      </c>
      <c r="CE118" s="239">
        <v>-4695647</v>
      </c>
      <c r="CF118" s="239">
        <v>-2817388</v>
      </c>
      <c r="CG118" s="239">
        <v>-1878259</v>
      </c>
      <c r="CH118" s="239">
        <v>0</v>
      </c>
      <c r="CI118" s="239">
        <v>-9391294</v>
      </c>
      <c r="CJ118" s="239">
        <v>44862089</v>
      </c>
      <c r="CK118" s="239">
        <v>26917253</v>
      </c>
      <c r="CL118" s="239">
        <v>17944836</v>
      </c>
      <c r="CM118" s="239">
        <v>0</v>
      </c>
      <c r="CN118" s="239">
        <v>89724178</v>
      </c>
      <c r="CO118" s="239">
        <v>41647765</v>
      </c>
      <c r="CP118" s="239">
        <v>24988659</v>
      </c>
      <c r="CQ118" s="239">
        <v>16659106</v>
      </c>
      <c r="CR118" s="239">
        <v>0</v>
      </c>
      <c r="CS118" s="239">
        <v>83295530</v>
      </c>
      <c r="CT118" s="239">
        <v>-3214324</v>
      </c>
      <c r="CU118" s="239">
        <v>-1928594</v>
      </c>
      <c r="CV118" s="239">
        <v>-1285730</v>
      </c>
      <c r="CW118" s="239">
        <v>0</v>
      </c>
      <c r="CX118" s="239">
        <v>-6428648</v>
      </c>
      <c r="CY118" s="239">
        <v>-7909971</v>
      </c>
      <c r="CZ118" s="239">
        <v>-4745982</v>
      </c>
      <c r="DA118" s="239">
        <v>-3163989</v>
      </c>
      <c r="DB118" s="239">
        <v>0</v>
      </c>
      <c r="DC118" s="239">
        <v>-15819942</v>
      </c>
      <c r="DD118" s="214">
        <v>0.5</v>
      </c>
      <c r="DE118" s="214">
        <v>0.3</v>
      </c>
      <c r="DF118" s="214">
        <v>0.2</v>
      </c>
      <c r="DG118" s="214">
        <v>0</v>
      </c>
      <c r="DH118" s="214">
        <v>1</v>
      </c>
      <c r="DI118" s="214" t="s">
        <v>1297</v>
      </c>
    </row>
    <row r="119" spans="1:113" s="214" customFormat="1" x14ac:dyDescent="0.2">
      <c r="B119" s="610" t="s">
        <v>321</v>
      </c>
      <c r="C119" s="610" t="s">
        <v>320</v>
      </c>
      <c r="D119" s="239">
        <v>27806485</v>
      </c>
      <c r="E119" s="239">
        <v>27250355</v>
      </c>
      <c r="F119" s="239">
        <v>0</v>
      </c>
      <c r="G119" s="239">
        <v>556130</v>
      </c>
      <c r="H119" s="239">
        <v>55612970</v>
      </c>
      <c r="I119" s="239">
        <v>164029.71666666667</v>
      </c>
      <c r="J119" s="239">
        <v>164029.71666666667</v>
      </c>
      <c r="K119" s="239">
        <v>27642455.283333335</v>
      </c>
      <c r="L119" s="239">
        <v>165598</v>
      </c>
      <c r="M119" s="239">
        <v>165598</v>
      </c>
      <c r="N119" s="239">
        <v>0</v>
      </c>
      <c r="O119" s="239">
        <v>0</v>
      </c>
      <c r="P119" s="239">
        <v>0</v>
      </c>
      <c r="Q119" s="239">
        <v>0</v>
      </c>
      <c r="R119" s="239">
        <v>0</v>
      </c>
      <c r="S119" s="239">
        <v>163692.34741666669</v>
      </c>
      <c r="T119" s="239">
        <v>0</v>
      </c>
      <c r="U119" s="239">
        <v>337.36925000000002</v>
      </c>
      <c r="V119" s="239">
        <v>164029.71666666667</v>
      </c>
      <c r="W119" s="239">
        <v>2204935</v>
      </c>
      <c r="X119" s="239">
        <v>2160836</v>
      </c>
      <c r="Y119" s="239">
        <v>0</v>
      </c>
      <c r="Z119" s="239">
        <v>44099</v>
      </c>
      <c r="AA119" s="239">
        <v>4409870</v>
      </c>
      <c r="AB119" s="239">
        <v>-438124</v>
      </c>
      <c r="AC119" s="239">
        <v>-429362</v>
      </c>
      <c r="AD119" s="239">
        <v>0</v>
      </c>
      <c r="AE119" s="239">
        <v>-8762</v>
      </c>
      <c r="AF119" s="239">
        <v>-876248</v>
      </c>
      <c r="AG119" s="239">
        <v>-1176839</v>
      </c>
      <c r="AH119" s="239">
        <v>-1153300</v>
      </c>
      <c r="AI119" s="239">
        <v>0</v>
      </c>
      <c r="AJ119" s="239">
        <v>-23536</v>
      </c>
      <c r="AK119" s="239">
        <v>-2353675</v>
      </c>
      <c r="AL119" s="239">
        <v>-2211</v>
      </c>
      <c r="AM119" s="239">
        <v>-2167</v>
      </c>
      <c r="AN119" s="239">
        <v>0</v>
      </c>
      <c r="AO119" s="239">
        <v>-44</v>
      </c>
      <c r="AP119" s="239">
        <v>-4422</v>
      </c>
      <c r="AQ119" s="239">
        <v>-214282</v>
      </c>
      <c r="AR119" s="239">
        <v>-209996</v>
      </c>
      <c r="AS119" s="239">
        <v>0</v>
      </c>
      <c r="AT119" s="239">
        <v>-4286</v>
      </c>
      <c r="AU119" s="239">
        <v>-428564</v>
      </c>
      <c r="AV119" s="239">
        <v>-1393332</v>
      </c>
      <c r="AW119" s="239">
        <v>-1365463</v>
      </c>
      <c r="AX119" s="239">
        <v>0</v>
      </c>
      <c r="AY119" s="239">
        <v>-27866</v>
      </c>
      <c r="AZ119" s="239">
        <v>-2786661</v>
      </c>
      <c r="BA119" s="239">
        <v>-4604397</v>
      </c>
      <c r="BB119" s="239">
        <v>-4512309</v>
      </c>
      <c r="BC119" s="239">
        <v>0</v>
      </c>
      <c r="BD119" s="239">
        <v>-92088</v>
      </c>
      <c r="BE119" s="239">
        <v>-9208794</v>
      </c>
      <c r="BF119" s="239">
        <v>0</v>
      </c>
      <c r="BG119" s="239">
        <v>0</v>
      </c>
      <c r="BH119" s="239">
        <v>0</v>
      </c>
      <c r="BI119" s="239">
        <v>0</v>
      </c>
      <c r="BJ119" s="239">
        <v>0</v>
      </c>
      <c r="BK119" s="239">
        <v>-497163</v>
      </c>
      <c r="BL119" s="239">
        <v>-487220</v>
      </c>
      <c r="BM119" s="239">
        <v>0</v>
      </c>
      <c r="BN119" s="239">
        <v>-9943</v>
      </c>
      <c r="BO119" s="239">
        <v>-994326</v>
      </c>
      <c r="BP119" s="239">
        <v>-5101560</v>
      </c>
      <c r="BQ119" s="239">
        <v>-4999529</v>
      </c>
      <c r="BR119" s="239">
        <v>0</v>
      </c>
      <c r="BS119" s="239">
        <v>-102031</v>
      </c>
      <c r="BT119" s="239">
        <v>-10203120</v>
      </c>
      <c r="BU119" s="239">
        <v>-2517141</v>
      </c>
      <c r="BV119" s="239">
        <v>-2466799</v>
      </c>
      <c r="BW119" s="239">
        <v>0</v>
      </c>
      <c r="BX119" s="239">
        <v>-50343</v>
      </c>
      <c r="BY119" s="239">
        <v>-5034283</v>
      </c>
      <c r="BZ119" s="239">
        <v>-1230461</v>
      </c>
      <c r="CA119" s="239">
        <v>-1205852</v>
      </c>
      <c r="CB119" s="239">
        <v>0</v>
      </c>
      <c r="CC119" s="239">
        <v>-24609</v>
      </c>
      <c r="CD119" s="239">
        <v>-2460922</v>
      </c>
      <c r="CE119" s="239">
        <v>-1286680</v>
      </c>
      <c r="CF119" s="239">
        <v>-1260947</v>
      </c>
      <c r="CG119" s="239">
        <v>0</v>
      </c>
      <c r="CH119" s="239">
        <v>-25734</v>
      </c>
      <c r="CI119" s="239">
        <v>-2573361</v>
      </c>
      <c r="CJ119" s="239">
        <v>26272840</v>
      </c>
      <c r="CK119" s="239">
        <v>25747383</v>
      </c>
      <c r="CL119" s="239">
        <v>0</v>
      </c>
      <c r="CM119" s="239">
        <v>525457</v>
      </c>
      <c r="CN119" s="239">
        <v>52545680</v>
      </c>
      <c r="CO119" s="239">
        <v>27806485</v>
      </c>
      <c r="CP119" s="239">
        <v>27250355</v>
      </c>
      <c r="CQ119" s="239">
        <v>0</v>
      </c>
      <c r="CR119" s="239">
        <v>556130</v>
      </c>
      <c r="CS119" s="239">
        <v>55612970</v>
      </c>
      <c r="CT119" s="239">
        <v>1533645</v>
      </c>
      <c r="CU119" s="239">
        <v>1502972</v>
      </c>
      <c r="CV119" s="239">
        <v>0</v>
      </c>
      <c r="CW119" s="239">
        <v>30673</v>
      </c>
      <c r="CX119" s="239">
        <v>3067290</v>
      </c>
      <c r="CY119" s="239">
        <v>246965</v>
      </c>
      <c r="CZ119" s="239">
        <v>242025</v>
      </c>
      <c r="DA119" s="239">
        <v>0</v>
      </c>
      <c r="DB119" s="239">
        <v>4939</v>
      </c>
      <c r="DC119" s="239">
        <v>493929</v>
      </c>
      <c r="DD119" s="214">
        <v>0.5</v>
      </c>
      <c r="DE119" s="214">
        <v>0.49</v>
      </c>
      <c r="DF119" s="214">
        <v>0</v>
      </c>
      <c r="DG119" s="214">
        <v>0.01</v>
      </c>
      <c r="DH119" s="214">
        <v>1</v>
      </c>
      <c r="DI119" s="214" t="s">
        <v>748</v>
      </c>
    </row>
    <row r="120" spans="1:113" s="214" customFormat="1" x14ac:dyDescent="0.2">
      <c r="B120" s="610" t="s">
        <v>323</v>
      </c>
      <c r="C120" s="610" t="s">
        <v>322</v>
      </c>
      <c r="D120" s="239">
        <v>13421914</v>
      </c>
      <c r="E120" s="239">
        <v>10737532</v>
      </c>
      <c r="F120" s="239">
        <v>2415945</v>
      </c>
      <c r="G120" s="239">
        <v>268438</v>
      </c>
      <c r="H120" s="239">
        <v>26843829</v>
      </c>
      <c r="I120" s="239">
        <v>0</v>
      </c>
      <c r="J120" s="239">
        <v>0</v>
      </c>
      <c r="K120" s="239">
        <v>13421914</v>
      </c>
      <c r="L120" s="239">
        <v>155517</v>
      </c>
      <c r="M120" s="239">
        <v>155517</v>
      </c>
      <c r="N120" s="239">
        <v>0</v>
      </c>
      <c r="O120" s="239">
        <v>0</v>
      </c>
      <c r="P120" s="239">
        <v>0</v>
      </c>
      <c r="Q120" s="239">
        <v>0</v>
      </c>
      <c r="R120" s="239">
        <v>0</v>
      </c>
      <c r="S120" s="239">
        <v>0</v>
      </c>
      <c r="T120" s="239">
        <v>0</v>
      </c>
      <c r="U120" s="239">
        <v>0</v>
      </c>
      <c r="V120" s="239">
        <v>0</v>
      </c>
      <c r="W120" s="239">
        <v>591969</v>
      </c>
      <c r="X120" s="239">
        <v>473574</v>
      </c>
      <c r="Y120" s="239">
        <v>106554</v>
      </c>
      <c r="Z120" s="239">
        <v>11839</v>
      </c>
      <c r="AA120" s="239">
        <v>1183936</v>
      </c>
      <c r="AB120" s="239">
        <v>-157298</v>
      </c>
      <c r="AC120" s="239">
        <v>-125838</v>
      </c>
      <c r="AD120" s="239">
        <v>-28314</v>
      </c>
      <c r="AE120" s="239">
        <v>-3146</v>
      </c>
      <c r="AF120" s="239">
        <v>-314596</v>
      </c>
      <c r="AG120" s="239">
        <v>-134643</v>
      </c>
      <c r="AH120" s="239">
        <v>-107714</v>
      </c>
      <c r="AI120" s="239">
        <v>-24237</v>
      </c>
      <c r="AJ120" s="239">
        <v>-2693</v>
      </c>
      <c r="AK120" s="239">
        <v>-269287</v>
      </c>
      <c r="AL120" s="239">
        <v>87902</v>
      </c>
      <c r="AM120" s="239">
        <v>70322</v>
      </c>
      <c r="AN120" s="239">
        <v>15822</v>
      </c>
      <c r="AO120" s="239">
        <v>1758</v>
      </c>
      <c r="AP120" s="239">
        <v>175804</v>
      </c>
      <c r="AQ120" s="239">
        <v>-56255</v>
      </c>
      <c r="AR120" s="239">
        <v>-45004</v>
      </c>
      <c r="AS120" s="239">
        <v>-10126</v>
      </c>
      <c r="AT120" s="239">
        <v>-1125</v>
      </c>
      <c r="AU120" s="239">
        <v>-112510</v>
      </c>
      <c r="AV120" s="239">
        <v>-102996</v>
      </c>
      <c r="AW120" s="239">
        <v>-82396</v>
      </c>
      <c r="AX120" s="239">
        <v>-18541</v>
      </c>
      <c r="AY120" s="239">
        <v>-2060</v>
      </c>
      <c r="AZ120" s="239">
        <v>-205993</v>
      </c>
      <c r="BA120" s="239">
        <v>-788838</v>
      </c>
      <c r="BB120" s="239">
        <v>-631069</v>
      </c>
      <c r="BC120" s="239">
        <v>-141989</v>
      </c>
      <c r="BD120" s="239">
        <v>-15776</v>
      </c>
      <c r="BE120" s="239">
        <v>-1577672</v>
      </c>
      <c r="BF120" s="239">
        <v>456406</v>
      </c>
      <c r="BG120" s="239">
        <v>365124</v>
      </c>
      <c r="BH120" s="239">
        <v>82153</v>
      </c>
      <c r="BI120" s="239">
        <v>9128</v>
      </c>
      <c r="BJ120" s="239">
        <v>912811</v>
      </c>
      <c r="BK120" s="239">
        <v>-552792</v>
      </c>
      <c r="BL120" s="239">
        <v>-442234</v>
      </c>
      <c r="BM120" s="239">
        <v>-99503</v>
      </c>
      <c r="BN120" s="239">
        <v>-11056</v>
      </c>
      <c r="BO120" s="239">
        <v>-1105585</v>
      </c>
      <c r="BP120" s="239">
        <v>-885224</v>
      </c>
      <c r="BQ120" s="239">
        <v>-708179</v>
      </c>
      <c r="BR120" s="239">
        <v>-159339</v>
      </c>
      <c r="BS120" s="239">
        <v>-17704</v>
      </c>
      <c r="BT120" s="239">
        <v>-1770446</v>
      </c>
      <c r="BU120" s="239">
        <v>-775688</v>
      </c>
      <c r="BV120" s="239">
        <v>-620550</v>
      </c>
      <c r="BW120" s="239">
        <v>-139624</v>
      </c>
      <c r="BX120" s="239">
        <v>-15514</v>
      </c>
      <c r="BY120" s="239">
        <v>-1551376</v>
      </c>
      <c r="BZ120" s="239">
        <v>-742062</v>
      </c>
      <c r="CA120" s="239">
        <v>-593650</v>
      </c>
      <c r="CB120" s="239">
        <v>-133571</v>
      </c>
      <c r="CC120" s="239">
        <v>-14841</v>
      </c>
      <c r="CD120" s="239">
        <v>-1484124</v>
      </c>
      <c r="CE120" s="239">
        <v>-33626</v>
      </c>
      <c r="CF120" s="239">
        <v>-26900</v>
      </c>
      <c r="CG120" s="239">
        <v>-6053</v>
      </c>
      <c r="CH120" s="239">
        <v>-673</v>
      </c>
      <c r="CI120" s="239">
        <v>-67252</v>
      </c>
      <c r="CJ120" s="239">
        <v>13475401</v>
      </c>
      <c r="CK120" s="239">
        <v>10780320</v>
      </c>
      <c r="CL120" s="239">
        <v>2425572</v>
      </c>
      <c r="CM120" s="239">
        <v>269508</v>
      </c>
      <c r="CN120" s="239">
        <v>26950801</v>
      </c>
      <c r="CO120" s="239">
        <v>13421914</v>
      </c>
      <c r="CP120" s="239">
        <v>10737532</v>
      </c>
      <c r="CQ120" s="239">
        <v>2415945</v>
      </c>
      <c r="CR120" s="239">
        <v>268438</v>
      </c>
      <c r="CS120" s="239">
        <v>26843829</v>
      </c>
      <c r="CT120" s="239">
        <v>-53487</v>
      </c>
      <c r="CU120" s="239">
        <v>-42788</v>
      </c>
      <c r="CV120" s="239">
        <v>-9627</v>
      </c>
      <c r="CW120" s="239">
        <v>-1070</v>
      </c>
      <c r="CX120" s="239">
        <v>-106972</v>
      </c>
      <c r="CY120" s="239">
        <v>-87113</v>
      </c>
      <c r="CZ120" s="239">
        <v>-69688</v>
      </c>
      <c r="DA120" s="239">
        <v>-15680</v>
      </c>
      <c r="DB120" s="239">
        <v>-1743</v>
      </c>
      <c r="DC120" s="239">
        <v>-174224</v>
      </c>
      <c r="DD120" s="214">
        <v>0.5</v>
      </c>
      <c r="DE120" s="214">
        <v>0.4</v>
      </c>
      <c r="DF120" s="214">
        <v>0.09</v>
      </c>
      <c r="DG120" s="214">
        <v>0.01</v>
      </c>
      <c r="DH120" s="214">
        <v>1</v>
      </c>
      <c r="DI120" s="214" t="s">
        <v>1294</v>
      </c>
    </row>
    <row r="121" spans="1:113" s="214" customFormat="1" x14ac:dyDescent="0.2">
      <c r="B121" s="610" t="s">
        <v>325</v>
      </c>
      <c r="C121" s="610" t="s">
        <v>324</v>
      </c>
      <c r="D121" s="239">
        <v>105171299</v>
      </c>
      <c r="E121" s="239">
        <v>63102779</v>
      </c>
      <c r="F121" s="239">
        <v>42068519</v>
      </c>
      <c r="G121" s="239">
        <v>0</v>
      </c>
      <c r="H121" s="239">
        <v>210342597</v>
      </c>
      <c r="I121" s="239">
        <v>0</v>
      </c>
      <c r="J121" s="239">
        <v>0</v>
      </c>
      <c r="K121" s="239">
        <v>105171299</v>
      </c>
      <c r="L121" s="239">
        <v>568907</v>
      </c>
      <c r="M121" s="239">
        <v>568907</v>
      </c>
      <c r="N121" s="239">
        <v>0</v>
      </c>
      <c r="O121" s="239">
        <v>0</v>
      </c>
      <c r="P121" s="239">
        <v>0</v>
      </c>
      <c r="Q121" s="239">
        <v>0</v>
      </c>
      <c r="R121" s="239">
        <v>0</v>
      </c>
      <c r="S121" s="239">
        <v>0</v>
      </c>
      <c r="T121" s="239">
        <v>0</v>
      </c>
      <c r="U121" s="239">
        <v>0</v>
      </c>
      <c r="V121" s="239">
        <v>0</v>
      </c>
      <c r="W121" s="239">
        <v>11330622</v>
      </c>
      <c r="X121" s="239">
        <v>6798374</v>
      </c>
      <c r="Y121" s="239">
        <v>4532249</v>
      </c>
      <c r="Z121" s="239">
        <v>0</v>
      </c>
      <c r="AA121" s="239">
        <v>22661245</v>
      </c>
      <c r="AB121" s="239">
        <v>-8869204</v>
      </c>
      <c r="AC121" s="239">
        <v>-5321522</v>
      </c>
      <c r="AD121" s="239">
        <v>-3547681</v>
      </c>
      <c r="AE121" s="239">
        <v>0</v>
      </c>
      <c r="AF121" s="239">
        <v>-17738407</v>
      </c>
      <c r="AG121" s="239">
        <v>-8010853.4000000004</v>
      </c>
      <c r="AH121" s="239">
        <v>-4806513</v>
      </c>
      <c r="AI121" s="239">
        <v>-3204342</v>
      </c>
      <c r="AJ121" s="239">
        <v>0</v>
      </c>
      <c r="AK121" s="239">
        <v>-16021708</v>
      </c>
      <c r="AL121" s="239">
        <v>660971</v>
      </c>
      <c r="AM121" s="239">
        <v>396582</v>
      </c>
      <c r="AN121" s="239">
        <v>264388</v>
      </c>
      <c r="AO121" s="239">
        <v>0</v>
      </c>
      <c r="AP121" s="239">
        <v>1321941</v>
      </c>
      <c r="AQ121" s="239">
        <v>-1500658</v>
      </c>
      <c r="AR121" s="239">
        <v>-900395</v>
      </c>
      <c r="AS121" s="239">
        <v>-600263</v>
      </c>
      <c r="AT121" s="239">
        <v>0</v>
      </c>
      <c r="AU121" s="239">
        <v>-3001316</v>
      </c>
      <c r="AV121" s="239">
        <v>-8850540.4000000004</v>
      </c>
      <c r="AW121" s="239">
        <v>-5310326</v>
      </c>
      <c r="AX121" s="239">
        <v>-3540217</v>
      </c>
      <c r="AY121" s="239">
        <v>0</v>
      </c>
      <c r="AZ121" s="239">
        <v>-17701083</v>
      </c>
      <c r="BA121" s="239">
        <v>-29132455</v>
      </c>
      <c r="BB121" s="239">
        <v>-17479473</v>
      </c>
      <c r="BC121" s="239">
        <v>-11652984</v>
      </c>
      <c r="BD121" s="239">
        <v>0</v>
      </c>
      <c r="BE121" s="239">
        <v>-58264912</v>
      </c>
      <c r="BF121" s="239">
        <v>5121409</v>
      </c>
      <c r="BG121" s="239">
        <v>3072845</v>
      </c>
      <c r="BH121" s="239">
        <v>2048563</v>
      </c>
      <c r="BI121" s="239">
        <v>0</v>
      </c>
      <c r="BJ121" s="239">
        <v>10242817</v>
      </c>
      <c r="BK121" s="239">
        <v>7103164</v>
      </c>
      <c r="BL121" s="239">
        <v>4261898</v>
      </c>
      <c r="BM121" s="239">
        <v>2841266</v>
      </c>
      <c r="BN121" s="239">
        <v>0</v>
      </c>
      <c r="BO121" s="239">
        <v>14206328</v>
      </c>
      <c r="BP121" s="239">
        <v>-16907882</v>
      </c>
      <c r="BQ121" s="239">
        <v>-10144730</v>
      </c>
      <c r="BR121" s="239">
        <v>-6763155</v>
      </c>
      <c r="BS121" s="239">
        <v>0</v>
      </c>
      <c r="BT121" s="239">
        <v>-33815767</v>
      </c>
      <c r="BU121" s="239">
        <v>-3634137</v>
      </c>
      <c r="BV121" s="239">
        <v>-2180483</v>
      </c>
      <c r="BW121" s="239">
        <v>-1453655</v>
      </c>
      <c r="BX121" s="239">
        <v>0</v>
      </c>
      <c r="BY121" s="239">
        <v>-7268275</v>
      </c>
      <c r="BZ121" s="239">
        <v>130125</v>
      </c>
      <c r="CA121" s="239">
        <v>78075</v>
      </c>
      <c r="CB121" s="239">
        <v>52050</v>
      </c>
      <c r="CC121" s="239">
        <v>0</v>
      </c>
      <c r="CD121" s="239">
        <v>260250</v>
      </c>
      <c r="CE121" s="239">
        <v>-3764262</v>
      </c>
      <c r="CF121" s="239">
        <v>-2258558</v>
      </c>
      <c r="CG121" s="239">
        <v>-1505705</v>
      </c>
      <c r="CH121" s="239">
        <v>0</v>
      </c>
      <c r="CI121" s="239">
        <v>-7528525</v>
      </c>
      <c r="CJ121" s="239">
        <v>94028509</v>
      </c>
      <c r="CK121" s="239">
        <v>56417105</v>
      </c>
      <c r="CL121" s="239">
        <v>37611404</v>
      </c>
      <c r="CM121" s="239">
        <v>0</v>
      </c>
      <c r="CN121" s="239">
        <v>188057018</v>
      </c>
      <c r="CO121" s="239">
        <v>105171299</v>
      </c>
      <c r="CP121" s="239">
        <v>63102779</v>
      </c>
      <c r="CQ121" s="239">
        <v>42068519</v>
      </c>
      <c r="CR121" s="239">
        <v>0</v>
      </c>
      <c r="CS121" s="239">
        <v>210342597</v>
      </c>
      <c r="CT121" s="239">
        <v>11142790</v>
      </c>
      <c r="CU121" s="239">
        <v>6685674</v>
      </c>
      <c r="CV121" s="239">
        <v>4457115</v>
      </c>
      <c r="CW121" s="239">
        <v>0</v>
      </c>
      <c r="CX121" s="239">
        <v>22285579</v>
      </c>
      <c r="CY121" s="239">
        <v>7378528</v>
      </c>
      <c r="CZ121" s="239">
        <v>4427116</v>
      </c>
      <c r="DA121" s="239">
        <v>2951410</v>
      </c>
      <c r="DB121" s="239">
        <v>0</v>
      </c>
      <c r="DC121" s="239">
        <v>14757054</v>
      </c>
      <c r="DD121" s="214">
        <v>0.5</v>
      </c>
      <c r="DE121" s="214">
        <v>0.3</v>
      </c>
      <c r="DF121" s="214">
        <v>0.2</v>
      </c>
      <c r="DG121" s="214">
        <v>0</v>
      </c>
      <c r="DH121" s="214">
        <v>1</v>
      </c>
      <c r="DI121" s="214" t="s">
        <v>1297</v>
      </c>
    </row>
    <row r="122" spans="1:113" s="214" customFormat="1" x14ac:dyDescent="0.2">
      <c r="B122" s="610" t="s">
        <v>327</v>
      </c>
      <c r="C122" s="610" t="s">
        <v>326</v>
      </c>
      <c r="D122" s="239">
        <v>18248399</v>
      </c>
      <c r="E122" s="239">
        <v>14598720</v>
      </c>
      <c r="F122" s="239">
        <v>3284712</v>
      </c>
      <c r="G122" s="239">
        <v>364968</v>
      </c>
      <c r="H122" s="239">
        <v>36496799</v>
      </c>
      <c r="I122" s="239">
        <v>0</v>
      </c>
      <c r="J122" s="239">
        <v>0</v>
      </c>
      <c r="K122" s="239">
        <v>18248399</v>
      </c>
      <c r="L122" s="239">
        <v>126157</v>
      </c>
      <c r="M122" s="239">
        <v>126157</v>
      </c>
      <c r="N122" s="239">
        <v>0</v>
      </c>
      <c r="O122" s="239">
        <v>0</v>
      </c>
      <c r="P122" s="239">
        <v>0</v>
      </c>
      <c r="Q122" s="239">
        <v>0</v>
      </c>
      <c r="R122" s="239">
        <v>0</v>
      </c>
      <c r="S122" s="239">
        <v>0</v>
      </c>
      <c r="T122" s="239">
        <v>0</v>
      </c>
      <c r="U122" s="239">
        <v>0</v>
      </c>
      <c r="V122" s="239">
        <v>0</v>
      </c>
      <c r="W122" s="239">
        <v>151776</v>
      </c>
      <c r="X122" s="239">
        <v>121421</v>
      </c>
      <c r="Y122" s="239">
        <v>27320</v>
      </c>
      <c r="Z122" s="239">
        <v>3036</v>
      </c>
      <c r="AA122" s="239">
        <v>303553</v>
      </c>
      <c r="AB122" s="239">
        <v>-403359</v>
      </c>
      <c r="AC122" s="239">
        <v>-322687</v>
      </c>
      <c r="AD122" s="239">
        <v>-72605</v>
      </c>
      <c r="AE122" s="239">
        <v>-8067</v>
      </c>
      <c r="AF122" s="239">
        <v>-806718</v>
      </c>
      <c r="AG122" s="239">
        <v>-35702</v>
      </c>
      <c r="AH122" s="239">
        <v>-28560</v>
      </c>
      <c r="AI122" s="239">
        <v>-6426</v>
      </c>
      <c r="AJ122" s="239">
        <v>-714</v>
      </c>
      <c r="AK122" s="239">
        <v>-71402</v>
      </c>
      <c r="AL122" s="239">
        <v>53467</v>
      </c>
      <c r="AM122" s="239">
        <v>42773</v>
      </c>
      <c r="AN122" s="239">
        <v>9624</v>
      </c>
      <c r="AO122" s="239">
        <v>1069</v>
      </c>
      <c r="AP122" s="239">
        <v>106933</v>
      </c>
      <c r="AQ122" s="239">
        <v>-35859</v>
      </c>
      <c r="AR122" s="239">
        <v>-28687</v>
      </c>
      <c r="AS122" s="239">
        <v>-6455</v>
      </c>
      <c r="AT122" s="239">
        <v>-717</v>
      </c>
      <c r="AU122" s="239">
        <v>-71718</v>
      </c>
      <c r="AV122" s="239">
        <v>-18094</v>
      </c>
      <c r="AW122" s="239">
        <v>-14474</v>
      </c>
      <c r="AX122" s="239">
        <v>-3257</v>
      </c>
      <c r="AY122" s="239">
        <v>-362</v>
      </c>
      <c r="AZ122" s="239">
        <v>-36187</v>
      </c>
      <c r="BA122" s="239">
        <v>-1925652</v>
      </c>
      <c r="BB122" s="239">
        <v>-1540523</v>
      </c>
      <c r="BC122" s="239">
        <v>-346618</v>
      </c>
      <c r="BD122" s="239">
        <v>-38513</v>
      </c>
      <c r="BE122" s="239">
        <v>-3851306</v>
      </c>
      <c r="BF122" s="239">
        <v>0</v>
      </c>
      <c r="BG122" s="239">
        <v>0</v>
      </c>
      <c r="BH122" s="239">
        <v>0</v>
      </c>
      <c r="BI122" s="239">
        <v>0</v>
      </c>
      <c r="BJ122" s="239">
        <v>0</v>
      </c>
      <c r="BK122" s="239">
        <v>-936570</v>
      </c>
      <c r="BL122" s="239">
        <v>-749256</v>
      </c>
      <c r="BM122" s="239">
        <v>-168583</v>
      </c>
      <c r="BN122" s="239">
        <v>-18731</v>
      </c>
      <c r="BO122" s="239">
        <v>-1873140</v>
      </c>
      <c r="BP122" s="239">
        <v>-2862222</v>
      </c>
      <c r="BQ122" s="239">
        <v>-2289779</v>
      </c>
      <c r="BR122" s="239">
        <v>-515201</v>
      </c>
      <c r="BS122" s="239">
        <v>-57244</v>
      </c>
      <c r="BT122" s="239">
        <v>-5724446</v>
      </c>
      <c r="BU122" s="239">
        <v>-1021396</v>
      </c>
      <c r="BV122" s="239">
        <v>-817117</v>
      </c>
      <c r="BW122" s="239">
        <v>-183851</v>
      </c>
      <c r="BX122" s="239">
        <v>-20428</v>
      </c>
      <c r="BY122" s="239">
        <v>-2042792</v>
      </c>
      <c r="BZ122" s="239">
        <v>141915</v>
      </c>
      <c r="CA122" s="239">
        <v>113532</v>
      </c>
      <c r="CB122" s="239">
        <v>25545</v>
      </c>
      <c r="CC122" s="239">
        <v>2838</v>
      </c>
      <c r="CD122" s="239">
        <v>283830</v>
      </c>
      <c r="CE122" s="239">
        <v>-1163311</v>
      </c>
      <c r="CF122" s="239">
        <v>-930649</v>
      </c>
      <c r="CG122" s="239">
        <v>-209396</v>
      </c>
      <c r="CH122" s="239">
        <v>-23266</v>
      </c>
      <c r="CI122" s="239">
        <v>-2326622</v>
      </c>
      <c r="CJ122" s="239">
        <v>19098411</v>
      </c>
      <c r="CK122" s="239">
        <v>15278729</v>
      </c>
      <c r="CL122" s="239">
        <v>3437714</v>
      </c>
      <c r="CM122" s="239">
        <v>381968</v>
      </c>
      <c r="CN122" s="239">
        <v>38196822</v>
      </c>
      <c r="CO122" s="239">
        <v>18248399</v>
      </c>
      <c r="CP122" s="239">
        <v>14598720</v>
      </c>
      <c r="CQ122" s="239">
        <v>3284712</v>
      </c>
      <c r="CR122" s="239">
        <v>364968</v>
      </c>
      <c r="CS122" s="239">
        <v>36496799</v>
      </c>
      <c r="CT122" s="239">
        <v>-850012</v>
      </c>
      <c r="CU122" s="239">
        <v>-680009</v>
      </c>
      <c r="CV122" s="239">
        <v>-153002</v>
      </c>
      <c r="CW122" s="239">
        <v>-17000</v>
      </c>
      <c r="CX122" s="239">
        <v>-1700023</v>
      </c>
      <c r="CY122" s="239">
        <v>-2013323</v>
      </c>
      <c r="CZ122" s="239">
        <v>-1610658</v>
      </c>
      <c r="DA122" s="239">
        <v>-362398</v>
      </c>
      <c r="DB122" s="239">
        <v>-40266</v>
      </c>
      <c r="DC122" s="239">
        <v>-4026645</v>
      </c>
      <c r="DD122" s="214">
        <v>0.5</v>
      </c>
      <c r="DE122" s="214">
        <v>0.4</v>
      </c>
      <c r="DF122" s="214">
        <v>0.09</v>
      </c>
      <c r="DG122" s="214">
        <v>0.01</v>
      </c>
      <c r="DH122" s="214">
        <v>1</v>
      </c>
      <c r="DI122" s="214" t="s">
        <v>1294</v>
      </c>
    </row>
    <row r="123" spans="1:113" s="214" customFormat="1" x14ac:dyDescent="0.2">
      <c r="B123" s="610" t="s">
        <v>329</v>
      </c>
      <c r="C123" s="610" t="s">
        <v>328</v>
      </c>
      <c r="D123" s="239">
        <v>28075565.93</v>
      </c>
      <c r="E123" s="239">
        <v>16845339</v>
      </c>
      <c r="F123" s="239">
        <v>11230226</v>
      </c>
      <c r="G123" s="239">
        <v>0</v>
      </c>
      <c r="H123" s="239">
        <v>56151130.93</v>
      </c>
      <c r="I123" s="239">
        <v>0</v>
      </c>
      <c r="J123" s="239">
        <v>0</v>
      </c>
      <c r="K123" s="239">
        <v>28075565.93</v>
      </c>
      <c r="L123" s="239">
        <v>307187</v>
      </c>
      <c r="M123" s="239">
        <v>307187</v>
      </c>
      <c r="N123" s="239">
        <v>0</v>
      </c>
      <c r="O123" s="239">
        <v>0</v>
      </c>
      <c r="P123" s="239">
        <v>0</v>
      </c>
      <c r="Q123" s="239">
        <v>0</v>
      </c>
      <c r="R123" s="239">
        <v>0</v>
      </c>
      <c r="S123" s="239">
        <v>0</v>
      </c>
      <c r="T123" s="239">
        <v>0</v>
      </c>
      <c r="U123" s="239">
        <v>0</v>
      </c>
      <c r="V123" s="239">
        <v>0</v>
      </c>
      <c r="W123" s="239">
        <v>4603632</v>
      </c>
      <c r="X123" s="239">
        <v>2762180</v>
      </c>
      <c r="Y123" s="239">
        <v>1841453</v>
      </c>
      <c r="Z123" s="239">
        <v>0</v>
      </c>
      <c r="AA123" s="239">
        <v>9207265</v>
      </c>
      <c r="AB123" s="239">
        <v>-4424721</v>
      </c>
      <c r="AC123" s="239">
        <v>-2654832</v>
      </c>
      <c r="AD123" s="239">
        <v>-1769888</v>
      </c>
      <c r="AE123" s="239">
        <v>0</v>
      </c>
      <c r="AF123" s="239">
        <v>-8849441</v>
      </c>
      <c r="AG123" s="239">
        <v>-2583696.2999999998</v>
      </c>
      <c r="AH123" s="239">
        <v>-1550219</v>
      </c>
      <c r="AI123" s="239">
        <v>-1033479</v>
      </c>
      <c r="AJ123" s="239">
        <v>0</v>
      </c>
      <c r="AK123" s="239">
        <v>-5167394.3</v>
      </c>
      <c r="AL123" s="239">
        <v>847966</v>
      </c>
      <c r="AM123" s="239">
        <v>508780</v>
      </c>
      <c r="AN123" s="239">
        <v>339187</v>
      </c>
      <c r="AO123" s="239">
        <v>0</v>
      </c>
      <c r="AP123" s="239">
        <v>1695933</v>
      </c>
      <c r="AQ123" s="239">
        <v>-829863.07000000007</v>
      </c>
      <c r="AR123" s="239">
        <v>-497918</v>
      </c>
      <c r="AS123" s="239">
        <v>-331945</v>
      </c>
      <c r="AT123" s="239">
        <v>0</v>
      </c>
      <c r="AU123" s="239">
        <v>-1659726.07</v>
      </c>
      <c r="AV123" s="239">
        <v>-2565593.37</v>
      </c>
      <c r="AW123" s="239">
        <v>-1539357</v>
      </c>
      <c r="AX123" s="239">
        <v>-1026237</v>
      </c>
      <c r="AY123" s="239">
        <v>0</v>
      </c>
      <c r="AZ123" s="239">
        <v>-5131187.37</v>
      </c>
      <c r="BA123" s="239">
        <v>-4226598</v>
      </c>
      <c r="BB123" s="239">
        <v>-2535957</v>
      </c>
      <c r="BC123" s="239">
        <v>-1690639</v>
      </c>
      <c r="BD123" s="239">
        <v>0</v>
      </c>
      <c r="BE123" s="239">
        <v>-8453194</v>
      </c>
      <c r="BF123" s="239">
        <v>1955553</v>
      </c>
      <c r="BG123" s="239">
        <v>1173332</v>
      </c>
      <c r="BH123" s="239">
        <v>782221</v>
      </c>
      <c r="BI123" s="239">
        <v>0</v>
      </c>
      <c r="BJ123" s="239">
        <v>3911106</v>
      </c>
      <c r="BK123" s="239">
        <v>-4420911</v>
      </c>
      <c r="BL123" s="239">
        <v>-2652546</v>
      </c>
      <c r="BM123" s="239">
        <v>-1768364</v>
      </c>
      <c r="BN123" s="239">
        <v>0</v>
      </c>
      <c r="BO123" s="239">
        <v>-8841821</v>
      </c>
      <c r="BP123" s="239">
        <v>-6691956</v>
      </c>
      <c r="BQ123" s="239">
        <v>-4015171</v>
      </c>
      <c r="BR123" s="239">
        <v>-2676782</v>
      </c>
      <c r="BS123" s="239">
        <v>0</v>
      </c>
      <c r="BT123" s="239">
        <v>-13383909</v>
      </c>
      <c r="BU123" s="239">
        <v>-8529954</v>
      </c>
      <c r="BV123" s="239">
        <v>-5117972</v>
      </c>
      <c r="BW123" s="239">
        <v>-3411982</v>
      </c>
      <c r="BX123" s="239">
        <v>0</v>
      </c>
      <c r="BY123" s="239">
        <v>-17059908</v>
      </c>
      <c r="BZ123" s="239">
        <v>-7565485</v>
      </c>
      <c r="CA123" s="239">
        <v>-4539291</v>
      </c>
      <c r="CB123" s="239">
        <v>-3026194</v>
      </c>
      <c r="CC123" s="239">
        <v>0</v>
      </c>
      <c r="CD123" s="239">
        <v>-15130970</v>
      </c>
      <c r="CE123" s="239">
        <v>-964469</v>
      </c>
      <c r="CF123" s="239">
        <v>-578681</v>
      </c>
      <c r="CG123" s="239">
        <v>-385788</v>
      </c>
      <c r="CH123" s="239">
        <v>0</v>
      </c>
      <c r="CI123" s="239">
        <v>-1928938</v>
      </c>
      <c r="CJ123" s="239">
        <v>32174981</v>
      </c>
      <c r="CK123" s="239">
        <v>19304989</v>
      </c>
      <c r="CL123" s="239">
        <v>12869992</v>
      </c>
      <c r="CM123" s="239">
        <v>0</v>
      </c>
      <c r="CN123" s="239">
        <v>64349962</v>
      </c>
      <c r="CO123" s="239">
        <v>28075565.93</v>
      </c>
      <c r="CP123" s="239">
        <v>16845339</v>
      </c>
      <c r="CQ123" s="239">
        <v>11230226</v>
      </c>
      <c r="CR123" s="239">
        <v>0</v>
      </c>
      <c r="CS123" s="239">
        <v>56151130.93</v>
      </c>
      <c r="CT123" s="239">
        <v>-4099415.0700000003</v>
      </c>
      <c r="CU123" s="239">
        <v>-2459650</v>
      </c>
      <c r="CV123" s="239">
        <v>-1639766</v>
      </c>
      <c r="CW123" s="239">
        <v>0</v>
      </c>
      <c r="CX123" s="239">
        <v>-8198831.0700000003</v>
      </c>
      <c r="CY123" s="239">
        <v>-5063884.07</v>
      </c>
      <c r="CZ123" s="239">
        <v>-3038331</v>
      </c>
      <c r="DA123" s="239">
        <v>-2025554</v>
      </c>
      <c r="DB123" s="239">
        <v>0</v>
      </c>
      <c r="DC123" s="239">
        <v>-10127769.07</v>
      </c>
      <c r="DD123" s="214">
        <v>0.5</v>
      </c>
      <c r="DE123" s="214">
        <v>0.3</v>
      </c>
      <c r="DF123" s="214">
        <v>0.2</v>
      </c>
      <c r="DG123" s="214">
        <v>0</v>
      </c>
      <c r="DH123" s="214">
        <v>1</v>
      </c>
      <c r="DI123" s="214" t="s">
        <v>1295</v>
      </c>
    </row>
    <row r="124" spans="1:113" s="214" customFormat="1" x14ac:dyDescent="0.2">
      <c r="B124" s="610" t="s">
        <v>331</v>
      </c>
      <c r="C124" s="610" t="s">
        <v>330</v>
      </c>
      <c r="D124" s="239">
        <v>23550043</v>
      </c>
      <c r="E124" s="239">
        <v>18840034</v>
      </c>
      <c r="F124" s="239">
        <v>4239008</v>
      </c>
      <c r="G124" s="239">
        <v>471001</v>
      </c>
      <c r="H124" s="239">
        <v>47100086</v>
      </c>
      <c r="I124" s="239">
        <v>0</v>
      </c>
      <c r="J124" s="239">
        <v>0</v>
      </c>
      <c r="K124" s="239">
        <v>23550043</v>
      </c>
      <c r="L124" s="239">
        <v>120638</v>
      </c>
      <c r="M124" s="239">
        <v>120638</v>
      </c>
      <c r="N124" s="239">
        <v>0</v>
      </c>
      <c r="O124" s="239">
        <v>0</v>
      </c>
      <c r="P124" s="239">
        <v>0</v>
      </c>
      <c r="Q124" s="239">
        <v>0</v>
      </c>
      <c r="R124" s="239">
        <v>0</v>
      </c>
      <c r="S124" s="239">
        <v>0</v>
      </c>
      <c r="T124" s="239">
        <v>0</v>
      </c>
      <c r="U124" s="239">
        <v>0</v>
      </c>
      <c r="V124" s="239">
        <v>0</v>
      </c>
      <c r="W124" s="239">
        <v>1193069</v>
      </c>
      <c r="X124" s="239">
        <v>954454</v>
      </c>
      <c r="Y124" s="239">
        <v>214752</v>
      </c>
      <c r="Z124" s="239">
        <v>23861</v>
      </c>
      <c r="AA124" s="239">
        <v>2386136</v>
      </c>
      <c r="AB124" s="239">
        <v>-520208</v>
      </c>
      <c r="AC124" s="239">
        <v>-416167</v>
      </c>
      <c r="AD124" s="239">
        <v>-93638</v>
      </c>
      <c r="AE124" s="239">
        <v>-10404</v>
      </c>
      <c r="AF124" s="239">
        <v>-1040417</v>
      </c>
      <c r="AG124" s="239">
        <v>-476705</v>
      </c>
      <c r="AH124" s="239">
        <v>-381364</v>
      </c>
      <c r="AI124" s="239">
        <v>-85807</v>
      </c>
      <c r="AJ124" s="239">
        <v>-9534</v>
      </c>
      <c r="AK124" s="239">
        <v>-953410</v>
      </c>
      <c r="AL124" s="239">
        <v>43536</v>
      </c>
      <c r="AM124" s="239">
        <v>34829</v>
      </c>
      <c r="AN124" s="239">
        <v>7836</v>
      </c>
      <c r="AO124" s="239">
        <v>871</v>
      </c>
      <c r="AP124" s="239">
        <v>87072</v>
      </c>
      <c r="AQ124" s="239">
        <v>-240330</v>
      </c>
      <c r="AR124" s="239">
        <v>-192265</v>
      </c>
      <c r="AS124" s="239">
        <v>-43260</v>
      </c>
      <c r="AT124" s="239">
        <v>-4807</v>
      </c>
      <c r="AU124" s="239">
        <v>-480662</v>
      </c>
      <c r="AV124" s="239">
        <v>-673499</v>
      </c>
      <c r="AW124" s="239">
        <v>-538800</v>
      </c>
      <c r="AX124" s="239">
        <v>-121231</v>
      </c>
      <c r="AY124" s="239">
        <v>-13470</v>
      </c>
      <c r="AZ124" s="239">
        <v>-1347000</v>
      </c>
      <c r="BA124" s="239">
        <v>-3520227</v>
      </c>
      <c r="BB124" s="239">
        <v>-2816182</v>
      </c>
      <c r="BC124" s="239">
        <v>-633641</v>
      </c>
      <c r="BD124" s="239">
        <v>-70404</v>
      </c>
      <c r="BE124" s="239">
        <v>-7040454</v>
      </c>
      <c r="BF124" s="239">
        <v>842911</v>
      </c>
      <c r="BG124" s="239">
        <v>674328</v>
      </c>
      <c r="BH124" s="239">
        <v>151724</v>
      </c>
      <c r="BI124" s="239">
        <v>16858</v>
      </c>
      <c r="BJ124" s="239">
        <v>1685821</v>
      </c>
      <c r="BK124" s="239">
        <v>79731</v>
      </c>
      <c r="BL124" s="239">
        <v>63785</v>
      </c>
      <c r="BM124" s="239">
        <v>14352</v>
      </c>
      <c r="BN124" s="239">
        <v>1595</v>
      </c>
      <c r="BO124" s="239">
        <v>159463</v>
      </c>
      <c r="BP124" s="239">
        <v>-2597585</v>
      </c>
      <c r="BQ124" s="239">
        <v>-2078069</v>
      </c>
      <c r="BR124" s="239">
        <v>-467565</v>
      </c>
      <c r="BS124" s="239">
        <v>-51951</v>
      </c>
      <c r="BT124" s="239">
        <v>-5195170</v>
      </c>
      <c r="BU124" s="239">
        <v>-2123508</v>
      </c>
      <c r="BV124" s="239">
        <v>-1698806</v>
      </c>
      <c r="BW124" s="239">
        <v>-382231</v>
      </c>
      <c r="BX124" s="239">
        <v>-42470</v>
      </c>
      <c r="BY124" s="239">
        <v>-4247015</v>
      </c>
      <c r="BZ124" s="239">
        <v>-2203188</v>
      </c>
      <c r="CA124" s="239">
        <v>-1762551</v>
      </c>
      <c r="CB124" s="239">
        <v>-396574</v>
      </c>
      <c r="CC124" s="239">
        <v>-44064</v>
      </c>
      <c r="CD124" s="239">
        <v>-4406377</v>
      </c>
      <c r="CE124" s="239">
        <v>79680</v>
      </c>
      <c r="CF124" s="239">
        <v>63745</v>
      </c>
      <c r="CG124" s="239">
        <v>14343</v>
      </c>
      <c r="CH124" s="239">
        <v>1594</v>
      </c>
      <c r="CI124" s="239">
        <v>159362</v>
      </c>
      <c r="CJ124" s="239">
        <v>22637291</v>
      </c>
      <c r="CK124" s="239">
        <v>18109832</v>
      </c>
      <c r="CL124" s="239">
        <v>4074712</v>
      </c>
      <c r="CM124" s="239">
        <v>452746</v>
      </c>
      <c r="CN124" s="239">
        <v>45274581</v>
      </c>
      <c r="CO124" s="239">
        <v>23550043</v>
      </c>
      <c r="CP124" s="239">
        <v>18840034</v>
      </c>
      <c r="CQ124" s="239">
        <v>4239008</v>
      </c>
      <c r="CR124" s="239">
        <v>471001</v>
      </c>
      <c r="CS124" s="239">
        <v>47100086</v>
      </c>
      <c r="CT124" s="239">
        <v>912752</v>
      </c>
      <c r="CU124" s="239">
        <v>730202</v>
      </c>
      <c r="CV124" s="239">
        <v>164296</v>
      </c>
      <c r="CW124" s="239">
        <v>18255</v>
      </c>
      <c r="CX124" s="239">
        <v>1825505</v>
      </c>
      <c r="CY124" s="239">
        <v>992432</v>
      </c>
      <c r="CZ124" s="239">
        <v>793947</v>
      </c>
      <c r="DA124" s="239">
        <v>178639</v>
      </c>
      <c r="DB124" s="239">
        <v>19849</v>
      </c>
      <c r="DC124" s="239">
        <v>1984867</v>
      </c>
      <c r="DD124" s="214">
        <v>0.5</v>
      </c>
      <c r="DE124" s="214">
        <v>0.4</v>
      </c>
      <c r="DF124" s="214">
        <v>0.09</v>
      </c>
      <c r="DG124" s="214">
        <v>0.01</v>
      </c>
      <c r="DH124" s="214">
        <v>1</v>
      </c>
      <c r="DI124" s="214" t="s">
        <v>1294</v>
      </c>
    </row>
    <row r="125" spans="1:113" s="214" customFormat="1" x14ac:dyDescent="0.2">
      <c r="B125" s="610" t="s">
        <v>333</v>
      </c>
      <c r="C125" s="610" t="s">
        <v>332</v>
      </c>
      <c r="D125" s="239">
        <v>29211097</v>
      </c>
      <c r="E125" s="239">
        <v>23368877</v>
      </c>
      <c r="F125" s="239">
        <v>5257997</v>
      </c>
      <c r="G125" s="239">
        <v>584222</v>
      </c>
      <c r="H125" s="239">
        <v>58422193</v>
      </c>
      <c r="I125" s="239">
        <v>0</v>
      </c>
      <c r="J125" s="239">
        <v>0</v>
      </c>
      <c r="K125" s="239">
        <v>29211097</v>
      </c>
      <c r="L125" s="239">
        <v>287230</v>
      </c>
      <c r="M125" s="239">
        <v>287230</v>
      </c>
      <c r="N125" s="239">
        <v>0</v>
      </c>
      <c r="O125" s="239">
        <v>0</v>
      </c>
      <c r="P125" s="239">
        <v>0</v>
      </c>
      <c r="Q125" s="239">
        <v>0</v>
      </c>
      <c r="R125" s="239">
        <v>0</v>
      </c>
      <c r="S125" s="239">
        <v>0</v>
      </c>
      <c r="T125" s="239">
        <v>0</v>
      </c>
      <c r="U125" s="239">
        <v>0</v>
      </c>
      <c r="V125" s="239">
        <v>0</v>
      </c>
      <c r="W125" s="239">
        <v>1112338</v>
      </c>
      <c r="X125" s="239">
        <v>889871</v>
      </c>
      <c r="Y125" s="239">
        <v>200221</v>
      </c>
      <c r="Z125" s="239">
        <v>22247</v>
      </c>
      <c r="AA125" s="239">
        <v>2224677</v>
      </c>
      <c r="AB125" s="239">
        <v>-375100</v>
      </c>
      <c r="AC125" s="239">
        <v>-300080</v>
      </c>
      <c r="AD125" s="239">
        <v>-67518</v>
      </c>
      <c r="AE125" s="239">
        <v>-7502</v>
      </c>
      <c r="AF125" s="239">
        <v>-750200</v>
      </c>
      <c r="AG125" s="239">
        <v>-505636</v>
      </c>
      <c r="AH125" s="239">
        <v>-404510</v>
      </c>
      <c r="AI125" s="239">
        <v>-91014</v>
      </c>
      <c r="AJ125" s="239">
        <v>-10113</v>
      </c>
      <c r="AK125" s="239">
        <v>-1011273</v>
      </c>
      <c r="AL125" s="239">
        <v>131179</v>
      </c>
      <c r="AM125" s="239">
        <v>104943</v>
      </c>
      <c r="AN125" s="239">
        <v>23612</v>
      </c>
      <c r="AO125" s="239">
        <v>2624</v>
      </c>
      <c r="AP125" s="239">
        <v>262358</v>
      </c>
      <c r="AQ125" s="239">
        <v>-238370</v>
      </c>
      <c r="AR125" s="239">
        <v>-190696</v>
      </c>
      <c r="AS125" s="239">
        <v>-42907</v>
      </c>
      <c r="AT125" s="239">
        <v>-4767</v>
      </c>
      <c r="AU125" s="239">
        <v>-476740</v>
      </c>
      <c r="AV125" s="239">
        <v>-612827</v>
      </c>
      <c r="AW125" s="239">
        <v>-490263</v>
      </c>
      <c r="AX125" s="239">
        <v>-110309</v>
      </c>
      <c r="AY125" s="239">
        <v>-12256</v>
      </c>
      <c r="AZ125" s="239">
        <v>-1225655</v>
      </c>
      <c r="BA125" s="239">
        <v>-1396098</v>
      </c>
      <c r="BB125" s="239">
        <v>-1116878</v>
      </c>
      <c r="BC125" s="239">
        <v>-251297</v>
      </c>
      <c r="BD125" s="239">
        <v>-27921</v>
      </c>
      <c r="BE125" s="239">
        <v>-2792194</v>
      </c>
      <c r="BF125" s="239">
        <v>1086214</v>
      </c>
      <c r="BG125" s="239">
        <v>868971</v>
      </c>
      <c r="BH125" s="239">
        <v>195519</v>
      </c>
      <c r="BI125" s="239">
        <v>21724</v>
      </c>
      <c r="BJ125" s="239">
        <v>2172428</v>
      </c>
      <c r="BK125" s="239">
        <v>-1889672</v>
      </c>
      <c r="BL125" s="239">
        <v>-1511738</v>
      </c>
      <c r="BM125" s="239">
        <v>-340141</v>
      </c>
      <c r="BN125" s="239">
        <v>-37793</v>
      </c>
      <c r="BO125" s="239">
        <v>-3779344</v>
      </c>
      <c r="BP125" s="239">
        <v>-2199556</v>
      </c>
      <c r="BQ125" s="239">
        <v>-1759645</v>
      </c>
      <c r="BR125" s="239">
        <v>-395919</v>
      </c>
      <c r="BS125" s="239">
        <v>-43990</v>
      </c>
      <c r="BT125" s="239">
        <v>-4399110</v>
      </c>
      <c r="BU125" s="239">
        <v>-650843</v>
      </c>
      <c r="BV125" s="239">
        <v>-520674</v>
      </c>
      <c r="BW125" s="239">
        <v>-117152</v>
      </c>
      <c r="BX125" s="239">
        <v>-13017</v>
      </c>
      <c r="BY125" s="239">
        <v>-1301686</v>
      </c>
      <c r="BZ125" s="239">
        <v>-544500</v>
      </c>
      <c r="CA125" s="239">
        <v>-435600</v>
      </c>
      <c r="CB125" s="239">
        <v>-98010</v>
      </c>
      <c r="CC125" s="239">
        <v>-10890</v>
      </c>
      <c r="CD125" s="239">
        <v>-1089000</v>
      </c>
      <c r="CE125" s="239">
        <v>-106343</v>
      </c>
      <c r="CF125" s="239">
        <v>-85074</v>
      </c>
      <c r="CG125" s="239">
        <v>-19142</v>
      </c>
      <c r="CH125" s="239">
        <v>-2127</v>
      </c>
      <c r="CI125" s="239">
        <v>-212686</v>
      </c>
      <c r="CJ125" s="239">
        <v>29866596</v>
      </c>
      <c r="CK125" s="239">
        <v>23893277</v>
      </c>
      <c r="CL125" s="239">
        <v>5375987</v>
      </c>
      <c r="CM125" s="239">
        <v>597332</v>
      </c>
      <c r="CN125" s="239">
        <v>59733192</v>
      </c>
      <c r="CO125" s="239">
        <v>29211097</v>
      </c>
      <c r="CP125" s="239">
        <v>23368877</v>
      </c>
      <c r="CQ125" s="239">
        <v>5257997</v>
      </c>
      <c r="CR125" s="239">
        <v>584222</v>
      </c>
      <c r="CS125" s="239">
        <v>58422193</v>
      </c>
      <c r="CT125" s="239">
        <v>-655499</v>
      </c>
      <c r="CU125" s="239">
        <v>-524400</v>
      </c>
      <c r="CV125" s="239">
        <v>-117990</v>
      </c>
      <c r="CW125" s="239">
        <v>-13110</v>
      </c>
      <c r="CX125" s="239">
        <v>-1310999</v>
      </c>
      <c r="CY125" s="239">
        <v>-761842</v>
      </c>
      <c r="CZ125" s="239">
        <v>-609474</v>
      </c>
      <c r="DA125" s="239">
        <v>-137132</v>
      </c>
      <c r="DB125" s="239">
        <v>-15237</v>
      </c>
      <c r="DC125" s="239">
        <v>-1523685</v>
      </c>
      <c r="DD125" s="214">
        <v>0.5</v>
      </c>
      <c r="DE125" s="214">
        <v>0.4</v>
      </c>
      <c r="DF125" s="214">
        <v>0.09</v>
      </c>
      <c r="DG125" s="214">
        <v>0.01</v>
      </c>
      <c r="DH125" s="214">
        <v>1</v>
      </c>
      <c r="DI125" s="214" t="s">
        <v>1294</v>
      </c>
    </row>
    <row r="126" spans="1:113" s="214" customFormat="1" x14ac:dyDescent="0.2">
      <c r="B126" s="610" t="s">
        <v>335</v>
      </c>
      <c r="C126" s="610" t="s">
        <v>334</v>
      </c>
      <c r="D126" s="239">
        <v>25359445</v>
      </c>
      <c r="E126" s="239">
        <v>15215667</v>
      </c>
      <c r="F126" s="239">
        <v>10143778</v>
      </c>
      <c r="G126" s="239">
        <v>0</v>
      </c>
      <c r="H126" s="239">
        <v>50718890</v>
      </c>
      <c r="I126" s="239">
        <v>0</v>
      </c>
      <c r="J126" s="239">
        <v>0</v>
      </c>
      <c r="K126" s="239">
        <v>25359445</v>
      </c>
      <c r="L126" s="239">
        <v>254409</v>
      </c>
      <c r="M126" s="239">
        <v>254409</v>
      </c>
      <c r="N126" s="239">
        <v>0</v>
      </c>
      <c r="O126" s="239">
        <v>0</v>
      </c>
      <c r="P126" s="239">
        <v>0</v>
      </c>
      <c r="Q126" s="239">
        <v>0</v>
      </c>
      <c r="R126" s="239">
        <v>0</v>
      </c>
      <c r="S126" s="239">
        <v>0</v>
      </c>
      <c r="T126" s="239">
        <v>0</v>
      </c>
      <c r="U126" s="239">
        <v>0</v>
      </c>
      <c r="V126" s="239">
        <v>0</v>
      </c>
      <c r="W126" s="239">
        <v>2000254</v>
      </c>
      <c r="X126" s="239">
        <v>1200152</v>
      </c>
      <c r="Y126" s="239">
        <v>800102</v>
      </c>
      <c r="Z126" s="239">
        <v>0</v>
      </c>
      <c r="AA126" s="239">
        <v>4000508</v>
      </c>
      <c r="AB126" s="239">
        <v>-209992</v>
      </c>
      <c r="AC126" s="239">
        <v>-125996</v>
      </c>
      <c r="AD126" s="239">
        <v>-83997</v>
      </c>
      <c r="AE126" s="239">
        <v>0</v>
      </c>
      <c r="AF126" s="239">
        <v>-419985</v>
      </c>
      <c r="AG126" s="239">
        <v>-1100685</v>
      </c>
      <c r="AH126" s="239">
        <v>-660412</v>
      </c>
      <c r="AI126" s="239">
        <v>-440273</v>
      </c>
      <c r="AJ126" s="239">
        <v>0</v>
      </c>
      <c r="AK126" s="239">
        <v>-2201370</v>
      </c>
      <c r="AL126" s="239">
        <v>449771</v>
      </c>
      <c r="AM126" s="239">
        <v>269862</v>
      </c>
      <c r="AN126" s="239">
        <v>179908</v>
      </c>
      <c r="AO126" s="239">
        <v>0</v>
      </c>
      <c r="AP126" s="239">
        <v>899541</v>
      </c>
      <c r="AQ126" s="239">
        <v>-700404</v>
      </c>
      <c r="AR126" s="239">
        <v>-420243</v>
      </c>
      <c r="AS126" s="239">
        <v>-280162</v>
      </c>
      <c r="AT126" s="239">
        <v>0</v>
      </c>
      <c r="AU126" s="239">
        <v>-1400809</v>
      </c>
      <c r="AV126" s="239">
        <v>-1351318</v>
      </c>
      <c r="AW126" s="239">
        <v>-810793</v>
      </c>
      <c r="AX126" s="239">
        <v>-540527</v>
      </c>
      <c r="AY126" s="239">
        <v>0</v>
      </c>
      <c r="AZ126" s="239">
        <v>-2702638</v>
      </c>
      <c r="BA126" s="239">
        <v>-2100000</v>
      </c>
      <c r="BB126" s="239">
        <v>-1260000</v>
      </c>
      <c r="BC126" s="239">
        <v>-840000</v>
      </c>
      <c r="BD126" s="239">
        <v>0</v>
      </c>
      <c r="BE126" s="239">
        <v>-4200000</v>
      </c>
      <c r="BF126" s="239">
        <v>1227846</v>
      </c>
      <c r="BG126" s="239">
        <v>736708</v>
      </c>
      <c r="BH126" s="239">
        <v>491138</v>
      </c>
      <c r="BI126" s="239">
        <v>0</v>
      </c>
      <c r="BJ126" s="239">
        <v>2455692</v>
      </c>
      <c r="BK126" s="239">
        <v>172154</v>
      </c>
      <c r="BL126" s="239">
        <v>103292</v>
      </c>
      <c r="BM126" s="239">
        <v>68862</v>
      </c>
      <c r="BN126" s="239">
        <v>0</v>
      </c>
      <c r="BO126" s="239">
        <v>344308</v>
      </c>
      <c r="BP126" s="239">
        <v>-700000</v>
      </c>
      <c r="BQ126" s="239">
        <v>-420000</v>
      </c>
      <c r="BR126" s="239">
        <v>-280000</v>
      </c>
      <c r="BS126" s="239">
        <v>0</v>
      </c>
      <c r="BT126" s="239">
        <v>-1400000</v>
      </c>
      <c r="BU126" s="239">
        <v>-2249715</v>
      </c>
      <c r="BV126" s="239">
        <v>-1349829</v>
      </c>
      <c r="BW126" s="239">
        <v>-899886</v>
      </c>
      <c r="BX126" s="239">
        <v>0</v>
      </c>
      <c r="BY126" s="239">
        <v>-4499430</v>
      </c>
      <c r="BZ126" s="239">
        <v>-668071</v>
      </c>
      <c r="CA126" s="239">
        <v>-400843</v>
      </c>
      <c r="CB126" s="239">
        <v>-267228</v>
      </c>
      <c r="CC126" s="239">
        <v>0</v>
      </c>
      <c r="CD126" s="239">
        <v>-1336142</v>
      </c>
      <c r="CE126" s="239">
        <v>-1581644</v>
      </c>
      <c r="CF126" s="239">
        <v>-948986</v>
      </c>
      <c r="CG126" s="239">
        <v>-632658</v>
      </c>
      <c r="CH126" s="239">
        <v>0</v>
      </c>
      <c r="CI126" s="239">
        <v>-3163288</v>
      </c>
      <c r="CJ126" s="239">
        <v>23218241</v>
      </c>
      <c r="CK126" s="239">
        <v>13930945</v>
      </c>
      <c r="CL126" s="239">
        <v>9287296</v>
      </c>
      <c r="CM126" s="239">
        <v>0</v>
      </c>
      <c r="CN126" s="239">
        <v>46436482</v>
      </c>
      <c r="CO126" s="239">
        <v>25359445</v>
      </c>
      <c r="CP126" s="239">
        <v>15215667</v>
      </c>
      <c r="CQ126" s="239">
        <v>10143778</v>
      </c>
      <c r="CR126" s="239">
        <v>0</v>
      </c>
      <c r="CS126" s="239">
        <v>50718890</v>
      </c>
      <c r="CT126" s="239">
        <v>2141204</v>
      </c>
      <c r="CU126" s="239">
        <v>1284722</v>
      </c>
      <c r="CV126" s="239">
        <v>856482</v>
      </c>
      <c r="CW126" s="239">
        <v>0</v>
      </c>
      <c r="CX126" s="239">
        <v>4282408</v>
      </c>
      <c r="CY126" s="239">
        <v>559560</v>
      </c>
      <c r="CZ126" s="239">
        <v>335736</v>
      </c>
      <c r="DA126" s="239">
        <v>223824</v>
      </c>
      <c r="DB126" s="239">
        <v>0</v>
      </c>
      <c r="DC126" s="239">
        <v>1119120</v>
      </c>
      <c r="DD126" s="214">
        <v>0.5</v>
      </c>
      <c r="DE126" s="214">
        <v>0.3</v>
      </c>
      <c r="DF126" s="214">
        <v>0.2</v>
      </c>
      <c r="DG126" s="214">
        <v>0</v>
      </c>
      <c r="DH126" s="214">
        <v>1</v>
      </c>
      <c r="DI126" s="214" t="s">
        <v>1295</v>
      </c>
    </row>
    <row r="127" spans="1:113" s="214" customFormat="1" x14ac:dyDescent="0.2">
      <c r="B127" s="610" t="s">
        <v>337</v>
      </c>
      <c r="C127" s="610" t="s">
        <v>336</v>
      </c>
      <c r="D127" s="239">
        <v>13394187</v>
      </c>
      <c r="E127" s="239">
        <v>10715350</v>
      </c>
      <c r="F127" s="239">
        <v>2410954</v>
      </c>
      <c r="G127" s="239">
        <v>267884</v>
      </c>
      <c r="H127" s="239">
        <v>26788375</v>
      </c>
      <c r="I127" s="239">
        <v>0</v>
      </c>
      <c r="J127" s="239">
        <v>0</v>
      </c>
      <c r="K127" s="239">
        <v>13394187</v>
      </c>
      <c r="L127" s="239">
        <v>99214</v>
      </c>
      <c r="M127" s="239">
        <v>99214</v>
      </c>
      <c r="N127" s="239">
        <v>0</v>
      </c>
      <c r="O127" s="239">
        <v>0</v>
      </c>
      <c r="P127" s="239">
        <v>0</v>
      </c>
      <c r="Q127" s="239">
        <v>0</v>
      </c>
      <c r="R127" s="239">
        <v>0</v>
      </c>
      <c r="S127" s="239">
        <v>0</v>
      </c>
      <c r="T127" s="239">
        <v>0</v>
      </c>
      <c r="U127" s="239">
        <v>0</v>
      </c>
      <c r="V127" s="239">
        <v>0</v>
      </c>
      <c r="W127" s="239">
        <v>797347</v>
      </c>
      <c r="X127" s="239">
        <v>637878</v>
      </c>
      <c r="Y127" s="239">
        <v>143523</v>
      </c>
      <c r="Z127" s="239">
        <v>15947</v>
      </c>
      <c r="AA127" s="239">
        <v>1594695</v>
      </c>
      <c r="AB127" s="239">
        <v>-320847</v>
      </c>
      <c r="AC127" s="239">
        <v>-256677</v>
      </c>
      <c r="AD127" s="239">
        <v>-57752</v>
      </c>
      <c r="AE127" s="239">
        <v>-6417</v>
      </c>
      <c r="AF127" s="239">
        <v>-641693</v>
      </c>
      <c r="AG127" s="239">
        <v>-323662</v>
      </c>
      <c r="AH127" s="239">
        <v>-258929</v>
      </c>
      <c r="AI127" s="239">
        <v>-58259</v>
      </c>
      <c r="AJ127" s="239">
        <v>-6473</v>
      </c>
      <c r="AK127" s="239">
        <v>-647323</v>
      </c>
      <c r="AL127" s="239">
        <v>76179</v>
      </c>
      <c r="AM127" s="239">
        <v>60944</v>
      </c>
      <c r="AN127" s="239">
        <v>13712</v>
      </c>
      <c r="AO127" s="239">
        <v>1524</v>
      </c>
      <c r="AP127" s="239">
        <v>152359</v>
      </c>
      <c r="AQ127" s="239">
        <v>-89154</v>
      </c>
      <c r="AR127" s="239">
        <v>-71324</v>
      </c>
      <c r="AS127" s="239">
        <v>-16048</v>
      </c>
      <c r="AT127" s="239">
        <v>-1783</v>
      </c>
      <c r="AU127" s="239">
        <v>-178309</v>
      </c>
      <c r="AV127" s="239">
        <v>-336637</v>
      </c>
      <c r="AW127" s="239">
        <v>-269309</v>
      </c>
      <c r="AX127" s="239">
        <v>-60595</v>
      </c>
      <c r="AY127" s="239">
        <v>-6732</v>
      </c>
      <c r="AZ127" s="239">
        <v>-673273</v>
      </c>
      <c r="BA127" s="239">
        <v>-1003898.3</v>
      </c>
      <c r="BB127" s="239">
        <v>-803120</v>
      </c>
      <c r="BC127" s="239">
        <v>-180702</v>
      </c>
      <c r="BD127" s="239">
        <v>-20079</v>
      </c>
      <c r="BE127" s="239">
        <v>-2007799.3</v>
      </c>
      <c r="BF127" s="239">
        <v>767024</v>
      </c>
      <c r="BG127" s="239">
        <v>613618</v>
      </c>
      <c r="BH127" s="239">
        <v>138064</v>
      </c>
      <c r="BI127" s="239">
        <v>15340</v>
      </c>
      <c r="BJ127" s="239">
        <v>1534046</v>
      </c>
      <c r="BK127" s="239">
        <v>-865730</v>
      </c>
      <c r="BL127" s="239">
        <v>-692585</v>
      </c>
      <c r="BM127" s="239">
        <v>-155832</v>
      </c>
      <c r="BN127" s="239">
        <v>-17315</v>
      </c>
      <c r="BO127" s="239">
        <v>-1731462</v>
      </c>
      <c r="BP127" s="239">
        <v>-1102604.3</v>
      </c>
      <c r="BQ127" s="239">
        <v>-882087</v>
      </c>
      <c r="BR127" s="239">
        <v>-198470</v>
      </c>
      <c r="BS127" s="239">
        <v>-22054</v>
      </c>
      <c r="BT127" s="239">
        <v>-2205215.2999999998</v>
      </c>
      <c r="BU127" s="239">
        <v>-1542925</v>
      </c>
      <c r="BV127" s="239">
        <v>-1234340</v>
      </c>
      <c r="BW127" s="239">
        <v>-277726</v>
      </c>
      <c r="BX127" s="239">
        <v>-30858</v>
      </c>
      <c r="BY127" s="239">
        <v>-3085849</v>
      </c>
      <c r="BZ127" s="239">
        <v>-1136119</v>
      </c>
      <c r="CA127" s="239">
        <v>-908896</v>
      </c>
      <c r="CB127" s="239">
        <v>-204502</v>
      </c>
      <c r="CC127" s="239">
        <v>-22722</v>
      </c>
      <c r="CD127" s="239">
        <v>-2272239</v>
      </c>
      <c r="CE127" s="239">
        <v>-406806</v>
      </c>
      <c r="CF127" s="239">
        <v>-325444</v>
      </c>
      <c r="CG127" s="239">
        <v>-73224</v>
      </c>
      <c r="CH127" s="239">
        <v>-8136</v>
      </c>
      <c r="CI127" s="239">
        <v>-813610</v>
      </c>
      <c r="CJ127" s="239">
        <v>14740191</v>
      </c>
      <c r="CK127" s="239">
        <v>11792152</v>
      </c>
      <c r="CL127" s="239">
        <v>2653234</v>
      </c>
      <c r="CM127" s="239">
        <v>294804</v>
      </c>
      <c r="CN127" s="239">
        <v>29480381</v>
      </c>
      <c r="CO127" s="239">
        <v>13394187</v>
      </c>
      <c r="CP127" s="239">
        <v>10715350</v>
      </c>
      <c r="CQ127" s="239">
        <v>2410954</v>
      </c>
      <c r="CR127" s="239">
        <v>267884</v>
      </c>
      <c r="CS127" s="239">
        <v>26788375</v>
      </c>
      <c r="CT127" s="239">
        <v>-1346004</v>
      </c>
      <c r="CU127" s="239">
        <v>-1076802</v>
      </c>
      <c r="CV127" s="239">
        <v>-242280</v>
      </c>
      <c r="CW127" s="239">
        <v>-26920</v>
      </c>
      <c r="CX127" s="239">
        <v>-2692006</v>
      </c>
      <c r="CY127" s="239">
        <v>-1752810</v>
      </c>
      <c r="CZ127" s="239">
        <v>-1402246</v>
      </c>
      <c r="DA127" s="239">
        <v>-315504</v>
      </c>
      <c r="DB127" s="239">
        <v>-35056</v>
      </c>
      <c r="DC127" s="239">
        <v>-3505616</v>
      </c>
      <c r="DD127" s="214">
        <v>0.5</v>
      </c>
      <c r="DE127" s="214">
        <v>0.4</v>
      </c>
      <c r="DF127" s="214">
        <v>0.09</v>
      </c>
      <c r="DG127" s="214">
        <v>0.01</v>
      </c>
      <c r="DH127" s="214">
        <v>1</v>
      </c>
      <c r="DI127" s="214" t="s">
        <v>1294</v>
      </c>
    </row>
    <row r="128" spans="1:113" s="214" customFormat="1" x14ac:dyDescent="0.2">
      <c r="B128" s="610" t="s">
        <v>339</v>
      </c>
      <c r="C128" s="610" t="s">
        <v>338</v>
      </c>
      <c r="D128" s="239">
        <v>-5847844</v>
      </c>
      <c r="E128" s="239">
        <v>-5730887</v>
      </c>
      <c r="F128" s="239">
        <v>0</v>
      </c>
      <c r="G128" s="239">
        <v>-116957</v>
      </c>
      <c r="H128" s="239">
        <v>-11695688</v>
      </c>
      <c r="I128" s="239">
        <v>115338.84791666668</v>
      </c>
      <c r="J128" s="239">
        <v>115338.84791666668</v>
      </c>
      <c r="K128" s="239">
        <v>-5963182.8479166664</v>
      </c>
      <c r="L128" s="239">
        <v>124897</v>
      </c>
      <c r="M128" s="239">
        <v>124897</v>
      </c>
      <c r="N128" s="239">
        <v>0</v>
      </c>
      <c r="O128" s="239">
        <v>0</v>
      </c>
      <c r="P128" s="239">
        <v>0</v>
      </c>
      <c r="Q128" s="239">
        <v>0</v>
      </c>
      <c r="R128" s="239">
        <v>0</v>
      </c>
      <c r="S128" s="239">
        <v>115338.84791666668</v>
      </c>
      <c r="T128" s="239">
        <v>0</v>
      </c>
      <c r="U128" s="239">
        <v>0</v>
      </c>
      <c r="V128" s="239">
        <v>115338.84791666668</v>
      </c>
      <c r="W128" s="239">
        <v>1114306</v>
      </c>
      <c r="X128" s="239">
        <v>1092020</v>
      </c>
      <c r="Y128" s="239">
        <v>0</v>
      </c>
      <c r="Z128" s="239">
        <v>22286</v>
      </c>
      <c r="AA128" s="239">
        <v>2228612</v>
      </c>
      <c r="AB128" s="239">
        <v>-2332068</v>
      </c>
      <c r="AC128" s="239">
        <v>-2285427</v>
      </c>
      <c r="AD128" s="239">
        <v>0</v>
      </c>
      <c r="AE128" s="239">
        <v>-46641</v>
      </c>
      <c r="AF128" s="239">
        <v>-4664136</v>
      </c>
      <c r="AG128" s="239">
        <v>-460561</v>
      </c>
      <c r="AH128" s="239">
        <v>-451350</v>
      </c>
      <c r="AI128" s="239">
        <v>0</v>
      </c>
      <c r="AJ128" s="239">
        <v>-9211</v>
      </c>
      <c r="AK128" s="239">
        <v>-921122</v>
      </c>
      <c r="AL128" s="239">
        <v>36815</v>
      </c>
      <c r="AM128" s="239">
        <v>36078</v>
      </c>
      <c r="AN128" s="239">
        <v>0</v>
      </c>
      <c r="AO128" s="239">
        <v>736</v>
      </c>
      <c r="AP128" s="239">
        <v>73629</v>
      </c>
      <c r="AQ128" s="239">
        <v>-138837</v>
      </c>
      <c r="AR128" s="239">
        <v>-136060</v>
      </c>
      <c r="AS128" s="239">
        <v>0</v>
      </c>
      <c r="AT128" s="239">
        <v>-2777</v>
      </c>
      <c r="AU128" s="239">
        <v>-277674</v>
      </c>
      <c r="AV128" s="239">
        <v>-562583</v>
      </c>
      <c r="AW128" s="239">
        <v>-551332</v>
      </c>
      <c r="AX128" s="239">
        <v>0</v>
      </c>
      <c r="AY128" s="239">
        <v>-11252</v>
      </c>
      <c r="AZ128" s="239">
        <v>-1125167</v>
      </c>
      <c r="BA128" s="239">
        <v>-694104</v>
      </c>
      <c r="BB128" s="239">
        <v>-680223</v>
      </c>
      <c r="BC128" s="239">
        <v>0</v>
      </c>
      <c r="BD128" s="239">
        <v>-13882</v>
      </c>
      <c r="BE128" s="239">
        <v>-1388209</v>
      </c>
      <c r="BF128" s="239">
        <v>7452212</v>
      </c>
      <c r="BG128" s="239">
        <v>7303167</v>
      </c>
      <c r="BH128" s="239">
        <v>0</v>
      </c>
      <c r="BI128" s="239">
        <v>149044</v>
      </c>
      <c r="BJ128" s="239">
        <v>14904423</v>
      </c>
      <c r="BK128" s="239">
        <v>-9129897</v>
      </c>
      <c r="BL128" s="239">
        <v>-8947300</v>
      </c>
      <c r="BM128" s="239">
        <v>0</v>
      </c>
      <c r="BN128" s="239">
        <v>-182598</v>
      </c>
      <c r="BO128" s="239">
        <v>-18259795</v>
      </c>
      <c r="BP128" s="239">
        <v>-2371789</v>
      </c>
      <c r="BQ128" s="239">
        <v>-2324356</v>
      </c>
      <c r="BR128" s="239">
        <v>0</v>
      </c>
      <c r="BS128" s="239">
        <v>-47436</v>
      </c>
      <c r="BT128" s="239">
        <v>-4743581</v>
      </c>
      <c r="BU128" s="239">
        <v>1871219</v>
      </c>
      <c r="BV128" s="239">
        <v>1833795</v>
      </c>
      <c r="BW128" s="239">
        <v>0</v>
      </c>
      <c r="BX128" s="239">
        <v>37424</v>
      </c>
      <c r="BY128" s="239">
        <v>3742438</v>
      </c>
      <c r="BZ128" s="239">
        <v>-369110</v>
      </c>
      <c r="CA128" s="239">
        <v>-361727</v>
      </c>
      <c r="CB128" s="239">
        <v>0</v>
      </c>
      <c r="CC128" s="239">
        <v>-7382</v>
      </c>
      <c r="CD128" s="239">
        <v>-738219</v>
      </c>
      <c r="CE128" s="239">
        <v>2240329</v>
      </c>
      <c r="CF128" s="239">
        <v>2195522</v>
      </c>
      <c r="CG128" s="239">
        <v>0</v>
      </c>
      <c r="CH128" s="239">
        <v>44806</v>
      </c>
      <c r="CI128" s="239">
        <v>4480657</v>
      </c>
      <c r="CJ128" s="239">
        <v>19621861</v>
      </c>
      <c r="CK128" s="239">
        <v>19229423</v>
      </c>
      <c r="CL128" s="239">
        <v>0</v>
      </c>
      <c r="CM128" s="239">
        <v>392437</v>
      </c>
      <c r="CN128" s="239">
        <v>39243721</v>
      </c>
      <c r="CO128" s="239">
        <v>-5847844</v>
      </c>
      <c r="CP128" s="239">
        <v>-5730887</v>
      </c>
      <c r="CQ128" s="239">
        <v>0</v>
      </c>
      <c r="CR128" s="239">
        <v>-116957</v>
      </c>
      <c r="CS128" s="239">
        <v>-11695688</v>
      </c>
      <c r="CT128" s="239">
        <v>-25469705</v>
      </c>
      <c r="CU128" s="239">
        <v>-24960310</v>
      </c>
      <c r="CV128" s="239">
        <v>0</v>
      </c>
      <c r="CW128" s="239">
        <v>-509394</v>
      </c>
      <c r="CX128" s="239">
        <v>-50939409</v>
      </c>
      <c r="CY128" s="239">
        <v>-23229376</v>
      </c>
      <c r="CZ128" s="239">
        <v>-22764788</v>
      </c>
      <c r="DA128" s="239">
        <v>0</v>
      </c>
      <c r="DB128" s="239">
        <v>-464588</v>
      </c>
      <c r="DC128" s="239">
        <v>-46458752</v>
      </c>
      <c r="DD128" s="214">
        <v>0.5</v>
      </c>
      <c r="DE128" s="214">
        <v>0.49</v>
      </c>
      <c r="DF128" s="214">
        <v>0</v>
      </c>
      <c r="DG128" s="214">
        <v>0.01</v>
      </c>
      <c r="DH128" s="214">
        <v>1</v>
      </c>
      <c r="DI128" s="214" t="s">
        <v>748</v>
      </c>
    </row>
    <row r="129" spans="2:113" s="214" customFormat="1" x14ac:dyDescent="0.2">
      <c r="B129" s="610" t="s">
        <v>341</v>
      </c>
      <c r="C129" s="610" t="s">
        <v>340</v>
      </c>
      <c r="D129" s="239">
        <v>9975657</v>
      </c>
      <c r="E129" s="239">
        <v>7980525</v>
      </c>
      <c r="F129" s="239">
        <v>1795618</v>
      </c>
      <c r="G129" s="239">
        <v>199513</v>
      </c>
      <c r="H129" s="239">
        <v>19951313</v>
      </c>
      <c r="I129" s="239">
        <v>0</v>
      </c>
      <c r="J129" s="239">
        <v>0</v>
      </c>
      <c r="K129" s="239">
        <v>9975657</v>
      </c>
      <c r="L129" s="239">
        <v>131732</v>
      </c>
      <c r="M129" s="239">
        <v>131732</v>
      </c>
      <c r="N129" s="239">
        <v>0</v>
      </c>
      <c r="O129" s="239">
        <v>0</v>
      </c>
      <c r="P129" s="239">
        <v>0</v>
      </c>
      <c r="Q129" s="239">
        <v>0</v>
      </c>
      <c r="R129" s="239">
        <v>0</v>
      </c>
      <c r="S129" s="239">
        <v>0</v>
      </c>
      <c r="T129" s="239">
        <v>0</v>
      </c>
      <c r="U129" s="239">
        <v>0</v>
      </c>
      <c r="V129" s="239">
        <v>0</v>
      </c>
      <c r="W129" s="239">
        <v>565049</v>
      </c>
      <c r="X129" s="239">
        <v>452039</v>
      </c>
      <c r="Y129" s="239">
        <v>101709</v>
      </c>
      <c r="Z129" s="239">
        <v>11301</v>
      </c>
      <c r="AA129" s="239">
        <v>1130098</v>
      </c>
      <c r="AB129" s="239">
        <v>-128196</v>
      </c>
      <c r="AC129" s="239">
        <v>-102557</v>
      </c>
      <c r="AD129" s="239">
        <v>-23075</v>
      </c>
      <c r="AE129" s="239">
        <v>-2564</v>
      </c>
      <c r="AF129" s="239">
        <v>-256392</v>
      </c>
      <c r="AG129" s="239">
        <v>-379154</v>
      </c>
      <c r="AH129" s="239">
        <v>-303324</v>
      </c>
      <c r="AI129" s="239">
        <v>-68248</v>
      </c>
      <c r="AJ129" s="239">
        <v>-7582</v>
      </c>
      <c r="AK129" s="239">
        <v>-758308</v>
      </c>
      <c r="AL129" s="239">
        <v>116291</v>
      </c>
      <c r="AM129" s="239">
        <v>93032</v>
      </c>
      <c r="AN129" s="239">
        <v>20932</v>
      </c>
      <c r="AO129" s="239">
        <v>2326</v>
      </c>
      <c r="AP129" s="239">
        <v>232581</v>
      </c>
      <c r="AQ129" s="239">
        <v>-152736</v>
      </c>
      <c r="AR129" s="239">
        <v>-122189</v>
      </c>
      <c r="AS129" s="239">
        <v>-27493</v>
      </c>
      <c r="AT129" s="239">
        <v>-3055</v>
      </c>
      <c r="AU129" s="239">
        <v>-305473</v>
      </c>
      <c r="AV129" s="239">
        <v>-415599</v>
      </c>
      <c r="AW129" s="239">
        <v>-332481</v>
      </c>
      <c r="AX129" s="239">
        <v>-74809</v>
      </c>
      <c r="AY129" s="239">
        <v>-8311</v>
      </c>
      <c r="AZ129" s="239">
        <v>-831200</v>
      </c>
      <c r="BA129" s="239">
        <v>-1055501</v>
      </c>
      <c r="BB129" s="239">
        <v>-844399</v>
      </c>
      <c r="BC129" s="239">
        <v>-189990</v>
      </c>
      <c r="BD129" s="239">
        <v>-21110</v>
      </c>
      <c r="BE129" s="239">
        <v>-2111000</v>
      </c>
      <c r="BF129" s="239">
        <v>181878</v>
      </c>
      <c r="BG129" s="239">
        <v>145502</v>
      </c>
      <c r="BH129" s="239">
        <v>32738</v>
      </c>
      <c r="BI129" s="239">
        <v>3638</v>
      </c>
      <c r="BJ129" s="239">
        <v>363756</v>
      </c>
      <c r="BK129" s="239">
        <v>-751378</v>
      </c>
      <c r="BL129" s="239">
        <v>-601102</v>
      </c>
      <c r="BM129" s="239">
        <v>-135248</v>
      </c>
      <c r="BN129" s="239">
        <v>-15028</v>
      </c>
      <c r="BO129" s="239">
        <v>-1502756</v>
      </c>
      <c r="BP129" s="239">
        <v>-1625001</v>
      </c>
      <c r="BQ129" s="239">
        <v>-1299999</v>
      </c>
      <c r="BR129" s="239">
        <v>-292500</v>
      </c>
      <c r="BS129" s="239">
        <v>-32500</v>
      </c>
      <c r="BT129" s="239">
        <v>-3250000</v>
      </c>
      <c r="BU129" s="239">
        <v>-1281107</v>
      </c>
      <c r="BV129" s="239">
        <v>-1024886</v>
      </c>
      <c r="BW129" s="239">
        <v>-230599</v>
      </c>
      <c r="BX129" s="239">
        <v>-25622</v>
      </c>
      <c r="BY129" s="239">
        <v>-2562214</v>
      </c>
      <c r="BZ129" s="239">
        <v>-1020512</v>
      </c>
      <c r="CA129" s="239">
        <v>-816409</v>
      </c>
      <c r="CB129" s="239">
        <v>-183692</v>
      </c>
      <c r="CC129" s="239">
        <v>-20410</v>
      </c>
      <c r="CD129" s="239">
        <v>-2041023</v>
      </c>
      <c r="CE129" s="239">
        <v>-260595</v>
      </c>
      <c r="CF129" s="239">
        <v>-208477</v>
      </c>
      <c r="CG129" s="239">
        <v>-46907</v>
      </c>
      <c r="CH129" s="239">
        <v>-5212</v>
      </c>
      <c r="CI129" s="239">
        <v>-521191</v>
      </c>
      <c r="CJ129" s="239">
        <v>10642955</v>
      </c>
      <c r="CK129" s="239">
        <v>8514364</v>
      </c>
      <c r="CL129" s="239">
        <v>1915732</v>
      </c>
      <c r="CM129" s="239">
        <v>212859</v>
      </c>
      <c r="CN129" s="239">
        <v>21285910</v>
      </c>
      <c r="CO129" s="239">
        <v>9975657</v>
      </c>
      <c r="CP129" s="239">
        <v>7980525</v>
      </c>
      <c r="CQ129" s="239">
        <v>1795618</v>
      </c>
      <c r="CR129" s="239">
        <v>199513</v>
      </c>
      <c r="CS129" s="239">
        <v>19951313</v>
      </c>
      <c r="CT129" s="239">
        <v>-667298</v>
      </c>
      <c r="CU129" s="239">
        <v>-533839</v>
      </c>
      <c r="CV129" s="239">
        <v>-120114</v>
      </c>
      <c r="CW129" s="239">
        <v>-13346</v>
      </c>
      <c r="CX129" s="239">
        <v>-1334597</v>
      </c>
      <c r="CY129" s="239">
        <v>-927893</v>
      </c>
      <c r="CZ129" s="239">
        <v>-742316</v>
      </c>
      <c r="DA129" s="239">
        <v>-167021</v>
      </c>
      <c r="DB129" s="239">
        <v>-18558</v>
      </c>
      <c r="DC129" s="239">
        <v>-1855788</v>
      </c>
      <c r="DD129" s="214">
        <v>0.5</v>
      </c>
      <c r="DE129" s="214">
        <v>0.4</v>
      </c>
      <c r="DF129" s="214">
        <v>0.09</v>
      </c>
      <c r="DG129" s="214">
        <v>0.01</v>
      </c>
      <c r="DH129" s="214">
        <v>1</v>
      </c>
      <c r="DI129" s="214" t="s">
        <v>1294</v>
      </c>
    </row>
    <row r="130" spans="2:113" s="214" customFormat="1" x14ac:dyDescent="0.2">
      <c r="B130" s="610" t="s">
        <v>343</v>
      </c>
      <c r="C130" s="610" t="s">
        <v>342</v>
      </c>
      <c r="D130" s="239">
        <v>16400051</v>
      </c>
      <c r="E130" s="239">
        <v>13120040</v>
      </c>
      <c r="F130" s="239">
        <v>2952009</v>
      </c>
      <c r="G130" s="239">
        <v>328001</v>
      </c>
      <c r="H130" s="239">
        <v>32800101</v>
      </c>
      <c r="I130" s="239">
        <v>0</v>
      </c>
      <c r="J130" s="239">
        <v>0</v>
      </c>
      <c r="K130" s="239">
        <v>16400051</v>
      </c>
      <c r="L130" s="239">
        <v>139832</v>
      </c>
      <c r="M130" s="239">
        <v>139832</v>
      </c>
      <c r="N130" s="239">
        <v>0</v>
      </c>
      <c r="O130" s="239">
        <v>0</v>
      </c>
      <c r="P130" s="239">
        <v>0</v>
      </c>
      <c r="Q130" s="239">
        <v>0</v>
      </c>
      <c r="R130" s="239">
        <v>0</v>
      </c>
      <c r="S130" s="239">
        <v>0</v>
      </c>
      <c r="T130" s="239">
        <v>0</v>
      </c>
      <c r="U130" s="239">
        <v>0</v>
      </c>
      <c r="V130" s="239">
        <v>0</v>
      </c>
      <c r="W130" s="239">
        <v>227693</v>
      </c>
      <c r="X130" s="239">
        <v>182155</v>
      </c>
      <c r="Y130" s="239">
        <v>40985</v>
      </c>
      <c r="Z130" s="239">
        <v>4554</v>
      </c>
      <c r="AA130" s="239">
        <v>455387</v>
      </c>
      <c r="AB130" s="239">
        <v>-205361</v>
      </c>
      <c r="AC130" s="239">
        <v>-164288</v>
      </c>
      <c r="AD130" s="239">
        <v>-36965</v>
      </c>
      <c r="AE130" s="239">
        <v>-4107</v>
      </c>
      <c r="AF130" s="239">
        <v>-410721</v>
      </c>
      <c r="AG130" s="239">
        <v>-186424</v>
      </c>
      <c r="AH130" s="239">
        <v>-149139</v>
      </c>
      <c r="AI130" s="239">
        <v>-33556</v>
      </c>
      <c r="AJ130" s="239">
        <v>-3729</v>
      </c>
      <c r="AK130" s="239">
        <v>-372848</v>
      </c>
      <c r="AL130" s="239">
        <v>96388</v>
      </c>
      <c r="AM130" s="239">
        <v>77110</v>
      </c>
      <c r="AN130" s="239">
        <v>17350</v>
      </c>
      <c r="AO130" s="239">
        <v>1928</v>
      </c>
      <c r="AP130" s="239">
        <v>192776</v>
      </c>
      <c r="AQ130" s="239">
        <v>0</v>
      </c>
      <c r="AR130" s="239">
        <v>0</v>
      </c>
      <c r="AS130" s="239">
        <v>0</v>
      </c>
      <c r="AT130" s="239">
        <v>0</v>
      </c>
      <c r="AU130" s="239">
        <v>0</v>
      </c>
      <c r="AV130" s="239">
        <v>-90036</v>
      </c>
      <c r="AW130" s="239">
        <v>-72029</v>
      </c>
      <c r="AX130" s="239">
        <v>-16206</v>
      </c>
      <c r="AY130" s="239">
        <v>-1801</v>
      </c>
      <c r="AZ130" s="239">
        <v>-180072</v>
      </c>
      <c r="BA130" s="239">
        <v>-174476</v>
      </c>
      <c r="BB130" s="239">
        <v>-139579</v>
      </c>
      <c r="BC130" s="239">
        <v>-31405</v>
      </c>
      <c r="BD130" s="239">
        <v>-3489</v>
      </c>
      <c r="BE130" s="239">
        <v>-348949</v>
      </c>
      <c r="BF130" s="239">
        <v>423500</v>
      </c>
      <c r="BG130" s="239">
        <v>338800</v>
      </c>
      <c r="BH130" s="239">
        <v>76230</v>
      </c>
      <c r="BI130" s="239">
        <v>8470</v>
      </c>
      <c r="BJ130" s="239">
        <v>847000</v>
      </c>
      <c r="BK130" s="239">
        <v>-830099</v>
      </c>
      <c r="BL130" s="239">
        <v>-664079</v>
      </c>
      <c r="BM130" s="239">
        <v>-149418</v>
      </c>
      <c r="BN130" s="239">
        <v>-16602</v>
      </c>
      <c r="BO130" s="239">
        <v>-1660198</v>
      </c>
      <c r="BP130" s="239">
        <v>-581075</v>
      </c>
      <c r="BQ130" s="239">
        <v>-464858</v>
      </c>
      <c r="BR130" s="239">
        <v>-104593</v>
      </c>
      <c r="BS130" s="239">
        <v>-11621</v>
      </c>
      <c r="BT130" s="239">
        <v>-1162147</v>
      </c>
      <c r="BU130" s="239">
        <v>1093400</v>
      </c>
      <c r="BV130" s="239">
        <v>874720</v>
      </c>
      <c r="BW130" s="239">
        <v>196812</v>
      </c>
      <c r="BX130" s="239">
        <v>21868</v>
      </c>
      <c r="BY130" s="239">
        <v>2186800</v>
      </c>
      <c r="BZ130" s="239">
        <v>1099614</v>
      </c>
      <c r="CA130" s="239">
        <v>879690</v>
      </c>
      <c r="CB130" s="239">
        <v>197930</v>
      </c>
      <c r="CC130" s="239">
        <v>21992</v>
      </c>
      <c r="CD130" s="239">
        <v>2199226</v>
      </c>
      <c r="CE130" s="239">
        <v>-6214</v>
      </c>
      <c r="CF130" s="239">
        <v>-4970</v>
      </c>
      <c r="CG130" s="239">
        <v>-1118</v>
      </c>
      <c r="CH130" s="239">
        <v>-124</v>
      </c>
      <c r="CI130" s="239">
        <v>-12426</v>
      </c>
      <c r="CJ130" s="239">
        <v>16355630</v>
      </c>
      <c r="CK130" s="239">
        <v>13084505</v>
      </c>
      <c r="CL130" s="239">
        <v>2944014</v>
      </c>
      <c r="CM130" s="239">
        <v>327113</v>
      </c>
      <c r="CN130" s="239">
        <v>32711262</v>
      </c>
      <c r="CO130" s="239">
        <v>16400051</v>
      </c>
      <c r="CP130" s="239">
        <v>13120040</v>
      </c>
      <c r="CQ130" s="239">
        <v>2952009</v>
      </c>
      <c r="CR130" s="239">
        <v>328001</v>
      </c>
      <c r="CS130" s="239">
        <v>32800101</v>
      </c>
      <c r="CT130" s="239">
        <v>44421</v>
      </c>
      <c r="CU130" s="239">
        <v>35535</v>
      </c>
      <c r="CV130" s="239">
        <v>7995</v>
      </c>
      <c r="CW130" s="239">
        <v>888</v>
      </c>
      <c r="CX130" s="239">
        <v>88839</v>
      </c>
      <c r="CY130" s="239">
        <v>38207</v>
      </c>
      <c r="CZ130" s="239">
        <v>30565</v>
      </c>
      <c r="DA130" s="239">
        <v>6877</v>
      </c>
      <c r="DB130" s="239">
        <v>764</v>
      </c>
      <c r="DC130" s="239">
        <v>76413</v>
      </c>
      <c r="DD130" s="214">
        <v>0.5</v>
      </c>
      <c r="DE130" s="214">
        <v>0.4</v>
      </c>
      <c r="DF130" s="214">
        <v>0.09</v>
      </c>
      <c r="DG130" s="214">
        <v>0.01</v>
      </c>
      <c r="DH130" s="214">
        <v>1</v>
      </c>
      <c r="DI130" s="214" t="s">
        <v>1294</v>
      </c>
    </row>
    <row r="131" spans="2:113" s="214" customFormat="1" x14ac:dyDescent="0.2">
      <c r="B131" s="610" t="s">
        <v>345</v>
      </c>
      <c r="C131" s="610" t="s">
        <v>344</v>
      </c>
      <c r="D131" s="239">
        <v>33478907.170000002</v>
      </c>
      <c r="E131" s="239">
        <v>20087344</v>
      </c>
      <c r="F131" s="239">
        <v>13391563</v>
      </c>
      <c r="G131" s="239">
        <v>0</v>
      </c>
      <c r="H131" s="239">
        <v>66957814.170000002</v>
      </c>
      <c r="I131" s="239">
        <v>0</v>
      </c>
      <c r="J131" s="239">
        <v>0</v>
      </c>
      <c r="K131" s="239">
        <v>33478907.170000002</v>
      </c>
      <c r="L131" s="239">
        <v>271109</v>
      </c>
      <c r="M131" s="239">
        <v>271109</v>
      </c>
      <c r="N131" s="239">
        <v>0</v>
      </c>
      <c r="O131" s="239">
        <v>0</v>
      </c>
      <c r="P131" s="239">
        <v>0</v>
      </c>
      <c r="Q131" s="239">
        <v>0</v>
      </c>
      <c r="R131" s="239">
        <v>0</v>
      </c>
      <c r="S131" s="239">
        <v>0</v>
      </c>
      <c r="T131" s="239">
        <v>0</v>
      </c>
      <c r="U131" s="239">
        <v>0</v>
      </c>
      <c r="V131" s="239">
        <v>0</v>
      </c>
      <c r="W131" s="239">
        <v>1744392</v>
      </c>
      <c r="X131" s="239">
        <v>1046635</v>
      </c>
      <c r="Y131" s="239">
        <v>697757</v>
      </c>
      <c r="Z131" s="239">
        <v>0</v>
      </c>
      <c r="AA131" s="239">
        <v>3488784</v>
      </c>
      <c r="AB131" s="239">
        <v>-1380871</v>
      </c>
      <c r="AC131" s="239">
        <v>-828523</v>
      </c>
      <c r="AD131" s="239">
        <v>-552349</v>
      </c>
      <c r="AE131" s="239">
        <v>0</v>
      </c>
      <c r="AF131" s="239">
        <v>-2761743</v>
      </c>
      <c r="AG131" s="239">
        <v>-1774223.4</v>
      </c>
      <c r="AH131" s="239">
        <v>-1064532</v>
      </c>
      <c r="AI131" s="239">
        <v>-709689</v>
      </c>
      <c r="AJ131" s="239">
        <v>0</v>
      </c>
      <c r="AK131" s="239">
        <v>-3548444.4</v>
      </c>
      <c r="AL131" s="239">
        <v>1466757</v>
      </c>
      <c r="AM131" s="239">
        <v>880055</v>
      </c>
      <c r="AN131" s="239">
        <v>586703</v>
      </c>
      <c r="AO131" s="239">
        <v>0</v>
      </c>
      <c r="AP131" s="239">
        <v>2933515</v>
      </c>
      <c r="AQ131" s="239">
        <v>-808709</v>
      </c>
      <c r="AR131" s="239">
        <v>-485225</v>
      </c>
      <c r="AS131" s="239">
        <v>-323483</v>
      </c>
      <c r="AT131" s="239">
        <v>0</v>
      </c>
      <c r="AU131" s="239">
        <v>-1617417</v>
      </c>
      <c r="AV131" s="239">
        <v>-1116175.3999999999</v>
      </c>
      <c r="AW131" s="239">
        <v>-669702</v>
      </c>
      <c r="AX131" s="239">
        <v>-446469</v>
      </c>
      <c r="AY131" s="239">
        <v>0</v>
      </c>
      <c r="AZ131" s="239">
        <v>-2232346.4</v>
      </c>
      <c r="BA131" s="239">
        <v>-1491671.4</v>
      </c>
      <c r="BB131" s="239">
        <v>-895003</v>
      </c>
      <c r="BC131" s="239">
        <v>-596669</v>
      </c>
      <c r="BD131" s="239">
        <v>0</v>
      </c>
      <c r="BE131" s="239">
        <v>-2983343.4</v>
      </c>
      <c r="BF131" s="239">
        <v>415708</v>
      </c>
      <c r="BG131" s="239">
        <v>249425</v>
      </c>
      <c r="BH131" s="239">
        <v>166283</v>
      </c>
      <c r="BI131" s="239">
        <v>0</v>
      </c>
      <c r="BJ131" s="239">
        <v>831416</v>
      </c>
      <c r="BK131" s="239">
        <v>-2705290</v>
      </c>
      <c r="BL131" s="239">
        <v>-1623174</v>
      </c>
      <c r="BM131" s="239">
        <v>-1082116</v>
      </c>
      <c r="BN131" s="239">
        <v>0</v>
      </c>
      <c r="BO131" s="239">
        <v>-5410580</v>
      </c>
      <c r="BP131" s="239">
        <v>-3781253.4</v>
      </c>
      <c r="BQ131" s="239">
        <v>-2268752</v>
      </c>
      <c r="BR131" s="239">
        <v>-1512502</v>
      </c>
      <c r="BS131" s="239">
        <v>0</v>
      </c>
      <c r="BT131" s="239">
        <v>-7562507.4000000004</v>
      </c>
      <c r="BU131" s="239">
        <v>-129404</v>
      </c>
      <c r="BV131" s="239">
        <v>-77642</v>
      </c>
      <c r="BW131" s="239">
        <v>-51762</v>
      </c>
      <c r="BX131" s="239">
        <v>0</v>
      </c>
      <c r="BY131" s="239">
        <v>-258808</v>
      </c>
      <c r="BZ131" s="239">
        <v>326362</v>
      </c>
      <c r="CA131" s="239">
        <v>195818</v>
      </c>
      <c r="CB131" s="239">
        <v>130545</v>
      </c>
      <c r="CC131" s="239">
        <v>0</v>
      </c>
      <c r="CD131" s="239">
        <v>652725</v>
      </c>
      <c r="CE131" s="239">
        <v>-455766</v>
      </c>
      <c r="CF131" s="239">
        <v>-273460</v>
      </c>
      <c r="CG131" s="239">
        <v>-182307</v>
      </c>
      <c r="CH131" s="239">
        <v>0</v>
      </c>
      <c r="CI131" s="239">
        <v>-911533</v>
      </c>
      <c r="CJ131" s="239">
        <v>36384523</v>
      </c>
      <c r="CK131" s="239">
        <v>21830714</v>
      </c>
      <c r="CL131" s="239">
        <v>14553809</v>
      </c>
      <c r="CM131" s="239">
        <v>0</v>
      </c>
      <c r="CN131" s="239">
        <v>72769046</v>
      </c>
      <c r="CO131" s="239">
        <v>33478907.170000002</v>
      </c>
      <c r="CP131" s="239">
        <v>20087344</v>
      </c>
      <c r="CQ131" s="239">
        <v>13391563</v>
      </c>
      <c r="CR131" s="239">
        <v>0</v>
      </c>
      <c r="CS131" s="239">
        <v>66957814.170000002</v>
      </c>
      <c r="CT131" s="239">
        <v>-2905615.8299999982</v>
      </c>
      <c r="CU131" s="239">
        <v>-1743370</v>
      </c>
      <c r="CV131" s="239">
        <v>-1162246</v>
      </c>
      <c r="CW131" s="239">
        <v>0</v>
      </c>
      <c r="CX131" s="239">
        <v>-5811231.8299999982</v>
      </c>
      <c r="CY131" s="239">
        <v>-3361381.8299999982</v>
      </c>
      <c r="CZ131" s="239">
        <v>-2016830</v>
      </c>
      <c r="DA131" s="239">
        <v>-1344553</v>
      </c>
      <c r="DB131" s="239">
        <v>0</v>
      </c>
      <c r="DC131" s="239">
        <v>-6722764.8299999982</v>
      </c>
      <c r="DD131" s="214">
        <v>0.5</v>
      </c>
      <c r="DE131" s="214">
        <v>0.3</v>
      </c>
      <c r="DF131" s="214">
        <v>0.2</v>
      </c>
      <c r="DG131" s="214">
        <v>0</v>
      </c>
      <c r="DH131" s="214">
        <v>1</v>
      </c>
      <c r="DI131" s="214" t="s">
        <v>1295</v>
      </c>
    </row>
    <row r="132" spans="2:113" s="214" customFormat="1" x14ac:dyDescent="0.2">
      <c r="B132" s="610" t="s">
        <v>347</v>
      </c>
      <c r="C132" s="610" t="s">
        <v>346</v>
      </c>
      <c r="D132" s="239">
        <v>23495547</v>
      </c>
      <c r="E132" s="239">
        <v>23025637</v>
      </c>
      <c r="F132" s="239">
        <v>0</v>
      </c>
      <c r="G132" s="239">
        <v>469911</v>
      </c>
      <c r="H132" s="239">
        <v>46991095</v>
      </c>
      <c r="I132" s="239">
        <v>168422.86250000002</v>
      </c>
      <c r="J132" s="239">
        <v>168422.86250000002</v>
      </c>
      <c r="K132" s="239">
        <v>23327124.137499999</v>
      </c>
      <c r="L132" s="239">
        <v>301961</v>
      </c>
      <c r="M132" s="239">
        <v>301961</v>
      </c>
      <c r="N132" s="239">
        <v>0</v>
      </c>
      <c r="O132" s="239">
        <v>0</v>
      </c>
      <c r="P132" s="239">
        <v>82333</v>
      </c>
      <c r="Q132" s="239">
        <v>0</v>
      </c>
      <c r="R132" s="239">
        <v>82333</v>
      </c>
      <c r="S132" s="239">
        <v>168422.86250000002</v>
      </c>
      <c r="T132" s="239">
        <v>0</v>
      </c>
      <c r="U132" s="239">
        <v>0</v>
      </c>
      <c r="V132" s="239">
        <v>168422.86250000002</v>
      </c>
      <c r="W132" s="239">
        <v>711254</v>
      </c>
      <c r="X132" s="239">
        <v>697029</v>
      </c>
      <c r="Y132" s="239">
        <v>0</v>
      </c>
      <c r="Z132" s="239">
        <v>14225</v>
      </c>
      <c r="AA132" s="239">
        <v>1422508</v>
      </c>
      <c r="AB132" s="239">
        <v>-418373</v>
      </c>
      <c r="AC132" s="239">
        <v>-410005</v>
      </c>
      <c r="AD132" s="239">
        <v>0</v>
      </c>
      <c r="AE132" s="239">
        <v>-8367</v>
      </c>
      <c r="AF132" s="239">
        <v>-836745</v>
      </c>
      <c r="AG132" s="239">
        <v>-98660.42</v>
      </c>
      <c r="AH132" s="239">
        <v>-96686</v>
      </c>
      <c r="AI132" s="239">
        <v>0</v>
      </c>
      <c r="AJ132" s="239">
        <v>-1973</v>
      </c>
      <c r="AK132" s="239">
        <v>-197319.42</v>
      </c>
      <c r="AL132" s="239">
        <v>54680</v>
      </c>
      <c r="AM132" s="239">
        <v>53587</v>
      </c>
      <c r="AN132" s="239">
        <v>0</v>
      </c>
      <c r="AO132" s="239">
        <v>1094</v>
      </c>
      <c r="AP132" s="239">
        <v>109361</v>
      </c>
      <c r="AQ132" s="239">
        <v>-184200</v>
      </c>
      <c r="AR132" s="239">
        <v>-180516</v>
      </c>
      <c r="AS132" s="239">
        <v>0</v>
      </c>
      <c r="AT132" s="239">
        <v>-3684</v>
      </c>
      <c r="AU132" s="239">
        <v>-368400</v>
      </c>
      <c r="AV132" s="239">
        <v>-228180.41999999998</v>
      </c>
      <c r="AW132" s="239">
        <v>-223615</v>
      </c>
      <c r="AX132" s="239">
        <v>0</v>
      </c>
      <c r="AY132" s="239">
        <v>-4563</v>
      </c>
      <c r="AZ132" s="239">
        <v>-456358.42000000004</v>
      </c>
      <c r="BA132" s="239">
        <v>-2985681</v>
      </c>
      <c r="BB132" s="239">
        <v>-2925969</v>
      </c>
      <c r="BC132" s="239">
        <v>0</v>
      </c>
      <c r="BD132" s="239">
        <v>-59714</v>
      </c>
      <c r="BE132" s="239">
        <v>-5971364</v>
      </c>
      <c r="BF132" s="239">
        <v>490705</v>
      </c>
      <c r="BG132" s="239">
        <v>480891</v>
      </c>
      <c r="BH132" s="239">
        <v>0</v>
      </c>
      <c r="BI132" s="239">
        <v>9814</v>
      </c>
      <c r="BJ132" s="239">
        <v>981410</v>
      </c>
      <c r="BK132" s="239">
        <v>-750794</v>
      </c>
      <c r="BL132" s="239">
        <v>-735778</v>
      </c>
      <c r="BM132" s="239">
        <v>0</v>
      </c>
      <c r="BN132" s="239">
        <v>-15016</v>
      </c>
      <c r="BO132" s="239">
        <v>-1501588</v>
      </c>
      <c r="BP132" s="239">
        <v>-3245770</v>
      </c>
      <c r="BQ132" s="239">
        <v>-3180856</v>
      </c>
      <c r="BR132" s="239">
        <v>0</v>
      </c>
      <c r="BS132" s="239">
        <v>-64916</v>
      </c>
      <c r="BT132" s="239">
        <v>-6491542</v>
      </c>
      <c r="BU132" s="239">
        <v>-3819000</v>
      </c>
      <c r="BV132" s="239">
        <v>-3742620</v>
      </c>
      <c r="BW132" s="239">
        <v>0</v>
      </c>
      <c r="BX132" s="239">
        <v>-76380</v>
      </c>
      <c r="BY132" s="239">
        <v>-7638000</v>
      </c>
      <c r="BZ132" s="239">
        <v>-1724238</v>
      </c>
      <c r="CA132" s="239">
        <v>-1689753</v>
      </c>
      <c r="CB132" s="239">
        <v>0</v>
      </c>
      <c r="CC132" s="239">
        <v>-34485</v>
      </c>
      <c r="CD132" s="239">
        <v>-3448476</v>
      </c>
      <c r="CE132" s="239">
        <v>-2094762</v>
      </c>
      <c r="CF132" s="239">
        <v>-2052867</v>
      </c>
      <c r="CG132" s="239">
        <v>0</v>
      </c>
      <c r="CH132" s="239">
        <v>-41895</v>
      </c>
      <c r="CI132" s="239">
        <v>-4189524</v>
      </c>
      <c r="CJ132" s="239">
        <v>23763971</v>
      </c>
      <c r="CK132" s="239">
        <v>23288692</v>
      </c>
      <c r="CL132" s="239">
        <v>0</v>
      </c>
      <c r="CM132" s="239">
        <v>475279</v>
      </c>
      <c r="CN132" s="239">
        <v>47527942</v>
      </c>
      <c r="CO132" s="239">
        <v>23495547</v>
      </c>
      <c r="CP132" s="239">
        <v>23025637</v>
      </c>
      <c r="CQ132" s="239">
        <v>0</v>
      </c>
      <c r="CR132" s="239">
        <v>469911</v>
      </c>
      <c r="CS132" s="239">
        <v>46991095</v>
      </c>
      <c r="CT132" s="239">
        <v>-268424</v>
      </c>
      <c r="CU132" s="239">
        <v>-263055</v>
      </c>
      <c r="CV132" s="239">
        <v>0</v>
      </c>
      <c r="CW132" s="239">
        <v>-5368</v>
      </c>
      <c r="CX132" s="239">
        <v>-536847</v>
      </c>
      <c r="CY132" s="239">
        <v>-2363186</v>
      </c>
      <c r="CZ132" s="239">
        <v>-2315922</v>
      </c>
      <c r="DA132" s="239">
        <v>0</v>
      </c>
      <c r="DB132" s="239">
        <v>-47263</v>
      </c>
      <c r="DC132" s="239">
        <v>-4726371</v>
      </c>
      <c r="DD132" s="214">
        <v>0.5</v>
      </c>
      <c r="DE132" s="214">
        <v>0.49</v>
      </c>
      <c r="DF132" s="214">
        <v>0</v>
      </c>
      <c r="DG132" s="214">
        <v>0.01</v>
      </c>
      <c r="DH132" s="214">
        <v>1</v>
      </c>
      <c r="DI132" s="214" t="s">
        <v>748</v>
      </c>
    </row>
    <row r="133" spans="2:113" s="214" customFormat="1" x14ac:dyDescent="0.2">
      <c r="B133" s="610" t="s">
        <v>349</v>
      </c>
      <c r="C133" s="610" t="s">
        <v>348</v>
      </c>
      <c r="D133" s="239">
        <v>21893976</v>
      </c>
      <c r="E133" s="239">
        <v>17515181</v>
      </c>
      <c r="F133" s="239">
        <v>4378795</v>
      </c>
      <c r="G133" s="239">
        <v>0</v>
      </c>
      <c r="H133" s="239">
        <v>43787952</v>
      </c>
      <c r="I133" s="239">
        <v>0</v>
      </c>
      <c r="J133" s="239">
        <v>0</v>
      </c>
      <c r="K133" s="239">
        <v>21893976</v>
      </c>
      <c r="L133" s="239">
        <v>149502</v>
      </c>
      <c r="M133" s="239">
        <v>149502</v>
      </c>
      <c r="N133" s="239">
        <v>0</v>
      </c>
      <c r="O133" s="239">
        <v>0</v>
      </c>
      <c r="P133" s="239">
        <v>0</v>
      </c>
      <c r="Q133" s="239">
        <v>0</v>
      </c>
      <c r="R133" s="239">
        <v>0</v>
      </c>
      <c r="S133" s="239">
        <v>0</v>
      </c>
      <c r="T133" s="239">
        <v>0</v>
      </c>
      <c r="U133" s="239">
        <v>0</v>
      </c>
      <c r="V133" s="239">
        <v>0</v>
      </c>
      <c r="W133" s="239">
        <v>616420</v>
      </c>
      <c r="X133" s="239">
        <v>493136</v>
      </c>
      <c r="Y133" s="239">
        <v>123284</v>
      </c>
      <c r="Z133" s="239">
        <v>0</v>
      </c>
      <c r="AA133" s="239">
        <v>1232840</v>
      </c>
      <c r="AB133" s="239">
        <v>-887831</v>
      </c>
      <c r="AC133" s="239">
        <v>-710265</v>
      </c>
      <c r="AD133" s="239">
        <v>-177566</v>
      </c>
      <c r="AE133" s="239">
        <v>0</v>
      </c>
      <c r="AF133" s="239">
        <v>-1775662</v>
      </c>
      <c r="AG133" s="239">
        <v>-149943.35</v>
      </c>
      <c r="AH133" s="239">
        <v>-119953</v>
      </c>
      <c r="AI133" s="239">
        <v>-29988</v>
      </c>
      <c r="AJ133" s="239">
        <v>0</v>
      </c>
      <c r="AK133" s="239">
        <v>-299884.34999999998</v>
      </c>
      <c r="AL133" s="239">
        <v>22041</v>
      </c>
      <c r="AM133" s="239">
        <v>17632</v>
      </c>
      <c r="AN133" s="239">
        <v>4408</v>
      </c>
      <c r="AO133" s="239">
        <v>0</v>
      </c>
      <c r="AP133" s="239">
        <v>44081</v>
      </c>
      <c r="AQ133" s="239">
        <v>-53273</v>
      </c>
      <c r="AR133" s="239">
        <v>-42619</v>
      </c>
      <c r="AS133" s="239">
        <v>-10655</v>
      </c>
      <c r="AT133" s="239">
        <v>0</v>
      </c>
      <c r="AU133" s="239">
        <v>-106547</v>
      </c>
      <c r="AV133" s="239">
        <v>-181175.35</v>
      </c>
      <c r="AW133" s="239">
        <v>-144940</v>
      </c>
      <c r="AX133" s="239">
        <v>-36235</v>
      </c>
      <c r="AY133" s="239">
        <v>0</v>
      </c>
      <c r="AZ133" s="239">
        <v>-362350.35</v>
      </c>
      <c r="BA133" s="239">
        <v>-1766105</v>
      </c>
      <c r="BB133" s="239">
        <v>-1412883</v>
      </c>
      <c r="BC133" s="239">
        <v>-353220</v>
      </c>
      <c r="BD133" s="239">
        <v>0</v>
      </c>
      <c r="BE133" s="239">
        <v>-3532208</v>
      </c>
      <c r="BF133" s="239">
        <v>556439</v>
      </c>
      <c r="BG133" s="239">
        <v>445151</v>
      </c>
      <c r="BH133" s="239">
        <v>111288</v>
      </c>
      <c r="BI133" s="239">
        <v>0</v>
      </c>
      <c r="BJ133" s="239">
        <v>1112878</v>
      </c>
      <c r="BK133" s="239">
        <v>-1708942</v>
      </c>
      <c r="BL133" s="239">
        <v>-1367154</v>
      </c>
      <c r="BM133" s="239">
        <v>-341788</v>
      </c>
      <c r="BN133" s="239">
        <v>0</v>
      </c>
      <c r="BO133" s="239">
        <v>-3417884</v>
      </c>
      <c r="BP133" s="239">
        <v>-2918608</v>
      </c>
      <c r="BQ133" s="239">
        <v>-2334886</v>
      </c>
      <c r="BR133" s="239">
        <v>-583720</v>
      </c>
      <c r="BS133" s="239">
        <v>0</v>
      </c>
      <c r="BT133" s="239">
        <v>-5837214</v>
      </c>
      <c r="BU133" s="239">
        <v>2812929</v>
      </c>
      <c r="BV133" s="239">
        <v>2250343</v>
      </c>
      <c r="BW133" s="239">
        <v>562586</v>
      </c>
      <c r="BX133" s="239">
        <v>0</v>
      </c>
      <c r="BY133" s="239">
        <v>5625858</v>
      </c>
      <c r="BZ133" s="239">
        <v>1626284</v>
      </c>
      <c r="CA133" s="239">
        <v>1301027</v>
      </c>
      <c r="CB133" s="239">
        <v>325257</v>
      </c>
      <c r="CC133" s="239">
        <v>0</v>
      </c>
      <c r="CD133" s="239">
        <v>3252568</v>
      </c>
      <c r="CE133" s="239">
        <v>1186645</v>
      </c>
      <c r="CF133" s="239">
        <v>949316</v>
      </c>
      <c r="CG133" s="239">
        <v>237329</v>
      </c>
      <c r="CH133" s="239">
        <v>0</v>
      </c>
      <c r="CI133" s="239">
        <v>2373290</v>
      </c>
      <c r="CJ133" s="239">
        <v>23083279</v>
      </c>
      <c r="CK133" s="239">
        <v>18466624</v>
      </c>
      <c r="CL133" s="239">
        <v>4616656</v>
      </c>
      <c r="CM133" s="239">
        <v>0</v>
      </c>
      <c r="CN133" s="239">
        <v>46166559</v>
      </c>
      <c r="CO133" s="239">
        <v>21893976</v>
      </c>
      <c r="CP133" s="239">
        <v>17515181</v>
      </c>
      <c r="CQ133" s="239">
        <v>4378795</v>
      </c>
      <c r="CR133" s="239">
        <v>0</v>
      </c>
      <c r="CS133" s="239">
        <v>43787952</v>
      </c>
      <c r="CT133" s="239">
        <v>-1189303</v>
      </c>
      <c r="CU133" s="239">
        <v>-951443</v>
      </c>
      <c r="CV133" s="239">
        <v>-237861</v>
      </c>
      <c r="CW133" s="239">
        <v>0</v>
      </c>
      <c r="CX133" s="239">
        <v>-2378607</v>
      </c>
      <c r="CY133" s="239">
        <v>-2658</v>
      </c>
      <c r="CZ133" s="239">
        <v>-2127</v>
      </c>
      <c r="DA133" s="239">
        <v>-532</v>
      </c>
      <c r="DB133" s="239">
        <v>0</v>
      </c>
      <c r="DC133" s="239">
        <v>-5317</v>
      </c>
      <c r="DD133" s="214">
        <v>0.5</v>
      </c>
      <c r="DE133" s="214">
        <v>0.4</v>
      </c>
      <c r="DF133" s="214">
        <v>0.1</v>
      </c>
      <c r="DG133" s="214">
        <v>0</v>
      </c>
      <c r="DH133" s="214">
        <v>1</v>
      </c>
      <c r="DI133" s="214" t="s">
        <v>1294</v>
      </c>
    </row>
    <row r="134" spans="2:113" s="214" customFormat="1" x14ac:dyDescent="0.2">
      <c r="B134" s="610" t="s">
        <v>351</v>
      </c>
      <c r="C134" s="610" t="s">
        <v>350</v>
      </c>
      <c r="D134" s="239">
        <v>11728154</v>
      </c>
      <c r="E134" s="239">
        <v>9382523</v>
      </c>
      <c r="F134" s="239">
        <v>2111068</v>
      </c>
      <c r="G134" s="239">
        <v>234563</v>
      </c>
      <c r="H134" s="239">
        <v>23456308</v>
      </c>
      <c r="I134" s="239">
        <v>0</v>
      </c>
      <c r="J134" s="239">
        <v>0</v>
      </c>
      <c r="K134" s="239">
        <v>11728154</v>
      </c>
      <c r="L134" s="239">
        <v>135499</v>
      </c>
      <c r="M134" s="239">
        <v>135499</v>
      </c>
      <c r="N134" s="239">
        <v>0</v>
      </c>
      <c r="O134" s="239">
        <v>0</v>
      </c>
      <c r="P134" s="239">
        <v>0</v>
      </c>
      <c r="Q134" s="239">
        <v>0</v>
      </c>
      <c r="R134" s="239">
        <v>0</v>
      </c>
      <c r="S134" s="239">
        <v>0</v>
      </c>
      <c r="T134" s="239">
        <v>0</v>
      </c>
      <c r="U134" s="239">
        <v>0</v>
      </c>
      <c r="V134" s="239">
        <v>0</v>
      </c>
      <c r="W134" s="239">
        <v>504842</v>
      </c>
      <c r="X134" s="239">
        <v>403874</v>
      </c>
      <c r="Y134" s="239">
        <v>90872</v>
      </c>
      <c r="Z134" s="239">
        <v>10097</v>
      </c>
      <c r="AA134" s="239">
        <v>1009685</v>
      </c>
      <c r="AB134" s="239">
        <v>-107290</v>
      </c>
      <c r="AC134" s="239">
        <v>-85832</v>
      </c>
      <c r="AD134" s="239">
        <v>-19312</v>
      </c>
      <c r="AE134" s="239">
        <v>-2146</v>
      </c>
      <c r="AF134" s="239">
        <v>-214580</v>
      </c>
      <c r="AG134" s="239">
        <v>-451853</v>
      </c>
      <c r="AH134" s="239">
        <v>-361484</v>
      </c>
      <c r="AI134" s="239">
        <v>-81334</v>
      </c>
      <c r="AJ134" s="239">
        <v>-9038</v>
      </c>
      <c r="AK134" s="239">
        <v>-903709</v>
      </c>
      <c r="AL134" s="239">
        <v>166517</v>
      </c>
      <c r="AM134" s="239">
        <v>133213</v>
      </c>
      <c r="AN134" s="239">
        <v>29973</v>
      </c>
      <c r="AO134" s="239">
        <v>3330</v>
      </c>
      <c r="AP134" s="239">
        <v>333033</v>
      </c>
      <c r="AQ134" s="239">
        <v>-38421</v>
      </c>
      <c r="AR134" s="239">
        <v>-30736</v>
      </c>
      <c r="AS134" s="239">
        <v>-6916</v>
      </c>
      <c r="AT134" s="239">
        <v>-768</v>
      </c>
      <c r="AU134" s="239">
        <v>-76841</v>
      </c>
      <c r="AV134" s="239">
        <v>-323757</v>
      </c>
      <c r="AW134" s="239">
        <v>-259007</v>
      </c>
      <c r="AX134" s="239">
        <v>-58277</v>
      </c>
      <c r="AY134" s="239">
        <v>-6476</v>
      </c>
      <c r="AZ134" s="239">
        <v>-647517</v>
      </c>
      <c r="BA134" s="239">
        <v>-392095</v>
      </c>
      <c r="BB134" s="239">
        <v>-313676</v>
      </c>
      <c r="BC134" s="239">
        <v>-70577</v>
      </c>
      <c r="BD134" s="239">
        <v>-7843</v>
      </c>
      <c r="BE134" s="239">
        <v>-784191</v>
      </c>
      <c r="BF134" s="239">
        <v>70491</v>
      </c>
      <c r="BG134" s="239">
        <v>56392</v>
      </c>
      <c r="BH134" s="239">
        <v>12688</v>
      </c>
      <c r="BI134" s="239">
        <v>1410</v>
      </c>
      <c r="BJ134" s="239">
        <v>140981</v>
      </c>
      <c r="BK134" s="239">
        <v>-356751</v>
      </c>
      <c r="BL134" s="239">
        <v>-285400</v>
      </c>
      <c r="BM134" s="239">
        <v>-64215</v>
      </c>
      <c r="BN134" s="239">
        <v>-7135</v>
      </c>
      <c r="BO134" s="239">
        <v>-713501</v>
      </c>
      <c r="BP134" s="239">
        <v>-678355</v>
      </c>
      <c r="BQ134" s="239">
        <v>-542684</v>
      </c>
      <c r="BR134" s="239">
        <v>-122104</v>
      </c>
      <c r="BS134" s="239">
        <v>-13568</v>
      </c>
      <c r="BT134" s="239">
        <v>-1356711</v>
      </c>
      <c r="BU134" s="239">
        <v>-471512</v>
      </c>
      <c r="BV134" s="239">
        <v>-377210</v>
      </c>
      <c r="BW134" s="239">
        <v>-84872</v>
      </c>
      <c r="BX134" s="239">
        <v>-9430</v>
      </c>
      <c r="BY134" s="239">
        <v>-943024</v>
      </c>
      <c r="BZ134" s="239">
        <v>-87930</v>
      </c>
      <c r="CA134" s="239">
        <v>-70345</v>
      </c>
      <c r="CB134" s="239">
        <v>-15828</v>
      </c>
      <c r="CC134" s="239">
        <v>-1759</v>
      </c>
      <c r="CD134" s="239">
        <v>-175862</v>
      </c>
      <c r="CE134" s="239">
        <v>-383582</v>
      </c>
      <c r="CF134" s="239">
        <v>-306865</v>
      </c>
      <c r="CG134" s="239">
        <v>-69044</v>
      </c>
      <c r="CH134" s="239">
        <v>-7671</v>
      </c>
      <c r="CI134" s="239">
        <v>-767162</v>
      </c>
      <c r="CJ134" s="239">
        <v>12219725</v>
      </c>
      <c r="CK134" s="239">
        <v>9775780</v>
      </c>
      <c r="CL134" s="239">
        <v>2199551</v>
      </c>
      <c r="CM134" s="239">
        <v>244395</v>
      </c>
      <c r="CN134" s="239">
        <v>24439451</v>
      </c>
      <c r="CO134" s="239">
        <v>11728154</v>
      </c>
      <c r="CP134" s="239">
        <v>9382523</v>
      </c>
      <c r="CQ134" s="239">
        <v>2111068</v>
      </c>
      <c r="CR134" s="239">
        <v>234563</v>
      </c>
      <c r="CS134" s="239">
        <v>23456308</v>
      </c>
      <c r="CT134" s="239">
        <v>-491571</v>
      </c>
      <c r="CU134" s="239">
        <v>-393257</v>
      </c>
      <c r="CV134" s="239">
        <v>-88483</v>
      </c>
      <c r="CW134" s="239">
        <v>-9832</v>
      </c>
      <c r="CX134" s="239">
        <v>-983143</v>
      </c>
      <c r="CY134" s="239">
        <v>-875153</v>
      </c>
      <c r="CZ134" s="239">
        <v>-700122</v>
      </c>
      <c r="DA134" s="239">
        <v>-157527</v>
      </c>
      <c r="DB134" s="239">
        <v>-17503</v>
      </c>
      <c r="DC134" s="239">
        <v>-1750305</v>
      </c>
      <c r="DD134" s="214">
        <v>0.5</v>
      </c>
      <c r="DE134" s="214">
        <v>0.4</v>
      </c>
      <c r="DF134" s="214">
        <v>0.09</v>
      </c>
      <c r="DG134" s="214">
        <v>0.01</v>
      </c>
      <c r="DH134" s="214">
        <v>1</v>
      </c>
      <c r="DI134" s="214" t="s">
        <v>1294</v>
      </c>
    </row>
    <row r="135" spans="2:113" s="214" customFormat="1" x14ac:dyDescent="0.2">
      <c r="B135" s="610" t="s">
        <v>353</v>
      </c>
      <c r="C135" s="610" t="s">
        <v>352</v>
      </c>
      <c r="D135" s="239">
        <v>185343221</v>
      </c>
      <c r="E135" s="239">
        <v>111205933</v>
      </c>
      <c r="F135" s="239">
        <v>74137288</v>
      </c>
      <c r="G135" s="239">
        <v>0</v>
      </c>
      <c r="H135" s="239">
        <v>370686442</v>
      </c>
      <c r="I135" s="239">
        <v>0</v>
      </c>
      <c r="J135" s="239">
        <v>0</v>
      </c>
      <c r="K135" s="239">
        <v>185343221</v>
      </c>
      <c r="L135" s="239">
        <v>585792</v>
      </c>
      <c r="M135" s="239">
        <v>585792</v>
      </c>
      <c r="N135" s="239">
        <v>0</v>
      </c>
      <c r="O135" s="239">
        <v>0</v>
      </c>
      <c r="P135" s="239">
        <v>0</v>
      </c>
      <c r="Q135" s="239">
        <v>0</v>
      </c>
      <c r="R135" s="239">
        <v>0</v>
      </c>
      <c r="S135" s="239">
        <v>0</v>
      </c>
      <c r="T135" s="239">
        <v>0</v>
      </c>
      <c r="U135" s="239">
        <v>0</v>
      </c>
      <c r="V135" s="239">
        <v>0</v>
      </c>
      <c r="W135" s="239">
        <v>9068434</v>
      </c>
      <c r="X135" s="239">
        <v>5441060</v>
      </c>
      <c r="Y135" s="239">
        <v>3627373</v>
      </c>
      <c r="Z135" s="239">
        <v>0</v>
      </c>
      <c r="AA135" s="239">
        <v>18136867</v>
      </c>
      <c r="AB135" s="239">
        <v>-3583859</v>
      </c>
      <c r="AC135" s="239">
        <v>-2150315</v>
      </c>
      <c r="AD135" s="239">
        <v>-1433543</v>
      </c>
      <c r="AE135" s="239">
        <v>0</v>
      </c>
      <c r="AF135" s="239">
        <v>-7167717</v>
      </c>
      <c r="AG135" s="239">
        <v>-1725200</v>
      </c>
      <c r="AH135" s="239">
        <v>-1035120</v>
      </c>
      <c r="AI135" s="239">
        <v>-690080</v>
      </c>
      <c r="AJ135" s="239">
        <v>0</v>
      </c>
      <c r="AK135" s="239">
        <v>-3450400</v>
      </c>
      <c r="AL135" s="239">
        <v>323167</v>
      </c>
      <c r="AM135" s="239">
        <v>193901</v>
      </c>
      <c r="AN135" s="239">
        <v>129267</v>
      </c>
      <c r="AO135" s="239">
        <v>0</v>
      </c>
      <c r="AP135" s="239">
        <v>646335</v>
      </c>
      <c r="AQ135" s="239">
        <v>-317923</v>
      </c>
      <c r="AR135" s="239">
        <v>-190754</v>
      </c>
      <c r="AS135" s="239">
        <v>-127169</v>
      </c>
      <c r="AT135" s="239">
        <v>0</v>
      </c>
      <c r="AU135" s="239">
        <v>-635846</v>
      </c>
      <c r="AV135" s="239">
        <v>-1719956</v>
      </c>
      <c r="AW135" s="239">
        <v>-1031973</v>
      </c>
      <c r="AX135" s="239">
        <v>-687982</v>
      </c>
      <c r="AY135" s="239">
        <v>0</v>
      </c>
      <c r="AZ135" s="239">
        <v>-3439911</v>
      </c>
      <c r="BA135" s="239">
        <v>-705434</v>
      </c>
      <c r="BB135" s="239">
        <v>-423261</v>
      </c>
      <c r="BC135" s="239">
        <v>-282174</v>
      </c>
      <c r="BD135" s="239">
        <v>0</v>
      </c>
      <c r="BE135" s="239">
        <v>-1410869</v>
      </c>
      <c r="BF135" s="239">
        <v>506000</v>
      </c>
      <c r="BG135" s="239">
        <v>303600</v>
      </c>
      <c r="BH135" s="239">
        <v>202400</v>
      </c>
      <c r="BI135" s="239">
        <v>0</v>
      </c>
      <c r="BJ135" s="239">
        <v>1012000</v>
      </c>
      <c r="BK135" s="239">
        <v>-2050699</v>
      </c>
      <c r="BL135" s="239">
        <v>-1230419</v>
      </c>
      <c r="BM135" s="239">
        <v>-820280</v>
      </c>
      <c r="BN135" s="239">
        <v>0</v>
      </c>
      <c r="BO135" s="239">
        <v>-4101398</v>
      </c>
      <c r="BP135" s="239">
        <v>-2250133</v>
      </c>
      <c r="BQ135" s="239">
        <v>-1350080</v>
      </c>
      <c r="BR135" s="239">
        <v>-900054</v>
      </c>
      <c r="BS135" s="239">
        <v>0</v>
      </c>
      <c r="BT135" s="239">
        <v>-4500267</v>
      </c>
      <c r="BU135" s="239">
        <v>-3427000</v>
      </c>
      <c r="BV135" s="239">
        <v>-2056200</v>
      </c>
      <c r="BW135" s="239">
        <v>-1370800</v>
      </c>
      <c r="BX135" s="239">
        <v>0</v>
      </c>
      <c r="BY135" s="239">
        <v>-6854000</v>
      </c>
      <c r="BZ135" s="239">
        <v>-833333</v>
      </c>
      <c r="CA135" s="239">
        <v>-500000</v>
      </c>
      <c r="CB135" s="239">
        <v>-333333</v>
      </c>
      <c r="CC135" s="239">
        <v>0</v>
      </c>
      <c r="CD135" s="239">
        <v>-1666666</v>
      </c>
      <c r="CE135" s="239">
        <v>-2593667</v>
      </c>
      <c r="CF135" s="239">
        <v>-1556200</v>
      </c>
      <c r="CG135" s="239">
        <v>-1037467</v>
      </c>
      <c r="CH135" s="239">
        <v>0</v>
      </c>
      <c r="CI135" s="239">
        <v>-5187334</v>
      </c>
      <c r="CJ135" s="239">
        <v>185886450</v>
      </c>
      <c r="CK135" s="239">
        <v>111531870</v>
      </c>
      <c r="CL135" s="239">
        <v>74354580</v>
      </c>
      <c r="CM135" s="239">
        <v>0</v>
      </c>
      <c r="CN135" s="239">
        <v>371772900</v>
      </c>
      <c r="CO135" s="239">
        <v>185343221</v>
      </c>
      <c r="CP135" s="239">
        <v>111205933</v>
      </c>
      <c r="CQ135" s="239">
        <v>74137288</v>
      </c>
      <c r="CR135" s="239">
        <v>0</v>
      </c>
      <c r="CS135" s="239">
        <v>370686442</v>
      </c>
      <c r="CT135" s="239">
        <v>-543229</v>
      </c>
      <c r="CU135" s="239">
        <v>-325937</v>
      </c>
      <c r="CV135" s="239">
        <v>-217292</v>
      </c>
      <c r="CW135" s="239">
        <v>0</v>
      </c>
      <c r="CX135" s="239">
        <v>-1086458</v>
      </c>
      <c r="CY135" s="239">
        <v>-3136896</v>
      </c>
      <c r="CZ135" s="239">
        <v>-1882137</v>
      </c>
      <c r="DA135" s="239">
        <v>-1254759</v>
      </c>
      <c r="DB135" s="239">
        <v>0</v>
      </c>
      <c r="DC135" s="239">
        <v>-6273792</v>
      </c>
      <c r="DD135" s="214">
        <v>0.5</v>
      </c>
      <c r="DE135" s="214">
        <v>0.3</v>
      </c>
      <c r="DF135" s="214">
        <v>0.2</v>
      </c>
      <c r="DG135" s="214">
        <v>0</v>
      </c>
      <c r="DH135" s="214">
        <v>1</v>
      </c>
      <c r="DI135" s="214" t="s">
        <v>1295</v>
      </c>
    </row>
    <row r="136" spans="2:113" s="214" customFormat="1" x14ac:dyDescent="0.2">
      <c r="B136" s="610" t="s">
        <v>355</v>
      </c>
      <c r="C136" s="610" t="s">
        <v>354</v>
      </c>
      <c r="D136" s="239">
        <v>14811174</v>
      </c>
      <c r="E136" s="239">
        <v>11848939</v>
      </c>
      <c r="F136" s="239">
        <v>2666011</v>
      </c>
      <c r="G136" s="239">
        <v>296223</v>
      </c>
      <c r="H136" s="239">
        <v>29622347</v>
      </c>
      <c r="I136" s="239">
        <v>74881.322916666672</v>
      </c>
      <c r="J136" s="239">
        <v>74881.322916666672</v>
      </c>
      <c r="K136" s="239">
        <v>14736292.677083334</v>
      </c>
      <c r="L136" s="239">
        <v>123813</v>
      </c>
      <c r="M136" s="239">
        <v>123813</v>
      </c>
      <c r="N136" s="239">
        <v>96936</v>
      </c>
      <c r="O136" s="239">
        <v>96936</v>
      </c>
      <c r="P136" s="239">
        <v>26694</v>
      </c>
      <c r="Q136" s="239">
        <v>0</v>
      </c>
      <c r="R136" s="239">
        <v>26694</v>
      </c>
      <c r="S136" s="239">
        <v>74881.322916666672</v>
      </c>
      <c r="T136" s="239">
        <v>0</v>
      </c>
      <c r="U136" s="239">
        <v>0</v>
      </c>
      <c r="V136" s="239">
        <v>74881.322916666672</v>
      </c>
      <c r="W136" s="239">
        <v>367828</v>
      </c>
      <c r="X136" s="239">
        <v>294262</v>
      </c>
      <c r="Y136" s="239">
        <v>66209</v>
      </c>
      <c r="Z136" s="239">
        <v>7357</v>
      </c>
      <c r="AA136" s="239">
        <v>735656</v>
      </c>
      <c r="AB136" s="239">
        <v>-71632</v>
      </c>
      <c r="AC136" s="239">
        <v>-57306</v>
      </c>
      <c r="AD136" s="239">
        <v>-12894</v>
      </c>
      <c r="AE136" s="239">
        <v>-1433</v>
      </c>
      <c r="AF136" s="239">
        <v>-143265</v>
      </c>
      <c r="AG136" s="239">
        <v>-29836</v>
      </c>
      <c r="AH136" s="239">
        <v>-23870</v>
      </c>
      <c r="AI136" s="239">
        <v>-5371</v>
      </c>
      <c r="AJ136" s="239">
        <v>-597</v>
      </c>
      <c r="AK136" s="239">
        <v>-59674</v>
      </c>
      <c r="AL136" s="239">
        <v>79389</v>
      </c>
      <c r="AM136" s="239">
        <v>63511</v>
      </c>
      <c r="AN136" s="239">
        <v>14290</v>
      </c>
      <c r="AO136" s="239">
        <v>1588</v>
      </c>
      <c r="AP136" s="239">
        <v>158778</v>
      </c>
      <c r="AQ136" s="239">
        <v>-81452</v>
      </c>
      <c r="AR136" s="239">
        <v>-65161</v>
      </c>
      <c r="AS136" s="239">
        <v>-14661</v>
      </c>
      <c r="AT136" s="239">
        <v>-1629</v>
      </c>
      <c r="AU136" s="239">
        <v>-162903</v>
      </c>
      <c r="AV136" s="239">
        <v>-31899</v>
      </c>
      <c r="AW136" s="239">
        <v>-25520</v>
      </c>
      <c r="AX136" s="239">
        <v>-5742</v>
      </c>
      <c r="AY136" s="239">
        <v>-638</v>
      </c>
      <c r="AZ136" s="239">
        <v>-63799</v>
      </c>
      <c r="BA136" s="239">
        <v>-419714</v>
      </c>
      <c r="BB136" s="239">
        <v>-335772</v>
      </c>
      <c r="BC136" s="239">
        <v>-75550</v>
      </c>
      <c r="BD136" s="239">
        <v>-8394</v>
      </c>
      <c r="BE136" s="239">
        <v>-839430</v>
      </c>
      <c r="BF136" s="239">
        <v>166925</v>
      </c>
      <c r="BG136" s="239">
        <v>133540</v>
      </c>
      <c r="BH136" s="239">
        <v>30047</v>
      </c>
      <c r="BI136" s="239">
        <v>3339</v>
      </c>
      <c r="BJ136" s="239">
        <v>333851</v>
      </c>
      <c r="BK136" s="239">
        <v>-407933</v>
      </c>
      <c r="BL136" s="239">
        <v>-326346</v>
      </c>
      <c r="BM136" s="239">
        <v>-73428</v>
      </c>
      <c r="BN136" s="239">
        <v>-8159</v>
      </c>
      <c r="BO136" s="239">
        <v>-815866</v>
      </c>
      <c r="BP136" s="239">
        <v>-660722</v>
      </c>
      <c r="BQ136" s="239">
        <v>-528578</v>
      </c>
      <c r="BR136" s="239">
        <v>-118931</v>
      </c>
      <c r="BS136" s="239">
        <v>-13214</v>
      </c>
      <c r="BT136" s="239">
        <v>-1321445</v>
      </c>
      <c r="BU136" s="239">
        <v>-490089</v>
      </c>
      <c r="BV136" s="239">
        <v>-392072</v>
      </c>
      <c r="BW136" s="239">
        <v>-88216</v>
      </c>
      <c r="BX136" s="239">
        <v>-9802</v>
      </c>
      <c r="BY136" s="239">
        <v>-980179</v>
      </c>
      <c r="BZ136" s="239">
        <v>328597</v>
      </c>
      <c r="CA136" s="239">
        <v>262877</v>
      </c>
      <c r="CB136" s="239">
        <v>59147</v>
      </c>
      <c r="CC136" s="239">
        <v>6572</v>
      </c>
      <c r="CD136" s="239">
        <v>657193</v>
      </c>
      <c r="CE136" s="239">
        <v>-818686</v>
      </c>
      <c r="CF136" s="239">
        <v>-654949</v>
      </c>
      <c r="CG136" s="239">
        <v>-147363</v>
      </c>
      <c r="CH136" s="239">
        <v>-16374</v>
      </c>
      <c r="CI136" s="239">
        <v>-1637372</v>
      </c>
      <c r="CJ136" s="239">
        <v>14481299</v>
      </c>
      <c r="CK136" s="239">
        <v>11585039</v>
      </c>
      <c r="CL136" s="239">
        <v>2606634</v>
      </c>
      <c r="CM136" s="239">
        <v>289626</v>
      </c>
      <c r="CN136" s="239">
        <v>28962598</v>
      </c>
      <c r="CO136" s="239">
        <v>14811174</v>
      </c>
      <c r="CP136" s="239">
        <v>11848939</v>
      </c>
      <c r="CQ136" s="239">
        <v>2666011</v>
      </c>
      <c r="CR136" s="239">
        <v>296223</v>
      </c>
      <c r="CS136" s="239">
        <v>29622347</v>
      </c>
      <c r="CT136" s="239">
        <v>329875</v>
      </c>
      <c r="CU136" s="239">
        <v>263900</v>
      </c>
      <c r="CV136" s="239">
        <v>59377</v>
      </c>
      <c r="CW136" s="239">
        <v>6597</v>
      </c>
      <c r="CX136" s="239">
        <v>659749</v>
      </c>
      <c r="CY136" s="239">
        <v>-488811</v>
      </c>
      <c r="CZ136" s="239">
        <v>-391049</v>
      </c>
      <c r="DA136" s="239">
        <v>-87986</v>
      </c>
      <c r="DB136" s="239">
        <v>-9777</v>
      </c>
      <c r="DC136" s="239">
        <v>-977623</v>
      </c>
      <c r="DD136" s="214">
        <v>0.5</v>
      </c>
      <c r="DE136" s="214">
        <v>0.4</v>
      </c>
      <c r="DF136" s="214">
        <v>0.09</v>
      </c>
      <c r="DG136" s="214">
        <v>0.01</v>
      </c>
      <c r="DH136" s="214">
        <v>1</v>
      </c>
      <c r="DI136" s="214" t="s">
        <v>1294</v>
      </c>
    </row>
    <row r="137" spans="2:113" s="214" customFormat="1" x14ac:dyDescent="0.2">
      <c r="B137" s="610" t="s">
        <v>357</v>
      </c>
      <c r="C137" s="610" t="s">
        <v>356</v>
      </c>
      <c r="D137" s="239">
        <v>19906022</v>
      </c>
      <c r="E137" s="239">
        <v>15924818</v>
      </c>
      <c r="F137" s="239">
        <v>3981205</v>
      </c>
      <c r="G137" s="239">
        <v>0</v>
      </c>
      <c r="H137" s="239">
        <v>39812045</v>
      </c>
      <c r="I137" s="239">
        <v>0</v>
      </c>
      <c r="J137" s="239">
        <v>0</v>
      </c>
      <c r="K137" s="239">
        <v>19906022</v>
      </c>
      <c r="L137" s="239">
        <v>176540</v>
      </c>
      <c r="M137" s="239">
        <v>176540</v>
      </c>
      <c r="N137" s="239">
        <v>0</v>
      </c>
      <c r="O137" s="239">
        <v>0</v>
      </c>
      <c r="P137" s="239">
        <v>0</v>
      </c>
      <c r="Q137" s="239">
        <v>0</v>
      </c>
      <c r="R137" s="239">
        <v>0</v>
      </c>
      <c r="S137" s="239">
        <v>0</v>
      </c>
      <c r="T137" s="239">
        <v>0</v>
      </c>
      <c r="U137" s="239">
        <v>0</v>
      </c>
      <c r="V137" s="239">
        <v>0</v>
      </c>
      <c r="W137" s="239">
        <v>1478191</v>
      </c>
      <c r="X137" s="239">
        <v>1182552</v>
      </c>
      <c r="Y137" s="239">
        <v>295638</v>
      </c>
      <c r="Z137" s="239">
        <v>0</v>
      </c>
      <c r="AA137" s="239">
        <v>2956381</v>
      </c>
      <c r="AB137" s="239">
        <v>-643738</v>
      </c>
      <c r="AC137" s="239">
        <v>-514990</v>
      </c>
      <c r="AD137" s="239">
        <v>-128748</v>
      </c>
      <c r="AE137" s="239">
        <v>0</v>
      </c>
      <c r="AF137" s="239">
        <v>-1287476</v>
      </c>
      <c r="AG137" s="239">
        <v>-546687</v>
      </c>
      <c r="AH137" s="239">
        <v>-437349</v>
      </c>
      <c r="AI137" s="239">
        <v>-109337</v>
      </c>
      <c r="AJ137" s="239">
        <v>0</v>
      </c>
      <c r="AK137" s="239">
        <v>-1093373</v>
      </c>
      <c r="AL137" s="239">
        <v>76584</v>
      </c>
      <c r="AM137" s="239">
        <v>61268</v>
      </c>
      <c r="AN137" s="239">
        <v>15317</v>
      </c>
      <c r="AO137" s="239">
        <v>0</v>
      </c>
      <c r="AP137" s="239">
        <v>153169</v>
      </c>
      <c r="AQ137" s="239">
        <v>-232193</v>
      </c>
      <c r="AR137" s="239">
        <v>-185754</v>
      </c>
      <c r="AS137" s="239">
        <v>-46439</v>
      </c>
      <c r="AT137" s="239">
        <v>0</v>
      </c>
      <c r="AU137" s="239">
        <v>-464386</v>
      </c>
      <c r="AV137" s="239">
        <v>-702296</v>
      </c>
      <c r="AW137" s="239">
        <v>-561835</v>
      </c>
      <c r="AX137" s="239">
        <v>-140459</v>
      </c>
      <c r="AY137" s="239">
        <v>0</v>
      </c>
      <c r="AZ137" s="239">
        <v>-1404590</v>
      </c>
      <c r="BA137" s="239">
        <v>-2115707</v>
      </c>
      <c r="BB137" s="239">
        <v>-1692565</v>
      </c>
      <c r="BC137" s="239">
        <v>-423141</v>
      </c>
      <c r="BD137" s="239">
        <v>0</v>
      </c>
      <c r="BE137" s="239">
        <v>-4231413</v>
      </c>
      <c r="BF137" s="239">
        <v>423884</v>
      </c>
      <c r="BG137" s="239">
        <v>339107</v>
      </c>
      <c r="BH137" s="239">
        <v>84777</v>
      </c>
      <c r="BI137" s="239">
        <v>0</v>
      </c>
      <c r="BJ137" s="239">
        <v>847768</v>
      </c>
      <c r="BK137" s="239">
        <v>-886856</v>
      </c>
      <c r="BL137" s="239">
        <v>-709485</v>
      </c>
      <c r="BM137" s="239">
        <v>-177371</v>
      </c>
      <c r="BN137" s="239">
        <v>0</v>
      </c>
      <c r="BO137" s="239">
        <v>-1773712</v>
      </c>
      <c r="BP137" s="239">
        <v>-2578679</v>
      </c>
      <c r="BQ137" s="239">
        <v>-2062943</v>
      </c>
      <c r="BR137" s="239">
        <v>-515735</v>
      </c>
      <c r="BS137" s="239">
        <v>0</v>
      </c>
      <c r="BT137" s="239">
        <v>-5157357</v>
      </c>
      <c r="BU137" s="239">
        <v>-1410378</v>
      </c>
      <c r="BV137" s="239">
        <v>-1128302</v>
      </c>
      <c r="BW137" s="239">
        <v>-282076</v>
      </c>
      <c r="BX137" s="239">
        <v>0</v>
      </c>
      <c r="BY137" s="239">
        <v>-2820756</v>
      </c>
      <c r="BZ137" s="239">
        <v>-721500</v>
      </c>
      <c r="CA137" s="239">
        <v>-577200</v>
      </c>
      <c r="CB137" s="239">
        <v>-144300</v>
      </c>
      <c r="CC137" s="239">
        <v>0</v>
      </c>
      <c r="CD137" s="239">
        <v>-1443000</v>
      </c>
      <c r="CE137" s="239">
        <v>-688878</v>
      </c>
      <c r="CF137" s="239">
        <v>-551102</v>
      </c>
      <c r="CG137" s="239">
        <v>-137776</v>
      </c>
      <c r="CH137" s="239">
        <v>0</v>
      </c>
      <c r="CI137" s="239">
        <v>-1377756</v>
      </c>
      <c r="CJ137" s="239">
        <v>19895069</v>
      </c>
      <c r="CK137" s="239">
        <v>15916055</v>
      </c>
      <c r="CL137" s="239">
        <v>3979014</v>
      </c>
      <c r="CM137" s="239">
        <v>0</v>
      </c>
      <c r="CN137" s="239">
        <v>39790138</v>
      </c>
      <c r="CO137" s="239">
        <v>19906022</v>
      </c>
      <c r="CP137" s="239">
        <v>15924818</v>
      </c>
      <c r="CQ137" s="239">
        <v>3981205</v>
      </c>
      <c r="CR137" s="239">
        <v>0</v>
      </c>
      <c r="CS137" s="239">
        <v>39812045</v>
      </c>
      <c r="CT137" s="239">
        <v>10953</v>
      </c>
      <c r="CU137" s="239">
        <v>8763</v>
      </c>
      <c r="CV137" s="239">
        <v>2191</v>
      </c>
      <c r="CW137" s="239">
        <v>0</v>
      </c>
      <c r="CX137" s="239">
        <v>21907</v>
      </c>
      <c r="CY137" s="239">
        <v>-677925</v>
      </c>
      <c r="CZ137" s="239">
        <v>-542339</v>
      </c>
      <c r="DA137" s="239">
        <v>-135585</v>
      </c>
      <c r="DB137" s="239">
        <v>0</v>
      </c>
      <c r="DC137" s="239">
        <v>-1355849</v>
      </c>
      <c r="DD137" s="214">
        <v>0.5</v>
      </c>
      <c r="DE137" s="214">
        <v>0.4</v>
      </c>
      <c r="DF137" s="214">
        <v>0.1</v>
      </c>
      <c r="DG137" s="214">
        <v>0</v>
      </c>
      <c r="DH137" s="214">
        <v>1</v>
      </c>
      <c r="DI137" s="214" t="s">
        <v>1294</v>
      </c>
    </row>
    <row r="138" spans="2:113" s="214" customFormat="1" x14ac:dyDescent="0.2">
      <c r="B138" s="610" t="s">
        <v>359</v>
      </c>
      <c r="C138" s="610" t="s">
        <v>358</v>
      </c>
      <c r="D138" s="239">
        <v>78053783</v>
      </c>
      <c r="E138" s="239">
        <v>46832270</v>
      </c>
      <c r="F138" s="239">
        <v>31221513</v>
      </c>
      <c r="G138" s="239">
        <v>0</v>
      </c>
      <c r="H138" s="239">
        <v>156107566</v>
      </c>
      <c r="I138" s="239">
        <v>0</v>
      </c>
      <c r="J138" s="239">
        <v>0</v>
      </c>
      <c r="K138" s="239">
        <v>78053783</v>
      </c>
      <c r="L138" s="239">
        <v>402034</v>
      </c>
      <c r="M138" s="239">
        <v>402034</v>
      </c>
      <c r="N138" s="239">
        <v>0</v>
      </c>
      <c r="O138" s="239">
        <v>0</v>
      </c>
      <c r="P138" s="239">
        <v>0</v>
      </c>
      <c r="Q138" s="239">
        <v>0</v>
      </c>
      <c r="R138" s="239">
        <v>0</v>
      </c>
      <c r="S138" s="239">
        <v>0</v>
      </c>
      <c r="T138" s="239">
        <v>0</v>
      </c>
      <c r="U138" s="239">
        <v>0</v>
      </c>
      <c r="V138" s="239">
        <v>0</v>
      </c>
      <c r="W138" s="239">
        <v>4299206</v>
      </c>
      <c r="X138" s="239">
        <v>2579524</v>
      </c>
      <c r="Y138" s="239">
        <v>1719682</v>
      </c>
      <c r="Z138" s="239">
        <v>0</v>
      </c>
      <c r="AA138" s="239">
        <v>8598412</v>
      </c>
      <c r="AB138" s="239">
        <v>-5424462</v>
      </c>
      <c r="AC138" s="239">
        <v>-3254678</v>
      </c>
      <c r="AD138" s="239">
        <v>-2169785</v>
      </c>
      <c r="AE138" s="239">
        <v>0</v>
      </c>
      <c r="AF138" s="239">
        <v>-10848925</v>
      </c>
      <c r="AG138" s="239">
        <v>-2892910</v>
      </c>
      <c r="AH138" s="239">
        <v>-1735746</v>
      </c>
      <c r="AI138" s="239">
        <v>-1157164</v>
      </c>
      <c r="AJ138" s="239">
        <v>0</v>
      </c>
      <c r="AK138" s="239">
        <v>-5785820</v>
      </c>
      <c r="AL138" s="239">
        <v>2389922</v>
      </c>
      <c r="AM138" s="239">
        <v>1433954</v>
      </c>
      <c r="AN138" s="239">
        <v>955969</v>
      </c>
      <c r="AO138" s="239">
        <v>0</v>
      </c>
      <c r="AP138" s="239">
        <v>4779845</v>
      </c>
      <c r="AQ138" s="239">
        <v>892910</v>
      </c>
      <c r="AR138" s="239">
        <v>535746</v>
      </c>
      <c r="AS138" s="239">
        <v>357164</v>
      </c>
      <c r="AT138" s="239">
        <v>0</v>
      </c>
      <c r="AU138" s="239">
        <v>1785820</v>
      </c>
      <c r="AV138" s="239">
        <v>389922</v>
      </c>
      <c r="AW138" s="239">
        <v>233954</v>
      </c>
      <c r="AX138" s="239">
        <v>155969</v>
      </c>
      <c r="AY138" s="239">
        <v>0</v>
      </c>
      <c r="AZ138" s="239">
        <v>779845</v>
      </c>
      <c r="BA138" s="239">
        <v>-10000000</v>
      </c>
      <c r="BB138" s="239">
        <v>-6000000</v>
      </c>
      <c r="BC138" s="239">
        <v>-4000000</v>
      </c>
      <c r="BD138" s="239">
        <v>0</v>
      </c>
      <c r="BE138" s="239">
        <v>-20000000</v>
      </c>
      <c r="BF138" s="239">
        <v>4000000</v>
      </c>
      <c r="BG138" s="239">
        <v>2400000</v>
      </c>
      <c r="BH138" s="239">
        <v>1600000</v>
      </c>
      <c r="BI138" s="239">
        <v>0</v>
      </c>
      <c r="BJ138" s="239">
        <v>8000000</v>
      </c>
      <c r="BK138" s="239">
        <v>-6000000</v>
      </c>
      <c r="BL138" s="239">
        <v>-3600000</v>
      </c>
      <c r="BM138" s="239">
        <v>-2400000</v>
      </c>
      <c r="BN138" s="239">
        <v>0</v>
      </c>
      <c r="BO138" s="239">
        <v>-12000000</v>
      </c>
      <c r="BP138" s="239">
        <v>-12000000</v>
      </c>
      <c r="BQ138" s="239">
        <v>-7200000</v>
      </c>
      <c r="BR138" s="239">
        <v>-4800000</v>
      </c>
      <c r="BS138" s="239">
        <v>0</v>
      </c>
      <c r="BT138" s="239">
        <v>-24000000</v>
      </c>
      <c r="BU138" s="239">
        <v>-4455151</v>
      </c>
      <c r="BV138" s="239">
        <v>-2673091</v>
      </c>
      <c r="BW138" s="239">
        <v>-1782061</v>
      </c>
      <c r="BX138" s="239">
        <v>0</v>
      </c>
      <c r="BY138" s="239">
        <v>-8910303</v>
      </c>
      <c r="BZ138" s="239">
        <v>991232</v>
      </c>
      <c r="CA138" s="239">
        <v>594739</v>
      </c>
      <c r="CB138" s="239">
        <v>396493</v>
      </c>
      <c r="CC138" s="239">
        <v>0</v>
      </c>
      <c r="CD138" s="239">
        <v>1982464</v>
      </c>
      <c r="CE138" s="239">
        <v>-5446383</v>
      </c>
      <c r="CF138" s="239">
        <v>-3267830</v>
      </c>
      <c r="CG138" s="239">
        <v>-2178554</v>
      </c>
      <c r="CH138" s="239">
        <v>0</v>
      </c>
      <c r="CI138" s="239">
        <v>-10892767</v>
      </c>
      <c r="CJ138" s="239">
        <v>78061282</v>
      </c>
      <c r="CK138" s="239">
        <v>46836770</v>
      </c>
      <c r="CL138" s="239">
        <v>31224513</v>
      </c>
      <c r="CM138" s="239">
        <v>0</v>
      </c>
      <c r="CN138" s="239">
        <v>156122565</v>
      </c>
      <c r="CO138" s="239">
        <v>78053783</v>
      </c>
      <c r="CP138" s="239">
        <v>46832270</v>
      </c>
      <c r="CQ138" s="239">
        <v>31221513</v>
      </c>
      <c r="CR138" s="239">
        <v>0</v>
      </c>
      <c r="CS138" s="239">
        <v>156107566</v>
      </c>
      <c r="CT138" s="239">
        <v>-7499</v>
      </c>
      <c r="CU138" s="239">
        <v>-4500</v>
      </c>
      <c r="CV138" s="239">
        <v>-3000</v>
      </c>
      <c r="CW138" s="239">
        <v>0</v>
      </c>
      <c r="CX138" s="239">
        <v>-14999</v>
      </c>
      <c r="CY138" s="239">
        <v>-5453882</v>
      </c>
      <c r="CZ138" s="239">
        <v>-3272330</v>
      </c>
      <c r="DA138" s="239">
        <v>-2181554</v>
      </c>
      <c r="DB138" s="239">
        <v>0</v>
      </c>
      <c r="DC138" s="239">
        <v>-10907766</v>
      </c>
      <c r="DD138" s="214">
        <v>0.5</v>
      </c>
      <c r="DE138" s="214">
        <v>0.3</v>
      </c>
      <c r="DF138" s="214">
        <v>0.2</v>
      </c>
      <c r="DG138" s="214">
        <v>0</v>
      </c>
      <c r="DH138" s="214">
        <v>1</v>
      </c>
      <c r="DI138" s="214" t="s">
        <v>1295</v>
      </c>
    </row>
    <row r="139" spans="2:113" s="214" customFormat="1" x14ac:dyDescent="0.2">
      <c r="B139" s="610" t="s">
        <v>361</v>
      </c>
      <c r="C139" s="610" t="s">
        <v>360</v>
      </c>
      <c r="D139" s="239">
        <v>29201976</v>
      </c>
      <c r="E139" s="239">
        <v>23361582</v>
      </c>
      <c r="F139" s="239">
        <v>5256356</v>
      </c>
      <c r="G139" s="239">
        <v>584040</v>
      </c>
      <c r="H139" s="239">
        <v>58403954</v>
      </c>
      <c r="I139" s="239">
        <v>271451.77083333337</v>
      </c>
      <c r="J139" s="239">
        <v>271451.77083333337</v>
      </c>
      <c r="K139" s="239">
        <v>28930524.229166668</v>
      </c>
      <c r="L139" s="239">
        <v>221544</v>
      </c>
      <c r="M139" s="239">
        <v>221544</v>
      </c>
      <c r="N139" s="239">
        <v>0</v>
      </c>
      <c r="O139" s="239">
        <v>0</v>
      </c>
      <c r="P139" s="239">
        <v>828801</v>
      </c>
      <c r="Q139" s="239">
        <v>0</v>
      </c>
      <c r="R139" s="239">
        <v>828801</v>
      </c>
      <c r="S139" s="239">
        <v>271451.77083333337</v>
      </c>
      <c r="T139" s="239">
        <v>0</v>
      </c>
      <c r="U139" s="239">
        <v>0</v>
      </c>
      <c r="V139" s="239">
        <v>271451.77083333337</v>
      </c>
      <c r="W139" s="239">
        <v>122018</v>
      </c>
      <c r="X139" s="239">
        <v>97614</v>
      </c>
      <c r="Y139" s="239">
        <v>21963</v>
      </c>
      <c r="Z139" s="239">
        <v>2440</v>
      </c>
      <c r="AA139" s="239">
        <v>244035</v>
      </c>
      <c r="AB139" s="239">
        <v>-44342</v>
      </c>
      <c r="AC139" s="239">
        <v>-35473</v>
      </c>
      <c r="AD139" s="239">
        <v>-7981</v>
      </c>
      <c r="AE139" s="239">
        <v>-887</v>
      </c>
      <c r="AF139" s="239">
        <v>-88683</v>
      </c>
      <c r="AG139" s="239">
        <v>118500</v>
      </c>
      <c r="AH139" s="239">
        <v>94800</v>
      </c>
      <c r="AI139" s="239">
        <v>21330</v>
      </c>
      <c r="AJ139" s="239">
        <v>2370</v>
      </c>
      <c r="AK139" s="239">
        <v>237000</v>
      </c>
      <c r="AL139" s="239">
        <v>21400</v>
      </c>
      <c r="AM139" s="239">
        <v>17120</v>
      </c>
      <c r="AN139" s="239">
        <v>3852</v>
      </c>
      <c r="AO139" s="239">
        <v>428</v>
      </c>
      <c r="AP139" s="239">
        <v>42800</v>
      </c>
      <c r="AQ139" s="239">
        <v>-10700</v>
      </c>
      <c r="AR139" s="239">
        <v>-8560</v>
      </c>
      <c r="AS139" s="239">
        <v>-1926</v>
      </c>
      <c r="AT139" s="239">
        <v>-214</v>
      </c>
      <c r="AU139" s="239">
        <v>-21400</v>
      </c>
      <c r="AV139" s="239">
        <v>129200</v>
      </c>
      <c r="AW139" s="239">
        <v>103360</v>
      </c>
      <c r="AX139" s="239">
        <v>23256</v>
      </c>
      <c r="AY139" s="239">
        <v>2584</v>
      </c>
      <c r="AZ139" s="239">
        <v>258400</v>
      </c>
      <c r="BA139" s="239">
        <v>-4149330</v>
      </c>
      <c r="BB139" s="239">
        <v>-3319465</v>
      </c>
      <c r="BC139" s="239">
        <v>-746880</v>
      </c>
      <c r="BD139" s="239">
        <v>-82987</v>
      </c>
      <c r="BE139" s="239">
        <v>-8298662</v>
      </c>
      <c r="BF139" s="239">
        <v>2051328</v>
      </c>
      <c r="BG139" s="239">
        <v>1641062</v>
      </c>
      <c r="BH139" s="239">
        <v>369239</v>
      </c>
      <c r="BI139" s="239">
        <v>41027</v>
      </c>
      <c r="BJ139" s="239">
        <v>4102656</v>
      </c>
      <c r="BK139" s="239">
        <v>-599049</v>
      </c>
      <c r="BL139" s="239">
        <v>-479239</v>
      </c>
      <c r="BM139" s="239">
        <v>-107829</v>
      </c>
      <c r="BN139" s="239">
        <v>-11981</v>
      </c>
      <c r="BO139" s="239">
        <v>-1198098</v>
      </c>
      <c r="BP139" s="239">
        <v>-2697051</v>
      </c>
      <c r="BQ139" s="239">
        <v>-2157642</v>
      </c>
      <c r="BR139" s="239">
        <v>-485470</v>
      </c>
      <c r="BS139" s="239">
        <v>-53941</v>
      </c>
      <c r="BT139" s="239">
        <v>-5394104</v>
      </c>
      <c r="BU139" s="239">
        <v>-6192061</v>
      </c>
      <c r="BV139" s="239">
        <v>-4953649</v>
      </c>
      <c r="BW139" s="239">
        <v>-1114571</v>
      </c>
      <c r="BX139" s="239">
        <v>-123841</v>
      </c>
      <c r="BY139" s="239">
        <v>-12384122</v>
      </c>
      <c r="BZ139" s="239">
        <v>-3239139</v>
      </c>
      <c r="CA139" s="239">
        <v>-2591311</v>
      </c>
      <c r="CB139" s="239">
        <v>-583045</v>
      </c>
      <c r="CC139" s="239">
        <v>-64783</v>
      </c>
      <c r="CD139" s="239">
        <v>-6478278</v>
      </c>
      <c r="CE139" s="239">
        <v>-2952922</v>
      </c>
      <c r="CF139" s="239">
        <v>-2362338</v>
      </c>
      <c r="CG139" s="239">
        <v>-531526</v>
      </c>
      <c r="CH139" s="239">
        <v>-59058</v>
      </c>
      <c r="CI139" s="239">
        <v>-5905844</v>
      </c>
      <c r="CJ139" s="239">
        <v>29603156</v>
      </c>
      <c r="CK139" s="239">
        <v>23682524</v>
      </c>
      <c r="CL139" s="239">
        <v>5328568</v>
      </c>
      <c r="CM139" s="239">
        <v>592063</v>
      </c>
      <c r="CN139" s="239">
        <v>59206311</v>
      </c>
      <c r="CO139" s="239">
        <v>29201976</v>
      </c>
      <c r="CP139" s="239">
        <v>23361582</v>
      </c>
      <c r="CQ139" s="239">
        <v>5256356</v>
      </c>
      <c r="CR139" s="239">
        <v>584040</v>
      </c>
      <c r="CS139" s="239">
        <v>58403954</v>
      </c>
      <c r="CT139" s="239">
        <v>-401180</v>
      </c>
      <c r="CU139" s="239">
        <v>-320942</v>
      </c>
      <c r="CV139" s="239">
        <v>-72212</v>
      </c>
      <c r="CW139" s="239">
        <v>-8023</v>
      </c>
      <c r="CX139" s="239">
        <v>-802357</v>
      </c>
      <c r="CY139" s="239">
        <v>-3354102</v>
      </c>
      <c r="CZ139" s="239">
        <v>-2683280</v>
      </c>
      <c r="DA139" s="239">
        <v>-603738</v>
      </c>
      <c r="DB139" s="239">
        <v>-67081</v>
      </c>
      <c r="DC139" s="239">
        <v>-6708201</v>
      </c>
      <c r="DD139" s="214">
        <v>0.5</v>
      </c>
      <c r="DE139" s="214">
        <v>0.4</v>
      </c>
      <c r="DF139" s="214">
        <v>0.09</v>
      </c>
      <c r="DG139" s="214">
        <v>0.01</v>
      </c>
      <c r="DH139" s="214">
        <v>1</v>
      </c>
      <c r="DI139" s="214" t="s">
        <v>1294</v>
      </c>
    </row>
    <row r="140" spans="2:113" s="214" customFormat="1" x14ac:dyDescent="0.2">
      <c r="B140" s="610" t="s">
        <v>363</v>
      </c>
      <c r="C140" s="610" t="s">
        <v>362</v>
      </c>
      <c r="D140" s="239">
        <v>9653008</v>
      </c>
      <c r="E140" s="239">
        <v>7722407</v>
      </c>
      <c r="F140" s="239">
        <v>1737542</v>
      </c>
      <c r="G140" s="239">
        <v>193060</v>
      </c>
      <c r="H140" s="239">
        <v>19306017</v>
      </c>
      <c r="I140" s="239">
        <v>0</v>
      </c>
      <c r="J140" s="239">
        <v>0</v>
      </c>
      <c r="K140" s="239">
        <v>9653008</v>
      </c>
      <c r="L140" s="239">
        <v>130946</v>
      </c>
      <c r="M140" s="239">
        <v>130946</v>
      </c>
      <c r="N140" s="239">
        <v>0</v>
      </c>
      <c r="O140" s="239">
        <v>0</v>
      </c>
      <c r="P140" s="239">
        <v>0</v>
      </c>
      <c r="Q140" s="239">
        <v>0</v>
      </c>
      <c r="R140" s="239">
        <v>0</v>
      </c>
      <c r="S140" s="239">
        <v>0</v>
      </c>
      <c r="T140" s="239">
        <v>0</v>
      </c>
      <c r="U140" s="239">
        <v>0</v>
      </c>
      <c r="V140" s="239">
        <v>0</v>
      </c>
      <c r="W140" s="239">
        <v>2011666</v>
      </c>
      <c r="X140" s="239">
        <v>1609333</v>
      </c>
      <c r="Y140" s="239">
        <v>362100</v>
      </c>
      <c r="Z140" s="239">
        <v>40233</v>
      </c>
      <c r="AA140" s="239">
        <v>4023332</v>
      </c>
      <c r="AB140" s="239">
        <v>-473221</v>
      </c>
      <c r="AC140" s="239">
        <v>-378577</v>
      </c>
      <c r="AD140" s="239">
        <v>-85180</v>
      </c>
      <c r="AE140" s="239">
        <v>-9464</v>
      </c>
      <c r="AF140" s="239">
        <v>-946442</v>
      </c>
      <c r="AG140" s="239">
        <v>-1128203</v>
      </c>
      <c r="AH140" s="239">
        <v>-902562</v>
      </c>
      <c r="AI140" s="239">
        <v>-203076</v>
      </c>
      <c r="AJ140" s="239">
        <v>-22564</v>
      </c>
      <c r="AK140" s="239">
        <v>-2256405</v>
      </c>
      <c r="AL140" s="239">
        <v>201986</v>
      </c>
      <c r="AM140" s="239">
        <v>161590</v>
      </c>
      <c r="AN140" s="239">
        <v>36358</v>
      </c>
      <c r="AO140" s="239">
        <v>4040</v>
      </c>
      <c r="AP140" s="239">
        <v>403974</v>
      </c>
      <c r="AQ140" s="239">
        <v>-335375</v>
      </c>
      <c r="AR140" s="239">
        <v>-268300</v>
      </c>
      <c r="AS140" s="239">
        <v>-60368</v>
      </c>
      <c r="AT140" s="239">
        <v>-6708</v>
      </c>
      <c r="AU140" s="239">
        <v>-670751</v>
      </c>
      <c r="AV140" s="239">
        <v>-1261592</v>
      </c>
      <c r="AW140" s="239">
        <v>-1009272</v>
      </c>
      <c r="AX140" s="239">
        <v>-227086</v>
      </c>
      <c r="AY140" s="239">
        <v>-25232</v>
      </c>
      <c r="AZ140" s="239">
        <v>-2523182</v>
      </c>
      <c r="BA140" s="239">
        <v>-1013970.2</v>
      </c>
      <c r="BB140" s="239">
        <v>-811176</v>
      </c>
      <c r="BC140" s="239">
        <v>-182515</v>
      </c>
      <c r="BD140" s="239">
        <v>-20280</v>
      </c>
      <c r="BE140" s="239">
        <v>-2027941.2</v>
      </c>
      <c r="BF140" s="239">
        <v>325275</v>
      </c>
      <c r="BG140" s="239">
        <v>260221</v>
      </c>
      <c r="BH140" s="239">
        <v>58550</v>
      </c>
      <c r="BI140" s="239">
        <v>6506</v>
      </c>
      <c r="BJ140" s="239">
        <v>650552</v>
      </c>
      <c r="BK140" s="239">
        <v>-713978</v>
      </c>
      <c r="BL140" s="239">
        <v>-571183</v>
      </c>
      <c r="BM140" s="239">
        <v>-128516</v>
      </c>
      <c r="BN140" s="239">
        <v>-14280</v>
      </c>
      <c r="BO140" s="239">
        <v>-1427957</v>
      </c>
      <c r="BP140" s="239">
        <v>-1402673.2</v>
      </c>
      <c r="BQ140" s="239">
        <v>-1122138</v>
      </c>
      <c r="BR140" s="239">
        <v>-252481</v>
      </c>
      <c r="BS140" s="239">
        <v>-28054</v>
      </c>
      <c r="BT140" s="239">
        <v>-2805346.2</v>
      </c>
      <c r="BU140" s="239">
        <v>-28446</v>
      </c>
      <c r="BV140" s="239">
        <v>-22756</v>
      </c>
      <c r="BW140" s="239">
        <v>-5120</v>
      </c>
      <c r="BX140" s="239">
        <v>-569</v>
      </c>
      <c r="BY140" s="239">
        <v>-56891</v>
      </c>
      <c r="BZ140" s="239">
        <v>-159662</v>
      </c>
      <c r="CA140" s="239">
        <v>-127729</v>
      </c>
      <c r="CB140" s="239">
        <v>-28739</v>
      </c>
      <c r="CC140" s="239">
        <v>-3193</v>
      </c>
      <c r="CD140" s="239">
        <v>-319323</v>
      </c>
      <c r="CE140" s="239">
        <v>131216</v>
      </c>
      <c r="CF140" s="239">
        <v>104973</v>
      </c>
      <c r="CG140" s="239">
        <v>23619</v>
      </c>
      <c r="CH140" s="239">
        <v>2624</v>
      </c>
      <c r="CI140" s="239">
        <v>262432</v>
      </c>
      <c r="CJ140" s="239">
        <v>9870337</v>
      </c>
      <c r="CK140" s="239">
        <v>7896270</v>
      </c>
      <c r="CL140" s="239">
        <v>1776661</v>
      </c>
      <c r="CM140" s="239">
        <v>197407</v>
      </c>
      <c r="CN140" s="239">
        <v>19740675</v>
      </c>
      <c r="CO140" s="239">
        <v>9653008</v>
      </c>
      <c r="CP140" s="239">
        <v>7722407</v>
      </c>
      <c r="CQ140" s="239">
        <v>1737542</v>
      </c>
      <c r="CR140" s="239">
        <v>193060</v>
      </c>
      <c r="CS140" s="239">
        <v>19306017</v>
      </c>
      <c r="CT140" s="239">
        <v>-217329</v>
      </c>
      <c r="CU140" s="239">
        <v>-173863</v>
      </c>
      <c r="CV140" s="239">
        <v>-39119</v>
      </c>
      <c r="CW140" s="239">
        <v>-4347</v>
      </c>
      <c r="CX140" s="239">
        <v>-434658</v>
      </c>
      <c r="CY140" s="239">
        <v>-86113</v>
      </c>
      <c r="CZ140" s="239">
        <v>-68890</v>
      </c>
      <c r="DA140" s="239">
        <v>-15500</v>
      </c>
      <c r="DB140" s="239">
        <v>-1723</v>
      </c>
      <c r="DC140" s="239">
        <v>-172226</v>
      </c>
      <c r="DD140" s="214">
        <v>0.5</v>
      </c>
      <c r="DE140" s="214">
        <v>0.4</v>
      </c>
      <c r="DF140" s="214">
        <v>0.09</v>
      </c>
      <c r="DG140" s="214">
        <v>0.01</v>
      </c>
      <c r="DH140" s="214">
        <v>1</v>
      </c>
      <c r="DI140" s="214" t="s">
        <v>1294</v>
      </c>
    </row>
    <row r="141" spans="2:113" s="214" customFormat="1" x14ac:dyDescent="0.2">
      <c r="B141" s="610" t="s">
        <v>365</v>
      </c>
      <c r="C141" s="610" t="s">
        <v>364</v>
      </c>
      <c r="D141" s="239">
        <v>27281449</v>
      </c>
      <c r="E141" s="239">
        <v>21825160</v>
      </c>
      <c r="F141" s="239">
        <v>5456290</v>
      </c>
      <c r="G141" s="239">
        <v>0</v>
      </c>
      <c r="H141" s="239">
        <v>54562899</v>
      </c>
      <c r="I141" s="239">
        <v>0</v>
      </c>
      <c r="J141" s="239">
        <v>0</v>
      </c>
      <c r="K141" s="239">
        <v>27281449</v>
      </c>
      <c r="L141" s="239">
        <v>194575</v>
      </c>
      <c r="M141" s="239">
        <v>194575</v>
      </c>
      <c r="N141" s="239">
        <v>0</v>
      </c>
      <c r="O141" s="239">
        <v>0</v>
      </c>
      <c r="P141" s="239">
        <v>0</v>
      </c>
      <c r="Q141" s="239">
        <v>0</v>
      </c>
      <c r="R141" s="239">
        <v>0</v>
      </c>
      <c r="S141" s="239">
        <v>0</v>
      </c>
      <c r="T141" s="239">
        <v>0</v>
      </c>
      <c r="U141" s="239">
        <v>0</v>
      </c>
      <c r="V141" s="239">
        <v>0</v>
      </c>
      <c r="W141" s="239">
        <v>594240</v>
      </c>
      <c r="X141" s="239">
        <v>475392</v>
      </c>
      <c r="Y141" s="239">
        <v>118848</v>
      </c>
      <c r="Z141" s="239">
        <v>0</v>
      </c>
      <c r="AA141" s="239">
        <v>1188480</v>
      </c>
      <c r="AB141" s="239">
        <v>-95807</v>
      </c>
      <c r="AC141" s="239">
        <v>-76646</v>
      </c>
      <c r="AD141" s="239">
        <v>-19161</v>
      </c>
      <c r="AE141" s="239">
        <v>0</v>
      </c>
      <c r="AF141" s="239">
        <v>-191614</v>
      </c>
      <c r="AG141" s="239">
        <v>-406094</v>
      </c>
      <c r="AH141" s="239">
        <v>-324875</v>
      </c>
      <c r="AI141" s="239">
        <v>-81220</v>
      </c>
      <c r="AJ141" s="239">
        <v>0</v>
      </c>
      <c r="AK141" s="239">
        <v>-812189</v>
      </c>
      <c r="AL141" s="239">
        <v>262118</v>
      </c>
      <c r="AM141" s="239">
        <v>209694</v>
      </c>
      <c r="AN141" s="239">
        <v>52424</v>
      </c>
      <c r="AO141" s="239">
        <v>0</v>
      </c>
      <c r="AP141" s="239">
        <v>524236</v>
      </c>
      <c r="AQ141" s="239">
        <v>-204332</v>
      </c>
      <c r="AR141" s="239">
        <v>-163466</v>
      </c>
      <c r="AS141" s="239">
        <v>-40867</v>
      </c>
      <c r="AT141" s="239">
        <v>0</v>
      </c>
      <c r="AU141" s="239">
        <v>-408665</v>
      </c>
      <c r="AV141" s="239">
        <v>-348308</v>
      </c>
      <c r="AW141" s="239">
        <v>-278647</v>
      </c>
      <c r="AX141" s="239">
        <v>-69663</v>
      </c>
      <c r="AY141" s="239">
        <v>0</v>
      </c>
      <c r="AZ141" s="239">
        <v>-696618</v>
      </c>
      <c r="BA141" s="239">
        <v>-1276045</v>
      </c>
      <c r="BB141" s="239">
        <v>-1020836</v>
      </c>
      <c r="BC141" s="239">
        <v>-255210</v>
      </c>
      <c r="BD141" s="239">
        <v>0</v>
      </c>
      <c r="BE141" s="239">
        <v>-2552091</v>
      </c>
      <c r="BF141" s="239">
        <v>11618</v>
      </c>
      <c r="BG141" s="239">
        <v>9294</v>
      </c>
      <c r="BH141" s="239">
        <v>2324</v>
      </c>
      <c r="BI141" s="239">
        <v>0</v>
      </c>
      <c r="BJ141" s="239">
        <v>23236</v>
      </c>
      <c r="BK141" s="239">
        <v>-742898</v>
      </c>
      <c r="BL141" s="239">
        <v>-594318</v>
      </c>
      <c r="BM141" s="239">
        <v>-148580</v>
      </c>
      <c r="BN141" s="239">
        <v>0</v>
      </c>
      <c r="BO141" s="239">
        <v>-1485796</v>
      </c>
      <c r="BP141" s="239">
        <v>-2007325</v>
      </c>
      <c r="BQ141" s="239">
        <v>-1605860</v>
      </c>
      <c r="BR141" s="239">
        <v>-401466</v>
      </c>
      <c r="BS141" s="239">
        <v>0</v>
      </c>
      <c r="BT141" s="239">
        <v>-4014651</v>
      </c>
      <c r="BU141" s="239">
        <v>-728713</v>
      </c>
      <c r="BV141" s="239">
        <v>-582971</v>
      </c>
      <c r="BW141" s="239">
        <v>-145743</v>
      </c>
      <c r="BX141" s="239">
        <v>0</v>
      </c>
      <c r="BY141" s="239">
        <v>-1457427</v>
      </c>
      <c r="BZ141" s="239">
        <v>-492884</v>
      </c>
      <c r="CA141" s="239">
        <v>-394307</v>
      </c>
      <c r="CB141" s="239">
        <v>-98577</v>
      </c>
      <c r="CC141" s="239">
        <v>0</v>
      </c>
      <c r="CD141" s="239">
        <v>-985768</v>
      </c>
      <c r="CE141" s="239">
        <v>-235829</v>
      </c>
      <c r="CF141" s="239">
        <v>-188664</v>
      </c>
      <c r="CG141" s="239">
        <v>-47166</v>
      </c>
      <c r="CH141" s="239">
        <v>0</v>
      </c>
      <c r="CI141" s="239">
        <v>-471659</v>
      </c>
      <c r="CJ141" s="239">
        <v>28737162</v>
      </c>
      <c r="CK141" s="239">
        <v>22989730</v>
      </c>
      <c r="CL141" s="239">
        <v>5747432</v>
      </c>
      <c r="CM141" s="239">
        <v>0</v>
      </c>
      <c r="CN141" s="239">
        <v>57474324</v>
      </c>
      <c r="CO141" s="239">
        <v>27281449</v>
      </c>
      <c r="CP141" s="239">
        <v>21825160</v>
      </c>
      <c r="CQ141" s="239">
        <v>5456290</v>
      </c>
      <c r="CR141" s="239">
        <v>0</v>
      </c>
      <c r="CS141" s="239">
        <v>54562899</v>
      </c>
      <c r="CT141" s="239">
        <v>-1455713</v>
      </c>
      <c r="CU141" s="239">
        <v>-1164570</v>
      </c>
      <c r="CV141" s="239">
        <v>-291142</v>
      </c>
      <c r="CW141" s="239">
        <v>0</v>
      </c>
      <c r="CX141" s="239">
        <v>-2911425</v>
      </c>
      <c r="CY141" s="239">
        <v>-1691542</v>
      </c>
      <c r="CZ141" s="239">
        <v>-1353234</v>
      </c>
      <c r="DA141" s="239">
        <v>-338308</v>
      </c>
      <c r="DB141" s="239">
        <v>0</v>
      </c>
      <c r="DC141" s="239">
        <v>-3383084</v>
      </c>
      <c r="DD141" s="214">
        <v>0.5</v>
      </c>
      <c r="DE141" s="214">
        <v>0.4</v>
      </c>
      <c r="DF141" s="214">
        <v>0.1</v>
      </c>
      <c r="DG141" s="214">
        <v>0</v>
      </c>
      <c r="DH141" s="214">
        <v>1</v>
      </c>
      <c r="DI141" s="214" t="s">
        <v>1294</v>
      </c>
    </row>
    <row r="142" spans="2:113" s="214" customFormat="1" x14ac:dyDescent="0.2">
      <c r="B142" s="610" t="s">
        <v>367</v>
      </c>
      <c r="C142" s="610" t="s">
        <v>366</v>
      </c>
      <c r="D142" s="239">
        <v>15374069</v>
      </c>
      <c r="E142" s="239">
        <v>15374070</v>
      </c>
      <c r="F142" s="239">
        <v>0</v>
      </c>
      <c r="G142" s="239">
        <v>0</v>
      </c>
      <c r="H142" s="239">
        <v>30748139</v>
      </c>
      <c r="I142" s="239">
        <v>0</v>
      </c>
      <c r="J142" s="239">
        <v>0</v>
      </c>
      <c r="K142" s="239">
        <v>15374069</v>
      </c>
      <c r="L142" s="239">
        <v>253629</v>
      </c>
      <c r="M142" s="239">
        <v>253629</v>
      </c>
      <c r="N142" s="239">
        <v>0</v>
      </c>
      <c r="O142" s="239">
        <v>0</v>
      </c>
      <c r="P142" s="239">
        <v>227569</v>
      </c>
      <c r="Q142" s="239">
        <v>0</v>
      </c>
      <c r="R142" s="239">
        <v>227569</v>
      </c>
      <c r="S142" s="239">
        <v>0</v>
      </c>
      <c r="T142" s="239">
        <v>0</v>
      </c>
      <c r="U142" s="239">
        <v>0</v>
      </c>
      <c r="V142" s="239">
        <v>0</v>
      </c>
      <c r="W142" s="239">
        <v>633120</v>
      </c>
      <c r="X142" s="239">
        <v>633121</v>
      </c>
      <c r="Y142" s="239">
        <v>0</v>
      </c>
      <c r="Z142" s="239">
        <v>0</v>
      </c>
      <c r="AA142" s="239">
        <v>1266241</v>
      </c>
      <c r="AB142" s="239">
        <v>-293745</v>
      </c>
      <c r="AC142" s="239">
        <v>-293746</v>
      </c>
      <c r="AD142" s="239">
        <v>0</v>
      </c>
      <c r="AE142" s="239">
        <v>0</v>
      </c>
      <c r="AF142" s="239">
        <v>-587491</v>
      </c>
      <c r="AG142" s="239">
        <v>-254994</v>
      </c>
      <c r="AH142" s="239">
        <v>-254995</v>
      </c>
      <c r="AI142" s="239">
        <v>0</v>
      </c>
      <c r="AJ142" s="239">
        <v>0</v>
      </c>
      <c r="AK142" s="239">
        <v>-509989</v>
      </c>
      <c r="AL142" s="239">
        <v>74398</v>
      </c>
      <c r="AM142" s="239">
        <v>74399</v>
      </c>
      <c r="AN142" s="239">
        <v>0</v>
      </c>
      <c r="AO142" s="239">
        <v>0</v>
      </c>
      <c r="AP142" s="239">
        <v>148797</v>
      </c>
      <c r="AQ142" s="239">
        <v>-53805</v>
      </c>
      <c r="AR142" s="239">
        <v>-53805</v>
      </c>
      <c r="AS142" s="239">
        <v>0</v>
      </c>
      <c r="AT142" s="239">
        <v>0</v>
      </c>
      <c r="AU142" s="239">
        <v>-107610</v>
      </c>
      <c r="AV142" s="239">
        <v>-234401</v>
      </c>
      <c r="AW142" s="239">
        <v>-234401</v>
      </c>
      <c r="AX142" s="239">
        <v>0</v>
      </c>
      <c r="AY142" s="239">
        <v>0</v>
      </c>
      <c r="AZ142" s="239">
        <v>-468802</v>
      </c>
      <c r="BA142" s="239">
        <v>-2045766</v>
      </c>
      <c r="BB142" s="239">
        <v>-2045769</v>
      </c>
      <c r="BC142" s="239">
        <v>0</v>
      </c>
      <c r="BD142" s="239">
        <v>0</v>
      </c>
      <c r="BE142" s="239">
        <v>-4091535</v>
      </c>
      <c r="BF142" s="239">
        <v>1306487</v>
      </c>
      <c r="BG142" s="239">
        <v>1306488</v>
      </c>
      <c r="BH142" s="239">
        <v>0</v>
      </c>
      <c r="BI142" s="239">
        <v>0</v>
      </c>
      <c r="BJ142" s="239">
        <v>2612975</v>
      </c>
      <c r="BK142" s="239">
        <v>-1459754</v>
      </c>
      <c r="BL142" s="239">
        <v>-1459754</v>
      </c>
      <c r="BM142" s="239">
        <v>0</v>
      </c>
      <c r="BN142" s="239">
        <v>0</v>
      </c>
      <c r="BO142" s="239">
        <v>-2919508</v>
      </c>
      <c r="BP142" s="239">
        <v>-2199033</v>
      </c>
      <c r="BQ142" s="239">
        <v>-2199035</v>
      </c>
      <c r="BR142" s="239">
        <v>0</v>
      </c>
      <c r="BS142" s="239">
        <v>0</v>
      </c>
      <c r="BT142" s="239">
        <v>-4398068</v>
      </c>
      <c r="BU142" s="239">
        <v>-816868</v>
      </c>
      <c r="BV142" s="239">
        <v>-816869</v>
      </c>
      <c r="BW142" s="239">
        <v>0</v>
      </c>
      <c r="BX142" s="239">
        <v>0</v>
      </c>
      <c r="BY142" s="239">
        <v>-1633737</v>
      </c>
      <c r="BZ142" s="239">
        <v>-219772</v>
      </c>
      <c r="CA142" s="239">
        <v>-219773</v>
      </c>
      <c r="CB142" s="239">
        <v>0</v>
      </c>
      <c r="CC142" s="239">
        <v>0</v>
      </c>
      <c r="CD142" s="239">
        <v>-439545</v>
      </c>
      <c r="CE142" s="239">
        <v>-597096</v>
      </c>
      <c r="CF142" s="239">
        <v>-597096</v>
      </c>
      <c r="CG142" s="239">
        <v>0</v>
      </c>
      <c r="CH142" s="239">
        <v>0</v>
      </c>
      <c r="CI142" s="239">
        <v>-1194192</v>
      </c>
      <c r="CJ142" s="239">
        <v>17069503</v>
      </c>
      <c r="CK142" s="239">
        <v>17069504</v>
      </c>
      <c r="CL142" s="239">
        <v>0</v>
      </c>
      <c r="CM142" s="239">
        <v>0</v>
      </c>
      <c r="CN142" s="239">
        <v>34139007</v>
      </c>
      <c r="CO142" s="239">
        <v>15374069</v>
      </c>
      <c r="CP142" s="239">
        <v>15374070</v>
      </c>
      <c r="CQ142" s="239">
        <v>0</v>
      </c>
      <c r="CR142" s="239">
        <v>0</v>
      </c>
      <c r="CS142" s="239">
        <v>30748139</v>
      </c>
      <c r="CT142" s="239">
        <v>-1695434</v>
      </c>
      <c r="CU142" s="239">
        <v>-1695434</v>
      </c>
      <c r="CV142" s="239">
        <v>0</v>
      </c>
      <c r="CW142" s="239">
        <v>0</v>
      </c>
      <c r="CX142" s="239">
        <v>-3390868</v>
      </c>
      <c r="CY142" s="239">
        <v>-2292530</v>
      </c>
      <c r="CZ142" s="239">
        <v>-2292530</v>
      </c>
      <c r="DA142" s="239">
        <v>0</v>
      </c>
      <c r="DB142" s="239">
        <v>0</v>
      </c>
      <c r="DC142" s="239">
        <v>-4585060</v>
      </c>
      <c r="DD142" s="214">
        <v>0.5</v>
      </c>
      <c r="DE142" s="214">
        <v>0.5</v>
      </c>
      <c r="DF142" s="214">
        <v>0</v>
      </c>
      <c r="DG142" s="214">
        <v>0</v>
      </c>
      <c r="DH142" s="214">
        <v>1</v>
      </c>
      <c r="DI142" s="214" t="s">
        <v>748</v>
      </c>
    </row>
    <row r="143" spans="2:113" s="214" customFormat="1" x14ac:dyDescent="0.2">
      <c r="B143" s="610" t="s">
        <v>369</v>
      </c>
      <c r="C143" s="610" t="s">
        <v>368</v>
      </c>
      <c r="D143" s="239">
        <v>736261</v>
      </c>
      <c r="E143" s="239">
        <v>736262</v>
      </c>
      <c r="F143" s="239">
        <v>0</v>
      </c>
      <c r="G143" s="239">
        <v>0</v>
      </c>
      <c r="H143" s="239">
        <v>1472523</v>
      </c>
      <c r="I143" s="239">
        <v>0</v>
      </c>
      <c r="J143" s="239">
        <v>0</v>
      </c>
      <c r="K143" s="239">
        <v>736261</v>
      </c>
      <c r="L143" s="239">
        <v>24751</v>
      </c>
      <c r="M143" s="239">
        <v>24751</v>
      </c>
      <c r="N143" s="239">
        <v>0</v>
      </c>
      <c r="O143" s="239">
        <v>0</v>
      </c>
      <c r="P143" s="239">
        <v>0</v>
      </c>
      <c r="Q143" s="239">
        <v>0</v>
      </c>
      <c r="R143" s="239">
        <v>0</v>
      </c>
      <c r="S143" s="239">
        <v>0</v>
      </c>
      <c r="T143" s="239">
        <v>0</v>
      </c>
      <c r="U143" s="239">
        <v>0</v>
      </c>
      <c r="V143" s="239">
        <v>0</v>
      </c>
      <c r="W143" s="239">
        <v>26647</v>
      </c>
      <c r="X143" s="239">
        <v>26648</v>
      </c>
      <c r="Y143" s="239">
        <v>0</v>
      </c>
      <c r="Z143" s="239">
        <v>0</v>
      </c>
      <c r="AA143" s="239">
        <v>53295</v>
      </c>
      <c r="AB143" s="239">
        <v>-3941</v>
      </c>
      <c r="AC143" s="239">
        <v>-3942</v>
      </c>
      <c r="AD143" s="239">
        <v>0</v>
      </c>
      <c r="AE143" s="239">
        <v>0</v>
      </c>
      <c r="AF143" s="239">
        <v>-7883</v>
      </c>
      <c r="AG143" s="239">
        <v>69487</v>
      </c>
      <c r="AH143" s="239">
        <v>69488</v>
      </c>
      <c r="AI143" s="239">
        <v>0</v>
      </c>
      <c r="AJ143" s="239">
        <v>0</v>
      </c>
      <c r="AK143" s="239">
        <v>138975</v>
      </c>
      <c r="AL143" s="239">
        <v>0</v>
      </c>
      <c r="AM143" s="239">
        <v>0</v>
      </c>
      <c r="AN143" s="239">
        <v>0</v>
      </c>
      <c r="AO143" s="239">
        <v>0</v>
      </c>
      <c r="AP143" s="239">
        <v>0</v>
      </c>
      <c r="AQ143" s="239">
        <v>-5206</v>
      </c>
      <c r="AR143" s="239">
        <v>-5207</v>
      </c>
      <c r="AS143" s="239">
        <v>0</v>
      </c>
      <c r="AT143" s="239">
        <v>0</v>
      </c>
      <c r="AU143" s="239">
        <v>-10413</v>
      </c>
      <c r="AV143" s="239">
        <v>64281</v>
      </c>
      <c r="AW143" s="239">
        <v>64281</v>
      </c>
      <c r="AX143" s="239">
        <v>0</v>
      </c>
      <c r="AY143" s="239">
        <v>0</v>
      </c>
      <c r="AZ143" s="239">
        <v>128562</v>
      </c>
      <c r="BA143" s="239">
        <v>-27500</v>
      </c>
      <c r="BB143" s="239">
        <v>-27500</v>
      </c>
      <c r="BC143" s="239">
        <v>0</v>
      </c>
      <c r="BD143" s="239">
        <v>0</v>
      </c>
      <c r="BE143" s="239">
        <v>-55000</v>
      </c>
      <c r="BF143" s="239">
        <v>0</v>
      </c>
      <c r="BG143" s="239">
        <v>0</v>
      </c>
      <c r="BH143" s="239">
        <v>0</v>
      </c>
      <c r="BI143" s="239">
        <v>0</v>
      </c>
      <c r="BJ143" s="239">
        <v>0</v>
      </c>
      <c r="BK143" s="239">
        <v>-27512</v>
      </c>
      <c r="BL143" s="239">
        <v>-27513</v>
      </c>
      <c r="BM143" s="239">
        <v>0</v>
      </c>
      <c r="BN143" s="239">
        <v>0</v>
      </c>
      <c r="BO143" s="239">
        <v>-55025</v>
      </c>
      <c r="BP143" s="239">
        <v>-55012</v>
      </c>
      <c r="BQ143" s="239">
        <v>-55013</v>
      </c>
      <c r="BR143" s="239">
        <v>0</v>
      </c>
      <c r="BS143" s="239">
        <v>0</v>
      </c>
      <c r="BT143" s="239">
        <v>-110025</v>
      </c>
      <c r="BU143" s="239">
        <v>-6500</v>
      </c>
      <c r="BV143" s="239">
        <v>-6500</v>
      </c>
      <c r="BW143" s="239">
        <v>0</v>
      </c>
      <c r="BX143" s="239">
        <v>0</v>
      </c>
      <c r="BY143" s="239">
        <v>-13000</v>
      </c>
      <c r="BZ143" s="239">
        <v>10217</v>
      </c>
      <c r="CA143" s="239">
        <v>10218</v>
      </c>
      <c r="CB143" s="239">
        <v>0</v>
      </c>
      <c r="CC143" s="239">
        <v>0</v>
      </c>
      <c r="CD143" s="239">
        <v>20435</v>
      </c>
      <c r="CE143" s="239">
        <v>-16717</v>
      </c>
      <c r="CF143" s="239">
        <v>-16718</v>
      </c>
      <c r="CG143" s="239">
        <v>0</v>
      </c>
      <c r="CH143" s="239">
        <v>0</v>
      </c>
      <c r="CI143" s="239">
        <v>-33435</v>
      </c>
      <c r="CJ143" s="239">
        <v>797420</v>
      </c>
      <c r="CK143" s="239">
        <v>797421</v>
      </c>
      <c r="CL143" s="239">
        <v>0</v>
      </c>
      <c r="CM143" s="239">
        <v>0</v>
      </c>
      <c r="CN143" s="239">
        <v>1594841</v>
      </c>
      <c r="CO143" s="239">
        <v>736261</v>
      </c>
      <c r="CP143" s="239">
        <v>736262</v>
      </c>
      <c r="CQ143" s="239">
        <v>0</v>
      </c>
      <c r="CR143" s="239">
        <v>0</v>
      </c>
      <c r="CS143" s="239">
        <v>1472523</v>
      </c>
      <c r="CT143" s="239">
        <v>-61159</v>
      </c>
      <c r="CU143" s="239">
        <v>-61159</v>
      </c>
      <c r="CV143" s="239">
        <v>0</v>
      </c>
      <c r="CW143" s="239">
        <v>0</v>
      </c>
      <c r="CX143" s="239">
        <v>-122318</v>
      </c>
      <c r="CY143" s="239">
        <v>-77876</v>
      </c>
      <c r="CZ143" s="239">
        <v>-77877</v>
      </c>
      <c r="DA143" s="239">
        <v>0</v>
      </c>
      <c r="DB143" s="239">
        <v>0</v>
      </c>
      <c r="DC143" s="239">
        <v>-155753</v>
      </c>
      <c r="DD143" s="214">
        <v>0.5</v>
      </c>
      <c r="DE143" s="214">
        <v>0.5</v>
      </c>
      <c r="DF143" s="214">
        <v>0</v>
      </c>
      <c r="DG143" s="214">
        <v>0</v>
      </c>
      <c r="DH143" s="214">
        <v>1</v>
      </c>
      <c r="DI143" s="214" t="s">
        <v>748</v>
      </c>
    </row>
    <row r="144" spans="2:113" s="214" customFormat="1" x14ac:dyDescent="0.2">
      <c r="B144" s="610" t="s">
        <v>371</v>
      </c>
      <c r="C144" s="610" t="s">
        <v>370</v>
      </c>
      <c r="D144" s="239">
        <v>94584746</v>
      </c>
      <c r="E144" s="239">
        <v>56750848</v>
      </c>
      <c r="F144" s="239">
        <v>37833898</v>
      </c>
      <c r="G144" s="239">
        <v>0</v>
      </c>
      <c r="H144" s="239">
        <v>189169492</v>
      </c>
      <c r="I144" s="239">
        <v>0</v>
      </c>
      <c r="J144" s="239">
        <v>0</v>
      </c>
      <c r="K144" s="239">
        <v>94584746</v>
      </c>
      <c r="L144" s="239">
        <v>645239</v>
      </c>
      <c r="M144" s="239">
        <v>645239</v>
      </c>
      <c r="N144" s="239">
        <v>0</v>
      </c>
      <c r="O144" s="239">
        <v>0</v>
      </c>
      <c r="P144" s="239">
        <v>60240</v>
      </c>
      <c r="Q144" s="239">
        <v>0</v>
      </c>
      <c r="R144" s="239">
        <v>60240</v>
      </c>
      <c r="S144" s="239">
        <v>0</v>
      </c>
      <c r="T144" s="239">
        <v>0</v>
      </c>
      <c r="U144" s="239">
        <v>0</v>
      </c>
      <c r="V144" s="239">
        <v>0</v>
      </c>
      <c r="W144" s="239">
        <v>9939894</v>
      </c>
      <c r="X144" s="239">
        <v>5963936</v>
      </c>
      <c r="Y144" s="239">
        <v>3975957</v>
      </c>
      <c r="Z144" s="239">
        <v>0</v>
      </c>
      <c r="AA144" s="239">
        <v>19879787</v>
      </c>
      <c r="AB144" s="239">
        <v>-7814711</v>
      </c>
      <c r="AC144" s="239">
        <v>-4688827</v>
      </c>
      <c r="AD144" s="239">
        <v>-3125885</v>
      </c>
      <c r="AE144" s="239">
        <v>0</v>
      </c>
      <c r="AF144" s="239">
        <v>-15629423</v>
      </c>
      <c r="AG144" s="239">
        <v>-8126047.5999999996</v>
      </c>
      <c r="AH144" s="239">
        <v>-4875627</v>
      </c>
      <c r="AI144" s="239">
        <v>-3250418</v>
      </c>
      <c r="AJ144" s="239">
        <v>0</v>
      </c>
      <c r="AK144" s="239">
        <v>-16252092</v>
      </c>
      <c r="AL144" s="239">
        <v>990581</v>
      </c>
      <c r="AM144" s="239">
        <v>594349</v>
      </c>
      <c r="AN144" s="239">
        <v>396232</v>
      </c>
      <c r="AO144" s="239">
        <v>0</v>
      </c>
      <c r="AP144" s="239">
        <v>1981162</v>
      </c>
      <c r="AQ144" s="239">
        <v>-513294</v>
      </c>
      <c r="AR144" s="239">
        <v>-307976</v>
      </c>
      <c r="AS144" s="239">
        <v>-205317</v>
      </c>
      <c r="AT144" s="239">
        <v>0</v>
      </c>
      <c r="AU144" s="239">
        <v>-1026587</v>
      </c>
      <c r="AV144" s="239">
        <v>-7648760.5999999996</v>
      </c>
      <c r="AW144" s="239">
        <v>-4589254</v>
      </c>
      <c r="AX144" s="239">
        <v>-3059503</v>
      </c>
      <c r="AY144" s="239">
        <v>0</v>
      </c>
      <c r="AZ144" s="239">
        <v>-15297517</v>
      </c>
      <c r="BA144" s="239">
        <v>-5483561</v>
      </c>
      <c r="BB144" s="239">
        <v>-3290137</v>
      </c>
      <c r="BC144" s="239">
        <v>-2193424</v>
      </c>
      <c r="BD144" s="239">
        <v>0</v>
      </c>
      <c r="BE144" s="239">
        <v>-10967122</v>
      </c>
      <c r="BF144" s="239">
        <v>2784806</v>
      </c>
      <c r="BG144" s="239">
        <v>1670884</v>
      </c>
      <c r="BH144" s="239">
        <v>1113923</v>
      </c>
      <c r="BI144" s="239">
        <v>0</v>
      </c>
      <c r="BJ144" s="239">
        <v>5569613</v>
      </c>
      <c r="BK144" s="239">
        <v>-4928754</v>
      </c>
      <c r="BL144" s="239">
        <v>-2957252</v>
      </c>
      <c r="BM144" s="239">
        <v>-1971501</v>
      </c>
      <c r="BN144" s="239">
        <v>0</v>
      </c>
      <c r="BO144" s="239">
        <v>-9857507</v>
      </c>
      <c r="BP144" s="239">
        <v>-7627509</v>
      </c>
      <c r="BQ144" s="239">
        <v>-4576505</v>
      </c>
      <c r="BR144" s="239">
        <v>-3051002</v>
      </c>
      <c r="BS144" s="239">
        <v>0</v>
      </c>
      <c r="BT144" s="239">
        <v>-15255016</v>
      </c>
      <c r="BU144" s="239">
        <v>892046</v>
      </c>
      <c r="BV144" s="239">
        <v>535228</v>
      </c>
      <c r="BW144" s="239">
        <v>356819</v>
      </c>
      <c r="BX144" s="239">
        <v>0</v>
      </c>
      <c r="BY144" s="239">
        <v>1784093</v>
      </c>
      <c r="BZ144" s="239">
        <v>0</v>
      </c>
      <c r="CA144" s="239">
        <v>0</v>
      </c>
      <c r="CB144" s="239">
        <v>0</v>
      </c>
      <c r="CC144" s="239">
        <v>0</v>
      </c>
      <c r="CD144" s="239">
        <v>0</v>
      </c>
      <c r="CE144" s="239">
        <v>892046</v>
      </c>
      <c r="CF144" s="239">
        <v>535228</v>
      </c>
      <c r="CG144" s="239">
        <v>356819</v>
      </c>
      <c r="CH144" s="239">
        <v>0</v>
      </c>
      <c r="CI144" s="239">
        <v>1784093</v>
      </c>
      <c r="CJ144" s="239">
        <v>95480541</v>
      </c>
      <c r="CK144" s="239">
        <v>57288324</v>
      </c>
      <c r="CL144" s="239">
        <v>38192216</v>
      </c>
      <c r="CM144" s="239">
        <v>0</v>
      </c>
      <c r="CN144" s="239">
        <v>190961081</v>
      </c>
      <c r="CO144" s="239">
        <v>94584746</v>
      </c>
      <c r="CP144" s="239">
        <v>56750848</v>
      </c>
      <c r="CQ144" s="239">
        <v>37833898</v>
      </c>
      <c r="CR144" s="239">
        <v>0</v>
      </c>
      <c r="CS144" s="239">
        <v>189169492</v>
      </c>
      <c r="CT144" s="239">
        <v>-895795</v>
      </c>
      <c r="CU144" s="239">
        <v>-537476</v>
      </c>
      <c r="CV144" s="239">
        <v>-358318</v>
      </c>
      <c r="CW144" s="239">
        <v>0</v>
      </c>
      <c r="CX144" s="239">
        <v>-1791589</v>
      </c>
      <c r="CY144" s="239">
        <v>-3749</v>
      </c>
      <c r="CZ144" s="239">
        <v>-2248</v>
      </c>
      <c r="DA144" s="239">
        <v>-1499</v>
      </c>
      <c r="DB144" s="239">
        <v>0</v>
      </c>
      <c r="DC144" s="239">
        <v>-7496</v>
      </c>
      <c r="DD144" s="214">
        <v>0.5</v>
      </c>
      <c r="DE144" s="214">
        <v>0.3</v>
      </c>
      <c r="DF144" s="214">
        <v>0.2</v>
      </c>
      <c r="DG144" s="214">
        <v>0</v>
      </c>
      <c r="DH144" s="214">
        <v>1</v>
      </c>
      <c r="DI144" s="214" t="s">
        <v>1297</v>
      </c>
    </row>
    <row r="145" spans="2:113" s="214" customFormat="1" x14ac:dyDescent="0.2">
      <c r="B145" s="610" t="s">
        <v>373</v>
      </c>
      <c r="C145" s="610" t="s">
        <v>372</v>
      </c>
      <c r="D145" s="239">
        <v>134018061</v>
      </c>
      <c r="E145" s="239">
        <v>80410836</v>
      </c>
      <c r="F145" s="239">
        <v>53607224</v>
      </c>
      <c r="G145" s="239">
        <v>0</v>
      </c>
      <c r="H145" s="239">
        <v>268036121</v>
      </c>
      <c r="I145" s="239">
        <v>0</v>
      </c>
      <c r="J145" s="239">
        <v>0</v>
      </c>
      <c r="K145" s="239">
        <v>134018061</v>
      </c>
      <c r="L145" s="239">
        <v>609336</v>
      </c>
      <c r="M145" s="239">
        <v>609336</v>
      </c>
      <c r="N145" s="239">
        <v>0</v>
      </c>
      <c r="O145" s="239">
        <v>0</v>
      </c>
      <c r="P145" s="239">
        <v>0</v>
      </c>
      <c r="Q145" s="239">
        <v>0</v>
      </c>
      <c r="R145" s="239">
        <v>0</v>
      </c>
      <c r="S145" s="239">
        <v>0</v>
      </c>
      <c r="T145" s="239">
        <v>0</v>
      </c>
      <c r="U145" s="239">
        <v>0</v>
      </c>
      <c r="V145" s="239">
        <v>0</v>
      </c>
      <c r="W145" s="239">
        <v>3719341</v>
      </c>
      <c r="X145" s="239">
        <v>2231605</v>
      </c>
      <c r="Y145" s="239">
        <v>1487736</v>
      </c>
      <c r="Z145" s="239">
        <v>0</v>
      </c>
      <c r="AA145" s="239">
        <v>7438682</v>
      </c>
      <c r="AB145" s="239">
        <v>-5027191</v>
      </c>
      <c r="AC145" s="239">
        <v>-3016314</v>
      </c>
      <c r="AD145" s="239">
        <v>-2010876</v>
      </c>
      <c r="AE145" s="239">
        <v>0</v>
      </c>
      <c r="AF145" s="239">
        <v>-10054381</v>
      </c>
      <c r="AG145" s="239">
        <v>-1602513</v>
      </c>
      <c r="AH145" s="239">
        <v>-961508</v>
      </c>
      <c r="AI145" s="239">
        <v>-641005</v>
      </c>
      <c r="AJ145" s="239">
        <v>0</v>
      </c>
      <c r="AK145" s="239">
        <v>-3205026</v>
      </c>
      <c r="AL145" s="239">
        <v>1053061</v>
      </c>
      <c r="AM145" s="239">
        <v>631837</v>
      </c>
      <c r="AN145" s="239">
        <v>421224</v>
      </c>
      <c r="AO145" s="239">
        <v>0</v>
      </c>
      <c r="AP145" s="239">
        <v>2106122</v>
      </c>
      <c r="AQ145" s="239">
        <v>-904599</v>
      </c>
      <c r="AR145" s="239">
        <v>-542760</v>
      </c>
      <c r="AS145" s="239">
        <v>-361840</v>
      </c>
      <c r="AT145" s="239">
        <v>0</v>
      </c>
      <c r="AU145" s="239">
        <v>-1809199</v>
      </c>
      <c r="AV145" s="239">
        <v>-1454051</v>
      </c>
      <c r="AW145" s="239">
        <v>-872431</v>
      </c>
      <c r="AX145" s="239">
        <v>-581621</v>
      </c>
      <c r="AY145" s="239">
        <v>0</v>
      </c>
      <c r="AZ145" s="239">
        <v>-2908103</v>
      </c>
      <c r="BA145" s="239">
        <v>-9133644.1999999993</v>
      </c>
      <c r="BB145" s="239">
        <v>-5480187</v>
      </c>
      <c r="BC145" s="239">
        <v>-3653457</v>
      </c>
      <c r="BD145" s="239">
        <v>0</v>
      </c>
      <c r="BE145" s="239">
        <v>-18267288</v>
      </c>
      <c r="BF145" s="239">
        <v>6651184</v>
      </c>
      <c r="BG145" s="239">
        <v>3990710</v>
      </c>
      <c r="BH145" s="239">
        <v>2660473</v>
      </c>
      <c r="BI145" s="239">
        <v>0</v>
      </c>
      <c r="BJ145" s="239">
        <v>13302367</v>
      </c>
      <c r="BK145" s="239">
        <v>-8776184</v>
      </c>
      <c r="BL145" s="239">
        <v>-5265710</v>
      </c>
      <c r="BM145" s="239">
        <v>-3510473</v>
      </c>
      <c r="BN145" s="239">
        <v>0</v>
      </c>
      <c r="BO145" s="239">
        <v>-17552367</v>
      </c>
      <c r="BP145" s="239">
        <v>-11258644.199999999</v>
      </c>
      <c r="BQ145" s="239">
        <v>-6755187</v>
      </c>
      <c r="BR145" s="239">
        <v>-4503457</v>
      </c>
      <c r="BS145" s="239">
        <v>0</v>
      </c>
      <c r="BT145" s="239">
        <v>-22517288</v>
      </c>
      <c r="BU145" s="239">
        <v>0</v>
      </c>
      <c r="BV145" s="239">
        <v>0</v>
      </c>
      <c r="BW145" s="239">
        <v>0</v>
      </c>
      <c r="BX145" s="239">
        <v>0</v>
      </c>
      <c r="BY145" s="239">
        <v>0</v>
      </c>
      <c r="BZ145" s="239">
        <v>0</v>
      </c>
      <c r="CA145" s="239">
        <v>0</v>
      </c>
      <c r="CB145" s="239">
        <v>0</v>
      </c>
      <c r="CC145" s="239">
        <v>0</v>
      </c>
      <c r="CD145" s="239">
        <v>0</v>
      </c>
      <c r="CE145" s="239">
        <v>0</v>
      </c>
      <c r="CF145" s="239">
        <v>0</v>
      </c>
      <c r="CG145" s="239">
        <v>0</v>
      </c>
      <c r="CH145" s="239">
        <v>0</v>
      </c>
      <c r="CI145" s="239">
        <v>0</v>
      </c>
      <c r="CJ145" s="239">
        <v>137706907</v>
      </c>
      <c r="CK145" s="239">
        <v>82624144</v>
      </c>
      <c r="CL145" s="239">
        <v>55082763</v>
      </c>
      <c r="CM145" s="239">
        <v>0</v>
      </c>
      <c r="CN145" s="239">
        <v>275413814</v>
      </c>
      <c r="CO145" s="239">
        <v>134018061</v>
      </c>
      <c r="CP145" s="239">
        <v>80410836</v>
      </c>
      <c r="CQ145" s="239">
        <v>53607224</v>
      </c>
      <c r="CR145" s="239">
        <v>0</v>
      </c>
      <c r="CS145" s="239">
        <v>268036121</v>
      </c>
      <c r="CT145" s="239">
        <v>-3688846</v>
      </c>
      <c r="CU145" s="239">
        <v>-2213308</v>
      </c>
      <c r="CV145" s="239">
        <v>-1475539</v>
      </c>
      <c r="CW145" s="239">
        <v>0</v>
      </c>
      <c r="CX145" s="239">
        <v>-7377693</v>
      </c>
      <c r="CY145" s="239">
        <v>-3688846</v>
      </c>
      <c r="CZ145" s="239">
        <v>-2213308</v>
      </c>
      <c r="DA145" s="239">
        <v>-1475539</v>
      </c>
      <c r="DB145" s="239">
        <v>0</v>
      </c>
      <c r="DC145" s="239">
        <v>-7377693</v>
      </c>
      <c r="DD145" s="214">
        <v>0.5</v>
      </c>
      <c r="DE145" s="214">
        <v>0.3</v>
      </c>
      <c r="DF145" s="214">
        <v>0.2</v>
      </c>
      <c r="DG145" s="214">
        <v>0</v>
      </c>
      <c r="DH145" s="214">
        <v>1</v>
      </c>
      <c r="DI145" s="214" t="s">
        <v>1297</v>
      </c>
    </row>
    <row r="146" spans="2:113" s="214" customFormat="1" x14ac:dyDescent="0.2">
      <c r="B146" s="610" t="s">
        <v>375</v>
      </c>
      <c r="C146" s="610" t="s">
        <v>374</v>
      </c>
      <c r="D146" s="239">
        <v>15165452</v>
      </c>
      <c r="E146" s="239">
        <v>12132361</v>
      </c>
      <c r="F146" s="239">
        <v>3033090</v>
      </c>
      <c r="G146" s="239">
        <v>0</v>
      </c>
      <c r="H146" s="239">
        <v>30330903</v>
      </c>
      <c r="I146" s="239">
        <v>0</v>
      </c>
      <c r="J146" s="239">
        <v>0</v>
      </c>
      <c r="K146" s="239">
        <v>15165452</v>
      </c>
      <c r="L146" s="239">
        <v>112730</v>
      </c>
      <c r="M146" s="239">
        <v>112730</v>
      </c>
      <c r="N146" s="239">
        <v>0</v>
      </c>
      <c r="O146" s="239">
        <v>0</v>
      </c>
      <c r="P146" s="239">
        <v>230981</v>
      </c>
      <c r="Q146" s="239">
        <v>0</v>
      </c>
      <c r="R146" s="239">
        <v>230981</v>
      </c>
      <c r="S146" s="239">
        <v>0</v>
      </c>
      <c r="T146" s="239">
        <v>0</v>
      </c>
      <c r="U146" s="239">
        <v>0</v>
      </c>
      <c r="V146" s="239">
        <v>0</v>
      </c>
      <c r="W146" s="239">
        <v>175939</v>
      </c>
      <c r="X146" s="239">
        <v>140751</v>
      </c>
      <c r="Y146" s="239">
        <v>35188</v>
      </c>
      <c r="Z146" s="239">
        <v>0</v>
      </c>
      <c r="AA146" s="239">
        <v>351878</v>
      </c>
      <c r="AB146" s="239">
        <v>-102507</v>
      </c>
      <c r="AC146" s="239">
        <v>-82005</v>
      </c>
      <c r="AD146" s="239">
        <v>-20501</v>
      </c>
      <c r="AE146" s="239">
        <v>0</v>
      </c>
      <c r="AF146" s="239">
        <v>-205013</v>
      </c>
      <c r="AG146" s="239">
        <v>-51732</v>
      </c>
      <c r="AH146" s="239">
        <v>-41384</v>
      </c>
      <c r="AI146" s="239">
        <v>-10345</v>
      </c>
      <c r="AJ146" s="239">
        <v>0</v>
      </c>
      <c r="AK146" s="239">
        <v>-103461</v>
      </c>
      <c r="AL146" s="239">
        <v>27626</v>
      </c>
      <c r="AM146" s="239">
        <v>22101</v>
      </c>
      <c r="AN146" s="239">
        <v>5525</v>
      </c>
      <c r="AO146" s="239">
        <v>0</v>
      </c>
      <c r="AP146" s="239">
        <v>55252</v>
      </c>
      <c r="AQ146" s="239">
        <v>-43024</v>
      </c>
      <c r="AR146" s="239">
        <v>-34419</v>
      </c>
      <c r="AS146" s="239">
        <v>-8605</v>
      </c>
      <c r="AT146" s="239">
        <v>0</v>
      </c>
      <c r="AU146" s="239">
        <v>-86048</v>
      </c>
      <c r="AV146" s="239">
        <v>-67130</v>
      </c>
      <c r="AW146" s="239">
        <v>-53702</v>
      </c>
      <c r="AX146" s="239">
        <v>-13425</v>
      </c>
      <c r="AY146" s="239">
        <v>0</v>
      </c>
      <c r="AZ146" s="239">
        <v>-134257</v>
      </c>
      <c r="BA146" s="239">
        <v>-936168</v>
      </c>
      <c r="BB146" s="239">
        <v>-748934</v>
      </c>
      <c r="BC146" s="239">
        <v>-187233</v>
      </c>
      <c r="BD146" s="239">
        <v>0</v>
      </c>
      <c r="BE146" s="239">
        <v>-1872335</v>
      </c>
      <c r="BF146" s="239">
        <v>356461</v>
      </c>
      <c r="BG146" s="239">
        <v>285168</v>
      </c>
      <c r="BH146" s="239">
        <v>71292</v>
      </c>
      <c r="BI146" s="239">
        <v>0</v>
      </c>
      <c r="BJ146" s="239">
        <v>712921</v>
      </c>
      <c r="BK146" s="239">
        <v>-945856</v>
      </c>
      <c r="BL146" s="239">
        <v>-756684</v>
      </c>
      <c r="BM146" s="239">
        <v>-189171</v>
      </c>
      <c r="BN146" s="239">
        <v>0</v>
      </c>
      <c r="BO146" s="239">
        <v>-1891711</v>
      </c>
      <c r="BP146" s="239">
        <v>-1525563</v>
      </c>
      <c r="BQ146" s="239">
        <v>-1220450</v>
      </c>
      <c r="BR146" s="239">
        <v>-305112</v>
      </c>
      <c r="BS146" s="239">
        <v>0</v>
      </c>
      <c r="BT146" s="239">
        <v>-3051125</v>
      </c>
      <c r="BU146" s="239">
        <v>-108714</v>
      </c>
      <c r="BV146" s="239">
        <v>-86971</v>
      </c>
      <c r="BW146" s="239">
        <v>-21743</v>
      </c>
      <c r="BX146" s="239">
        <v>0</v>
      </c>
      <c r="BY146" s="239">
        <v>-217428</v>
      </c>
      <c r="BZ146" s="239">
        <v>275781</v>
      </c>
      <c r="CA146" s="239">
        <v>220625</v>
      </c>
      <c r="CB146" s="239">
        <v>55156</v>
      </c>
      <c r="CC146" s="239">
        <v>0</v>
      </c>
      <c r="CD146" s="239">
        <v>551562</v>
      </c>
      <c r="CE146" s="239">
        <v>-384495</v>
      </c>
      <c r="CF146" s="239">
        <v>-307596</v>
      </c>
      <c r="CG146" s="239">
        <v>-76899</v>
      </c>
      <c r="CH146" s="239">
        <v>0</v>
      </c>
      <c r="CI146" s="239">
        <v>-768990</v>
      </c>
      <c r="CJ146" s="239">
        <v>15752639</v>
      </c>
      <c r="CK146" s="239">
        <v>12602112</v>
      </c>
      <c r="CL146" s="239">
        <v>3150528</v>
      </c>
      <c r="CM146" s="239">
        <v>0</v>
      </c>
      <c r="CN146" s="239">
        <v>31505279</v>
      </c>
      <c r="CO146" s="239">
        <v>15165452</v>
      </c>
      <c r="CP146" s="239">
        <v>12132361</v>
      </c>
      <c r="CQ146" s="239">
        <v>3033090</v>
      </c>
      <c r="CR146" s="239">
        <v>0</v>
      </c>
      <c r="CS146" s="239">
        <v>30330903</v>
      </c>
      <c r="CT146" s="239">
        <v>-587187</v>
      </c>
      <c r="CU146" s="239">
        <v>-469751</v>
      </c>
      <c r="CV146" s="239">
        <v>-117438</v>
      </c>
      <c r="CW146" s="239">
        <v>0</v>
      </c>
      <c r="CX146" s="239">
        <v>-1174376</v>
      </c>
      <c r="CY146" s="239">
        <v>-971682</v>
      </c>
      <c r="CZ146" s="239">
        <v>-777347</v>
      </c>
      <c r="DA146" s="239">
        <v>-194337</v>
      </c>
      <c r="DB146" s="239">
        <v>0</v>
      </c>
      <c r="DC146" s="239">
        <v>-1943366</v>
      </c>
      <c r="DD146" s="214">
        <v>0.5</v>
      </c>
      <c r="DE146" s="214">
        <v>0.4</v>
      </c>
      <c r="DF146" s="214">
        <v>0.1</v>
      </c>
      <c r="DG146" s="214">
        <v>0</v>
      </c>
      <c r="DH146" s="214">
        <v>1</v>
      </c>
      <c r="DI146" s="214" t="s">
        <v>1294</v>
      </c>
    </row>
    <row r="147" spans="2:113" s="214" customFormat="1" x14ac:dyDescent="0.2">
      <c r="B147" s="610" t="s">
        <v>377</v>
      </c>
      <c r="C147" s="610" t="s">
        <v>376</v>
      </c>
      <c r="D147" s="239">
        <v>23190662</v>
      </c>
      <c r="E147" s="239">
        <v>18552530</v>
      </c>
      <c r="F147" s="239">
        <v>4638133</v>
      </c>
      <c r="G147" s="239">
        <v>0</v>
      </c>
      <c r="H147" s="239">
        <v>46381325</v>
      </c>
      <c r="I147" s="239">
        <v>0</v>
      </c>
      <c r="J147" s="239">
        <v>0</v>
      </c>
      <c r="K147" s="239">
        <v>23190662</v>
      </c>
      <c r="L147" s="239">
        <v>220417</v>
      </c>
      <c r="M147" s="239">
        <v>220417</v>
      </c>
      <c r="N147" s="239">
        <v>0</v>
      </c>
      <c r="O147" s="239">
        <v>0</v>
      </c>
      <c r="P147" s="239">
        <v>750275</v>
      </c>
      <c r="Q147" s="239">
        <v>0</v>
      </c>
      <c r="R147" s="239">
        <v>750275</v>
      </c>
      <c r="S147" s="239">
        <v>0</v>
      </c>
      <c r="T147" s="239">
        <v>0</v>
      </c>
      <c r="U147" s="239">
        <v>0</v>
      </c>
      <c r="V147" s="239">
        <v>0</v>
      </c>
      <c r="W147" s="239">
        <v>431964</v>
      </c>
      <c r="X147" s="239">
        <v>345572</v>
      </c>
      <c r="Y147" s="239">
        <v>86393</v>
      </c>
      <c r="Z147" s="239">
        <v>0</v>
      </c>
      <c r="AA147" s="239">
        <v>863929</v>
      </c>
      <c r="AB147" s="239">
        <v>-167784</v>
      </c>
      <c r="AC147" s="239">
        <v>-134228</v>
      </c>
      <c r="AD147" s="239">
        <v>-33557</v>
      </c>
      <c r="AE147" s="239">
        <v>0</v>
      </c>
      <c r="AF147" s="239">
        <v>-335569</v>
      </c>
      <c r="AG147" s="239">
        <v>-280039</v>
      </c>
      <c r="AH147" s="239">
        <v>-224031</v>
      </c>
      <c r="AI147" s="239">
        <v>-56009</v>
      </c>
      <c r="AJ147" s="239">
        <v>0</v>
      </c>
      <c r="AK147" s="239">
        <v>-560079</v>
      </c>
      <c r="AL147" s="239">
        <v>203808</v>
      </c>
      <c r="AM147" s="239">
        <v>163047</v>
      </c>
      <c r="AN147" s="239">
        <v>40762</v>
      </c>
      <c r="AO147" s="239">
        <v>0</v>
      </c>
      <c r="AP147" s="239">
        <v>407617</v>
      </c>
      <c r="AQ147" s="239">
        <v>-136394</v>
      </c>
      <c r="AR147" s="239">
        <v>-109115</v>
      </c>
      <c r="AS147" s="239">
        <v>-27279</v>
      </c>
      <c r="AT147" s="239">
        <v>0</v>
      </c>
      <c r="AU147" s="239">
        <v>-272788</v>
      </c>
      <c r="AV147" s="239">
        <v>-212625</v>
      </c>
      <c r="AW147" s="239">
        <v>-170099</v>
      </c>
      <c r="AX147" s="239">
        <v>-42526</v>
      </c>
      <c r="AY147" s="239">
        <v>0</v>
      </c>
      <c r="AZ147" s="239">
        <v>-425250</v>
      </c>
      <c r="BA147" s="239">
        <v>-4690269.5999999996</v>
      </c>
      <c r="BB147" s="239">
        <v>-3752215</v>
      </c>
      <c r="BC147" s="239">
        <v>-938054</v>
      </c>
      <c r="BD147" s="239">
        <v>0</v>
      </c>
      <c r="BE147" s="239">
        <v>-9380538.5999999996</v>
      </c>
      <c r="BF147" s="239">
        <v>0</v>
      </c>
      <c r="BG147" s="239">
        <v>0</v>
      </c>
      <c r="BH147" s="239">
        <v>0</v>
      </c>
      <c r="BI147" s="239">
        <v>0</v>
      </c>
      <c r="BJ147" s="239">
        <v>0</v>
      </c>
      <c r="BK147" s="239">
        <v>1148523</v>
      </c>
      <c r="BL147" s="239">
        <v>918818</v>
      </c>
      <c r="BM147" s="239">
        <v>229705</v>
      </c>
      <c r="BN147" s="239">
        <v>0</v>
      </c>
      <c r="BO147" s="239">
        <v>2297046</v>
      </c>
      <c r="BP147" s="239">
        <v>-3541746.5999999996</v>
      </c>
      <c r="BQ147" s="239">
        <v>-2833397</v>
      </c>
      <c r="BR147" s="239">
        <v>-708349</v>
      </c>
      <c r="BS147" s="239">
        <v>0</v>
      </c>
      <c r="BT147" s="239">
        <v>-7083492.5999999996</v>
      </c>
      <c r="BU147" s="239">
        <v>-1946581</v>
      </c>
      <c r="BV147" s="239">
        <v>-1557264</v>
      </c>
      <c r="BW147" s="239">
        <v>-389316</v>
      </c>
      <c r="BX147" s="239">
        <v>0</v>
      </c>
      <c r="BY147" s="239">
        <v>-3893161</v>
      </c>
      <c r="BZ147" s="239">
        <v>1234305</v>
      </c>
      <c r="CA147" s="239">
        <v>987444</v>
      </c>
      <c r="CB147" s="239">
        <v>246861</v>
      </c>
      <c r="CC147" s="239">
        <v>0</v>
      </c>
      <c r="CD147" s="239">
        <v>2468610</v>
      </c>
      <c r="CE147" s="239">
        <v>-3180886</v>
      </c>
      <c r="CF147" s="239">
        <v>-2544708</v>
      </c>
      <c r="CG147" s="239">
        <v>-636177</v>
      </c>
      <c r="CH147" s="239">
        <v>0</v>
      </c>
      <c r="CI147" s="239">
        <v>-6361771</v>
      </c>
      <c r="CJ147" s="239">
        <v>21329871</v>
      </c>
      <c r="CK147" s="239">
        <v>17063897</v>
      </c>
      <c r="CL147" s="239">
        <v>4265974</v>
      </c>
      <c r="CM147" s="239">
        <v>0</v>
      </c>
      <c r="CN147" s="239">
        <v>42659742</v>
      </c>
      <c r="CO147" s="239">
        <v>23190662</v>
      </c>
      <c r="CP147" s="239">
        <v>18552530</v>
      </c>
      <c r="CQ147" s="239">
        <v>4638133</v>
      </c>
      <c r="CR147" s="239">
        <v>0</v>
      </c>
      <c r="CS147" s="239">
        <v>46381325</v>
      </c>
      <c r="CT147" s="239">
        <v>1860791</v>
      </c>
      <c r="CU147" s="239">
        <v>1488633</v>
      </c>
      <c r="CV147" s="239">
        <v>372159</v>
      </c>
      <c r="CW147" s="239">
        <v>0</v>
      </c>
      <c r="CX147" s="239">
        <v>3721583</v>
      </c>
      <c r="CY147" s="239">
        <v>-1320095</v>
      </c>
      <c r="CZ147" s="239">
        <v>-1056075</v>
      </c>
      <c r="DA147" s="239">
        <v>-264018</v>
      </c>
      <c r="DB147" s="239">
        <v>0</v>
      </c>
      <c r="DC147" s="239">
        <v>-2640188</v>
      </c>
      <c r="DD147" s="214">
        <v>0.5</v>
      </c>
      <c r="DE147" s="214">
        <v>0.4</v>
      </c>
      <c r="DF147" s="214">
        <v>0.1</v>
      </c>
      <c r="DG147" s="214">
        <v>0</v>
      </c>
      <c r="DH147" s="214">
        <v>1</v>
      </c>
      <c r="DI147" s="214" t="s">
        <v>1294</v>
      </c>
    </row>
    <row r="148" spans="2:113" s="214" customFormat="1" x14ac:dyDescent="0.2">
      <c r="B148" s="610" t="s">
        <v>379</v>
      </c>
      <c r="C148" s="610" t="s">
        <v>378</v>
      </c>
      <c r="D148" s="239">
        <v>44839042</v>
      </c>
      <c r="E148" s="239">
        <v>43942262</v>
      </c>
      <c r="F148" s="239">
        <v>0</v>
      </c>
      <c r="G148" s="239">
        <v>896781</v>
      </c>
      <c r="H148" s="239">
        <v>89678085</v>
      </c>
      <c r="I148" s="239">
        <v>0</v>
      </c>
      <c r="J148" s="239">
        <v>0</v>
      </c>
      <c r="K148" s="239">
        <v>44839042</v>
      </c>
      <c r="L148" s="239">
        <v>371140</v>
      </c>
      <c r="M148" s="239">
        <v>371140</v>
      </c>
      <c r="N148" s="239">
        <v>12615</v>
      </c>
      <c r="O148" s="239">
        <v>12615</v>
      </c>
      <c r="P148" s="239">
        <v>0</v>
      </c>
      <c r="Q148" s="239">
        <v>0</v>
      </c>
      <c r="R148" s="239">
        <v>0</v>
      </c>
      <c r="S148" s="239">
        <v>0</v>
      </c>
      <c r="T148" s="239">
        <v>0</v>
      </c>
      <c r="U148" s="239">
        <v>0</v>
      </c>
      <c r="V148" s="239">
        <v>0</v>
      </c>
      <c r="W148" s="239">
        <v>2713764</v>
      </c>
      <c r="X148" s="239">
        <v>2659489</v>
      </c>
      <c r="Y148" s="239">
        <v>0</v>
      </c>
      <c r="Z148" s="239">
        <v>54275</v>
      </c>
      <c r="AA148" s="239">
        <v>5427528</v>
      </c>
      <c r="AB148" s="239">
        <v>-507496</v>
      </c>
      <c r="AC148" s="239">
        <v>-497347</v>
      </c>
      <c r="AD148" s="239">
        <v>0</v>
      </c>
      <c r="AE148" s="239">
        <v>-10150</v>
      </c>
      <c r="AF148" s="239">
        <v>-1014993</v>
      </c>
      <c r="AG148" s="239">
        <v>-663862</v>
      </c>
      <c r="AH148" s="239">
        <v>-650585</v>
      </c>
      <c r="AI148" s="239">
        <v>0</v>
      </c>
      <c r="AJ148" s="239">
        <v>-13277</v>
      </c>
      <c r="AK148" s="239">
        <v>-1327724</v>
      </c>
      <c r="AL148" s="239">
        <v>535586</v>
      </c>
      <c r="AM148" s="239">
        <v>524875</v>
      </c>
      <c r="AN148" s="239">
        <v>0</v>
      </c>
      <c r="AO148" s="239">
        <v>10712</v>
      </c>
      <c r="AP148" s="239">
        <v>1071173</v>
      </c>
      <c r="AQ148" s="239">
        <v>-538122</v>
      </c>
      <c r="AR148" s="239">
        <v>-527360</v>
      </c>
      <c r="AS148" s="239">
        <v>0</v>
      </c>
      <c r="AT148" s="239">
        <v>-10762</v>
      </c>
      <c r="AU148" s="239">
        <v>-1076244</v>
      </c>
      <c r="AV148" s="239">
        <v>-666398</v>
      </c>
      <c r="AW148" s="239">
        <v>-653070</v>
      </c>
      <c r="AX148" s="239">
        <v>0</v>
      </c>
      <c r="AY148" s="239">
        <v>-13327</v>
      </c>
      <c r="AZ148" s="239">
        <v>-1332795</v>
      </c>
      <c r="BA148" s="239">
        <v>-3000000</v>
      </c>
      <c r="BB148" s="239">
        <v>-2940000</v>
      </c>
      <c r="BC148" s="239">
        <v>0</v>
      </c>
      <c r="BD148" s="239">
        <v>-60000</v>
      </c>
      <c r="BE148" s="239">
        <v>-6000000</v>
      </c>
      <c r="BF148" s="239">
        <v>1418500</v>
      </c>
      <c r="BG148" s="239">
        <v>1390130</v>
      </c>
      <c r="BH148" s="239">
        <v>0</v>
      </c>
      <c r="BI148" s="239">
        <v>28370</v>
      </c>
      <c r="BJ148" s="239">
        <v>2837000</v>
      </c>
      <c r="BK148" s="239">
        <v>-1000000</v>
      </c>
      <c r="BL148" s="239">
        <v>-980000</v>
      </c>
      <c r="BM148" s="239">
        <v>0</v>
      </c>
      <c r="BN148" s="239">
        <v>-20000</v>
      </c>
      <c r="BO148" s="239">
        <v>-2000000</v>
      </c>
      <c r="BP148" s="239">
        <v>-2581500</v>
      </c>
      <c r="BQ148" s="239">
        <v>-2529870</v>
      </c>
      <c r="BR148" s="239">
        <v>0</v>
      </c>
      <c r="BS148" s="239">
        <v>-51630</v>
      </c>
      <c r="BT148" s="239">
        <v>-5163000</v>
      </c>
      <c r="BU148" s="239">
        <v>-2103173</v>
      </c>
      <c r="BV148" s="239">
        <v>-2061109</v>
      </c>
      <c r="BW148" s="239">
        <v>0</v>
      </c>
      <c r="BX148" s="239">
        <v>-42063</v>
      </c>
      <c r="BY148" s="239">
        <v>-4206345</v>
      </c>
      <c r="BZ148" s="239">
        <v>1044854</v>
      </c>
      <c r="CA148" s="239">
        <v>1023956</v>
      </c>
      <c r="CB148" s="239">
        <v>0</v>
      </c>
      <c r="CC148" s="239">
        <v>20897</v>
      </c>
      <c r="CD148" s="239">
        <v>2089707</v>
      </c>
      <c r="CE148" s="239">
        <v>-3148027</v>
      </c>
      <c r="CF148" s="239">
        <v>-3085065</v>
      </c>
      <c r="CG148" s="239">
        <v>0</v>
      </c>
      <c r="CH148" s="239">
        <v>-62960</v>
      </c>
      <c r="CI148" s="239">
        <v>-6296052</v>
      </c>
      <c r="CJ148" s="239">
        <v>45561079</v>
      </c>
      <c r="CK148" s="239">
        <v>44649857</v>
      </c>
      <c r="CL148" s="239">
        <v>0</v>
      </c>
      <c r="CM148" s="239">
        <v>911222</v>
      </c>
      <c r="CN148" s="239">
        <v>91122158</v>
      </c>
      <c r="CO148" s="239">
        <v>44839042</v>
      </c>
      <c r="CP148" s="239">
        <v>43942262</v>
      </c>
      <c r="CQ148" s="239">
        <v>0</v>
      </c>
      <c r="CR148" s="239">
        <v>896781</v>
      </c>
      <c r="CS148" s="239">
        <v>89678085</v>
      </c>
      <c r="CT148" s="239">
        <v>-722037</v>
      </c>
      <c r="CU148" s="239">
        <v>-707595</v>
      </c>
      <c r="CV148" s="239">
        <v>0</v>
      </c>
      <c r="CW148" s="239">
        <v>-14441</v>
      </c>
      <c r="CX148" s="239">
        <v>-1444073</v>
      </c>
      <c r="CY148" s="239">
        <v>-3870064</v>
      </c>
      <c r="CZ148" s="239">
        <v>-3792660</v>
      </c>
      <c r="DA148" s="239">
        <v>0</v>
      </c>
      <c r="DB148" s="239">
        <v>-77401</v>
      </c>
      <c r="DC148" s="239">
        <v>-7740125</v>
      </c>
      <c r="DD148" s="214">
        <v>0.5</v>
      </c>
      <c r="DE148" s="214">
        <v>0.49</v>
      </c>
      <c r="DF148" s="214">
        <v>0</v>
      </c>
      <c r="DG148" s="214">
        <v>0.01</v>
      </c>
      <c r="DH148" s="214">
        <v>1</v>
      </c>
      <c r="DI148" s="214" t="s">
        <v>748</v>
      </c>
    </row>
    <row r="149" spans="2:113" s="214" customFormat="1" x14ac:dyDescent="0.2">
      <c r="B149" s="610" t="s">
        <v>381</v>
      </c>
      <c r="C149" s="610" t="s">
        <v>380</v>
      </c>
      <c r="D149" s="239">
        <v>38287358</v>
      </c>
      <c r="E149" s="239">
        <v>22972415</v>
      </c>
      <c r="F149" s="239">
        <v>15314943</v>
      </c>
      <c r="G149" s="239">
        <v>0</v>
      </c>
      <c r="H149" s="239">
        <v>76574716</v>
      </c>
      <c r="I149" s="239">
        <v>0</v>
      </c>
      <c r="J149" s="239">
        <v>0</v>
      </c>
      <c r="K149" s="239">
        <v>38287358</v>
      </c>
      <c r="L149" s="239">
        <v>254033</v>
      </c>
      <c r="M149" s="239">
        <v>254033</v>
      </c>
      <c r="N149" s="239">
        <v>0</v>
      </c>
      <c r="O149" s="239">
        <v>0</v>
      </c>
      <c r="P149" s="239">
        <v>0</v>
      </c>
      <c r="Q149" s="239">
        <v>0</v>
      </c>
      <c r="R149" s="239">
        <v>0</v>
      </c>
      <c r="S149" s="239">
        <v>0</v>
      </c>
      <c r="T149" s="239">
        <v>0</v>
      </c>
      <c r="U149" s="239">
        <v>0</v>
      </c>
      <c r="V149" s="239">
        <v>0</v>
      </c>
      <c r="W149" s="239">
        <v>1584306</v>
      </c>
      <c r="X149" s="239">
        <v>950584</v>
      </c>
      <c r="Y149" s="239">
        <v>633723</v>
      </c>
      <c r="Z149" s="239">
        <v>0</v>
      </c>
      <c r="AA149" s="239">
        <v>3168613</v>
      </c>
      <c r="AB149" s="239">
        <v>-768366</v>
      </c>
      <c r="AC149" s="239">
        <v>-461020</v>
      </c>
      <c r="AD149" s="239">
        <v>-307346</v>
      </c>
      <c r="AE149" s="239">
        <v>0</v>
      </c>
      <c r="AF149" s="239">
        <v>-1536732</v>
      </c>
      <c r="AG149" s="239">
        <v>-1942911.5</v>
      </c>
      <c r="AH149" s="239">
        <v>-1165747.8999999999</v>
      </c>
      <c r="AI149" s="239">
        <v>-777164.6</v>
      </c>
      <c r="AJ149" s="239">
        <v>0</v>
      </c>
      <c r="AK149" s="239">
        <v>-3885824</v>
      </c>
      <c r="AL149" s="239">
        <v>69704</v>
      </c>
      <c r="AM149" s="239">
        <v>41822</v>
      </c>
      <c r="AN149" s="239">
        <v>27882</v>
      </c>
      <c r="AO149" s="239">
        <v>0</v>
      </c>
      <c r="AP149" s="239">
        <v>139408</v>
      </c>
      <c r="AQ149" s="239">
        <v>-64336</v>
      </c>
      <c r="AR149" s="239">
        <v>-38602</v>
      </c>
      <c r="AS149" s="239">
        <v>-25734</v>
      </c>
      <c r="AT149" s="239">
        <v>0</v>
      </c>
      <c r="AU149" s="239">
        <v>-128672</v>
      </c>
      <c r="AV149" s="239">
        <v>-1937543.5</v>
      </c>
      <c r="AW149" s="239">
        <v>-1162527.8999999999</v>
      </c>
      <c r="AX149" s="239">
        <v>-775016.6</v>
      </c>
      <c r="AY149" s="239">
        <v>0</v>
      </c>
      <c r="AZ149" s="239">
        <v>-3875088</v>
      </c>
      <c r="BA149" s="239">
        <v>-1598126</v>
      </c>
      <c r="BB149" s="239">
        <v>-958876</v>
      </c>
      <c r="BC149" s="239">
        <v>-639251</v>
      </c>
      <c r="BD149" s="239">
        <v>0</v>
      </c>
      <c r="BE149" s="239">
        <v>-3196253</v>
      </c>
      <c r="BF149" s="239">
        <v>1962157</v>
      </c>
      <c r="BG149" s="239">
        <v>1177295</v>
      </c>
      <c r="BH149" s="239">
        <v>784863</v>
      </c>
      <c r="BI149" s="239">
        <v>0</v>
      </c>
      <c r="BJ149" s="239">
        <v>3924315</v>
      </c>
      <c r="BK149" s="239">
        <v>-3723609</v>
      </c>
      <c r="BL149" s="239">
        <v>-2234165</v>
      </c>
      <c r="BM149" s="239">
        <v>-1489443</v>
      </c>
      <c r="BN149" s="239">
        <v>0</v>
      </c>
      <c r="BO149" s="239">
        <v>-7447217</v>
      </c>
      <c r="BP149" s="239">
        <v>-3359578</v>
      </c>
      <c r="BQ149" s="239">
        <v>-2015746</v>
      </c>
      <c r="BR149" s="239">
        <v>-1343831</v>
      </c>
      <c r="BS149" s="239">
        <v>0</v>
      </c>
      <c r="BT149" s="239">
        <v>-6719155</v>
      </c>
      <c r="BU149" s="239">
        <v>2538696</v>
      </c>
      <c r="BV149" s="239">
        <v>1523218</v>
      </c>
      <c r="BW149" s="239">
        <v>1015479</v>
      </c>
      <c r="BX149" s="239">
        <v>0</v>
      </c>
      <c r="BY149" s="239">
        <v>5077393</v>
      </c>
      <c r="BZ149" s="239">
        <v>4060151</v>
      </c>
      <c r="CA149" s="239">
        <v>2436091</v>
      </c>
      <c r="CB149" s="239">
        <v>1624060</v>
      </c>
      <c r="CC149" s="239">
        <v>0</v>
      </c>
      <c r="CD149" s="239">
        <v>8120302</v>
      </c>
      <c r="CE149" s="239">
        <v>-1521455</v>
      </c>
      <c r="CF149" s="239">
        <v>-912873</v>
      </c>
      <c r="CG149" s="239">
        <v>-608581</v>
      </c>
      <c r="CH149" s="239">
        <v>0</v>
      </c>
      <c r="CI149" s="239">
        <v>-3042909</v>
      </c>
      <c r="CJ149" s="239">
        <v>40763734</v>
      </c>
      <c r="CK149" s="239">
        <v>24458240</v>
      </c>
      <c r="CL149" s="239">
        <v>16305494</v>
      </c>
      <c r="CM149" s="239">
        <v>0</v>
      </c>
      <c r="CN149" s="239">
        <v>81527468</v>
      </c>
      <c r="CO149" s="239">
        <v>38287358</v>
      </c>
      <c r="CP149" s="239">
        <v>22972415</v>
      </c>
      <c r="CQ149" s="239">
        <v>15314943</v>
      </c>
      <c r="CR149" s="239">
        <v>0</v>
      </c>
      <c r="CS149" s="239">
        <v>76574716</v>
      </c>
      <c r="CT149" s="239">
        <v>-2476376</v>
      </c>
      <c r="CU149" s="239">
        <v>-1485825</v>
      </c>
      <c r="CV149" s="239">
        <v>-990551</v>
      </c>
      <c r="CW149" s="239">
        <v>0</v>
      </c>
      <c r="CX149" s="239">
        <v>-4952752</v>
      </c>
      <c r="CY149" s="239">
        <v>-3997831</v>
      </c>
      <c r="CZ149" s="239">
        <v>-2398698</v>
      </c>
      <c r="DA149" s="239">
        <v>-1599132</v>
      </c>
      <c r="DB149" s="239">
        <v>0</v>
      </c>
      <c r="DC149" s="239">
        <v>-7995661</v>
      </c>
      <c r="DD149" s="214">
        <v>0.5</v>
      </c>
      <c r="DE149" s="214">
        <v>0.3</v>
      </c>
      <c r="DF149" s="214">
        <v>0.2</v>
      </c>
      <c r="DG149" s="214">
        <v>0</v>
      </c>
      <c r="DH149" s="214">
        <v>1</v>
      </c>
      <c r="DI149" s="214" t="s">
        <v>1295</v>
      </c>
    </row>
    <row r="150" spans="2:113" s="214" customFormat="1" x14ac:dyDescent="0.2">
      <c r="B150" s="610" t="s">
        <v>383</v>
      </c>
      <c r="C150" s="610" t="s">
        <v>382</v>
      </c>
      <c r="D150" s="239">
        <v>49609242</v>
      </c>
      <c r="E150" s="239">
        <v>48617058</v>
      </c>
      <c r="F150" s="239">
        <v>0</v>
      </c>
      <c r="G150" s="239">
        <v>992185</v>
      </c>
      <c r="H150" s="239">
        <v>99218485</v>
      </c>
      <c r="I150" s="239">
        <v>0</v>
      </c>
      <c r="J150" s="239">
        <v>0</v>
      </c>
      <c r="K150" s="239">
        <v>49609242</v>
      </c>
      <c r="L150" s="239">
        <v>610587</v>
      </c>
      <c r="M150" s="239">
        <v>610587</v>
      </c>
      <c r="N150" s="239">
        <v>0</v>
      </c>
      <c r="O150" s="239">
        <v>0</v>
      </c>
      <c r="P150" s="239">
        <v>0</v>
      </c>
      <c r="Q150" s="239">
        <v>0</v>
      </c>
      <c r="R150" s="239">
        <v>0</v>
      </c>
      <c r="S150" s="239">
        <v>0</v>
      </c>
      <c r="T150" s="239">
        <v>0</v>
      </c>
      <c r="U150" s="239">
        <v>0</v>
      </c>
      <c r="V150" s="239">
        <v>0</v>
      </c>
      <c r="W150" s="239">
        <v>2413003</v>
      </c>
      <c r="X150" s="239">
        <v>2364743</v>
      </c>
      <c r="Y150" s="239">
        <v>0</v>
      </c>
      <c r="Z150" s="239">
        <v>48260</v>
      </c>
      <c r="AA150" s="239">
        <v>4826006</v>
      </c>
      <c r="AB150" s="239">
        <v>-626698</v>
      </c>
      <c r="AC150" s="239">
        <v>-614164</v>
      </c>
      <c r="AD150" s="239">
        <v>0</v>
      </c>
      <c r="AE150" s="239">
        <v>-12534</v>
      </c>
      <c r="AF150" s="239">
        <v>-1253396</v>
      </c>
      <c r="AG150" s="239">
        <v>-1601622</v>
      </c>
      <c r="AH150" s="239">
        <v>-1569589</v>
      </c>
      <c r="AI150" s="239">
        <v>0</v>
      </c>
      <c r="AJ150" s="239">
        <v>-32032</v>
      </c>
      <c r="AK150" s="239">
        <v>-3203243</v>
      </c>
      <c r="AL150" s="239">
        <v>815245</v>
      </c>
      <c r="AM150" s="239">
        <v>798941</v>
      </c>
      <c r="AN150" s="239">
        <v>0</v>
      </c>
      <c r="AO150" s="239">
        <v>16305</v>
      </c>
      <c r="AP150" s="239">
        <v>1630491</v>
      </c>
      <c r="AQ150" s="239">
        <v>-574446</v>
      </c>
      <c r="AR150" s="239">
        <v>-562958</v>
      </c>
      <c r="AS150" s="239">
        <v>0</v>
      </c>
      <c r="AT150" s="239">
        <v>-11489</v>
      </c>
      <c r="AU150" s="239">
        <v>-1148893</v>
      </c>
      <c r="AV150" s="239">
        <v>-1360823</v>
      </c>
      <c r="AW150" s="239">
        <v>-1333606</v>
      </c>
      <c r="AX150" s="239">
        <v>0</v>
      </c>
      <c r="AY150" s="239">
        <v>-27216</v>
      </c>
      <c r="AZ150" s="239">
        <v>-2721645</v>
      </c>
      <c r="BA150" s="239">
        <v>-3800501</v>
      </c>
      <c r="BB150" s="239">
        <v>-3724490</v>
      </c>
      <c r="BC150" s="239">
        <v>0</v>
      </c>
      <c r="BD150" s="239">
        <v>-76010</v>
      </c>
      <c r="BE150" s="239">
        <v>-7601001</v>
      </c>
      <c r="BF150" s="239">
        <v>0</v>
      </c>
      <c r="BG150" s="239">
        <v>0</v>
      </c>
      <c r="BH150" s="239">
        <v>0</v>
      </c>
      <c r="BI150" s="239">
        <v>0</v>
      </c>
      <c r="BJ150" s="239">
        <v>0</v>
      </c>
      <c r="BK150" s="239">
        <v>-531805</v>
      </c>
      <c r="BL150" s="239">
        <v>-521168</v>
      </c>
      <c r="BM150" s="239">
        <v>0</v>
      </c>
      <c r="BN150" s="239">
        <v>-10636</v>
      </c>
      <c r="BO150" s="239">
        <v>-1063609</v>
      </c>
      <c r="BP150" s="239">
        <v>-4332306</v>
      </c>
      <c r="BQ150" s="239">
        <v>-4245658</v>
      </c>
      <c r="BR150" s="239">
        <v>0</v>
      </c>
      <c r="BS150" s="239">
        <v>-86646</v>
      </c>
      <c r="BT150" s="239">
        <v>-8664610</v>
      </c>
      <c r="BU150" s="239">
        <v>-5341001</v>
      </c>
      <c r="BV150" s="239">
        <v>-5234180</v>
      </c>
      <c r="BW150" s="239">
        <v>0</v>
      </c>
      <c r="BX150" s="239">
        <v>-106820</v>
      </c>
      <c r="BY150" s="239">
        <v>-10682001</v>
      </c>
      <c r="BZ150" s="239">
        <v>-3083068</v>
      </c>
      <c r="CA150" s="239">
        <v>-3021407</v>
      </c>
      <c r="CB150" s="239">
        <v>0</v>
      </c>
      <c r="CC150" s="239">
        <v>-61661</v>
      </c>
      <c r="CD150" s="239">
        <v>-6166136</v>
      </c>
      <c r="CE150" s="239">
        <v>-2257933</v>
      </c>
      <c r="CF150" s="239">
        <v>-2212773</v>
      </c>
      <c r="CG150" s="239">
        <v>0</v>
      </c>
      <c r="CH150" s="239">
        <v>-45159</v>
      </c>
      <c r="CI150" s="239">
        <v>-4515865</v>
      </c>
      <c r="CJ150" s="239">
        <v>52492587</v>
      </c>
      <c r="CK150" s="239">
        <v>51442735</v>
      </c>
      <c r="CL150" s="239">
        <v>0</v>
      </c>
      <c r="CM150" s="239">
        <v>1049852</v>
      </c>
      <c r="CN150" s="239">
        <v>104985174</v>
      </c>
      <c r="CO150" s="239">
        <v>49609242</v>
      </c>
      <c r="CP150" s="239">
        <v>48617058</v>
      </c>
      <c r="CQ150" s="239">
        <v>0</v>
      </c>
      <c r="CR150" s="239">
        <v>992185</v>
      </c>
      <c r="CS150" s="239">
        <v>99218485</v>
      </c>
      <c r="CT150" s="239">
        <v>-2883345</v>
      </c>
      <c r="CU150" s="239">
        <v>-2825677</v>
      </c>
      <c r="CV150" s="239">
        <v>0</v>
      </c>
      <c r="CW150" s="239">
        <v>-57667</v>
      </c>
      <c r="CX150" s="239">
        <v>-5766689</v>
      </c>
      <c r="CY150" s="239">
        <v>-5141278</v>
      </c>
      <c r="CZ150" s="239">
        <v>-5038450</v>
      </c>
      <c r="DA150" s="239">
        <v>0</v>
      </c>
      <c r="DB150" s="239">
        <v>-102826</v>
      </c>
      <c r="DC150" s="239">
        <v>-10282554</v>
      </c>
      <c r="DD150" s="214">
        <v>0.5</v>
      </c>
      <c r="DE150" s="214">
        <v>0.49</v>
      </c>
      <c r="DF150" s="214">
        <v>0</v>
      </c>
      <c r="DG150" s="214">
        <v>0.01</v>
      </c>
      <c r="DH150" s="214">
        <v>1</v>
      </c>
      <c r="DI150" s="214" t="s">
        <v>1296</v>
      </c>
    </row>
    <row r="151" spans="2:113" s="214" customFormat="1" x14ac:dyDescent="0.2">
      <c r="B151" s="610" t="s">
        <v>385</v>
      </c>
      <c r="C151" s="610" t="s">
        <v>384</v>
      </c>
      <c r="D151" s="239">
        <v>21483387</v>
      </c>
      <c r="E151" s="239">
        <v>21053720</v>
      </c>
      <c r="F151" s="239">
        <v>0</v>
      </c>
      <c r="G151" s="239">
        <v>429668</v>
      </c>
      <c r="H151" s="239">
        <v>42966775</v>
      </c>
      <c r="I151" s="239">
        <v>0</v>
      </c>
      <c r="J151" s="239">
        <v>0</v>
      </c>
      <c r="K151" s="239">
        <v>21483387</v>
      </c>
      <c r="L151" s="239">
        <v>141291</v>
      </c>
      <c r="M151" s="239">
        <v>141291</v>
      </c>
      <c r="N151" s="239">
        <v>0</v>
      </c>
      <c r="O151" s="239">
        <v>0</v>
      </c>
      <c r="P151" s="239">
        <v>0</v>
      </c>
      <c r="Q151" s="239">
        <v>0</v>
      </c>
      <c r="R151" s="239">
        <v>0</v>
      </c>
      <c r="S151" s="239">
        <v>0</v>
      </c>
      <c r="T151" s="239">
        <v>0</v>
      </c>
      <c r="U151" s="239">
        <v>0</v>
      </c>
      <c r="V151" s="239">
        <v>0</v>
      </c>
      <c r="W151" s="239">
        <v>2107319</v>
      </c>
      <c r="X151" s="239">
        <v>2065172</v>
      </c>
      <c r="Y151" s="239">
        <v>0</v>
      </c>
      <c r="Z151" s="239">
        <v>42146</v>
      </c>
      <c r="AA151" s="239">
        <v>4214637</v>
      </c>
      <c r="AB151" s="239">
        <v>-105465</v>
      </c>
      <c r="AC151" s="239">
        <v>-103355</v>
      </c>
      <c r="AD151" s="239">
        <v>0</v>
      </c>
      <c r="AE151" s="239">
        <v>-2109</v>
      </c>
      <c r="AF151" s="239">
        <v>-210929</v>
      </c>
      <c r="AG151" s="239">
        <v>-568321</v>
      </c>
      <c r="AH151" s="239">
        <v>-556954</v>
      </c>
      <c r="AI151" s="239">
        <v>0</v>
      </c>
      <c r="AJ151" s="239">
        <v>-11366</v>
      </c>
      <c r="AK151" s="239">
        <v>-1136641</v>
      </c>
      <c r="AL151" s="239">
        <v>-724.26</v>
      </c>
      <c r="AM151" s="239">
        <v>-711</v>
      </c>
      <c r="AN151" s="239">
        <v>0</v>
      </c>
      <c r="AO151" s="239">
        <v>-15</v>
      </c>
      <c r="AP151" s="239">
        <v>-1450.26</v>
      </c>
      <c r="AQ151" s="239">
        <v>-321500</v>
      </c>
      <c r="AR151" s="239">
        <v>-315070</v>
      </c>
      <c r="AS151" s="239">
        <v>0</v>
      </c>
      <c r="AT151" s="239">
        <v>-6430</v>
      </c>
      <c r="AU151" s="239">
        <v>-643000</v>
      </c>
      <c r="AV151" s="239">
        <v>-890545.26</v>
      </c>
      <c r="AW151" s="239">
        <v>-872735</v>
      </c>
      <c r="AX151" s="239">
        <v>0</v>
      </c>
      <c r="AY151" s="239">
        <v>-17811</v>
      </c>
      <c r="AZ151" s="239">
        <v>-1781091.26</v>
      </c>
      <c r="BA151" s="239">
        <v>-5223187.5</v>
      </c>
      <c r="BB151" s="239">
        <v>-5118724</v>
      </c>
      <c r="BC151" s="239">
        <v>0</v>
      </c>
      <c r="BD151" s="239">
        <v>-104463</v>
      </c>
      <c r="BE151" s="239">
        <v>-10446374</v>
      </c>
      <c r="BF151" s="239">
        <v>1506282</v>
      </c>
      <c r="BG151" s="239">
        <v>1476157</v>
      </c>
      <c r="BH151" s="239">
        <v>0</v>
      </c>
      <c r="BI151" s="239">
        <v>30126</v>
      </c>
      <c r="BJ151" s="239">
        <v>3012565</v>
      </c>
      <c r="BK151" s="239">
        <v>-679500</v>
      </c>
      <c r="BL151" s="239">
        <v>-665910</v>
      </c>
      <c r="BM151" s="239">
        <v>0</v>
      </c>
      <c r="BN151" s="239">
        <v>-13590</v>
      </c>
      <c r="BO151" s="239">
        <v>-1359000</v>
      </c>
      <c r="BP151" s="239">
        <v>-4396405.5</v>
      </c>
      <c r="BQ151" s="239">
        <v>-4308477</v>
      </c>
      <c r="BR151" s="239">
        <v>0</v>
      </c>
      <c r="BS151" s="239">
        <v>-87927</v>
      </c>
      <c r="BT151" s="239">
        <v>-8792809</v>
      </c>
      <c r="BU151" s="239">
        <v>-6332389</v>
      </c>
      <c r="BV151" s="239">
        <v>-6205741</v>
      </c>
      <c r="BW151" s="239">
        <v>0</v>
      </c>
      <c r="BX151" s="239">
        <v>-126648</v>
      </c>
      <c r="BY151" s="239">
        <v>-12664778</v>
      </c>
      <c r="BZ151" s="239">
        <v>-5771997</v>
      </c>
      <c r="CA151" s="239">
        <v>-5656558</v>
      </c>
      <c r="CB151" s="239">
        <v>0</v>
      </c>
      <c r="CC151" s="239">
        <v>-115440</v>
      </c>
      <c r="CD151" s="239">
        <v>-11543995</v>
      </c>
      <c r="CE151" s="239">
        <v>-560392</v>
      </c>
      <c r="CF151" s="239">
        <v>-549183</v>
      </c>
      <c r="CG151" s="239">
        <v>0</v>
      </c>
      <c r="CH151" s="239">
        <v>-11208</v>
      </c>
      <c r="CI151" s="239">
        <v>-1120783</v>
      </c>
      <c r="CJ151" s="239">
        <v>20494479</v>
      </c>
      <c r="CK151" s="239">
        <v>20084590</v>
      </c>
      <c r="CL151" s="239">
        <v>0</v>
      </c>
      <c r="CM151" s="239">
        <v>409890</v>
      </c>
      <c r="CN151" s="239">
        <v>40988959</v>
      </c>
      <c r="CO151" s="239">
        <v>21483387</v>
      </c>
      <c r="CP151" s="239">
        <v>21053720</v>
      </c>
      <c r="CQ151" s="239">
        <v>0</v>
      </c>
      <c r="CR151" s="239">
        <v>429668</v>
      </c>
      <c r="CS151" s="239">
        <v>42966775</v>
      </c>
      <c r="CT151" s="239">
        <v>988908</v>
      </c>
      <c r="CU151" s="239">
        <v>969130</v>
      </c>
      <c r="CV151" s="239">
        <v>0</v>
      </c>
      <c r="CW151" s="239">
        <v>19778</v>
      </c>
      <c r="CX151" s="239">
        <v>1977816</v>
      </c>
      <c r="CY151" s="239">
        <v>428516</v>
      </c>
      <c r="CZ151" s="239">
        <v>419947</v>
      </c>
      <c r="DA151" s="239">
        <v>0</v>
      </c>
      <c r="DB151" s="239">
        <v>8570</v>
      </c>
      <c r="DC151" s="239">
        <v>857033</v>
      </c>
      <c r="DD151" s="214">
        <v>0.5</v>
      </c>
      <c r="DE151" s="214">
        <v>0.49</v>
      </c>
      <c r="DF151" s="214">
        <v>0</v>
      </c>
      <c r="DG151" s="214">
        <v>0.01</v>
      </c>
      <c r="DH151" s="214">
        <v>1</v>
      </c>
      <c r="DI151" s="214" t="s">
        <v>1296</v>
      </c>
    </row>
    <row r="152" spans="2:113" s="214" customFormat="1" x14ac:dyDescent="0.2">
      <c r="B152" s="610" t="s">
        <v>387</v>
      </c>
      <c r="C152" s="610" t="s">
        <v>386</v>
      </c>
      <c r="D152" s="239">
        <v>61277767</v>
      </c>
      <c r="E152" s="239">
        <v>36766660</v>
      </c>
      <c r="F152" s="239">
        <v>24511107</v>
      </c>
      <c r="G152" s="239">
        <v>0</v>
      </c>
      <c r="H152" s="239">
        <v>122555534</v>
      </c>
      <c r="I152" s="239">
        <v>0</v>
      </c>
      <c r="J152" s="239">
        <v>0</v>
      </c>
      <c r="K152" s="239">
        <v>61277767</v>
      </c>
      <c r="L152" s="239">
        <v>480869</v>
      </c>
      <c r="M152" s="239">
        <v>480869</v>
      </c>
      <c r="N152" s="239">
        <v>0</v>
      </c>
      <c r="O152" s="239">
        <v>0</v>
      </c>
      <c r="P152" s="239">
        <v>0</v>
      </c>
      <c r="Q152" s="239">
        <v>0</v>
      </c>
      <c r="R152" s="239">
        <v>0</v>
      </c>
      <c r="S152" s="239">
        <v>0</v>
      </c>
      <c r="T152" s="239">
        <v>0</v>
      </c>
      <c r="U152" s="239">
        <v>0</v>
      </c>
      <c r="V152" s="239">
        <v>0</v>
      </c>
      <c r="W152" s="239">
        <v>2696167</v>
      </c>
      <c r="X152" s="239">
        <v>1617701</v>
      </c>
      <c r="Y152" s="239">
        <v>1078467</v>
      </c>
      <c r="Z152" s="239">
        <v>0</v>
      </c>
      <c r="AA152" s="239">
        <v>5392335</v>
      </c>
      <c r="AB152" s="239">
        <v>-7469499</v>
      </c>
      <c r="AC152" s="239">
        <v>-4481699</v>
      </c>
      <c r="AD152" s="239">
        <v>-2987800</v>
      </c>
      <c r="AE152" s="239">
        <v>0</v>
      </c>
      <c r="AF152" s="239">
        <v>-14938998</v>
      </c>
      <c r="AG152" s="239">
        <v>-1791456</v>
      </c>
      <c r="AH152" s="239">
        <v>-1074874</v>
      </c>
      <c r="AI152" s="239">
        <v>-716582</v>
      </c>
      <c r="AJ152" s="239">
        <v>0</v>
      </c>
      <c r="AK152" s="239">
        <v>-3582912</v>
      </c>
      <c r="AL152" s="239">
        <v>460371</v>
      </c>
      <c r="AM152" s="239">
        <v>276223</v>
      </c>
      <c r="AN152" s="239">
        <v>184149</v>
      </c>
      <c r="AO152" s="239">
        <v>0</v>
      </c>
      <c r="AP152" s="239">
        <v>920743</v>
      </c>
      <c r="AQ152" s="239">
        <v>0</v>
      </c>
      <c r="AR152" s="239">
        <v>0</v>
      </c>
      <c r="AS152" s="239">
        <v>0</v>
      </c>
      <c r="AT152" s="239">
        <v>0</v>
      </c>
      <c r="AU152" s="239">
        <v>0</v>
      </c>
      <c r="AV152" s="239">
        <v>-1331085</v>
      </c>
      <c r="AW152" s="239">
        <v>-798651</v>
      </c>
      <c r="AX152" s="239">
        <v>-532433</v>
      </c>
      <c r="AY152" s="239">
        <v>0</v>
      </c>
      <c r="AZ152" s="239">
        <v>-2662169</v>
      </c>
      <c r="BA152" s="239">
        <v>-10855848</v>
      </c>
      <c r="BB152" s="239">
        <v>-6513508</v>
      </c>
      <c r="BC152" s="239">
        <v>-4342339</v>
      </c>
      <c r="BD152" s="239">
        <v>0</v>
      </c>
      <c r="BE152" s="239">
        <v>-21711695</v>
      </c>
      <c r="BF152" s="239">
        <v>0</v>
      </c>
      <c r="BG152" s="239">
        <v>0</v>
      </c>
      <c r="BH152" s="239">
        <v>0</v>
      </c>
      <c r="BI152" s="239">
        <v>0</v>
      </c>
      <c r="BJ152" s="239">
        <v>0</v>
      </c>
      <c r="BK152" s="239">
        <v>0</v>
      </c>
      <c r="BL152" s="239">
        <v>0</v>
      </c>
      <c r="BM152" s="239">
        <v>0</v>
      </c>
      <c r="BN152" s="239">
        <v>0</v>
      </c>
      <c r="BO152" s="239">
        <v>0</v>
      </c>
      <c r="BP152" s="239">
        <v>-10855848</v>
      </c>
      <c r="BQ152" s="239">
        <v>-6513508</v>
      </c>
      <c r="BR152" s="239">
        <v>-4342339</v>
      </c>
      <c r="BS152" s="239">
        <v>0</v>
      </c>
      <c r="BT152" s="239">
        <v>-21711695</v>
      </c>
      <c r="BU152" s="239">
        <v>-6331000</v>
      </c>
      <c r="BV152" s="239">
        <v>-3798600</v>
      </c>
      <c r="BW152" s="239">
        <v>-2532400</v>
      </c>
      <c r="BX152" s="239">
        <v>0</v>
      </c>
      <c r="BY152" s="239">
        <v>-12662000</v>
      </c>
      <c r="BZ152" s="239">
        <v>-1577887</v>
      </c>
      <c r="CA152" s="239">
        <v>-946732</v>
      </c>
      <c r="CB152" s="239">
        <v>-631155</v>
      </c>
      <c r="CC152" s="239">
        <v>0</v>
      </c>
      <c r="CD152" s="239">
        <v>-3155774</v>
      </c>
      <c r="CE152" s="239">
        <v>-4753113</v>
      </c>
      <c r="CF152" s="239">
        <v>-2851868</v>
      </c>
      <c r="CG152" s="239">
        <v>-1901245</v>
      </c>
      <c r="CH152" s="239">
        <v>0</v>
      </c>
      <c r="CI152" s="239">
        <v>-9506226</v>
      </c>
      <c r="CJ152" s="239">
        <v>60851122</v>
      </c>
      <c r="CK152" s="239">
        <v>36510673</v>
      </c>
      <c r="CL152" s="239">
        <v>24340449</v>
      </c>
      <c r="CM152" s="239">
        <v>0</v>
      </c>
      <c r="CN152" s="239">
        <v>121702244</v>
      </c>
      <c r="CO152" s="239">
        <v>61277767</v>
      </c>
      <c r="CP152" s="239">
        <v>36766660</v>
      </c>
      <c r="CQ152" s="239">
        <v>24511107</v>
      </c>
      <c r="CR152" s="239">
        <v>0</v>
      </c>
      <c r="CS152" s="239">
        <v>122555534</v>
      </c>
      <c r="CT152" s="239">
        <v>426645</v>
      </c>
      <c r="CU152" s="239">
        <v>255987</v>
      </c>
      <c r="CV152" s="239">
        <v>170658</v>
      </c>
      <c r="CW152" s="239">
        <v>0</v>
      </c>
      <c r="CX152" s="239">
        <v>853290</v>
      </c>
      <c r="CY152" s="239">
        <v>-4326468</v>
      </c>
      <c r="CZ152" s="239">
        <v>-2595881</v>
      </c>
      <c r="DA152" s="239">
        <v>-1730587</v>
      </c>
      <c r="DB152" s="239">
        <v>0</v>
      </c>
      <c r="DC152" s="239">
        <v>-8652936</v>
      </c>
      <c r="DD152" s="214">
        <v>0.5</v>
      </c>
      <c r="DE152" s="214">
        <v>0.3</v>
      </c>
      <c r="DF152" s="214">
        <v>0.2</v>
      </c>
      <c r="DG152" s="214">
        <v>0</v>
      </c>
      <c r="DH152" s="214">
        <v>1</v>
      </c>
      <c r="DI152" s="214" t="s">
        <v>1297</v>
      </c>
    </row>
    <row r="153" spans="2:113" s="214" customFormat="1" x14ac:dyDescent="0.2">
      <c r="B153" s="610" t="s">
        <v>389</v>
      </c>
      <c r="C153" s="610" t="s">
        <v>388</v>
      </c>
      <c r="D153" s="239">
        <v>16994542</v>
      </c>
      <c r="E153" s="239">
        <v>13595634</v>
      </c>
      <c r="F153" s="239">
        <v>3059018</v>
      </c>
      <c r="G153" s="239">
        <v>339891</v>
      </c>
      <c r="H153" s="239">
        <v>33989085</v>
      </c>
      <c r="I153" s="239">
        <v>0</v>
      </c>
      <c r="J153" s="239">
        <v>0</v>
      </c>
      <c r="K153" s="239">
        <v>16994542</v>
      </c>
      <c r="L153" s="239">
        <v>227185</v>
      </c>
      <c r="M153" s="239">
        <v>227185</v>
      </c>
      <c r="N153" s="239">
        <v>0</v>
      </c>
      <c r="O153" s="239">
        <v>0</v>
      </c>
      <c r="P153" s="239">
        <v>917731</v>
      </c>
      <c r="Q153" s="239">
        <v>0</v>
      </c>
      <c r="R153" s="239">
        <v>917731</v>
      </c>
      <c r="S153" s="239">
        <v>0</v>
      </c>
      <c r="T153" s="239">
        <v>0</v>
      </c>
      <c r="U153" s="239">
        <v>0</v>
      </c>
      <c r="V153" s="239">
        <v>0</v>
      </c>
      <c r="W153" s="239">
        <v>617725</v>
      </c>
      <c r="X153" s="239">
        <v>494180</v>
      </c>
      <c r="Y153" s="239">
        <v>111191</v>
      </c>
      <c r="Z153" s="239">
        <v>12355</v>
      </c>
      <c r="AA153" s="239">
        <v>1235451</v>
      </c>
      <c r="AB153" s="239">
        <v>-306205</v>
      </c>
      <c r="AC153" s="239">
        <v>-244964</v>
      </c>
      <c r="AD153" s="239">
        <v>-55117</v>
      </c>
      <c r="AE153" s="239">
        <v>-6124</v>
      </c>
      <c r="AF153" s="239">
        <v>-612410</v>
      </c>
      <c r="AG153" s="239">
        <v>-81349</v>
      </c>
      <c r="AH153" s="239">
        <v>-65078</v>
      </c>
      <c r="AI153" s="239">
        <v>-14642</v>
      </c>
      <c r="AJ153" s="239">
        <v>-1627</v>
      </c>
      <c r="AK153" s="239">
        <v>-162696</v>
      </c>
      <c r="AL153" s="239">
        <v>0</v>
      </c>
      <c r="AM153" s="239">
        <v>0</v>
      </c>
      <c r="AN153" s="239">
        <v>0</v>
      </c>
      <c r="AO153" s="239">
        <v>0</v>
      </c>
      <c r="AP153" s="239">
        <v>0</v>
      </c>
      <c r="AQ153" s="239">
        <v>-148986</v>
      </c>
      <c r="AR153" s="239">
        <v>-119190</v>
      </c>
      <c r="AS153" s="239">
        <v>-26818</v>
      </c>
      <c r="AT153" s="239">
        <v>-2980</v>
      </c>
      <c r="AU153" s="239">
        <v>-297974</v>
      </c>
      <c r="AV153" s="239">
        <v>-230335</v>
      </c>
      <c r="AW153" s="239">
        <v>-184268</v>
      </c>
      <c r="AX153" s="239">
        <v>-41460</v>
      </c>
      <c r="AY153" s="239">
        <v>-4607</v>
      </c>
      <c r="AZ153" s="239">
        <v>-460670</v>
      </c>
      <c r="BA153" s="239">
        <v>-13920210</v>
      </c>
      <c r="BB153" s="239">
        <v>-11136167</v>
      </c>
      <c r="BC153" s="239">
        <v>-2505638</v>
      </c>
      <c r="BD153" s="239">
        <v>-278404</v>
      </c>
      <c r="BE153" s="239">
        <v>-27840419</v>
      </c>
      <c r="BF153" s="239">
        <v>655464</v>
      </c>
      <c r="BG153" s="239">
        <v>524371</v>
      </c>
      <c r="BH153" s="239">
        <v>117984</v>
      </c>
      <c r="BI153" s="239">
        <v>13109</v>
      </c>
      <c r="BJ153" s="239">
        <v>1310928</v>
      </c>
      <c r="BK153" s="239">
        <v>-4212321</v>
      </c>
      <c r="BL153" s="239">
        <v>-3369856</v>
      </c>
      <c r="BM153" s="239">
        <v>-758218</v>
      </c>
      <c r="BN153" s="239">
        <v>-84246</v>
      </c>
      <c r="BO153" s="239">
        <v>-8424641</v>
      </c>
      <c r="BP153" s="239">
        <v>-17477067</v>
      </c>
      <c r="BQ153" s="239">
        <v>-13981652</v>
      </c>
      <c r="BR153" s="239">
        <v>-3145872</v>
      </c>
      <c r="BS153" s="239">
        <v>-349541</v>
      </c>
      <c r="BT153" s="239">
        <v>-34954132</v>
      </c>
      <c r="BU153" s="239">
        <v>-2508159</v>
      </c>
      <c r="BV153" s="239">
        <v>-2006528</v>
      </c>
      <c r="BW153" s="239">
        <v>-451469</v>
      </c>
      <c r="BX153" s="239">
        <v>-50163</v>
      </c>
      <c r="BY153" s="239">
        <v>-5016319</v>
      </c>
      <c r="BZ153" s="239">
        <v>3904104</v>
      </c>
      <c r="CA153" s="239">
        <v>3123283</v>
      </c>
      <c r="CB153" s="239">
        <v>702739</v>
      </c>
      <c r="CC153" s="239">
        <v>78082</v>
      </c>
      <c r="CD153" s="239">
        <v>7808208</v>
      </c>
      <c r="CE153" s="239">
        <v>-6412263</v>
      </c>
      <c r="CF153" s="239">
        <v>-5129811</v>
      </c>
      <c r="CG153" s="239">
        <v>-1154208</v>
      </c>
      <c r="CH153" s="239">
        <v>-128245</v>
      </c>
      <c r="CI153" s="239">
        <v>-12824527</v>
      </c>
      <c r="CJ153" s="239">
        <v>30599853</v>
      </c>
      <c r="CK153" s="239">
        <v>24479883</v>
      </c>
      <c r="CL153" s="239">
        <v>5507974</v>
      </c>
      <c r="CM153" s="239">
        <v>611997</v>
      </c>
      <c r="CN153" s="239">
        <v>61199707</v>
      </c>
      <c r="CO153" s="239">
        <v>16994542</v>
      </c>
      <c r="CP153" s="239">
        <v>13595634</v>
      </c>
      <c r="CQ153" s="239">
        <v>3059018</v>
      </c>
      <c r="CR153" s="239">
        <v>339891</v>
      </c>
      <c r="CS153" s="239">
        <v>33989085</v>
      </c>
      <c r="CT153" s="239">
        <v>-13605311</v>
      </c>
      <c r="CU153" s="239">
        <v>-10884249</v>
      </c>
      <c r="CV153" s="239">
        <v>-2448956</v>
      </c>
      <c r="CW153" s="239">
        <v>-272106</v>
      </c>
      <c r="CX153" s="239">
        <v>-27210622</v>
      </c>
      <c r="CY153" s="239">
        <v>-20017574</v>
      </c>
      <c r="CZ153" s="239">
        <v>-16014060</v>
      </c>
      <c r="DA153" s="239">
        <v>-3603164</v>
      </c>
      <c r="DB153" s="239">
        <v>-400351</v>
      </c>
      <c r="DC153" s="239">
        <v>-40035149</v>
      </c>
      <c r="DD153" s="214">
        <v>0.5</v>
      </c>
      <c r="DE153" s="214">
        <v>0.4</v>
      </c>
      <c r="DF153" s="214">
        <v>0.09</v>
      </c>
      <c r="DG153" s="214">
        <v>0.01</v>
      </c>
      <c r="DH153" s="214">
        <v>1</v>
      </c>
      <c r="DI153" s="214" t="s">
        <v>1294</v>
      </c>
    </row>
    <row r="154" spans="2:113" s="214" customFormat="1" x14ac:dyDescent="0.2">
      <c r="B154" s="610" t="s">
        <v>391</v>
      </c>
      <c r="C154" s="610" t="s">
        <v>390</v>
      </c>
      <c r="D154" s="239">
        <v>176970017</v>
      </c>
      <c r="E154" s="239">
        <v>173430617</v>
      </c>
      <c r="F154" s="239">
        <v>0</v>
      </c>
      <c r="G154" s="239">
        <v>3539400</v>
      </c>
      <c r="H154" s="239">
        <v>353940034</v>
      </c>
      <c r="I154" s="239">
        <v>260921.41041666668</v>
      </c>
      <c r="J154" s="239">
        <v>260921.41041666668</v>
      </c>
      <c r="K154" s="239">
        <v>176709095.58958334</v>
      </c>
      <c r="L154" s="239">
        <v>1242261</v>
      </c>
      <c r="M154" s="239">
        <v>1242261</v>
      </c>
      <c r="N154" s="239">
        <v>0</v>
      </c>
      <c r="O154" s="239">
        <v>0</v>
      </c>
      <c r="P154" s="239">
        <v>53464</v>
      </c>
      <c r="Q154" s="239">
        <v>0</v>
      </c>
      <c r="R154" s="239">
        <v>53464</v>
      </c>
      <c r="S154" s="239">
        <v>260921.41041666668</v>
      </c>
      <c r="T154" s="239">
        <v>0</v>
      </c>
      <c r="U154" s="239">
        <v>0</v>
      </c>
      <c r="V154" s="239">
        <v>260921.41041666668</v>
      </c>
      <c r="W154" s="239">
        <v>5943648</v>
      </c>
      <c r="X154" s="239">
        <v>5824776</v>
      </c>
      <c r="Y154" s="239">
        <v>0</v>
      </c>
      <c r="Z154" s="239">
        <v>118873</v>
      </c>
      <c r="AA154" s="239">
        <v>11887297</v>
      </c>
      <c r="AB154" s="239">
        <v>-4065684</v>
      </c>
      <c r="AC154" s="239">
        <v>-3984371</v>
      </c>
      <c r="AD154" s="239">
        <v>0</v>
      </c>
      <c r="AE154" s="239">
        <v>-81314</v>
      </c>
      <c r="AF154" s="239">
        <v>-8131369</v>
      </c>
      <c r="AG154" s="239">
        <v>-3485000</v>
      </c>
      <c r="AH154" s="239">
        <v>-3415300</v>
      </c>
      <c r="AI154" s="239">
        <v>0</v>
      </c>
      <c r="AJ154" s="239">
        <v>-69700</v>
      </c>
      <c r="AK154" s="239">
        <v>-6970000</v>
      </c>
      <c r="AL154" s="239">
        <v>1742927</v>
      </c>
      <c r="AM154" s="239">
        <v>1708069</v>
      </c>
      <c r="AN154" s="239">
        <v>0</v>
      </c>
      <c r="AO154" s="239">
        <v>34859</v>
      </c>
      <c r="AP154" s="239">
        <v>3485855</v>
      </c>
      <c r="AQ154" s="239">
        <v>-1930640</v>
      </c>
      <c r="AR154" s="239">
        <v>-1892028</v>
      </c>
      <c r="AS154" s="239">
        <v>0</v>
      </c>
      <c r="AT154" s="239">
        <v>-38613</v>
      </c>
      <c r="AU154" s="239">
        <v>-3861281</v>
      </c>
      <c r="AV154" s="239">
        <v>-3672713</v>
      </c>
      <c r="AW154" s="239">
        <v>-3599259</v>
      </c>
      <c r="AX154" s="239">
        <v>0</v>
      </c>
      <c r="AY154" s="239">
        <v>-73454</v>
      </c>
      <c r="AZ154" s="239">
        <v>-7345426</v>
      </c>
      <c r="BA154" s="239">
        <v>-20736486</v>
      </c>
      <c r="BB154" s="239">
        <v>-20321756</v>
      </c>
      <c r="BC154" s="239">
        <v>0</v>
      </c>
      <c r="BD154" s="239">
        <v>-414729</v>
      </c>
      <c r="BE154" s="239">
        <v>-41472971</v>
      </c>
      <c r="BF154" s="239">
        <v>16365592</v>
      </c>
      <c r="BG154" s="239">
        <v>16038280</v>
      </c>
      <c r="BH154" s="239">
        <v>0</v>
      </c>
      <c r="BI154" s="239">
        <v>327312</v>
      </c>
      <c r="BJ154" s="239">
        <v>32731184</v>
      </c>
      <c r="BK154" s="239">
        <v>-7244526</v>
      </c>
      <c r="BL154" s="239">
        <v>-7099636</v>
      </c>
      <c r="BM154" s="239">
        <v>0</v>
      </c>
      <c r="BN154" s="239">
        <v>-144891</v>
      </c>
      <c r="BO154" s="239">
        <v>-14489053</v>
      </c>
      <c r="BP154" s="239">
        <v>-11615420</v>
      </c>
      <c r="BQ154" s="239">
        <v>-11383112</v>
      </c>
      <c r="BR154" s="239">
        <v>0</v>
      </c>
      <c r="BS154" s="239">
        <v>-232308</v>
      </c>
      <c r="BT154" s="239">
        <v>-23230840</v>
      </c>
      <c r="BU154" s="239">
        <v>-29634368</v>
      </c>
      <c r="BV154" s="239">
        <v>-29041680</v>
      </c>
      <c r="BW154" s="239">
        <v>0</v>
      </c>
      <c r="BX154" s="239">
        <v>-592687</v>
      </c>
      <c r="BY154" s="239">
        <v>-59268735</v>
      </c>
      <c r="BZ154" s="239">
        <v>-6559286</v>
      </c>
      <c r="CA154" s="239">
        <v>-6428100</v>
      </c>
      <c r="CB154" s="239">
        <v>0</v>
      </c>
      <c r="CC154" s="239">
        <v>-131186</v>
      </c>
      <c r="CD154" s="239">
        <v>-13118572</v>
      </c>
      <c r="CE154" s="239">
        <v>-23075082</v>
      </c>
      <c r="CF154" s="239">
        <v>-22613580</v>
      </c>
      <c r="CG154" s="239">
        <v>0</v>
      </c>
      <c r="CH154" s="239">
        <v>-461501</v>
      </c>
      <c r="CI154" s="239">
        <v>-46150163</v>
      </c>
      <c r="CJ154" s="239">
        <v>190659232</v>
      </c>
      <c r="CK154" s="239">
        <v>186846047</v>
      </c>
      <c r="CL154" s="239">
        <v>0</v>
      </c>
      <c r="CM154" s="239">
        <v>3813185</v>
      </c>
      <c r="CN154" s="239">
        <v>381318464</v>
      </c>
      <c r="CO154" s="239">
        <v>176970017</v>
      </c>
      <c r="CP154" s="239">
        <v>173430617</v>
      </c>
      <c r="CQ154" s="239">
        <v>0</v>
      </c>
      <c r="CR154" s="239">
        <v>3539400</v>
      </c>
      <c r="CS154" s="239">
        <v>353940034</v>
      </c>
      <c r="CT154" s="239">
        <v>-13689215</v>
      </c>
      <c r="CU154" s="239">
        <v>-13415430</v>
      </c>
      <c r="CV154" s="239">
        <v>0</v>
      </c>
      <c r="CW154" s="239">
        <v>-273785</v>
      </c>
      <c r="CX154" s="239">
        <v>-27378430</v>
      </c>
      <c r="CY154" s="239">
        <v>-36764297</v>
      </c>
      <c r="CZ154" s="239">
        <v>-36029010</v>
      </c>
      <c r="DA154" s="239">
        <v>0</v>
      </c>
      <c r="DB154" s="239">
        <v>-735286</v>
      </c>
      <c r="DC154" s="239">
        <v>-73528593</v>
      </c>
      <c r="DD154" s="214">
        <v>0.5</v>
      </c>
      <c r="DE154" s="214">
        <v>0.49</v>
      </c>
      <c r="DF154" s="214">
        <v>0</v>
      </c>
      <c r="DG154" s="214">
        <v>0.01</v>
      </c>
      <c r="DH154" s="214">
        <v>1</v>
      </c>
      <c r="DI154" s="214" t="s">
        <v>1296</v>
      </c>
    </row>
    <row r="155" spans="2:113" s="214" customFormat="1" x14ac:dyDescent="0.2">
      <c r="B155" s="610" t="s">
        <v>393</v>
      </c>
      <c r="C155" s="610" t="s">
        <v>392</v>
      </c>
      <c r="D155" s="239">
        <v>50583343</v>
      </c>
      <c r="E155" s="239">
        <v>49571677</v>
      </c>
      <c r="F155" s="239">
        <v>0</v>
      </c>
      <c r="G155" s="239">
        <v>1011667</v>
      </c>
      <c r="H155" s="239">
        <v>101166687</v>
      </c>
      <c r="I155" s="239">
        <v>0</v>
      </c>
      <c r="J155" s="239">
        <v>0</v>
      </c>
      <c r="K155" s="239">
        <v>50583343</v>
      </c>
      <c r="L155" s="239">
        <v>492367</v>
      </c>
      <c r="M155" s="239">
        <v>492367</v>
      </c>
      <c r="N155" s="239">
        <v>0</v>
      </c>
      <c r="O155" s="239">
        <v>0</v>
      </c>
      <c r="P155" s="239">
        <v>0</v>
      </c>
      <c r="Q155" s="239">
        <v>0</v>
      </c>
      <c r="R155" s="239">
        <v>0</v>
      </c>
      <c r="S155" s="239">
        <v>0</v>
      </c>
      <c r="T155" s="239">
        <v>0</v>
      </c>
      <c r="U155" s="239">
        <v>0</v>
      </c>
      <c r="V155" s="239">
        <v>0</v>
      </c>
      <c r="W155" s="239">
        <v>3818773</v>
      </c>
      <c r="X155" s="239">
        <v>3742397</v>
      </c>
      <c r="Y155" s="239">
        <v>0</v>
      </c>
      <c r="Z155" s="239">
        <v>76375</v>
      </c>
      <c r="AA155" s="239">
        <v>7637545</v>
      </c>
      <c r="AB155" s="239">
        <v>-542245</v>
      </c>
      <c r="AC155" s="239">
        <v>-531401</v>
      </c>
      <c r="AD155" s="239">
        <v>0</v>
      </c>
      <c r="AE155" s="239">
        <v>-10845</v>
      </c>
      <c r="AF155" s="239">
        <v>-1084491</v>
      </c>
      <c r="AG155" s="239">
        <v>-1419331</v>
      </c>
      <c r="AH155" s="239">
        <v>-1390945</v>
      </c>
      <c r="AI155" s="239">
        <v>0</v>
      </c>
      <c r="AJ155" s="239">
        <v>-28386</v>
      </c>
      <c r="AK155" s="239">
        <v>-2838662</v>
      </c>
      <c r="AL155" s="239">
        <v>657889</v>
      </c>
      <c r="AM155" s="239">
        <v>644732</v>
      </c>
      <c r="AN155" s="239">
        <v>0</v>
      </c>
      <c r="AO155" s="239">
        <v>13158</v>
      </c>
      <c r="AP155" s="239">
        <v>1315779</v>
      </c>
      <c r="AQ155" s="239">
        <v>-740100</v>
      </c>
      <c r="AR155" s="239">
        <v>-725298</v>
      </c>
      <c r="AS155" s="239">
        <v>0</v>
      </c>
      <c r="AT155" s="239">
        <v>-14802</v>
      </c>
      <c r="AU155" s="239">
        <v>-1480200</v>
      </c>
      <c r="AV155" s="239">
        <v>-1501542</v>
      </c>
      <c r="AW155" s="239">
        <v>-1471511</v>
      </c>
      <c r="AX155" s="239">
        <v>0</v>
      </c>
      <c r="AY155" s="239">
        <v>-30030</v>
      </c>
      <c r="AZ155" s="239">
        <v>-3003083</v>
      </c>
      <c r="BA155" s="239">
        <v>-4813609</v>
      </c>
      <c r="BB155" s="239">
        <v>-4717336</v>
      </c>
      <c r="BC155" s="239">
        <v>0</v>
      </c>
      <c r="BD155" s="239">
        <v>-96272</v>
      </c>
      <c r="BE155" s="239">
        <v>-9627217</v>
      </c>
      <c r="BF155" s="239">
        <v>567290</v>
      </c>
      <c r="BG155" s="239">
        <v>555945</v>
      </c>
      <c r="BH155" s="239">
        <v>0</v>
      </c>
      <c r="BI155" s="239">
        <v>11346</v>
      </c>
      <c r="BJ155" s="239">
        <v>1134581</v>
      </c>
      <c r="BK155" s="239">
        <v>235638</v>
      </c>
      <c r="BL155" s="239">
        <v>230926</v>
      </c>
      <c r="BM155" s="239">
        <v>0</v>
      </c>
      <c r="BN155" s="239">
        <v>4713</v>
      </c>
      <c r="BO155" s="239">
        <v>471277</v>
      </c>
      <c r="BP155" s="239">
        <v>-4010681</v>
      </c>
      <c r="BQ155" s="239">
        <v>-3930465</v>
      </c>
      <c r="BR155" s="239">
        <v>0</v>
      </c>
      <c r="BS155" s="239">
        <v>-80213</v>
      </c>
      <c r="BT155" s="239">
        <v>-8021359</v>
      </c>
      <c r="BU155" s="239">
        <v>-3958954</v>
      </c>
      <c r="BV155" s="239">
        <v>-3879774</v>
      </c>
      <c r="BW155" s="239">
        <v>0</v>
      </c>
      <c r="BX155" s="239">
        <v>-79179</v>
      </c>
      <c r="BY155" s="239">
        <v>-7917907</v>
      </c>
      <c r="BZ155" s="239">
        <v>1340500</v>
      </c>
      <c r="CA155" s="239">
        <v>1313690</v>
      </c>
      <c r="CB155" s="239">
        <v>0</v>
      </c>
      <c r="CC155" s="239">
        <v>26810</v>
      </c>
      <c r="CD155" s="239">
        <v>2681000</v>
      </c>
      <c r="CE155" s="239">
        <v>-5299454</v>
      </c>
      <c r="CF155" s="239">
        <v>-5193464</v>
      </c>
      <c r="CG155" s="239">
        <v>0</v>
      </c>
      <c r="CH155" s="239">
        <v>-105989</v>
      </c>
      <c r="CI155" s="239">
        <v>-10598907</v>
      </c>
      <c r="CJ155" s="239">
        <v>51520689</v>
      </c>
      <c r="CK155" s="239">
        <v>50490275</v>
      </c>
      <c r="CL155" s="239">
        <v>0</v>
      </c>
      <c r="CM155" s="239">
        <v>1030414</v>
      </c>
      <c r="CN155" s="239">
        <v>103041378</v>
      </c>
      <c r="CO155" s="239">
        <v>50583343</v>
      </c>
      <c r="CP155" s="239">
        <v>49571677</v>
      </c>
      <c r="CQ155" s="239">
        <v>0</v>
      </c>
      <c r="CR155" s="239">
        <v>1011667</v>
      </c>
      <c r="CS155" s="239">
        <v>101166687</v>
      </c>
      <c r="CT155" s="239">
        <v>-937346</v>
      </c>
      <c r="CU155" s="239">
        <v>-918598</v>
      </c>
      <c r="CV155" s="239">
        <v>0</v>
      </c>
      <c r="CW155" s="239">
        <v>-18747</v>
      </c>
      <c r="CX155" s="239">
        <v>-1874691</v>
      </c>
      <c r="CY155" s="239">
        <v>-6236800</v>
      </c>
      <c r="CZ155" s="239">
        <v>-6112062</v>
      </c>
      <c r="DA155" s="239">
        <v>0</v>
      </c>
      <c r="DB155" s="239">
        <v>-124736</v>
      </c>
      <c r="DC155" s="239">
        <v>-12473598</v>
      </c>
      <c r="DD155" s="214">
        <v>0.5</v>
      </c>
      <c r="DE155" s="214">
        <v>0.49</v>
      </c>
      <c r="DF155" s="214">
        <v>0</v>
      </c>
      <c r="DG155" s="214">
        <v>0.01</v>
      </c>
      <c r="DH155" s="214">
        <v>1</v>
      </c>
      <c r="DI155" s="214" t="s">
        <v>748</v>
      </c>
    </row>
    <row r="156" spans="2:113" s="214" customFormat="1" x14ac:dyDescent="0.2">
      <c r="B156" s="610" t="s">
        <v>395</v>
      </c>
      <c r="C156" s="610" t="s">
        <v>394</v>
      </c>
      <c r="D156" s="239">
        <v>11835003</v>
      </c>
      <c r="E156" s="239">
        <v>9468002</v>
      </c>
      <c r="F156" s="239">
        <v>2130301</v>
      </c>
      <c r="G156" s="239">
        <v>236700</v>
      </c>
      <c r="H156" s="239">
        <v>23670006</v>
      </c>
      <c r="I156" s="239">
        <v>0</v>
      </c>
      <c r="J156" s="239">
        <v>0</v>
      </c>
      <c r="K156" s="239">
        <v>11835003</v>
      </c>
      <c r="L156" s="239">
        <v>130673</v>
      </c>
      <c r="M156" s="239">
        <v>130673</v>
      </c>
      <c r="N156" s="239">
        <v>0</v>
      </c>
      <c r="O156" s="239">
        <v>0</v>
      </c>
      <c r="P156" s="239">
        <v>0</v>
      </c>
      <c r="Q156" s="239">
        <v>0</v>
      </c>
      <c r="R156" s="239">
        <v>0</v>
      </c>
      <c r="S156" s="239">
        <v>0</v>
      </c>
      <c r="T156" s="239">
        <v>0</v>
      </c>
      <c r="U156" s="239">
        <v>0</v>
      </c>
      <c r="V156" s="239">
        <v>0</v>
      </c>
      <c r="W156" s="239">
        <v>396876</v>
      </c>
      <c r="X156" s="239">
        <v>317501</v>
      </c>
      <c r="Y156" s="239">
        <v>71438</v>
      </c>
      <c r="Z156" s="239">
        <v>7938</v>
      </c>
      <c r="AA156" s="239">
        <v>793753</v>
      </c>
      <c r="AB156" s="239">
        <v>-350594</v>
      </c>
      <c r="AC156" s="239">
        <v>-280475</v>
      </c>
      <c r="AD156" s="239">
        <v>-63107</v>
      </c>
      <c r="AE156" s="239">
        <v>-7012</v>
      </c>
      <c r="AF156" s="239">
        <v>-701188</v>
      </c>
      <c r="AG156" s="239">
        <v>-72412</v>
      </c>
      <c r="AH156" s="239">
        <v>-57929</v>
      </c>
      <c r="AI156" s="239">
        <v>-13034</v>
      </c>
      <c r="AJ156" s="239">
        <v>-1448</v>
      </c>
      <c r="AK156" s="239">
        <v>-144823</v>
      </c>
      <c r="AL156" s="239">
        <v>7757</v>
      </c>
      <c r="AM156" s="239">
        <v>6206</v>
      </c>
      <c r="AN156" s="239">
        <v>1396</v>
      </c>
      <c r="AO156" s="239">
        <v>155</v>
      </c>
      <c r="AP156" s="239">
        <v>15514</v>
      </c>
      <c r="AQ156" s="239">
        <v>-29346</v>
      </c>
      <c r="AR156" s="239">
        <v>-23476</v>
      </c>
      <c r="AS156" s="239">
        <v>-5282</v>
      </c>
      <c r="AT156" s="239">
        <v>-587</v>
      </c>
      <c r="AU156" s="239">
        <v>-58691</v>
      </c>
      <c r="AV156" s="239">
        <v>-94001</v>
      </c>
      <c r="AW156" s="239">
        <v>-75199</v>
      </c>
      <c r="AX156" s="239">
        <v>-16920</v>
      </c>
      <c r="AY156" s="239">
        <v>-1880</v>
      </c>
      <c r="AZ156" s="239">
        <v>-188000</v>
      </c>
      <c r="BA156" s="239">
        <v>-823500</v>
      </c>
      <c r="BB156" s="239">
        <v>-658800</v>
      </c>
      <c r="BC156" s="239">
        <v>-148230</v>
      </c>
      <c r="BD156" s="239">
        <v>-16470</v>
      </c>
      <c r="BE156" s="239">
        <v>-1647000</v>
      </c>
      <c r="BF156" s="239">
        <v>0</v>
      </c>
      <c r="BG156" s="239">
        <v>0</v>
      </c>
      <c r="BH156" s="239">
        <v>0</v>
      </c>
      <c r="BI156" s="239">
        <v>0</v>
      </c>
      <c r="BJ156" s="239">
        <v>0</v>
      </c>
      <c r="BK156" s="239">
        <v>-126500</v>
      </c>
      <c r="BL156" s="239">
        <v>-101200</v>
      </c>
      <c r="BM156" s="239">
        <v>-22770</v>
      </c>
      <c r="BN156" s="239">
        <v>-2530</v>
      </c>
      <c r="BO156" s="239">
        <v>-253000</v>
      </c>
      <c r="BP156" s="239">
        <v>-950000</v>
      </c>
      <c r="BQ156" s="239">
        <v>-760000</v>
      </c>
      <c r="BR156" s="239">
        <v>-171000</v>
      </c>
      <c r="BS156" s="239">
        <v>-19000</v>
      </c>
      <c r="BT156" s="239">
        <v>-1900000</v>
      </c>
      <c r="BU156" s="239">
        <v>-306500</v>
      </c>
      <c r="BV156" s="239">
        <v>-245200</v>
      </c>
      <c r="BW156" s="239">
        <v>-55170</v>
      </c>
      <c r="BX156" s="239">
        <v>-6130</v>
      </c>
      <c r="BY156" s="239">
        <v>-613000</v>
      </c>
      <c r="BZ156" s="239">
        <v>0</v>
      </c>
      <c r="CA156" s="239">
        <v>0</v>
      </c>
      <c r="CB156" s="239">
        <v>0</v>
      </c>
      <c r="CC156" s="239">
        <v>0</v>
      </c>
      <c r="CD156" s="239">
        <v>0</v>
      </c>
      <c r="CE156" s="239">
        <v>-306500</v>
      </c>
      <c r="CF156" s="239">
        <v>-245200</v>
      </c>
      <c r="CG156" s="239">
        <v>-55170</v>
      </c>
      <c r="CH156" s="239">
        <v>-6130</v>
      </c>
      <c r="CI156" s="239">
        <v>-613000</v>
      </c>
      <c r="CJ156" s="239">
        <v>12533041</v>
      </c>
      <c r="CK156" s="239">
        <v>10026433</v>
      </c>
      <c r="CL156" s="239">
        <v>2255947</v>
      </c>
      <c r="CM156" s="239">
        <v>250661</v>
      </c>
      <c r="CN156" s="239">
        <v>25066082</v>
      </c>
      <c r="CO156" s="239">
        <v>11835003</v>
      </c>
      <c r="CP156" s="239">
        <v>9468002</v>
      </c>
      <c r="CQ156" s="239">
        <v>2130301</v>
      </c>
      <c r="CR156" s="239">
        <v>236700</v>
      </c>
      <c r="CS156" s="239">
        <v>23670006</v>
      </c>
      <c r="CT156" s="239">
        <v>-698038</v>
      </c>
      <c r="CU156" s="239">
        <v>-558431</v>
      </c>
      <c r="CV156" s="239">
        <v>-125646</v>
      </c>
      <c r="CW156" s="239">
        <v>-13961</v>
      </c>
      <c r="CX156" s="239">
        <v>-1396076</v>
      </c>
      <c r="CY156" s="239">
        <v>-1004538</v>
      </c>
      <c r="CZ156" s="239">
        <v>-803631</v>
      </c>
      <c r="DA156" s="239">
        <v>-180816</v>
      </c>
      <c r="DB156" s="239">
        <v>-20091</v>
      </c>
      <c r="DC156" s="239">
        <v>-2009076</v>
      </c>
      <c r="DD156" s="214">
        <v>0.5</v>
      </c>
      <c r="DE156" s="214">
        <v>0.4</v>
      </c>
      <c r="DF156" s="214">
        <v>0.09</v>
      </c>
      <c r="DG156" s="214">
        <v>0.01</v>
      </c>
      <c r="DH156" s="214">
        <v>1</v>
      </c>
      <c r="DI156" s="214" t="s">
        <v>1294</v>
      </c>
    </row>
    <row r="157" spans="2:113" s="214" customFormat="1" x14ac:dyDescent="0.2">
      <c r="B157" s="610" t="s">
        <v>397</v>
      </c>
      <c r="C157" s="610" t="s">
        <v>396</v>
      </c>
      <c r="D157" s="239">
        <v>25626852</v>
      </c>
      <c r="E157" s="239">
        <v>15376111</v>
      </c>
      <c r="F157" s="239">
        <v>10250741</v>
      </c>
      <c r="G157" s="239">
        <v>0</v>
      </c>
      <c r="H157" s="239">
        <v>51253704</v>
      </c>
      <c r="I157" s="239">
        <v>0</v>
      </c>
      <c r="J157" s="239">
        <v>0</v>
      </c>
      <c r="K157" s="239">
        <v>25626852</v>
      </c>
      <c r="L157" s="239">
        <v>306899</v>
      </c>
      <c r="M157" s="239">
        <v>306899</v>
      </c>
      <c r="N157" s="239">
        <v>0</v>
      </c>
      <c r="O157" s="239">
        <v>0</v>
      </c>
      <c r="P157" s="239">
        <v>0</v>
      </c>
      <c r="Q157" s="239">
        <v>0</v>
      </c>
      <c r="R157" s="239">
        <v>0</v>
      </c>
      <c r="S157" s="239">
        <v>0</v>
      </c>
      <c r="T157" s="239">
        <v>0</v>
      </c>
      <c r="U157" s="239">
        <v>0</v>
      </c>
      <c r="V157" s="239">
        <v>0</v>
      </c>
      <c r="W157" s="239">
        <v>2286583</v>
      </c>
      <c r="X157" s="239">
        <v>1371950</v>
      </c>
      <c r="Y157" s="239">
        <v>914633</v>
      </c>
      <c r="Z157" s="239">
        <v>0</v>
      </c>
      <c r="AA157" s="239">
        <v>4573166</v>
      </c>
      <c r="AB157" s="239">
        <v>-3190676</v>
      </c>
      <c r="AC157" s="239">
        <v>-1914405</v>
      </c>
      <c r="AD157" s="239">
        <v>-1276270</v>
      </c>
      <c r="AE157" s="239">
        <v>0</v>
      </c>
      <c r="AF157" s="239">
        <v>-6381351</v>
      </c>
      <c r="AG157" s="239">
        <v>-1554101.5</v>
      </c>
      <c r="AH157" s="239">
        <v>-932462</v>
      </c>
      <c r="AI157" s="239">
        <v>-621640</v>
      </c>
      <c r="AJ157" s="239">
        <v>0</v>
      </c>
      <c r="AK157" s="239">
        <v>-3108203.5</v>
      </c>
      <c r="AL157" s="239">
        <v>645350</v>
      </c>
      <c r="AM157" s="239">
        <v>387210</v>
      </c>
      <c r="AN157" s="239">
        <v>258140</v>
      </c>
      <c r="AO157" s="239">
        <v>0</v>
      </c>
      <c r="AP157" s="239">
        <v>1290700</v>
      </c>
      <c r="AQ157" s="239">
        <v>-666139</v>
      </c>
      <c r="AR157" s="239">
        <v>-399683</v>
      </c>
      <c r="AS157" s="239">
        <v>-266456</v>
      </c>
      <c r="AT157" s="239">
        <v>0</v>
      </c>
      <c r="AU157" s="239">
        <v>-1332278</v>
      </c>
      <c r="AV157" s="239">
        <v>-1574890.5</v>
      </c>
      <c r="AW157" s="239">
        <v>-944935</v>
      </c>
      <c r="AX157" s="239">
        <v>-629956</v>
      </c>
      <c r="AY157" s="239">
        <v>0</v>
      </c>
      <c r="AZ157" s="239">
        <v>-3149781.5</v>
      </c>
      <c r="BA157" s="239">
        <v>-1144608</v>
      </c>
      <c r="BB157" s="239">
        <v>-686766</v>
      </c>
      <c r="BC157" s="239">
        <v>-457844</v>
      </c>
      <c r="BD157" s="239">
        <v>0</v>
      </c>
      <c r="BE157" s="239">
        <v>-2289218</v>
      </c>
      <c r="BF157" s="239">
        <v>0</v>
      </c>
      <c r="BG157" s="239">
        <v>0</v>
      </c>
      <c r="BH157" s="239">
        <v>0</v>
      </c>
      <c r="BI157" s="239">
        <v>0</v>
      </c>
      <c r="BJ157" s="239">
        <v>0</v>
      </c>
      <c r="BK157" s="239">
        <v>-149479</v>
      </c>
      <c r="BL157" s="239">
        <v>-89687</v>
      </c>
      <c r="BM157" s="239">
        <v>-59791</v>
      </c>
      <c r="BN157" s="239">
        <v>0</v>
      </c>
      <c r="BO157" s="239">
        <v>-298957</v>
      </c>
      <c r="BP157" s="239">
        <v>-1294087</v>
      </c>
      <c r="BQ157" s="239">
        <v>-776453</v>
      </c>
      <c r="BR157" s="239">
        <v>-517635</v>
      </c>
      <c r="BS157" s="239">
        <v>0</v>
      </c>
      <c r="BT157" s="239">
        <v>-2588175</v>
      </c>
      <c r="BU157" s="239">
        <v>-1144609</v>
      </c>
      <c r="BV157" s="239">
        <v>-686765</v>
      </c>
      <c r="BW157" s="239">
        <v>-457844</v>
      </c>
      <c r="BX157" s="239">
        <v>0</v>
      </c>
      <c r="BY157" s="239">
        <v>-2289218</v>
      </c>
      <c r="BZ157" s="239">
        <v>803879</v>
      </c>
      <c r="CA157" s="239">
        <v>482327</v>
      </c>
      <c r="CB157" s="239">
        <v>321552</v>
      </c>
      <c r="CC157" s="239">
        <v>0</v>
      </c>
      <c r="CD157" s="239">
        <v>1607758</v>
      </c>
      <c r="CE157" s="239">
        <v>-1948488</v>
      </c>
      <c r="CF157" s="239">
        <v>-1169092</v>
      </c>
      <c r="CG157" s="239">
        <v>-779396</v>
      </c>
      <c r="CH157" s="239">
        <v>0</v>
      </c>
      <c r="CI157" s="239">
        <v>-3896976</v>
      </c>
      <c r="CJ157" s="239">
        <v>26616487</v>
      </c>
      <c r="CK157" s="239">
        <v>15969893</v>
      </c>
      <c r="CL157" s="239">
        <v>10646595</v>
      </c>
      <c r="CM157" s="239">
        <v>0</v>
      </c>
      <c r="CN157" s="239">
        <v>53232975</v>
      </c>
      <c r="CO157" s="239">
        <v>25626852</v>
      </c>
      <c r="CP157" s="239">
        <v>15376111</v>
      </c>
      <c r="CQ157" s="239">
        <v>10250741</v>
      </c>
      <c r="CR157" s="239">
        <v>0</v>
      </c>
      <c r="CS157" s="239">
        <v>51253704</v>
      </c>
      <c r="CT157" s="239">
        <v>-989635</v>
      </c>
      <c r="CU157" s="239">
        <v>-593782</v>
      </c>
      <c r="CV157" s="239">
        <v>-395854</v>
      </c>
      <c r="CW157" s="239">
        <v>0</v>
      </c>
      <c r="CX157" s="239">
        <v>-1979271</v>
      </c>
      <c r="CY157" s="239">
        <v>-2938123</v>
      </c>
      <c r="CZ157" s="239">
        <v>-1762874</v>
      </c>
      <c r="DA157" s="239">
        <v>-1175250</v>
      </c>
      <c r="DB157" s="239">
        <v>0</v>
      </c>
      <c r="DC157" s="239">
        <v>-5876247</v>
      </c>
      <c r="DD157" s="214">
        <v>0.5</v>
      </c>
      <c r="DE157" s="214">
        <v>0.3</v>
      </c>
      <c r="DF157" s="214">
        <v>0.2</v>
      </c>
      <c r="DG157" s="214">
        <v>0</v>
      </c>
      <c r="DH157" s="214">
        <v>1</v>
      </c>
      <c r="DI157" s="214" t="s">
        <v>1297</v>
      </c>
    </row>
    <row r="158" spans="2:113" s="214" customFormat="1" x14ac:dyDescent="0.2">
      <c r="B158" s="610" t="s">
        <v>399</v>
      </c>
      <c r="C158" s="610" t="s">
        <v>398</v>
      </c>
      <c r="D158" s="239">
        <v>17033304</v>
      </c>
      <c r="E158" s="239">
        <v>13626643</v>
      </c>
      <c r="F158" s="239">
        <v>3065995</v>
      </c>
      <c r="G158" s="239">
        <v>340666</v>
      </c>
      <c r="H158" s="239">
        <v>34066608</v>
      </c>
      <c r="I158" s="239">
        <v>0</v>
      </c>
      <c r="J158" s="239">
        <v>0</v>
      </c>
      <c r="K158" s="239">
        <v>17033304</v>
      </c>
      <c r="L158" s="239">
        <v>124275</v>
      </c>
      <c r="M158" s="239">
        <v>124275</v>
      </c>
      <c r="N158" s="239">
        <v>0</v>
      </c>
      <c r="O158" s="239">
        <v>0</v>
      </c>
      <c r="P158" s="239">
        <v>0</v>
      </c>
      <c r="Q158" s="239">
        <v>0</v>
      </c>
      <c r="R158" s="239">
        <v>0</v>
      </c>
      <c r="S158" s="239">
        <v>0</v>
      </c>
      <c r="T158" s="239">
        <v>0</v>
      </c>
      <c r="U158" s="239">
        <v>0</v>
      </c>
      <c r="V158" s="239">
        <v>0</v>
      </c>
      <c r="W158" s="239">
        <v>629526</v>
      </c>
      <c r="X158" s="239">
        <v>503622</v>
      </c>
      <c r="Y158" s="239">
        <v>113315</v>
      </c>
      <c r="Z158" s="239">
        <v>12591</v>
      </c>
      <c r="AA158" s="239">
        <v>1259054</v>
      </c>
      <c r="AB158" s="239">
        <v>-291937</v>
      </c>
      <c r="AC158" s="239">
        <v>-233550</v>
      </c>
      <c r="AD158" s="239">
        <v>-52549</v>
      </c>
      <c r="AE158" s="239">
        <v>-5839</v>
      </c>
      <c r="AF158" s="239">
        <v>-583875</v>
      </c>
      <c r="AG158" s="239">
        <v>-206105.60000000001</v>
      </c>
      <c r="AH158" s="239">
        <v>-164885</v>
      </c>
      <c r="AI158" s="239">
        <v>-37099</v>
      </c>
      <c r="AJ158" s="239">
        <v>-4122</v>
      </c>
      <c r="AK158" s="239">
        <v>-412211.6</v>
      </c>
      <c r="AL158" s="239">
        <v>-5424</v>
      </c>
      <c r="AM158" s="239">
        <v>-4338</v>
      </c>
      <c r="AN158" s="239">
        <v>-976</v>
      </c>
      <c r="AO158" s="239">
        <v>-108</v>
      </c>
      <c r="AP158" s="239">
        <v>-10846</v>
      </c>
      <c r="AQ158" s="239">
        <v>-34139</v>
      </c>
      <c r="AR158" s="239">
        <v>-27311</v>
      </c>
      <c r="AS158" s="239">
        <v>-6145</v>
      </c>
      <c r="AT158" s="239">
        <v>-683</v>
      </c>
      <c r="AU158" s="239">
        <v>-68278</v>
      </c>
      <c r="AV158" s="239">
        <v>-245668.6</v>
      </c>
      <c r="AW158" s="239">
        <v>-196534</v>
      </c>
      <c r="AX158" s="239">
        <v>-44220</v>
      </c>
      <c r="AY158" s="239">
        <v>-4913</v>
      </c>
      <c r="AZ158" s="239">
        <v>-491335.6</v>
      </c>
      <c r="BA158" s="239">
        <v>-2087179</v>
      </c>
      <c r="BB158" s="239">
        <v>-1669744</v>
      </c>
      <c r="BC158" s="239">
        <v>-375693</v>
      </c>
      <c r="BD158" s="239">
        <v>-41744</v>
      </c>
      <c r="BE158" s="239">
        <v>-4174360</v>
      </c>
      <c r="BF158" s="239">
        <v>277597</v>
      </c>
      <c r="BG158" s="239">
        <v>222077</v>
      </c>
      <c r="BH158" s="239">
        <v>49967</v>
      </c>
      <c r="BI158" s="239">
        <v>5552</v>
      </c>
      <c r="BJ158" s="239">
        <v>555193</v>
      </c>
      <c r="BK158" s="239">
        <v>-250597</v>
      </c>
      <c r="BL158" s="239">
        <v>-200477</v>
      </c>
      <c r="BM158" s="239">
        <v>-45107</v>
      </c>
      <c r="BN158" s="239">
        <v>-5012</v>
      </c>
      <c r="BO158" s="239">
        <v>-501193</v>
      </c>
      <c r="BP158" s="239">
        <v>-2060179</v>
      </c>
      <c r="BQ158" s="239">
        <v>-1648144</v>
      </c>
      <c r="BR158" s="239">
        <v>-370833</v>
      </c>
      <c r="BS158" s="239">
        <v>-41204</v>
      </c>
      <c r="BT158" s="239">
        <v>-4120360</v>
      </c>
      <c r="BU158" s="239">
        <v>-711426</v>
      </c>
      <c r="BV158" s="239">
        <v>-569141</v>
      </c>
      <c r="BW158" s="239">
        <v>-128057</v>
      </c>
      <c r="BX158" s="239">
        <v>-14229</v>
      </c>
      <c r="BY158" s="239">
        <v>-1422853</v>
      </c>
      <c r="BZ158" s="239">
        <v>172149</v>
      </c>
      <c r="CA158" s="239">
        <v>137719</v>
      </c>
      <c r="CB158" s="239">
        <v>30987</v>
      </c>
      <c r="CC158" s="239">
        <v>3443</v>
      </c>
      <c r="CD158" s="239">
        <v>344298</v>
      </c>
      <c r="CE158" s="239">
        <v>-883575</v>
      </c>
      <c r="CF158" s="239">
        <v>-706860</v>
      </c>
      <c r="CG158" s="239">
        <v>-159044</v>
      </c>
      <c r="CH158" s="239">
        <v>-17672</v>
      </c>
      <c r="CI158" s="239">
        <v>-1767151</v>
      </c>
      <c r="CJ158" s="239">
        <v>16278674</v>
      </c>
      <c r="CK158" s="239">
        <v>13022938</v>
      </c>
      <c r="CL158" s="239">
        <v>2930161</v>
      </c>
      <c r="CM158" s="239">
        <v>325573</v>
      </c>
      <c r="CN158" s="239">
        <v>32557346</v>
      </c>
      <c r="CO158" s="239">
        <v>17033304</v>
      </c>
      <c r="CP158" s="239">
        <v>13626643</v>
      </c>
      <c r="CQ158" s="239">
        <v>3065995</v>
      </c>
      <c r="CR158" s="239">
        <v>340666</v>
      </c>
      <c r="CS158" s="239">
        <v>34066608</v>
      </c>
      <c r="CT158" s="239">
        <v>754630</v>
      </c>
      <c r="CU158" s="239">
        <v>603705</v>
      </c>
      <c r="CV158" s="239">
        <v>135834</v>
      </c>
      <c r="CW158" s="239">
        <v>15093</v>
      </c>
      <c r="CX158" s="239">
        <v>1509262</v>
      </c>
      <c r="CY158" s="239">
        <v>-128945</v>
      </c>
      <c r="CZ158" s="239">
        <v>-103155</v>
      </c>
      <c r="DA158" s="239">
        <v>-23210</v>
      </c>
      <c r="DB158" s="239">
        <v>-2579</v>
      </c>
      <c r="DC158" s="239">
        <v>-257889</v>
      </c>
      <c r="DD158" s="214">
        <v>0.5</v>
      </c>
      <c r="DE158" s="214">
        <v>0.4</v>
      </c>
      <c r="DF158" s="214">
        <v>0.09</v>
      </c>
      <c r="DG158" s="214">
        <v>0.01</v>
      </c>
      <c r="DH158" s="214">
        <v>1</v>
      </c>
      <c r="DI158" s="214" t="s">
        <v>1294</v>
      </c>
    </row>
    <row r="159" spans="2:113" s="214" customFormat="1" x14ac:dyDescent="0.2">
      <c r="B159" s="610" t="s">
        <v>401</v>
      </c>
      <c r="C159" s="610" t="s">
        <v>400</v>
      </c>
      <c r="D159" s="239">
        <v>19543239</v>
      </c>
      <c r="E159" s="239">
        <v>15634591</v>
      </c>
      <c r="F159" s="239">
        <v>3908648</v>
      </c>
      <c r="G159" s="239">
        <v>0</v>
      </c>
      <c r="H159" s="239">
        <v>39086478</v>
      </c>
      <c r="I159" s="239">
        <v>0</v>
      </c>
      <c r="J159" s="239">
        <v>0</v>
      </c>
      <c r="K159" s="239">
        <v>19543239</v>
      </c>
      <c r="L159" s="239">
        <v>148989</v>
      </c>
      <c r="M159" s="239">
        <v>148989</v>
      </c>
      <c r="N159" s="239">
        <v>0</v>
      </c>
      <c r="O159" s="239">
        <v>0</v>
      </c>
      <c r="P159" s="239">
        <v>0</v>
      </c>
      <c r="Q159" s="239">
        <v>0</v>
      </c>
      <c r="R159" s="239">
        <v>0</v>
      </c>
      <c r="S159" s="239">
        <v>0</v>
      </c>
      <c r="T159" s="239">
        <v>0</v>
      </c>
      <c r="U159" s="239">
        <v>0</v>
      </c>
      <c r="V159" s="239">
        <v>0</v>
      </c>
      <c r="W159" s="239">
        <v>447001</v>
      </c>
      <c r="X159" s="239">
        <v>357601</v>
      </c>
      <c r="Y159" s="239">
        <v>89400</v>
      </c>
      <c r="Z159" s="239">
        <v>0</v>
      </c>
      <c r="AA159" s="239">
        <v>894002</v>
      </c>
      <c r="AB159" s="239">
        <v>-592176</v>
      </c>
      <c r="AC159" s="239">
        <v>-473741</v>
      </c>
      <c r="AD159" s="239">
        <v>-118435</v>
      </c>
      <c r="AE159" s="239">
        <v>0</v>
      </c>
      <c r="AF159" s="239">
        <v>-1184352</v>
      </c>
      <c r="AG159" s="239">
        <v>-180002</v>
      </c>
      <c r="AH159" s="239">
        <v>-144001</v>
      </c>
      <c r="AI159" s="239">
        <v>-36001</v>
      </c>
      <c r="AJ159" s="239">
        <v>0</v>
      </c>
      <c r="AK159" s="239">
        <v>-360004</v>
      </c>
      <c r="AL159" s="239">
        <v>153382</v>
      </c>
      <c r="AM159" s="239">
        <v>122705</v>
      </c>
      <c r="AN159" s="239">
        <v>30676</v>
      </c>
      <c r="AO159" s="239">
        <v>0</v>
      </c>
      <c r="AP159" s="239">
        <v>306763</v>
      </c>
      <c r="AQ159" s="239">
        <v>-158611</v>
      </c>
      <c r="AR159" s="239">
        <v>-126889</v>
      </c>
      <c r="AS159" s="239">
        <v>-31722</v>
      </c>
      <c r="AT159" s="239">
        <v>0</v>
      </c>
      <c r="AU159" s="239">
        <v>-317222</v>
      </c>
      <c r="AV159" s="239">
        <v>-185231</v>
      </c>
      <c r="AW159" s="239">
        <v>-148185</v>
      </c>
      <c r="AX159" s="239">
        <v>-37047</v>
      </c>
      <c r="AY159" s="239">
        <v>0</v>
      </c>
      <c r="AZ159" s="239">
        <v>-370463</v>
      </c>
      <c r="BA159" s="239">
        <v>-1993757</v>
      </c>
      <c r="BB159" s="239">
        <v>-1595005</v>
      </c>
      <c r="BC159" s="239">
        <v>-398751</v>
      </c>
      <c r="BD159" s="239">
        <v>0</v>
      </c>
      <c r="BE159" s="239">
        <v>-3987513</v>
      </c>
      <c r="BF159" s="239">
        <v>45837</v>
      </c>
      <c r="BG159" s="239">
        <v>36669</v>
      </c>
      <c r="BH159" s="239">
        <v>9167</v>
      </c>
      <c r="BI159" s="239">
        <v>0</v>
      </c>
      <c r="BJ159" s="239">
        <v>91673</v>
      </c>
      <c r="BK159" s="239">
        <v>-1502348</v>
      </c>
      <c r="BL159" s="239">
        <v>-1201878</v>
      </c>
      <c r="BM159" s="239">
        <v>-300470</v>
      </c>
      <c r="BN159" s="239">
        <v>0</v>
      </c>
      <c r="BO159" s="239">
        <v>-3004696</v>
      </c>
      <c r="BP159" s="239">
        <v>-3450268</v>
      </c>
      <c r="BQ159" s="239">
        <v>-2760214</v>
      </c>
      <c r="BR159" s="239">
        <v>-690054</v>
      </c>
      <c r="BS159" s="239">
        <v>0</v>
      </c>
      <c r="BT159" s="239">
        <v>-6900536</v>
      </c>
      <c r="BU159" s="239">
        <v>-1633505</v>
      </c>
      <c r="BV159" s="239">
        <v>-1306804</v>
      </c>
      <c r="BW159" s="239">
        <v>-326701</v>
      </c>
      <c r="BX159" s="239">
        <v>0</v>
      </c>
      <c r="BY159" s="239">
        <v>-3267010</v>
      </c>
      <c r="BZ159" s="239">
        <v>-915212</v>
      </c>
      <c r="CA159" s="239">
        <v>-732169</v>
      </c>
      <c r="CB159" s="239">
        <v>-183042</v>
      </c>
      <c r="CC159" s="239">
        <v>0</v>
      </c>
      <c r="CD159" s="239">
        <v>-1830423</v>
      </c>
      <c r="CE159" s="239">
        <v>-718293</v>
      </c>
      <c r="CF159" s="239">
        <v>-574635</v>
      </c>
      <c r="CG159" s="239">
        <v>-143659</v>
      </c>
      <c r="CH159" s="239">
        <v>0</v>
      </c>
      <c r="CI159" s="239">
        <v>-1436587</v>
      </c>
      <c r="CJ159" s="239">
        <v>21166377</v>
      </c>
      <c r="CK159" s="239">
        <v>16933102</v>
      </c>
      <c r="CL159" s="239">
        <v>4233275</v>
      </c>
      <c r="CM159" s="239">
        <v>0</v>
      </c>
      <c r="CN159" s="239">
        <v>42332754</v>
      </c>
      <c r="CO159" s="239">
        <v>19543239</v>
      </c>
      <c r="CP159" s="239">
        <v>15634591</v>
      </c>
      <c r="CQ159" s="239">
        <v>3908648</v>
      </c>
      <c r="CR159" s="239">
        <v>0</v>
      </c>
      <c r="CS159" s="239">
        <v>39086478</v>
      </c>
      <c r="CT159" s="239">
        <v>-1623138</v>
      </c>
      <c r="CU159" s="239">
        <v>-1298511</v>
      </c>
      <c r="CV159" s="239">
        <v>-324627</v>
      </c>
      <c r="CW159" s="239">
        <v>0</v>
      </c>
      <c r="CX159" s="239">
        <v>-3246276</v>
      </c>
      <c r="CY159" s="239">
        <v>-2341431</v>
      </c>
      <c r="CZ159" s="239">
        <v>-1873146</v>
      </c>
      <c r="DA159" s="239">
        <v>-468286</v>
      </c>
      <c r="DB159" s="239">
        <v>0</v>
      </c>
      <c r="DC159" s="239">
        <v>-4682863</v>
      </c>
      <c r="DD159" s="214">
        <v>0.5</v>
      </c>
      <c r="DE159" s="214">
        <v>0.4</v>
      </c>
      <c r="DF159" s="214">
        <v>0.1</v>
      </c>
      <c r="DG159" s="214">
        <v>0</v>
      </c>
      <c r="DH159" s="214">
        <v>1</v>
      </c>
      <c r="DI159" s="214" t="s">
        <v>1294</v>
      </c>
    </row>
    <row r="160" spans="2:113" s="214" customFormat="1" x14ac:dyDescent="0.2">
      <c r="B160" s="610" t="s">
        <v>403</v>
      </c>
      <c r="C160" s="610" t="s">
        <v>402</v>
      </c>
      <c r="D160" s="239">
        <v>88294356</v>
      </c>
      <c r="E160" s="239">
        <v>86528468</v>
      </c>
      <c r="F160" s="239">
        <v>0</v>
      </c>
      <c r="G160" s="239">
        <v>1765887</v>
      </c>
      <c r="H160" s="239">
        <v>176588711</v>
      </c>
      <c r="I160" s="239">
        <v>253655.97916666669</v>
      </c>
      <c r="J160" s="239">
        <v>253655.97916666669</v>
      </c>
      <c r="K160" s="239">
        <v>88040700.020833328</v>
      </c>
      <c r="L160" s="239">
        <v>778592</v>
      </c>
      <c r="M160" s="239">
        <v>778592</v>
      </c>
      <c r="N160" s="239">
        <v>0</v>
      </c>
      <c r="O160" s="239">
        <v>0</v>
      </c>
      <c r="P160" s="239">
        <v>0</v>
      </c>
      <c r="Q160" s="239">
        <v>0</v>
      </c>
      <c r="R160" s="239">
        <v>0</v>
      </c>
      <c r="S160" s="239">
        <v>253655.97916666669</v>
      </c>
      <c r="T160" s="239">
        <v>0</v>
      </c>
      <c r="U160" s="239">
        <v>0</v>
      </c>
      <c r="V160" s="239">
        <v>253655.97916666669</v>
      </c>
      <c r="W160" s="239">
        <v>37987385</v>
      </c>
      <c r="X160" s="239">
        <v>37227637</v>
      </c>
      <c r="Y160" s="239">
        <v>0</v>
      </c>
      <c r="Z160" s="239">
        <v>759748</v>
      </c>
      <c r="AA160" s="239">
        <v>75974770</v>
      </c>
      <c r="AB160" s="239">
        <v>-5277587</v>
      </c>
      <c r="AC160" s="239">
        <v>-5172036</v>
      </c>
      <c r="AD160" s="239">
        <v>0</v>
      </c>
      <c r="AE160" s="239">
        <v>-105552</v>
      </c>
      <c r="AF160" s="239">
        <v>-10555175</v>
      </c>
      <c r="AG160" s="239">
        <v>-25913102</v>
      </c>
      <c r="AH160" s="239">
        <v>-25364179</v>
      </c>
      <c r="AI160" s="239">
        <v>0</v>
      </c>
      <c r="AJ160" s="239">
        <v>-486350</v>
      </c>
      <c r="AK160" s="239">
        <v>-51763631</v>
      </c>
      <c r="AL160" s="239">
        <v>1127</v>
      </c>
      <c r="AM160" s="239">
        <v>1104</v>
      </c>
      <c r="AN160" s="239">
        <v>0</v>
      </c>
      <c r="AO160" s="239">
        <v>23</v>
      </c>
      <c r="AP160" s="239">
        <v>2254</v>
      </c>
      <c r="AQ160" s="239">
        <v>-2551758</v>
      </c>
      <c r="AR160" s="239">
        <v>-2500723</v>
      </c>
      <c r="AS160" s="239">
        <v>0</v>
      </c>
      <c r="AT160" s="239">
        <v>-51035</v>
      </c>
      <c r="AU160" s="239">
        <v>-5103516</v>
      </c>
      <c r="AV160" s="239">
        <v>-28463733</v>
      </c>
      <c r="AW160" s="239">
        <v>-27863798</v>
      </c>
      <c r="AX160" s="239">
        <v>0</v>
      </c>
      <c r="AY160" s="239">
        <v>-537362</v>
      </c>
      <c r="AZ160" s="239">
        <v>-56864893</v>
      </c>
      <c r="BA160" s="239">
        <v>-7051862</v>
      </c>
      <c r="BB160" s="239">
        <v>-6910824</v>
      </c>
      <c r="BC160" s="239">
        <v>0</v>
      </c>
      <c r="BD160" s="239">
        <v>-141038</v>
      </c>
      <c r="BE160" s="239">
        <v>-14103724</v>
      </c>
      <c r="BF160" s="239">
        <v>6934497</v>
      </c>
      <c r="BG160" s="239">
        <v>6795807</v>
      </c>
      <c r="BH160" s="239">
        <v>0</v>
      </c>
      <c r="BI160" s="239">
        <v>138690</v>
      </c>
      <c r="BJ160" s="239">
        <v>13868994</v>
      </c>
      <c r="BK160" s="239">
        <v>-9324442</v>
      </c>
      <c r="BL160" s="239">
        <v>-9137953</v>
      </c>
      <c r="BM160" s="239">
        <v>0</v>
      </c>
      <c r="BN160" s="239">
        <v>-186489</v>
      </c>
      <c r="BO160" s="239">
        <v>-18648884</v>
      </c>
      <c r="BP160" s="239">
        <v>-9441807</v>
      </c>
      <c r="BQ160" s="239">
        <v>-9252970</v>
      </c>
      <c r="BR160" s="239">
        <v>0</v>
      </c>
      <c r="BS160" s="239">
        <v>-188837</v>
      </c>
      <c r="BT160" s="239">
        <v>-18883614</v>
      </c>
      <c r="BU160" s="239">
        <v>-12532262</v>
      </c>
      <c r="BV160" s="239">
        <v>-12281616</v>
      </c>
      <c r="BW160" s="239">
        <v>0</v>
      </c>
      <c r="BX160" s="239">
        <v>-250645</v>
      </c>
      <c r="BY160" s="239">
        <v>-25064523</v>
      </c>
      <c r="BZ160" s="239">
        <v>-7888854</v>
      </c>
      <c r="CA160" s="239">
        <v>-7731076</v>
      </c>
      <c r="CB160" s="239">
        <v>0</v>
      </c>
      <c r="CC160" s="239">
        <v>-157777</v>
      </c>
      <c r="CD160" s="239">
        <v>-15777707</v>
      </c>
      <c r="CE160" s="239">
        <v>-4643408</v>
      </c>
      <c r="CF160" s="239">
        <v>-4550540</v>
      </c>
      <c r="CG160" s="239">
        <v>0</v>
      </c>
      <c r="CH160" s="239">
        <v>-92868</v>
      </c>
      <c r="CI160" s="239">
        <v>-9286816</v>
      </c>
      <c r="CJ160" s="239">
        <v>95022068</v>
      </c>
      <c r="CK160" s="239">
        <v>93121627</v>
      </c>
      <c r="CL160" s="239">
        <v>0</v>
      </c>
      <c r="CM160" s="239">
        <v>1900441</v>
      </c>
      <c r="CN160" s="239">
        <v>190044136</v>
      </c>
      <c r="CO160" s="239">
        <v>88294356</v>
      </c>
      <c r="CP160" s="239">
        <v>86528468</v>
      </c>
      <c r="CQ160" s="239">
        <v>0</v>
      </c>
      <c r="CR160" s="239">
        <v>1765887</v>
      </c>
      <c r="CS160" s="239">
        <v>176588711</v>
      </c>
      <c r="CT160" s="239">
        <v>-6727712</v>
      </c>
      <c r="CU160" s="239">
        <v>-6593159</v>
      </c>
      <c r="CV160" s="239">
        <v>0</v>
      </c>
      <c r="CW160" s="239">
        <v>-134554</v>
      </c>
      <c r="CX160" s="239">
        <v>-13455425</v>
      </c>
      <c r="CY160" s="239">
        <v>-11371120</v>
      </c>
      <c r="CZ160" s="239">
        <v>-11143699</v>
      </c>
      <c r="DA160" s="239">
        <v>0</v>
      </c>
      <c r="DB160" s="239">
        <v>-227422</v>
      </c>
      <c r="DC160" s="239">
        <v>-22742241</v>
      </c>
      <c r="DD160" s="214">
        <v>0.5</v>
      </c>
      <c r="DE160" s="214">
        <v>0.49</v>
      </c>
      <c r="DF160" s="214">
        <v>0</v>
      </c>
      <c r="DG160" s="214">
        <v>0.01</v>
      </c>
      <c r="DH160" s="214">
        <v>1</v>
      </c>
      <c r="DI160" s="214" t="s">
        <v>1296</v>
      </c>
    </row>
    <row r="161" spans="1:113" s="214" customFormat="1" x14ac:dyDescent="0.2">
      <c r="B161" s="610" t="s">
        <v>405</v>
      </c>
      <c r="C161" s="610" t="s">
        <v>404</v>
      </c>
      <c r="D161" s="239">
        <v>29515677</v>
      </c>
      <c r="E161" s="239">
        <v>28925364</v>
      </c>
      <c r="F161" s="239">
        <v>0</v>
      </c>
      <c r="G161" s="239">
        <v>590314</v>
      </c>
      <c r="H161" s="239">
        <v>59031355</v>
      </c>
      <c r="I161" s="239">
        <v>0</v>
      </c>
      <c r="J161" s="239">
        <v>0</v>
      </c>
      <c r="K161" s="239">
        <v>29515677</v>
      </c>
      <c r="L161" s="239">
        <v>259664</v>
      </c>
      <c r="M161" s="239">
        <v>259664</v>
      </c>
      <c r="N161" s="239">
        <v>0</v>
      </c>
      <c r="O161" s="239">
        <v>0</v>
      </c>
      <c r="P161" s="239">
        <v>0</v>
      </c>
      <c r="Q161" s="239">
        <v>0</v>
      </c>
      <c r="R161" s="239">
        <v>0</v>
      </c>
      <c r="S161" s="239">
        <v>0</v>
      </c>
      <c r="T161" s="239">
        <v>0</v>
      </c>
      <c r="U161" s="239">
        <v>0</v>
      </c>
      <c r="V161" s="239">
        <v>0</v>
      </c>
      <c r="W161" s="239">
        <v>5761749</v>
      </c>
      <c r="X161" s="239">
        <v>5646514</v>
      </c>
      <c r="Y161" s="239">
        <v>0</v>
      </c>
      <c r="Z161" s="239">
        <v>115235</v>
      </c>
      <c r="AA161" s="239">
        <v>11523498</v>
      </c>
      <c r="AB161" s="239">
        <v>-2001428</v>
      </c>
      <c r="AC161" s="239">
        <v>-1961400</v>
      </c>
      <c r="AD161" s="239">
        <v>0</v>
      </c>
      <c r="AE161" s="239">
        <v>-40029</v>
      </c>
      <c r="AF161" s="239">
        <v>-4002857</v>
      </c>
      <c r="AG161" s="239">
        <v>-2454766.5</v>
      </c>
      <c r="AH161" s="239">
        <v>-2405671.17</v>
      </c>
      <c r="AI161" s="239">
        <v>0</v>
      </c>
      <c r="AJ161" s="239">
        <v>-49095.33</v>
      </c>
      <c r="AK161" s="239">
        <v>-4909533</v>
      </c>
      <c r="AL161" s="239">
        <v>837366</v>
      </c>
      <c r="AM161" s="239">
        <v>820618</v>
      </c>
      <c r="AN161" s="239">
        <v>0</v>
      </c>
      <c r="AO161" s="239">
        <v>16747</v>
      </c>
      <c r="AP161" s="239">
        <v>1674731</v>
      </c>
      <c r="AQ161" s="239">
        <v>-2195575</v>
      </c>
      <c r="AR161" s="239">
        <v>-2151664</v>
      </c>
      <c r="AS161" s="239">
        <v>0</v>
      </c>
      <c r="AT161" s="239">
        <v>-43912</v>
      </c>
      <c r="AU161" s="239">
        <v>-4391151</v>
      </c>
      <c r="AV161" s="239">
        <v>-3812975.5</v>
      </c>
      <c r="AW161" s="239">
        <v>-3736717.17</v>
      </c>
      <c r="AX161" s="239">
        <v>0</v>
      </c>
      <c r="AY161" s="239">
        <v>-76260.33</v>
      </c>
      <c r="AZ161" s="239">
        <v>-7625953</v>
      </c>
      <c r="BA161" s="239">
        <v>-5336589.8</v>
      </c>
      <c r="BB161" s="239">
        <v>-5229857</v>
      </c>
      <c r="BC161" s="239">
        <v>0</v>
      </c>
      <c r="BD161" s="239">
        <v>-106732</v>
      </c>
      <c r="BE161" s="239">
        <v>-10673178</v>
      </c>
      <c r="BF161" s="239">
        <v>1876980</v>
      </c>
      <c r="BG161" s="239">
        <v>1839441</v>
      </c>
      <c r="BH161" s="239">
        <v>0</v>
      </c>
      <c r="BI161" s="239">
        <v>37540</v>
      </c>
      <c r="BJ161" s="239">
        <v>3753961</v>
      </c>
      <c r="BK161" s="239">
        <v>-3695570</v>
      </c>
      <c r="BL161" s="239">
        <v>-3621659</v>
      </c>
      <c r="BM161" s="239">
        <v>0</v>
      </c>
      <c r="BN161" s="239">
        <v>-73911</v>
      </c>
      <c r="BO161" s="239">
        <v>-7391140</v>
      </c>
      <c r="BP161" s="239">
        <v>-7155179.7999999998</v>
      </c>
      <c r="BQ161" s="239">
        <v>-7012075</v>
      </c>
      <c r="BR161" s="239">
        <v>0</v>
      </c>
      <c r="BS161" s="239">
        <v>-143103</v>
      </c>
      <c r="BT161" s="239">
        <v>-14310357</v>
      </c>
      <c r="BU161" s="239">
        <v>1063230</v>
      </c>
      <c r="BV161" s="239">
        <v>1041966</v>
      </c>
      <c r="BW161" s="239">
        <v>0</v>
      </c>
      <c r="BX161" s="239">
        <v>21265</v>
      </c>
      <c r="BY161" s="239">
        <v>2126461</v>
      </c>
      <c r="BZ161" s="239">
        <v>1336493</v>
      </c>
      <c r="CA161" s="239">
        <v>1309763</v>
      </c>
      <c r="CB161" s="239">
        <v>0</v>
      </c>
      <c r="CC161" s="239">
        <v>26730</v>
      </c>
      <c r="CD161" s="239">
        <v>2672986</v>
      </c>
      <c r="CE161" s="239">
        <v>-273263</v>
      </c>
      <c r="CF161" s="239">
        <v>-267797</v>
      </c>
      <c r="CG161" s="239">
        <v>0</v>
      </c>
      <c r="CH161" s="239">
        <v>-5465</v>
      </c>
      <c r="CI161" s="239">
        <v>-546525</v>
      </c>
      <c r="CJ161" s="239">
        <v>33197063</v>
      </c>
      <c r="CK161" s="239">
        <v>32533121</v>
      </c>
      <c r="CL161" s="239">
        <v>0</v>
      </c>
      <c r="CM161" s="239">
        <v>663941</v>
      </c>
      <c r="CN161" s="239">
        <v>66394125</v>
      </c>
      <c r="CO161" s="239">
        <v>29515677</v>
      </c>
      <c r="CP161" s="239">
        <v>28925364</v>
      </c>
      <c r="CQ161" s="239">
        <v>0</v>
      </c>
      <c r="CR161" s="239">
        <v>590314</v>
      </c>
      <c r="CS161" s="239">
        <v>59031355</v>
      </c>
      <c r="CT161" s="239">
        <v>-3681386</v>
      </c>
      <c r="CU161" s="239">
        <v>-3607757</v>
      </c>
      <c r="CV161" s="239">
        <v>0</v>
      </c>
      <c r="CW161" s="239">
        <v>-73627</v>
      </c>
      <c r="CX161" s="239">
        <v>-7362770</v>
      </c>
      <c r="CY161" s="239">
        <v>-3954649</v>
      </c>
      <c r="CZ161" s="239">
        <v>-3875554</v>
      </c>
      <c r="DA161" s="239">
        <v>0</v>
      </c>
      <c r="DB161" s="239">
        <v>-79092</v>
      </c>
      <c r="DC161" s="239">
        <v>-7909295</v>
      </c>
      <c r="DD161" s="214">
        <v>0.5</v>
      </c>
      <c r="DE161" s="214">
        <v>0.49</v>
      </c>
      <c r="DF161" s="214">
        <v>0</v>
      </c>
      <c r="DG161" s="214">
        <v>0.01</v>
      </c>
      <c r="DH161" s="214">
        <v>1</v>
      </c>
      <c r="DI161" s="214" t="s">
        <v>748</v>
      </c>
    </row>
    <row r="162" spans="1:113" s="214" customFormat="1" x14ac:dyDescent="0.2">
      <c r="B162" s="610" t="s">
        <v>407</v>
      </c>
      <c r="C162" s="610" t="s">
        <v>406</v>
      </c>
      <c r="D162" s="239">
        <v>27366575</v>
      </c>
      <c r="E162" s="239">
        <v>21893261</v>
      </c>
      <c r="F162" s="239">
        <v>4925984</v>
      </c>
      <c r="G162" s="239">
        <v>547332</v>
      </c>
      <c r="H162" s="239">
        <v>54733152</v>
      </c>
      <c r="I162" s="239">
        <v>0</v>
      </c>
      <c r="J162" s="239">
        <v>0</v>
      </c>
      <c r="K162" s="239">
        <v>27366575</v>
      </c>
      <c r="L162" s="239">
        <v>206271</v>
      </c>
      <c r="M162" s="239">
        <v>206271</v>
      </c>
      <c r="N162" s="239">
        <v>0</v>
      </c>
      <c r="O162" s="239">
        <v>0</v>
      </c>
      <c r="P162" s="239">
        <v>0</v>
      </c>
      <c r="Q162" s="239">
        <v>0</v>
      </c>
      <c r="R162" s="239">
        <v>0</v>
      </c>
      <c r="S162" s="239">
        <v>0</v>
      </c>
      <c r="T162" s="239">
        <v>0</v>
      </c>
      <c r="U162" s="239">
        <v>0</v>
      </c>
      <c r="V162" s="239">
        <v>0</v>
      </c>
      <c r="W162" s="239">
        <v>1635683</v>
      </c>
      <c r="X162" s="239">
        <v>1308546</v>
      </c>
      <c r="Y162" s="239">
        <v>294423</v>
      </c>
      <c r="Z162" s="239">
        <v>32714</v>
      </c>
      <c r="AA162" s="239">
        <v>3271366</v>
      </c>
      <c r="AB162" s="239">
        <v>-245980</v>
      </c>
      <c r="AC162" s="239">
        <v>-196784</v>
      </c>
      <c r="AD162" s="239">
        <v>-44276</v>
      </c>
      <c r="AE162" s="239">
        <v>-4920</v>
      </c>
      <c r="AF162" s="239">
        <v>-491960</v>
      </c>
      <c r="AG162" s="239">
        <v>-962159.91</v>
      </c>
      <c r="AH162" s="239">
        <v>-769726</v>
      </c>
      <c r="AI162" s="239">
        <v>-173188</v>
      </c>
      <c r="AJ162" s="239">
        <v>-19243</v>
      </c>
      <c r="AK162" s="239">
        <v>-1924316.9</v>
      </c>
      <c r="AL162" s="239">
        <v>627358</v>
      </c>
      <c r="AM162" s="239">
        <v>501886</v>
      </c>
      <c r="AN162" s="239">
        <v>112924</v>
      </c>
      <c r="AO162" s="239">
        <v>12547</v>
      </c>
      <c r="AP162" s="239">
        <v>1254715</v>
      </c>
      <c r="AQ162" s="239">
        <v>-12856</v>
      </c>
      <c r="AR162" s="239">
        <v>-10284</v>
      </c>
      <c r="AS162" s="239">
        <v>-2314</v>
      </c>
      <c r="AT162" s="239">
        <v>-257</v>
      </c>
      <c r="AU162" s="239">
        <v>-25711</v>
      </c>
      <c r="AV162" s="239">
        <v>-347657.91000000003</v>
      </c>
      <c r="AW162" s="239">
        <v>-278124</v>
      </c>
      <c r="AX162" s="239">
        <v>-62578</v>
      </c>
      <c r="AY162" s="239">
        <v>-6953</v>
      </c>
      <c r="AZ162" s="239">
        <v>-695312.89999999991</v>
      </c>
      <c r="BA162" s="239">
        <v>-1335426</v>
      </c>
      <c r="BB162" s="239">
        <v>-1068342</v>
      </c>
      <c r="BC162" s="239">
        <v>-240377</v>
      </c>
      <c r="BD162" s="239">
        <v>-26709</v>
      </c>
      <c r="BE162" s="239">
        <v>-2670854</v>
      </c>
      <c r="BF162" s="239">
        <v>527370</v>
      </c>
      <c r="BG162" s="239">
        <v>421896</v>
      </c>
      <c r="BH162" s="239">
        <v>94927</v>
      </c>
      <c r="BI162" s="239">
        <v>10547</v>
      </c>
      <c r="BJ162" s="239">
        <v>1054740</v>
      </c>
      <c r="BK162" s="239">
        <v>-2335398</v>
      </c>
      <c r="BL162" s="239">
        <v>-1868318</v>
      </c>
      <c r="BM162" s="239">
        <v>-420372</v>
      </c>
      <c r="BN162" s="239">
        <v>-46708</v>
      </c>
      <c r="BO162" s="239">
        <v>-4670796</v>
      </c>
      <c r="BP162" s="239">
        <v>-3143454</v>
      </c>
      <c r="BQ162" s="239">
        <v>-2514764</v>
      </c>
      <c r="BR162" s="239">
        <v>-565822</v>
      </c>
      <c r="BS162" s="239">
        <v>-62870</v>
      </c>
      <c r="BT162" s="239">
        <v>-6286910</v>
      </c>
      <c r="BU162" s="239">
        <v>306969</v>
      </c>
      <c r="BV162" s="239">
        <v>245576</v>
      </c>
      <c r="BW162" s="239">
        <v>55255</v>
      </c>
      <c r="BX162" s="239">
        <v>6139</v>
      </c>
      <c r="BY162" s="239">
        <v>613939</v>
      </c>
      <c r="BZ162" s="239">
        <v>1908103</v>
      </c>
      <c r="CA162" s="239">
        <v>1526483</v>
      </c>
      <c r="CB162" s="239">
        <v>343459</v>
      </c>
      <c r="CC162" s="239">
        <v>38162</v>
      </c>
      <c r="CD162" s="239">
        <v>3816207</v>
      </c>
      <c r="CE162" s="239">
        <v>-1601134</v>
      </c>
      <c r="CF162" s="239">
        <v>-1280907</v>
      </c>
      <c r="CG162" s="239">
        <v>-288204</v>
      </c>
      <c r="CH162" s="239">
        <v>-32023</v>
      </c>
      <c r="CI162" s="239">
        <v>-3202268</v>
      </c>
      <c r="CJ162" s="239">
        <v>29262537</v>
      </c>
      <c r="CK162" s="239">
        <v>23410030</v>
      </c>
      <c r="CL162" s="239">
        <v>5267257</v>
      </c>
      <c r="CM162" s="239">
        <v>585251</v>
      </c>
      <c r="CN162" s="239">
        <v>58525075</v>
      </c>
      <c r="CO162" s="239">
        <v>27366575</v>
      </c>
      <c r="CP162" s="239">
        <v>21893261</v>
      </c>
      <c r="CQ162" s="239">
        <v>4925984</v>
      </c>
      <c r="CR162" s="239">
        <v>547332</v>
      </c>
      <c r="CS162" s="239">
        <v>54733152</v>
      </c>
      <c r="CT162" s="239">
        <v>-1895962</v>
      </c>
      <c r="CU162" s="239">
        <v>-1516769</v>
      </c>
      <c r="CV162" s="239">
        <v>-341273</v>
      </c>
      <c r="CW162" s="239">
        <v>-37919</v>
      </c>
      <c r="CX162" s="239">
        <v>-3791923</v>
      </c>
      <c r="CY162" s="239">
        <v>-3497096</v>
      </c>
      <c r="CZ162" s="239">
        <v>-2797676</v>
      </c>
      <c r="DA162" s="239">
        <v>-629477</v>
      </c>
      <c r="DB162" s="239">
        <v>-69942</v>
      </c>
      <c r="DC162" s="239">
        <v>-6994191</v>
      </c>
      <c r="DD162" s="214">
        <v>0.5</v>
      </c>
      <c r="DE162" s="214">
        <v>0.4</v>
      </c>
      <c r="DF162" s="214">
        <v>0.09</v>
      </c>
      <c r="DG162" s="214">
        <v>0.01</v>
      </c>
      <c r="DH162" s="214">
        <v>1</v>
      </c>
      <c r="DI162" s="214" t="s">
        <v>1294</v>
      </c>
    </row>
    <row r="163" spans="1:113" s="214" customFormat="1" x14ac:dyDescent="0.2">
      <c r="A163" s="215" t="s">
        <v>1321</v>
      </c>
      <c r="B163" s="610" t="s">
        <v>409</v>
      </c>
      <c r="C163" s="610" t="s">
        <v>408</v>
      </c>
      <c r="D163" s="239">
        <v>6628807</v>
      </c>
      <c r="E163" s="239">
        <v>5303045</v>
      </c>
      <c r="F163" s="239">
        <v>1193185</v>
      </c>
      <c r="G163" s="239">
        <v>132576</v>
      </c>
      <c r="H163" s="239">
        <v>13257613</v>
      </c>
      <c r="I163" s="239">
        <v>0</v>
      </c>
      <c r="J163" s="239">
        <v>0</v>
      </c>
      <c r="K163" s="239">
        <v>6628807</v>
      </c>
      <c r="L163" s="239">
        <v>93051</v>
      </c>
      <c r="M163" s="239">
        <v>93051</v>
      </c>
      <c r="N163" s="239">
        <v>0</v>
      </c>
      <c r="O163" s="239">
        <v>0</v>
      </c>
      <c r="P163" s="239">
        <v>486386</v>
      </c>
      <c r="Q163" s="239">
        <v>0</v>
      </c>
      <c r="R163" s="239">
        <v>486386</v>
      </c>
      <c r="S163" s="239">
        <v>0</v>
      </c>
      <c r="T163" s="239">
        <v>0</v>
      </c>
      <c r="U163" s="239">
        <v>0</v>
      </c>
      <c r="V163" s="239">
        <v>0</v>
      </c>
      <c r="W163" s="239">
        <v>410555</v>
      </c>
      <c r="X163" s="239">
        <v>328444</v>
      </c>
      <c r="Y163" s="239">
        <v>73900</v>
      </c>
      <c r="Z163" s="239">
        <v>8211</v>
      </c>
      <c r="AA163" s="239">
        <v>821110</v>
      </c>
      <c r="AB163" s="239">
        <v>-220103</v>
      </c>
      <c r="AC163" s="239">
        <v>-176082</v>
      </c>
      <c r="AD163" s="239">
        <v>-39619</v>
      </c>
      <c r="AE163" s="239">
        <v>-4402</v>
      </c>
      <c r="AF163" s="239">
        <v>-440206</v>
      </c>
      <c r="AG163" s="239">
        <v>-164000</v>
      </c>
      <c r="AH163" s="239">
        <v>-131200</v>
      </c>
      <c r="AI163" s="239">
        <v>-29520</v>
      </c>
      <c r="AJ163" s="239">
        <v>-3280</v>
      </c>
      <c r="AK163" s="239">
        <v>-328000</v>
      </c>
      <c r="AL163" s="239">
        <v>20379</v>
      </c>
      <c r="AM163" s="239">
        <v>16303</v>
      </c>
      <c r="AN163" s="239">
        <v>3668</v>
      </c>
      <c r="AO163" s="239">
        <v>408</v>
      </c>
      <c r="AP163" s="239">
        <v>40758</v>
      </c>
      <c r="AQ163" s="239">
        <v>-36379</v>
      </c>
      <c r="AR163" s="239">
        <v>-29103</v>
      </c>
      <c r="AS163" s="239">
        <v>-6548</v>
      </c>
      <c r="AT163" s="239">
        <v>-728</v>
      </c>
      <c r="AU163" s="239">
        <v>-72758</v>
      </c>
      <c r="AV163" s="239">
        <v>-180000</v>
      </c>
      <c r="AW163" s="239">
        <v>-144000</v>
      </c>
      <c r="AX163" s="239">
        <v>-32400</v>
      </c>
      <c r="AY163" s="239">
        <v>-3600</v>
      </c>
      <c r="AZ163" s="239">
        <v>-360000</v>
      </c>
      <c r="BA163" s="239">
        <v>-435939</v>
      </c>
      <c r="BB163" s="239">
        <v>-348751</v>
      </c>
      <c r="BC163" s="239">
        <v>-78469</v>
      </c>
      <c r="BD163" s="239">
        <v>-8719</v>
      </c>
      <c r="BE163" s="239">
        <v>-871878</v>
      </c>
      <c r="BF163" s="239">
        <v>10738</v>
      </c>
      <c r="BG163" s="239">
        <v>8591</v>
      </c>
      <c r="BH163" s="239">
        <v>1933</v>
      </c>
      <c r="BI163" s="239">
        <v>215</v>
      </c>
      <c r="BJ163" s="239">
        <v>21477</v>
      </c>
      <c r="BK163" s="239">
        <v>-112219</v>
      </c>
      <c r="BL163" s="239">
        <v>-89775</v>
      </c>
      <c r="BM163" s="239">
        <v>-20199</v>
      </c>
      <c r="BN163" s="239">
        <v>-2244</v>
      </c>
      <c r="BO163" s="239">
        <v>-224437</v>
      </c>
      <c r="BP163" s="239">
        <v>-537420</v>
      </c>
      <c r="BQ163" s="239">
        <v>-429935</v>
      </c>
      <c r="BR163" s="239">
        <v>-96735</v>
      </c>
      <c r="BS163" s="239">
        <v>-10748</v>
      </c>
      <c r="BT163" s="239">
        <v>-1074838</v>
      </c>
      <c r="BU163" s="239">
        <v>-270916</v>
      </c>
      <c r="BV163" s="239">
        <v>-216732</v>
      </c>
      <c r="BW163" s="239">
        <v>-48765</v>
      </c>
      <c r="BX163" s="239">
        <v>-5418</v>
      </c>
      <c r="BY163" s="239">
        <v>-541831</v>
      </c>
      <c r="BZ163" s="239">
        <v>96786</v>
      </c>
      <c r="CA163" s="239">
        <v>77429</v>
      </c>
      <c r="CB163" s="239">
        <v>17421</v>
      </c>
      <c r="CC163" s="239">
        <v>1936</v>
      </c>
      <c r="CD163" s="239">
        <v>193572</v>
      </c>
      <c r="CE163" s="239">
        <v>-367702</v>
      </c>
      <c r="CF163" s="239">
        <v>-294161</v>
      </c>
      <c r="CG163" s="239">
        <v>-66186</v>
      </c>
      <c r="CH163" s="239">
        <v>-7354</v>
      </c>
      <c r="CI163" s="239">
        <v>-735403</v>
      </c>
      <c r="CJ163" s="239">
        <v>6644949</v>
      </c>
      <c r="CK163" s="239">
        <v>5315959</v>
      </c>
      <c r="CL163" s="239">
        <v>1196091</v>
      </c>
      <c r="CM163" s="239">
        <v>132899</v>
      </c>
      <c r="CN163" s="239">
        <v>13289898</v>
      </c>
      <c r="CO163" s="239">
        <v>6628807</v>
      </c>
      <c r="CP163" s="239">
        <v>5303045</v>
      </c>
      <c r="CQ163" s="239">
        <v>1193185</v>
      </c>
      <c r="CR163" s="239">
        <v>132576</v>
      </c>
      <c r="CS163" s="239">
        <v>13257613</v>
      </c>
      <c r="CT163" s="239">
        <v>-16142</v>
      </c>
      <c r="CU163" s="239">
        <v>-12914</v>
      </c>
      <c r="CV163" s="239">
        <v>-2906</v>
      </c>
      <c r="CW163" s="239">
        <v>-323</v>
      </c>
      <c r="CX163" s="239">
        <v>-32285</v>
      </c>
      <c r="CY163" s="239">
        <v>-383844</v>
      </c>
      <c r="CZ163" s="239">
        <v>-307075</v>
      </c>
      <c r="DA163" s="239">
        <v>-69092</v>
      </c>
      <c r="DB163" s="239">
        <v>-7677</v>
      </c>
      <c r="DC163" s="239">
        <v>-767688</v>
      </c>
      <c r="DD163" s="214">
        <v>0.5</v>
      </c>
      <c r="DE163" s="214">
        <v>0.4</v>
      </c>
      <c r="DF163" s="214">
        <v>0.09</v>
      </c>
      <c r="DG163" s="214">
        <v>0.01</v>
      </c>
      <c r="DH163" s="214">
        <v>1</v>
      </c>
      <c r="DI163" s="214" t="s">
        <v>1294</v>
      </c>
    </row>
    <row r="164" spans="1:113" s="214" customFormat="1" x14ac:dyDescent="0.2">
      <c r="B164" s="610" t="s">
        <v>411</v>
      </c>
      <c r="C164" s="610" t="s">
        <v>410</v>
      </c>
      <c r="D164" s="239">
        <v>7064092</v>
      </c>
      <c r="E164" s="239">
        <v>5651273</v>
      </c>
      <c r="F164" s="239">
        <v>1271536</v>
      </c>
      <c r="G164" s="239">
        <v>141282</v>
      </c>
      <c r="H164" s="239">
        <v>14128183</v>
      </c>
      <c r="I164" s="239">
        <v>0</v>
      </c>
      <c r="J164" s="239">
        <v>0</v>
      </c>
      <c r="K164" s="239">
        <v>7064092</v>
      </c>
      <c r="L164" s="239">
        <v>107713</v>
      </c>
      <c r="M164" s="239">
        <v>107713</v>
      </c>
      <c r="N164" s="239">
        <v>0</v>
      </c>
      <c r="O164" s="239">
        <v>0</v>
      </c>
      <c r="P164" s="239">
        <v>0</v>
      </c>
      <c r="Q164" s="239">
        <v>0</v>
      </c>
      <c r="R164" s="239">
        <v>0</v>
      </c>
      <c r="S164" s="239">
        <v>0</v>
      </c>
      <c r="T164" s="239">
        <v>0</v>
      </c>
      <c r="U164" s="239">
        <v>0</v>
      </c>
      <c r="V164" s="239">
        <v>0</v>
      </c>
      <c r="W164" s="239">
        <v>233383</v>
      </c>
      <c r="X164" s="239">
        <v>186706</v>
      </c>
      <c r="Y164" s="239">
        <v>42009</v>
      </c>
      <c r="Z164" s="239">
        <v>4668</v>
      </c>
      <c r="AA164" s="239">
        <v>466766</v>
      </c>
      <c r="AB164" s="239">
        <v>-28539</v>
      </c>
      <c r="AC164" s="239">
        <v>-22832</v>
      </c>
      <c r="AD164" s="239">
        <v>-5137</v>
      </c>
      <c r="AE164" s="239">
        <v>-571</v>
      </c>
      <c r="AF164" s="239">
        <v>-57079</v>
      </c>
      <c r="AG164" s="239">
        <v>0</v>
      </c>
      <c r="AH164" s="239">
        <v>0</v>
      </c>
      <c r="AI164" s="239">
        <v>0</v>
      </c>
      <c r="AJ164" s="239">
        <v>0</v>
      </c>
      <c r="AK164" s="239">
        <v>0</v>
      </c>
      <c r="AL164" s="239">
        <v>31703</v>
      </c>
      <c r="AM164" s="239">
        <v>25362</v>
      </c>
      <c r="AN164" s="239">
        <v>5706</v>
      </c>
      <c r="AO164" s="239">
        <v>634</v>
      </c>
      <c r="AP164" s="239">
        <v>63405</v>
      </c>
      <c r="AQ164" s="239">
        <v>0</v>
      </c>
      <c r="AR164" s="239">
        <v>0</v>
      </c>
      <c r="AS164" s="239">
        <v>0</v>
      </c>
      <c r="AT164" s="239">
        <v>0</v>
      </c>
      <c r="AU164" s="239">
        <v>0</v>
      </c>
      <c r="AV164" s="239">
        <v>31703</v>
      </c>
      <c r="AW164" s="239">
        <v>25362</v>
      </c>
      <c r="AX164" s="239">
        <v>5706</v>
      </c>
      <c r="AY164" s="239">
        <v>634</v>
      </c>
      <c r="AZ164" s="239">
        <v>63405</v>
      </c>
      <c r="BA164" s="239">
        <v>-2170638.4</v>
      </c>
      <c r="BB164" s="239">
        <v>-1736511</v>
      </c>
      <c r="BC164" s="239">
        <v>-390715</v>
      </c>
      <c r="BD164" s="239">
        <v>-43412</v>
      </c>
      <c r="BE164" s="239">
        <v>-4341276.4000000004</v>
      </c>
      <c r="BF164" s="239">
        <v>1739526</v>
      </c>
      <c r="BG164" s="239">
        <v>1391622</v>
      </c>
      <c r="BH164" s="239">
        <v>313115</v>
      </c>
      <c r="BI164" s="239">
        <v>34791</v>
      </c>
      <c r="BJ164" s="239">
        <v>3479054</v>
      </c>
      <c r="BK164" s="239">
        <v>-1179388</v>
      </c>
      <c r="BL164" s="239">
        <v>-943511</v>
      </c>
      <c r="BM164" s="239">
        <v>-212290</v>
      </c>
      <c r="BN164" s="239">
        <v>-23588</v>
      </c>
      <c r="BO164" s="239">
        <v>-2358777</v>
      </c>
      <c r="BP164" s="239">
        <v>-1610500.4</v>
      </c>
      <c r="BQ164" s="239">
        <v>-1288400</v>
      </c>
      <c r="BR164" s="239">
        <v>-289890</v>
      </c>
      <c r="BS164" s="239">
        <v>-32209</v>
      </c>
      <c r="BT164" s="239">
        <v>-3220999.4000000004</v>
      </c>
      <c r="BU164" s="239">
        <v>-2653552</v>
      </c>
      <c r="BV164" s="239">
        <v>-2122842</v>
      </c>
      <c r="BW164" s="239">
        <v>-477639</v>
      </c>
      <c r="BX164" s="239">
        <v>-53071</v>
      </c>
      <c r="BY164" s="239">
        <v>-5307104</v>
      </c>
      <c r="BZ164" s="239">
        <v>-735171</v>
      </c>
      <c r="CA164" s="239">
        <v>-588136</v>
      </c>
      <c r="CB164" s="239">
        <v>-132331</v>
      </c>
      <c r="CC164" s="239">
        <v>-14703</v>
      </c>
      <c r="CD164" s="239">
        <v>-1470341</v>
      </c>
      <c r="CE164" s="239">
        <v>-1918381</v>
      </c>
      <c r="CF164" s="239">
        <v>-1534706</v>
      </c>
      <c r="CG164" s="239">
        <v>-345308</v>
      </c>
      <c r="CH164" s="239">
        <v>-38368</v>
      </c>
      <c r="CI164" s="239">
        <v>-3836763</v>
      </c>
      <c r="CJ164" s="239">
        <v>7535778</v>
      </c>
      <c r="CK164" s="239">
        <v>6028623</v>
      </c>
      <c r="CL164" s="239">
        <v>1356440</v>
      </c>
      <c r="CM164" s="239">
        <v>150716</v>
      </c>
      <c r="CN164" s="239">
        <v>15071557</v>
      </c>
      <c r="CO164" s="239">
        <v>7064092</v>
      </c>
      <c r="CP164" s="239">
        <v>5651273</v>
      </c>
      <c r="CQ164" s="239">
        <v>1271536</v>
      </c>
      <c r="CR164" s="239">
        <v>141282</v>
      </c>
      <c r="CS164" s="239">
        <v>14128183</v>
      </c>
      <c r="CT164" s="239">
        <v>-471686</v>
      </c>
      <c r="CU164" s="239">
        <v>-377350</v>
      </c>
      <c r="CV164" s="239">
        <v>-84904</v>
      </c>
      <c r="CW164" s="239">
        <v>-9434</v>
      </c>
      <c r="CX164" s="239">
        <v>-943374</v>
      </c>
      <c r="CY164" s="239">
        <v>-2390067</v>
      </c>
      <c r="CZ164" s="239">
        <v>-1912056</v>
      </c>
      <c r="DA164" s="239">
        <v>-430212</v>
      </c>
      <c r="DB164" s="239">
        <v>-47802</v>
      </c>
      <c r="DC164" s="239">
        <v>-4780137</v>
      </c>
      <c r="DD164" s="214">
        <v>0.5</v>
      </c>
      <c r="DE164" s="214">
        <v>0.4</v>
      </c>
      <c r="DF164" s="214">
        <v>0.09</v>
      </c>
      <c r="DG164" s="214">
        <v>0.01</v>
      </c>
      <c r="DH164" s="214">
        <v>1</v>
      </c>
      <c r="DI164" s="214" t="s">
        <v>1294</v>
      </c>
    </row>
    <row r="165" spans="1:113" s="214" customFormat="1" x14ac:dyDescent="0.2">
      <c r="B165" s="610" t="s">
        <v>413</v>
      </c>
      <c r="C165" s="610" t="s">
        <v>412</v>
      </c>
      <c r="D165" s="239">
        <v>174415572</v>
      </c>
      <c r="E165" s="239">
        <v>170927260</v>
      </c>
      <c r="F165" s="239">
        <v>0</v>
      </c>
      <c r="G165" s="239">
        <v>3488311</v>
      </c>
      <c r="H165" s="239">
        <v>348831143</v>
      </c>
      <c r="I165" s="239">
        <v>893894.58750000002</v>
      </c>
      <c r="J165" s="239">
        <v>893894.58750000002</v>
      </c>
      <c r="K165" s="239">
        <v>173521677.41249999</v>
      </c>
      <c r="L165" s="239">
        <v>1120777</v>
      </c>
      <c r="M165" s="239">
        <v>1120777</v>
      </c>
      <c r="N165" s="239">
        <v>0</v>
      </c>
      <c r="O165" s="239">
        <v>0</v>
      </c>
      <c r="P165" s="239">
        <v>0</v>
      </c>
      <c r="Q165" s="239">
        <v>0</v>
      </c>
      <c r="R165" s="239">
        <v>0</v>
      </c>
      <c r="S165" s="239">
        <v>893894.58750000002</v>
      </c>
      <c r="T165" s="239">
        <v>0</v>
      </c>
      <c r="U165" s="239">
        <v>0</v>
      </c>
      <c r="V165" s="239">
        <v>893894.58750000002</v>
      </c>
      <c r="W165" s="239">
        <v>13063580</v>
      </c>
      <c r="X165" s="239">
        <v>12802308</v>
      </c>
      <c r="Y165" s="239">
        <v>0</v>
      </c>
      <c r="Z165" s="239">
        <v>261272</v>
      </c>
      <c r="AA165" s="239">
        <v>26127160</v>
      </c>
      <c r="AB165" s="239">
        <v>-8083541</v>
      </c>
      <c r="AC165" s="239">
        <v>-7921871</v>
      </c>
      <c r="AD165" s="239">
        <v>0</v>
      </c>
      <c r="AE165" s="239">
        <v>-161671</v>
      </c>
      <c r="AF165" s="239">
        <v>-16167083</v>
      </c>
      <c r="AG165" s="239">
        <v>-6233989</v>
      </c>
      <c r="AH165" s="239">
        <v>-6109309</v>
      </c>
      <c r="AI165" s="239">
        <v>0</v>
      </c>
      <c r="AJ165" s="239">
        <v>-124680</v>
      </c>
      <c r="AK165" s="239">
        <v>-12467978</v>
      </c>
      <c r="AL165" s="239">
        <v>2173823</v>
      </c>
      <c r="AM165" s="239">
        <v>2130347</v>
      </c>
      <c r="AN165" s="239">
        <v>0</v>
      </c>
      <c r="AO165" s="239">
        <v>43476</v>
      </c>
      <c r="AP165" s="239">
        <v>4347646</v>
      </c>
      <c r="AQ165" s="239">
        <v>-2976329</v>
      </c>
      <c r="AR165" s="239">
        <v>-2916802</v>
      </c>
      <c r="AS165" s="239">
        <v>0</v>
      </c>
      <c r="AT165" s="239">
        <v>-59527</v>
      </c>
      <c r="AU165" s="239">
        <v>-5952658</v>
      </c>
      <c r="AV165" s="239">
        <v>-7036495</v>
      </c>
      <c r="AW165" s="239">
        <v>-6895764</v>
      </c>
      <c r="AX165" s="239">
        <v>0</v>
      </c>
      <c r="AY165" s="239">
        <v>-140731</v>
      </c>
      <c r="AZ165" s="239">
        <v>-14072990</v>
      </c>
      <c r="BA165" s="239">
        <v>-65447090</v>
      </c>
      <c r="BB165" s="239">
        <v>-64138147</v>
      </c>
      <c r="BC165" s="239">
        <v>0</v>
      </c>
      <c r="BD165" s="239">
        <v>-1308942</v>
      </c>
      <c r="BE165" s="239">
        <v>-130894179</v>
      </c>
      <c r="BF165" s="239">
        <v>18612940</v>
      </c>
      <c r="BG165" s="239">
        <v>18240681</v>
      </c>
      <c r="BH165" s="239">
        <v>0</v>
      </c>
      <c r="BI165" s="239">
        <v>372259</v>
      </c>
      <c r="BJ165" s="239">
        <v>37225880</v>
      </c>
      <c r="BK165" s="239">
        <v>-2214915</v>
      </c>
      <c r="BL165" s="239">
        <v>-2170617</v>
      </c>
      <c r="BM165" s="239">
        <v>0</v>
      </c>
      <c r="BN165" s="239">
        <v>-44298</v>
      </c>
      <c r="BO165" s="239">
        <v>-4429830</v>
      </c>
      <c r="BP165" s="239">
        <v>-49049065</v>
      </c>
      <c r="BQ165" s="239">
        <v>-48068083</v>
      </c>
      <c r="BR165" s="239">
        <v>0</v>
      </c>
      <c r="BS165" s="239">
        <v>-980981</v>
      </c>
      <c r="BT165" s="239">
        <v>-98098129</v>
      </c>
      <c r="BU165" s="239">
        <v>-36827800</v>
      </c>
      <c r="BV165" s="239">
        <v>-36091244</v>
      </c>
      <c r="BW165" s="239">
        <v>0</v>
      </c>
      <c r="BX165" s="239">
        <v>-736556</v>
      </c>
      <c r="BY165" s="239">
        <v>-73655600</v>
      </c>
      <c r="BZ165" s="239">
        <v>-27726093</v>
      </c>
      <c r="CA165" s="239">
        <v>-27171572</v>
      </c>
      <c r="CB165" s="239">
        <v>0</v>
      </c>
      <c r="CC165" s="239">
        <v>-554522</v>
      </c>
      <c r="CD165" s="239">
        <v>-55452187</v>
      </c>
      <c r="CE165" s="239">
        <v>-9101707</v>
      </c>
      <c r="CF165" s="239">
        <v>-8919672</v>
      </c>
      <c r="CG165" s="239">
        <v>0</v>
      </c>
      <c r="CH165" s="239">
        <v>-182034</v>
      </c>
      <c r="CI165" s="239">
        <v>-18203413</v>
      </c>
      <c r="CJ165" s="239">
        <v>159509993</v>
      </c>
      <c r="CK165" s="239">
        <v>156319793</v>
      </c>
      <c r="CL165" s="239">
        <v>0</v>
      </c>
      <c r="CM165" s="239">
        <v>3190200</v>
      </c>
      <c r="CN165" s="239">
        <v>319019986</v>
      </c>
      <c r="CO165" s="239">
        <v>174415572</v>
      </c>
      <c r="CP165" s="239">
        <v>170927260</v>
      </c>
      <c r="CQ165" s="239">
        <v>0</v>
      </c>
      <c r="CR165" s="239">
        <v>3488311</v>
      </c>
      <c r="CS165" s="239">
        <v>348831143</v>
      </c>
      <c r="CT165" s="239">
        <v>14905579</v>
      </c>
      <c r="CU165" s="239">
        <v>14607467</v>
      </c>
      <c r="CV165" s="239">
        <v>0</v>
      </c>
      <c r="CW165" s="239">
        <v>298111</v>
      </c>
      <c r="CX165" s="239">
        <v>29811157</v>
      </c>
      <c r="CY165" s="239">
        <v>5803872</v>
      </c>
      <c r="CZ165" s="239">
        <v>5687795</v>
      </c>
      <c r="DA165" s="239">
        <v>0</v>
      </c>
      <c r="DB165" s="239">
        <v>116077</v>
      </c>
      <c r="DC165" s="239">
        <v>11607744</v>
      </c>
      <c r="DD165" s="214">
        <v>0.5</v>
      </c>
      <c r="DE165" s="214">
        <v>0.49</v>
      </c>
      <c r="DF165" s="214">
        <v>0</v>
      </c>
      <c r="DG165" s="214">
        <v>0.01</v>
      </c>
      <c r="DH165" s="214">
        <v>1</v>
      </c>
      <c r="DI165" s="214" t="s">
        <v>1296</v>
      </c>
    </row>
    <row r="166" spans="1:113" s="214" customFormat="1" x14ac:dyDescent="0.2">
      <c r="B166" s="610" t="s">
        <v>415</v>
      </c>
      <c r="C166" s="610" t="s">
        <v>414</v>
      </c>
      <c r="D166" s="239">
        <v>13073926</v>
      </c>
      <c r="E166" s="239">
        <v>10459141</v>
      </c>
      <c r="F166" s="239">
        <v>2353307</v>
      </c>
      <c r="G166" s="239">
        <v>261479</v>
      </c>
      <c r="H166" s="239">
        <v>26147853</v>
      </c>
      <c r="I166" s="239">
        <v>0</v>
      </c>
      <c r="J166" s="239">
        <v>0</v>
      </c>
      <c r="K166" s="239">
        <v>13073926</v>
      </c>
      <c r="L166" s="239">
        <v>128720</v>
      </c>
      <c r="M166" s="239">
        <v>128720</v>
      </c>
      <c r="N166" s="239">
        <v>0</v>
      </c>
      <c r="O166" s="239">
        <v>0</v>
      </c>
      <c r="P166" s="239">
        <v>0</v>
      </c>
      <c r="Q166" s="239">
        <v>0</v>
      </c>
      <c r="R166" s="239">
        <v>0</v>
      </c>
      <c r="S166" s="239">
        <v>0</v>
      </c>
      <c r="T166" s="239">
        <v>0</v>
      </c>
      <c r="U166" s="239">
        <v>0</v>
      </c>
      <c r="V166" s="239">
        <v>0</v>
      </c>
      <c r="W166" s="239">
        <v>406794</v>
      </c>
      <c r="X166" s="239">
        <v>325435</v>
      </c>
      <c r="Y166" s="239">
        <v>73223</v>
      </c>
      <c r="Z166" s="239">
        <v>8136</v>
      </c>
      <c r="AA166" s="239">
        <v>813588</v>
      </c>
      <c r="AB166" s="239">
        <v>-69386</v>
      </c>
      <c r="AC166" s="239">
        <v>-55509</v>
      </c>
      <c r="AD166" s="239">
        <v>-12490</v>
      </c>
      <c r="AE166" s="239">
        <v>-1388</v>
      </c>
      <c r="AF166" s="239">
        <v>-138773</v>
      </c>
      <c r="AG166" s="239">
        <v>-395804</v>
      </c>
      <c r="AH166" s="239">
        <v>-316643</v>
      </c>
      <c r="AI166" s="239">
        <v>-71245</v>
      </c>
      <c r="AJ166" s="239">
        <v>-7916</v>
      </c>
      <c r="AK166" s="239">
        <v>-791608</v>
      </c>
      <c r="AL166" s="239">
        <v>182605</v>
      </c>
      <c r="AM166" s="239">
        <v>146084</v>
      </c>
      <c r="AN166" s="239">
        <v>32869</v>
      </c>
      <c r="AO166" s="239">
        <v>3652</v>
      </c>
      <c r="AP166" s="239">
        <v>365210</v>
      </c>
      <c r="AQ166" s="239">
        <v>-170892</v>
      </c>
      <c r="AR166" s="239">
        <v>-136714</v>
      </c>
      <c r="AS166" s="239">
        <v>-30761</v>
      </c>
      <c r="AT166" s="239">
        <v>-3418</v>
      </c>
      <c r="AU166" s="239">
        <v>-341785</v>
      </c>
      <c r="AV166" s="239">
        <v>-384091</v>
      </c>
      <c r="AW166" s="239">
        <v>-307273</v>
      </c>
      <c r="AX166" s="239">
        <v>-69137</v>
      </c>
      <c r="AY166" s="239">
        <v>-7682</v>
      </c>
      <c r="AZ166" s="239">
        <v>-768183</v>
      </c>
      <c r="BA166" s="239">
        <v>-1149251</v>
      </c>
      <c r="BB166" s="239">
        <v>-919403</v>
      </c>
      <c r="BC166" s="239">
        <v>-206866</v>
      </c>
      <c r="BD166" s="239">
        <v>-22985</v>
      </c>
      <c r="BE166" s="239">
        <v>-2298505</v>
      </c>
      <c r="BF166" s="239">
        <v>805032</v>
      </c>
      <c r="BG166" s="239">
        <v>644026</v>
      </c>
      <c r="BH166" s="239">
        <v>144906</v>
      </c>
      <c r="BI166" s="239">
        <v>16101</v>
      </c>
      <c r="BJ166" s="239">
        <v>1610065</v>
      </c>
      <c r="BK166" s="239">
        <v>-1904476</v>
      </c>
      <c r="BL166" s="239">
        <v>-1523581</v>
      </c>
      <c r="BM166" s="239">
        <v>-342806</v>
      </c>
      <c r="BN166" s="239">
        <v>-38090</v>
      </c>
      <c r="BO166" s="239">
        <v>-3808953</v>
      </c>
      <c r="BP166" s="239">
        <v>-2248695</v>
      </c>
      <c r="BQ166" s="239">
        <v>-1798958</v>
      </c>
      <c r="BR166" s="239">
        <v>-404766</v>
      </c>
      <c r="BS166" s="239">
        <v>-44974</v>
      </c>
      <c r="BT166" s="239">
        <v>-4497393</v>
      </c>
      <c r="BU166" s="239">
        <v>-2226652</v>
      </c>
      <c r="BV166" s="239">
        <v>-1781322</v>
      </c>
      <c r="BW166" s="239">
        <v>-400797</v>
      </c>
      <c r="BX166" s="239">
        <v>-44533</v>
      </c>
      <c r="BY166" s="239">
        <v>-4453304</v>
      </c>
      <c r="BZ166" s="239">
        <v>-1267744</v>
      </c>
      <c r="CA166" s="239">
        <v>-1014195</v>
      </c>
      <c r="CB166" s="239">
        <v>-228194</v>
      </c>
      <c r="CC166" s="239">
        <v>-25355</v>
      </c>
      <c r="CD166" s="239">
        <v>-2535488</v>
      </c>
      <c r="CE166" s="239">
        <v>-958908</v>
      </c>
      <c r="CF166" s="239">
        <v>-767127</v>
      </c>
      <c r="CG166" s="239">
        <v>-172603</v>
      </c>
      <c r="CH166" s="239">
        <v>-19178</v>
      </c>
      <c r="CI166" s="239">
        <v>-1917816</v>
      </c>
      <c r="CJ166" s="239">
        <v>14482952</v>
      </c>
      <c r="CK166" s="239">
        <v>11586362</v>
      </c>
      <c r="CL166" s="239">
        <v>2606931</v>
      </c>
      <c r="CM166" s="239">
        <v>289659</v>
      </c>
      <c r="CN166" s="239">
        <v>28965904</v>
      </c>
      <c r="CO166" s="239">
        <v>13073926</v>
      </c>
      <c r="CP166" s="239">
        <v>10459141</v>
      </c>
      <c r="CQ166" s="239">
        <v>2353307</v>
      </c>
      <c r="CR166" s="239">
        <v>261479</v>
      </c>
      <c r="CS166" s="239">
        <v>26147853</v>
      </c>
      <c r="CT166" s="239">
        <v>-1409026</v>
      </c>
      <c r="CU166" s="239">
        <v>-1127221</v>
      </c>
      <c r="CV166" s="239">
        <v>-253624</v>
      </c>
      <c r="CW166" s="239">
        <v>-28180</v>
      </c>
      <c r="CX166" s="239">
        <v>-2818051</v>
      </c>
      <c r="CY166" s="239">
        <v>-2367934</v>
      </c>
      <c r="CZ166" s="239">
        <v>-1894348</v>
      </c>
      <c r="DA166" s="239">
        <v>-426227</v>
      </c>
      <c r="DB166" s="239">
        <v>-47358</v>
      </c>
      <c r="DC166" s="239">
        <v>-4735867</v>
      </c>
      <c r="DD166" s="214">
        <v>0.5</v>
      </c>
      <c r="DE166" s="214">
        <v>0.4</v>
      </c>
      <c r="DF166" s="214">
        <v>0.09</v>
      </c>
      <c r="DG166" s="214">
        <v>0.01</v>
      </c>
      <c r="DH166" s="214">
        <v>1</v>
      </c>
      <c r="DI166" s="214" t="s">
        <v>1294</v>
      </c>
    </row>
    <row r="167" spans="1:113" s="214" customFormat="1" x14ac:dyDescent="0.2">
      <c r="B167" s="610" t="s">
        <v>417</v>
      </c>
      <c r="C167" s="610" t="s">
        <v>416</v>
      </c>
      <c r="D167" s="239">
        <v>45581142</v>
      </c>
      <c r="E167" s="239">
        <v>44669519</v>
      </c>
      <c r="F167" s="239">
        <v>0</v>
      </c>
      <c r="G167" s="239">
        <v>911623</v>
      </c>
      <c r="H167" s="239">
        <v>91162284</v>
      </c>
      <c r="I167" s="239">
        <v>0</v>
      </c>
      <c r="J167" s="239">
        <v>0</v>
      </c>
      <c r="K167" s="239">
        <v>45581142</v>
      </c>
      <c r="L167" s="239">
        <v>283782</v>
      </c>
      <c r="M167" s="239">
        <v>283782</v>
      </c>
      <c r="N167" s="239">
        <v>0</v>
      </c>
      <c r="O167" s="239">
        <v>0</v>
      </c>
      <c r="P167" s="239">
        <v>0</v>
      </c>
      <c r="Q167" s="239">
        <v>0</v>
      </c>
      <c r="R167" s="239">
        <v>0</v>
      </c>
      <c r="S167" s="239">
        <v>0</v>
      </c>
      <c r="T167" s="239">
        <v>0</v>
      </c>
      <c r="U167" s="239">
        <v>0</v>
      </c>
      <c r="V167" s="239">
        <v>0</v>
      </c>
      <c r="W167" s="239">
        <v>2410043</v>
      </c>
      <c r="X167" s="239">
        <v>2361843</v>
      </c>
      <c r="Y167" s="239">
        <v>0</v>
      </c>
      <c r="Z167" s="239">
        <v>48201</v>
      </c>
      <c r="AA167" s="239">
        <v>4820087</v>
      </c>
      <c r="AB167" s="239">
        <v>-959866</v>
      </c>
      <c r="AC167" s="239">
        <v>-940668</v>
      </c>
      <c r="AD167" s="239">
        <v>0</v>
      </c>
      <c r="AE167" s="239">
        <v>-19197</v>
      </c>
      <c r="AF167" s="239">
        <v>-1919731</v>
      </c>
      <c r="AG167" s="239">
        <v>-1090556</v>
      </c>
      <c r="AH167" s="239">
        <v>-1068746</v>
      </c>
      <c r="AI167" s="239">
        <v>0</v>
      </c>
      <c r="AJ167" s="239">
        <v>-21812</v>
      </c>
      <c r="AK167" s="239">
        <v>-2181114</v>
      </c>
      <c r="AL167" s="239">
        <v>418518</v>
      </c>
      <c r="AM167" s="239">
        <v>410147</v>
      </c>
      <c r="AN167" s="239">
        <v>0</v>
      </c>
      <c r="AO167" s="239">
        <v>8370</v>
      </c>
      <c r="AP167" s="239">
        <v>837035</v>
      </c>
      <c r="AQ167" s="239">
        <v>-734502</v>
      </c>
      <c r="AR167" s="239">
        <v>-719812</v>
      </c>
      <c r="AS167" s="239">
        <v>0</v>
      </c>
      <c r="AT167" s="239">
        <v>-14690</v>
      </c>
      <c r="AU167" s="239">
        <v>-1469004</v>
      </c>
      <c r="AV167" s="239">
        <v>-1406540</v>
      </c>
      <c r="AW167" s="239">
        <v>-1378411</v>
      </c>
      <c r="AX167" s="239">
        <v>0</v>
      </c>
      <c r="AY167" s="239">
        <v>-28132</v>
      </c>
      <c r="AZ167" s="239">
        <v>-2813083</v>
      </c>
      <c r="BA167" s="239">
        <v>-8093616</v>
      </c>
      <c r="BB167" s="239">
        <v>-7931746</v>
      </c>
      <c r="BC167" s="239">
        <v>0</v>
      </c>
      <c r="BD167" s="239">
        <v>-161873</v>
      </c>
      <c r="BE167" s="239">
        <v>-16187235</v>
      </c>
      <c r="BF167" s="239">
        <v>0</v>
      </c>
      <c r="BG167" s="239">
        <v>0</v>
      </c>
      <c r="BH167" s="239">
        <v>0</v>
      </c>
      <c r="BI167" s="239">
        <v>0</v>
      </c>
      <c r="BJ167" s="239">
        <v>0</v>
      </c>
      <c r="BK167" s="239">
        <v>2047524</v>
      </c>
      <c r="BL167" s="239">
        <v>2006573</v>
      </c>
      <c r="BM167" s="239">
        <v>0</v>
      </c>
      <c r="BN167" s="239">
        <v>40950</v>
      </c>
      <c r="BO167" s="239">
        <v>4095047</v>
      </c>
      <c r="BP167" s="239">
        <v>-6046092</v>
      </c>
      <c r="BQ167" s="239">
        <v>-5925173</v>
      </c>
      <c r="BR167" s="239">
        <v>0</v>
      </c>
      <c r="BS167" s="239">
        <v>-120923</v>
      </c>
      <c r="BT167" s="239">
        <v>-12092188</v>
      </c>
      <c r="BU167" s="239">
        <v>-6309605</v>
      </c>
      <c r="BV167" s="239">
        <v>-6183413</v>
      </c>
      <c r="BW167" s="239">
        <v>0</v>
      </c>
      <c r="BX167" s="239">
        <v>-126192</v>
      </c>
      <c r="BY167" s="239">
        <v>-12619210</v>
      </c>
      <c r="BZ167" s="239">
        <v>-229690</v>
      </c>
      <c r="CA167" s="239">
        <v>-225096</v>
      </c>
      <c r="CB167" s="239">
        <v>0</v>
      </c>
      <c r="CC167" s="239">
        <v>-4594</v>
      </c>
      <c r="CD167" s="239">
        <v>-459380</v>
      </c>
      <c r="CE167" s="239">
        <v>-6079915</v>
      </c>
      <c r="CF167" s="239">
        <v>-5958317</v>
      </c>
      <c r="CG167" s="239">
        <v>0</v>
      </c>
      <c r="CH167" s="239">
        <v>-121598</v>
      </c>
      <c r="CI167" s="239">
        <v>-12159830</v>
      </c>
      <c r="CJ167" s="239">
        <v>45539735</v>
      </c>
      <c r="CK167" s="239">
        <v>44628941</v>
      </c>
      <c r="CL167" s="239">
        <v>0</v>
      </c>
      <c r="CM167" s="239">
        <v>910795</v>
      </c>
      <c r="CN167" s="239">
        <v>91079471</v>
      </c>
      <c r="CO167" s="239">
        <v>45581142</v>
      </c>
      <c r="CP167" s="239">
        <v>44669519</v>
      </c>
      <c r="CQ167" s="239">
        <v>0</v>
      </c>
      <c r="CR167" s="239">
        <v>911623</v>
      </c>
      <c r="CS167" s="239">
        <v>91162284</v>
      </c>
      <c r="CT167" s="239">
        <v>41407</v>
      </c>
      <c r="CU167" s="239">
        <v>40578</v>
      </c>
      <c r="CV167" s="239">
        <v>0</v>
      </c>
      <c r="CW167" s="239">
        <v>828</v>
      </c>
      <c r="CX167" s="239">
        <v>82813</v>
      </c>
      <c r="CY167" s="239">
        <v>-6038508</v>
      </c>
      <c r="CZ167" s="239">
        <v>-5917739</v>
      </c>
      <c r="DA167" s="239">
        <v>0</v>
      </c>
      <c r="DB167" s="239">
        <v>-120770</v>
      </c>
      <c r="DC167" s="239">
        <v>-12077017</v>
      </c>
      <c r="DD167" s="214">
        <v>0.5</v>
      </c>
      <c r="DE167" s="214">
        <v>0.49</v>
      </c>
      <c r="DF167" s="214">
        <v>0</v>
      </c>
      <c r="DG167" s="214">
        <v>0.01</v>
      </c>
      <c r="DH167" s="214">
        <v>1</v>
      </c>
      <c r="DI167" s="214" t="s">
        <v>748</v>
      </c>
    </row>
    <row r="168" spans="1:113" s="214" customFormat="1" x14ac:dyDescent="0.2">
      <c r="B168" s="610" t="s">
        <v>419</v>
      </c>
      <c r="C168" s="610" t="s">
        <v>418</v>
      </c>
      <c r="D168" s="239">
        <v>6523887.4000000004</v>
      </c>
      <c r="E168" s="239">
        <v>5219110</v>
      </c>
      <c r="F168" s="239">
        <v>1174300</v>
      </c>
      <c r="G168" s="239">
        <v>130478</v>
      </c>
      <c r="H168" s="239">
        <v>13047775.4</v>
      </c>
      <c r="I168" s="239">
        <v>0</v>
      </c>
      <c r="J168" s="239">
        <v>0</v>
      </c>
      <c r="K168" s="239">
        <v>6523887.4000000004</v>
      </c>
      <c r="L168" s="239">
        <v>62568</v>
      </c>
      <c r="M168" s="239">
        <v>62568</v>
      </c>
      <c r="N168" s="239">
        <v>0</v>
      </c>
      <c r="O168" s="239">
        <v>0</v>
      </c>
      <c r="P168" s="239">
        <v>81750</v>
      </c>
      <c r="Q168" s="239">
        <v>0</v>
      </c>
      <c r="R168" s="239">
        <v>81750</v>
      </c>
      <c r="S168" s="239">
        <v>0</v>
      </c>
      <c r="T168" s="239">
        <v>0</v>
      </c>
      <c r="U168" s="239">
        <v>0</v>
      </c>
      <c r="V168" s="239">
        <v>0</v>
      </c>
      <c r="W168" s="239">
        <v>310570</v>
      </c>
      <c r="X168" s="239">
        <v>248456</v>
      </c>
      <c r="Y168" s="239">
        <v>55903</v>
      </c>
      <c r="Z168" s="239">
        <v>6211</v>
      </c>
      <c r="AA168" s="239">
        <v>621140</v>
      </c>
      <c r="AB168" s="239">
        <v>-124030</v>
      </c>
      <c r="AC168" s="239">
        <v>-99225</v>
      </c>
      <c r="AD168" s="239">
        <v>-22326</v>
      </c>
      <c r="AE168" s="239">
        <v>-2481</v>
      </c>
      <c r="AF168" s="239">
        <v>-248062</v>
      </c>
      <c r="AG168" s="239">
        <v>-86203.7</v>
      </c>
      <c r="AH168" s="239">
        <v>-68963</v>
      </c>
      <c r="AI168" s="239">
        <v>-15517</v>
      </c>
      <c r="AJ168" s="239">
        <v>-1724</v>
      </c>
      <c r="AK168" s="239">
        <v>-172407.7</v>
      </c>
      <c r="AL168" s="239">
        <v>78097</v>
      </c>
      <c r="AM168" s="239">
        <v>62478</v>
      </c>
      <c r="AN168" s="239">
        <v>14057</v>
      </c>
      <c r="AO168" s="239">
        <v>1562</v>
      </c>
      <c r="AP168" s="239">
        <v>156194</v>
      </c>
      <c r="AQ168" s="239">
        <v>-60591.41</v>
      </c>
      <c r="AR168" s="239">
        <v>-48474</v>
      </c>
      <c r="AS168" s="239">
        <v>-10907</v>
      </c>
      <c r="AT168" s="239">
        <v>-1212</v>
      </c>
      <c r="AU168" s="239">
        <v>-121184.41</v>
      </c>
      <c r="AV168" s="239">
        <v>-68698.11</v>
      </c>
      <c r="AW168" s="239">
        <v>-54959</v>
      </c>
      <c r="AX168" s="239">
        <v>-12367</v>
      </c>
      <c r="AY168" s="239">
        <v>-1374</v>
      </c>
      <c r="AZ168" s="239">
        <v>-137398.11000000002</v>
      </c>
      <c r="BA168" s="239">
        <v>-272241</v>
      </c>
      <c r="BB168" s="239">
        <v>-217792</v>
      </c>
      <c r="BC168" s="239">
        <v>-49003</v>
      </c>
      <c r="BD168" s="239">
        <v>-5444</v>
      </c>
      <c r="BE168" s="239">
        <v>-544480</v>
      </c>
      <c r="BF168" s="239">
        <v>136786</v>
      </c>
      <c r="BG168" s="239">
        <v>109429</v>
      </c>
      <c r="BH168" s="239">
        <v>24621</v>
      </c>
      <c r="BI168" s="239">
        <v>2736</v>
      </c>
      <c r="BJ168" s="239">
        <v>273572</v>
      </c>
      <c r="BK168" s="239">
        <v>-334815.18999999994</v>
      </c>
      <c r="BL168" s="239">
        <v>-267852</v>
      </c>
      <c r="BM168" s="239">
        <v>-60267</v>
      </c>
      <c r="BN168" s="239">
        <v>-6696</v>
      </c>
      <c r="BO168" s="239">
        <v>-669630.18999999994</v>
      </c>
      <c r="BP168" s="239">
        <v>-470270.18999999994</v>
      </c>
      <c r="BQ168" s="239">
        <v>-376215</v>
      </c>
      <c r="BR168" s="239">
        <v>-84649</v>
      </c>
      <c r="BS168" s="239">
        <v>-9404</v>
      </c>
      <c r="BT168" s="239">
        <v>-940538.19</v>
      </c>
      <c r="BU168" s="239">
        <v>26524</v>
      </c>
      <c r="BV168" s="239">
        <v>21219</v>
      </c>
      <c r="BW168" s="239">
        <v>4774</v>
      </c>
      <c r="BX168" s="239">
        <v>530</v>
      </c>
      <c r="BY168" s="239">
        <v>53047</v>
      </c>
      <c r="BZ168" s="239">
        <v>150220</v>
      </c>
      <c r="CA168" s="239">
        <v>120176</v>
      </c>
      <c r="CB168" s="239">
        <v>27040</v>
      </c>
      <c r="CC168" s="239">
        <v>3004</v>
      </c>
      <c r="CD168" s="239">
        <v>300440</v>
      </c>
      <c r="CE168" s="239">
        <v>-123696</v>
      </c>
      <c r="CF168" s="239">
        <v>-98957</v>
      </c>
      <c r="CG168" s="239">
        <v>-22266</v>
      </c>
      <c r="CH168" s="239">
        <v>-2474</v>
      </c>
      <c r="CI168" s="239">
        <v>-247393</v>
      </c>
      <c r="CJ168" s="239">
        <v>6590705</v>
      </c>
      <c r="CK168" s="239">
        <v>5272564</v>
      </c>
      <c r="CL168" s="239">
        <v>1186327</v>
      </c>
      <c r="CM168" s="239">
        <v>131814</v>
      </c>
      <c r="CN168" s="239">
        <v>13181410</v>
      </c>
      <c r="CO168" s="239">
        <v>6523887.4000000004</v>
      </c>
      <c r="CP168" s="239">
        <v>5219110</v>
      </c>
      <c r="CQ168" s="239">
        <v>1174300</v>
      </c>
      <c r="CR168" s="239">
        <v>130478</v>
      </c>
      <c r="CS168" s="239">
        <v>13047775.4</v>
      </c>
      <c r="CT168" s="239">
        <v>-66817.599999999627</v>
      </c>
      <c r="CU168" s="239">
        <v>-53454</v>
      </c>
      <c r="CV168" s="239">
        <v>-12027</v>
      </c>
      <c r="CW168" s="239">
        <v>-1336</v>
      </c>
      <c r="CX168" s="239">
        <v>-133634.59999999963</v>
      </c>
      <c r="CY168" s="239">
        <v>-190513.59999999963</v>
      </c>
      <c r="CZ168" s="239">
        <v>-152411</v>
      </c>
      <c r="DA168" s="239">
        <v>-34293</v>
      </c>
      <c r="DB168" s="239">
        <v>-3810</v>
      </c>
      <c r="DC168" s="239">
        <v>-381027.59999999963</v>
      </c>
      <c r="DD168" s="214">
        <v>0.5</v>
      </c>
      <c r="DE168" s="214">
        <v>0.4</v>
      </c>
      <c r="DF168" s="214">
        <v>0.09</v>
      </c>
      <c r="DG168" s="214">
        <v>0.01</v>
      </c>
      <c r="DH168" s="214">
        <v>1</v>
      </c>
      <c r="DI168" s="214" t="s">
        <v>1294</v>
      </c>
    </row>
    <row r="169" spans="1:113" s="214" customFormat="1" x14ac:dyDescent="0.2">
      <c r="B169" s="610" t="s">
        <v>421</v>
      </c>
      <c r="C169" s="610" t="s">
        <v>420</v>
      </c>
      <c r="D169" s="239">
        <v>16073903</v>
      </c>
      <c r="E169" s="239">
        <v>12859122</v>
      </c>
      <c r="F169" s="239">
        <v>2893303</v>
      </c>
      <c r="G169" s="239">
        <v>321478</v>
      </c>
      <c r="H169" s="239">
        <v>32147806</v>
      </c>
      <c r="I169" s="239">
        <v>0</v>
      </c>
      <c r="J169" s="239">
        <v>0</v>
      </c>
      <c r="K169" s="239">
        <v>16073903</v>
      </c>
      <c r="L169" s="239">
        <v>164661</v>
      </c>
      <c r="M169" s="239">
        <v>164661</v>
      </c>
      <c r="N169" s="239">
        <v>0</v>
      </c>
      <c r="O169" s="239">
        <v>0</v>
      </c>
      <c r="P169" s="239">
        <v>220938</v>
      </c>
      <c r="Q169" s="239">
        <v>0</v>
      </c>
      <c r="R169" s="239">
        <v>220938</v>
      </c>
      <c r="S169" s="239">
        <v>0</v>
      </c>
      <c r="T169" s="239">
        <v>0</v>
      </c>
      <c r="U169" s="239">
        <v>0</v>
      </c>
      <c r="V169" s="239">
        <v>0</v>
      </c>
      <c r="W169" s="239">
        <v>490172</v>
      </c>
      <c r="X169" s="239">
        <v>392137</v>
      </c>
      <c r="Y169" s="239">
        <v>88231</v>
      </c>
      <c r="Z169" s="239">
        <v>9803</v>
      </c>
      <c r="AA169" s="239">
        <v>980343</v>
      </c>
      <c r="AB169" s="239">
        <v>-334731</v>
      </c>
      <c r="AC169" s="239">
        <v>-267784</v>
      </c>
      <c r="AD169" s="239">
        <v>-60251</v>
      </c>
      <c r="AE169" s="239">
        <v>-6695</v>
      </c>
      <c r="AF169" s="239">
        <v>-669461</v>
      </c>
      <c r="AG169" s="239">
        <v>-307875</v>
      </c>
      <c r="AH169" s="239">
        <v>-246300</v>
      </c>
      <c r="AI169" s="239">
        <v>-55417</v>
      </c>
      <c r="AJ169" s="239">
        <v>-6158</v>
      </c>
      <c r="AK169" s="239">
        <v>-615750</v>
      </c>
      <c r="AL169" s="239">
        <v>73693</v>
      </c>
      <c r="AM169" s="239">
        <v>58954</v>
      </c>
      <c r="AN169" s="239">
        <v>13265</v>
      </c>
      <c r="AO169" s="239">
        <v>1474</v>
      </c>
      <c r="AP169" s="239">
        <v>147386</v>
      </c>
      <c r="AQ169" s="239">
        <v>-59012</v>
      </c>
      <c r="AR169" s="239">
        <v>-47210</v>
      </c>
      <c r="AS169" s="239">
        <v>-10622</v>
      </c>
      <c r="AT169" s="239">
        <v>-1180</v>
      </c>
      <c r="AU169" s="239">
        <v>-118024</v>
      </c>
      <c r="AV169" s="239">
        <v>-293194</v>
      </c>
      <c r="AW169" s="239">
        <v>-234556</v>
      </c>
      <c r="AX169" s="239">
        <v>-52774</v>
      </c>
      <c r="AY169" s="239">
        <v>-5864</v>
      </c>
      <c r="AZ169" s="239">
        <v>-586388</v>
      </c>
      <c r="BA169" s="239">
        <v>-1169511</v>
      </c>
      <c r="BB169" s="239">
        <v>-935611</v>
      </c>
      <c r="BC169" s="239">
        <v>-210513</v>
      </c>
      <c r="BD169" s="239">
        <v>-23391</v>
      </c>
      <c r="BE169" s="239">
        <v>-2339026</v>
      </c>
      <c r="BF169" s="239">
        <v>552075</v>
      </c>
      <c r="BG169" s="239">
        <v>441659</v>
      </c>
      <c r="BH169" s="239">
        <v>99373</v>
      </c>
      <c r="BI169" s="239">
        <v>11041</v>
      </c>
      <c r="BJ169" s="239">
        <v>1104148</v>
      </c>
      <c r="BK169" s="239">
        <v>-760980</v>
      </c>
      <c r="BL169" s="239">
        <v>-608785</v>
      </c>
      <c r="BM169" s="239">
        <v>-136977</v>
      </c>
      <c r="BN169" s="239">
        <v>-15220</v>
      </c>
      <c r="BO169" s="239">
        <v>-1521962</v>
      </c>
      <c r="BP169" s="239">
        <v>-1378416</v>
      </c>
      <c r="BQ169" s="239">
        <v>-1102737</v>
      </c>
      <c r="BR169" s="239">
        <v>-248117</v>
      </c>
      <c r="BS169" s="239">
        <v>-27570</v>
      </c>
      <c r="BT169" s="239">
        <v>-2756840</v>
      </c>
      <c r="BU169" s="239">
        <v>-1326385</v>
      </c>
      <c r="BV169" s="239">
        <v>-1061108</v>
      </c>
      <c r="BW169" s="239">
        <v>-238749</v>
      </c>
      <c r="BX169" s="239">
        <v>-26528</v>
      </c>
      <c r="BY169" s="239">
        <v>-2652770</v>
      </c>
      <c r="BZ169" s="239">
        <v>-896636</v>
      </c>
      <c r="CA169" s="239">
        <v>-717309</v>
      </c>
      <c r="CB169" s="239">
        <v>-161394</v>
      </c>
      <c r="CC169" s="239">
        <v>-17933</v>
      </c>
      <c r="CD169" s="239">
        <v>-1793272</v>
      </c>
      <c r="CE169" s="239">
        <v>-429749</v>
      </c>
      <c r="CF169" s="239">
        <v>-343799</v>
      </c>
      <c r="CG169" s="239">
        <v>-77355</v>
      </c>
      <c r="CH169" s="239">
        <v>-8595</v>
      </c>
      <c r="CI169" s="239">
        <v>-859498</v>
      </c>
      <c r="CJ169" s="239">
        <v>16348844</v>
      </c>
      <c r="CK169" s="239">
        <v>13079075</v>
      </c>
      <c r="CL169" s="239">
        <v>2942792</v>
      </c>
      <c r="CM169" s="239">
        <v>326977</v>
      </c>
      <c r="CN169" s="239">
        <v>32697688</v>
      </c>
      <c r="CO169" s="239">
        <v>16073903</v>
      </c>
      <c r="CP169" s="239">
        <v>12859122</v>
      </c>
      <c r="CQ169" s="239">
        <v>2893303</v>
      </c>
      <c r="CR169" s="239">
        <v>321478</v>
      </c>
      <c r="CS169" s="239">
        <v>32147806</v>
      </c>
      <c r="CT169" s="239">
        <v>-274941</v>
      </c>
      <c r="CU169" s="239">
        <v>-219953</v>
      </c>
      <c r="CV169" s="239">
        <v>-49489</v>
      </c>
      <c r="CW169" s="239">
        <v>-5499</v>
      </c>
      <c r="CX169" s="239">
        <v>-549882</v>
      </c>
      <c r="CY169" s="239">
        <v>-704690</v>
      </c>
      <c r="CZ169" s="239">
        <v>-563752</v>
      </c>
      <c r="DA169" s="239">
        <v>-126844</v>
      </c>
      <c r="DB169" s="239">
        <v>-14094</v>
      </c>
      <c r="DC169" s="239">
        <v>-1409380</v>
      </c>
      <c r="DD169" s="214">
        <v>0.5</v>
      </c>
      <c r="DE169" s="214">
        <v>0.4</v>
      </c>
      <c r="DF169" s="214">
        <v>0.09</v>
      </c>
      <c r="DG169" s="214">
        <v>0.01</v>
      </c>
      <c r="DH169" s="214">
        <v>1</v>
      </c>
      <c r="DI169" s="214" t="s">
        <v>1294</v>
      </c>
    </row>
    <row r="170" spans="1:113" s="214" customFormat="1" x14ac:dyDescent="0.2">
      <c r="B170" s="610" t="s">
        <v>423</v>
      </c>
      <c r="C170" s="610" t="s">
        <v>422</v>
      </c>
      <c r="D170" s="239">
        <v>42708468</v>
      </c>
      <c r="E170" s="239">
        <v>25625081</v>
      </c>
      <c r="F170" s="239">
        <v>17083387</v>
      </c>
      <c r="G170" s="239">
        <v>0</v>
      </c>
      <c r="H170" s="239">
        <v>85416936</v>
      </c>
      <c r="I170" s="239">
        <v>0</v>
      </c>
      <c r="J170" s="239">
        <v>0</v>
      </c>
      <c r="K170" s="239">
        <v>42708468</v>
      </c>
      <c r="L170" s="239">
        <v>277151</v>
      </c>
      <c r="M170" s="239">
        <v>277151</v>
      </c>
      <c r="N170" s="239">
        <v>0</v>
      </c>
      <c r="O170" s="239">
        <v>0</v>
      </c>
      <c r="P170" s="239">
        <v>0</v>
      </c>
      <c r="Q170" s="239">
        <v>0</v>
      </c>
      <c r="R170" s="239">
        <v>0</v>
      </c>
      <c r="S170" s="239">
        <v>0</v>
      </c>
      <c r="T170" s="239">
        <v>0</v>
      </c>
      <c r="U170" s="239">
        <v>0</v>
      </c>
      <c r="V170" s="239">
        <v>0</v>
      </c>
      <c r="W170" s="239">
        <v>1794999</v>
      </c>
      <c r="X170" s="239">
        <v>1076999</v>
      </c>
      <c r="Y170" s="239">
        <v>717999</v>
      </c>
      <c r="Z170" s="239">
        <v>0</v>
      </c>
      <c r="AA170" s="239">
        <v>3589997</v>
      </c>
      <c r="AB170" s="239">
        <v>-1056507</v>
      </c>
      <c r="AC170" s="239">
        <v>-633905</v>
      </c>
      <c r="AD170" s="239">
        <v>-422603</v>
      </c>
      <c r="AE170" s="239">
        <v>0</v>
      </c>
      <c r="AF170" s="239">
        <v>-2113015</v>
      </c>
      <c r="AG170" s="239">
        <v>-1136532</v>
      </c>
      <c r="AH170" s="239">
        <v>-681919</v>
      </c>
      <c r="AI170" s="239">
        <v>-454613</v>
      </c>
      <c r="AJ170" s="239">
        <v>0</v>
      </c>
      <c r="AK170" s="239">
        <v>-2273064</v>
      </c>
      <c r="AL170" s="239">
        <v>331785</v>
      </c>
      <c r="AM170" s="239">
        <v>199071</v>
      </c>
      <c r="AN170" s="239">
        <v>132714</v>
      </c>
      <c r="AO170" s="239">
        <v>0</v>
      </c>
      <c r="AP170" s="239">
        <v>663570</v>
      </c>
      <c r="AQ170" s="239">
        <v>-341785</v>
      </c>
      <c r="AR170" s="239">
        <v>-205071</v>
      </c>
      <c r="AS170" s="239">
        <v>-136714</v>
      </c>
      <c r="AT170" s="239">
        <v>0</v>
      </c>
      <c r="AU170" s="239">
        <v>-683570</v>
      </c>
      <c r="AV170" s="239">
        <v>-1146532</v>
      </c>
      <c r="AW170" s="239">
        <v>-687919</v>
      </c>
      <c r="AX170" s="239">
        <v>-458613</v>
      </c>
      <c r="AY170" s="239">
        <v>0</v>
      </c>
      <c r="AZ170" s="239">
        <v>-2293064</v>
      </c>
      <c r="BA170" s="239">
        <v>-4550000</v>
      </c>
      <c r="BB170" s="239">
        <v>-2730000</v>
      </c>
      <c r="BC170" s="239">
        <v>-1820000</v>
      </c>
      <c r="BD170" s="239">
        <v>0</v>
      </c>
      <c r="BE170" s="239">
        <v>-9100000</v>
      </c>
      <c r="BF170" s="239">
        <v>1232994</v>
      </c>
      <c r="BG170" s="239">
        <v>739796</v>
      </c>
      <c r="BH170" s="239">
        <v>493197</v>
      </c>
      <c r="BI170" s="239">
        <v>0</v>
      </c>
      <c r="BJ170" s="239">
        <v>2465987</v>
      </c>
      <c r="BK170" s="239">
        <v>-652500</v>
      </c>
      <c r="BL170" s="239">
        <v>-391500</v>
      </c>
      <c r="BM170" s="239">
        <v>-261000</v>
      </c>
      <c r="BN170" s="239">
        <v>0</v>
      </c>
      <c r="BO170" s="239">
        <v>-1305000</v>
      </c>
      <c r="BP170" s="239">
        <v>-3969506</v>
      </c>
      <c r="BQ170" s="239">
        <v>-2381704</v>
      </c>
      <c r="BR170" s="239">
        <v>-1587803</v>
      </c>
      <c r="BS170" s="239">
        <v>0</v>
      </c>
      <c r="BT170" s="239">
        <v>-7939013</v>
      </c>
      <c r="BU170" s="239">
        <v>-3102701</v>
      </c>
      <c r="BV170" s="239">
        <v>-1861620</v>
      </c>
      <c r="BW170" s="239">
        <v>-1241080</v>
      </c>
      <c r="BX170" s="239">
        <v>0</v>
      </c>
      <c r="BY170" s="239">
        <v>-6205401</v>
      </c>
      <c r="BZ170" s="239">
        <v>-654669</v>
      </c>
      <c r="CA170" s="239">
        <v>-392801</v>
      </c>
      <c r="CB170" s="239">
        <v>-261867</v>
      </c>
      <c r="CC170" s="239">
        <v>0</v>
      </c>
      <c r="CD170" s="239">
        <v>-1309337</v>
      </c>
      <c r="CE170" s="239">
        <v>-2448032</v>
      </c>
      <c r="CF170" s="239">
        <v>-1468819</v>
      </c>
      <c r="CG170" s="239">
        <v>-979213</v>
      </c>
      <c r="CH170" s="239">
        <v>0</v>
      </c>
      <c r="CI170" s="239">
        <v>-4896064</v>
      </c>
      <c r="CJ170" s="239">
        <v>42549655</v>
      </c>
      <c r="CK170" s="239">
        <v>25529793</v>
      </c>
      <c r="CL170" s="239">
        <v>17019862</v>
      </c>
      <c r="CM170" s="239">
        <v>0</v>
      </c>
      <c r="CN170" s="239">
        <v>85099310</v>
      </c>
      <c r="CO170" s="239">
        <v>42708468</v>
      </c>
      <c r="CP170" s="239">
        <v>25625081</v>
      </c>
      <c r="CQ170" s="239">
        <v>17083387</v>
      </c>
      <c r="CR170" s="239">
        <v>0</v>
      </c>
      <c r="CS170" s="239">
        <v>85416936</v>
      </c>
      <c r="CT170" s="239">
        <v>158813</v>
      </c>
      <c r="CU170" s="239">
        <v>95288</v>
      </c>
      <c r="CV170" s="239">
        <v>63525</v>
      </c>
      <c r="CW170" s="239">
        <v>0</v>
      </c>
      <c r="CX170" s="239">
        <v>317626</v>
      </c>
      <c r="CY170" s="239">
        <v>-2289219</v>
      </c>
      <c r="CZ170" s="239">
        <v>-1373531</v>
      </c>
      <c r="DA170" s="239">
        <v>-915688</v>
      </c>
      <c r="DB170" s="239">
        <v>0</v>
      </c>
      <c r="DC170" s="239">
        <v>-4578438</v>
      </c>
      <c r="DD170" s="214">
        <v>0.5</v>
      </c>
      <c r="DE170" s="214">
        <v>0.3</v>
      </c>
      <c r="DF170" s="214">
        <v>0.2</v>
      </c>
      <c r="DG170" s="214">
        <v>0</v>
      </c>
      <c r="DH170" s="214">
        <v>1</v>
      </c>
      <c r="DI170" s="214" t="s">
        <v>1295</v>
      </c>
    </row>
    <row r="171" spans="1:113" s="214" customFormat="1" x14ac:dyDescent="0.2">
      <c r="B171" s="610" t="s">
        <v>425</v>
      </c>
      <c r="C171" s="610" t="s">
        <v>424</v>
      </c>
      <c r="D171" s="239">
        <v>6639780</v>
      </c>
      <c r="E171" s="239">
        <v>5311824</v>
      </c>
      <c r="F171" s="239">
        <v>1195160</v>
      </c>
      <c r="G171" s="239">
        <v>132796</v>
      </c>
      <c r="H171" s="239">
        <v>13279560</v>
      </c>
      <c r="I171" s="239">
        <v>0</v>
      </c>
      <c r="J171" s="239">
        <v>0</v>
      </c>
      <c r="K171" s="239">
        <v>6639780</v>
      </c>
      <c r="L171" s="239">
        <v>107596</v>
      </c>
      <c r="M171" s="239">
        <v>107596</v>
      </c>
      <c r="N171" s="239">
        <v>0</v>
      </c>
      <c r="O171" s="239">
        <v>0</v>
      </c>
      <c r="P171" s="239">
        <v>91604</v>
      </c>
      <c r="Q171" s="239">
        <v>0</v>
      </c>
      <c r="R171" s="239">
        <v>91604</v>
      </c>
      <c r="S171" s="239">
        <v>0</v>
      </c>
      <c r="T171" s="239">
        <v>0</v>
      </c>
      <c r="U171" s="239">
        <v>0</v>
      </c>
      <c r="V171" s="239">
        <v>0</v>
      </c>
      <c r="W171" s="239">
        <v>190699</v>
      </c>
      <c r="X171" s="239">
        <v>152559</v>
      </c>
      <c r="Y171" s="239">
        <v>34326</v>
      </c>
      <c r="Z171" s="239">
        <v>3814</v>
      </c>
      <c r="AA171" s="239">
        <v>381398</v>
      </c>
      <c r="AB171" s="239">
        <v>-134066</v>
      </c>
      <c r="AC171" s="239">
        <v>-107252</v>
      </c>
      <c r="AD171" s="239">
        <v>-24132</v>
      </c>
      <c r="AE171" s="239">
        <v>-2681</v>
      </c>
      <c r="AF171" s="239">
        <v>-268131</v>
      </c>
      <c r="AG171" s="239">
        <v>-101424</v>
      </c>
      <c r="AH171" s="239">
        <v>-81139</v>
      </c>
      <c r="AI171" s="239">
        <v>-18257</v>
      </c>
      <c r="AJ171" s="239">
        <v>-2029</v>
      </c>
      <c r="AK171" s="239">
        <v>-202849</v>
      </c>
      <c r="AL171" s="239">
        <v>0</v>
      </c>
      <c r="AM171" s="239">
        <v>0</v>
      </c>
      <c r="AN171" s="239">
        <v>0</v>
      </c>
      <c r="AO171" s="239">
        <v>0</v>
      </c>
      <c r="AP171" s="239">
        <v>0</v>
      </c>
      <c r="AQ171" s="239">
        <v>-9247</v>
      </c>
      <c r="AR171" s="239">
        <v>-7398</v>
      </c>
      <c r="AS171" s="239">
        <v>-1665</v>
      </c>
      <c r="AT171" s="239">
        <v>-185</v>
      </c>
      <c r="AU171" s="239">
        <v>-18495</v>
      </c>
      <c r="AV171" s="239">
        <v>-110671</v>
      </c>
      <c r="AW171" s="239">
        <v>-88537</v>
      </c>
      <c r="AX171" s="239">
        <v>-19922</v>
      </c>
      <c r="AY171" s="239">
        <v>-2214</v>
      </c>
      <c r="AZ171" s="239">
        <v>-221344</v>
      </c>
      <c r="BA171" s="239">
        <v>-183000</v>
      </c>
      <c r="BB171" s="239">
        <v>-146400</v>
      </c>
      <c r="BC171" s="239">
        <v>-32940</v>
      </c>
      <c r="BD171" s="239">
        <v>-3660</v>
      </c>
      <c r="BE171" s="239">
        <v>-366000</v>
      </c>
      <c r="BF171" s="239">
        <v>0</v>
      </c>
      <c r="BG171" s="239">
        <v>0</v>
      </c>
      <c r="BH171" s="239">
        <v>0</v>
      </c>
      <c r="BI171" s="239">
        <v>0</v>
      </c>
      <c r="BJ171" s="239">
        <v>0</v>
      </c>
      <c r="BK171" s="239">
        <v>-791000</v>
      </c>
      <c r="BL171" s="239">
        <v>-632800</v>
      </c>
      <c r="BM171" s="239">
        <v>-142380</v>
      </c>
      <c r="BN171" s="239">
        <v>-15820</v>
      </c>
      <c r="BO171" s="239">
        <v>-1582000</v>
      </c>
      <c r="BP171" s="239">
        <v>-974000</v>
      </c>
      <c r="BQ171" s="239">
        <v>-779200</v>
      </c>
      <c r="BR171" s="239">
        <v>-175320</v>
      </c>
      <c r="BS171" s="239">
        <v>-19480</v>
      </c>
      <c r="BT171" s="239">
        <v>-1948000</v>
      </c>
      <c r="BU171" s="239">
        <v>21958</v>
      </c>
      <c r="BV171" s="239">
        <v>17567</v>
      </c>
      <c r="BW171" s="239">
        <v>3953</v>
      </c>
      <c r="BX171" s="239">
        <v>439</v>
      </c>
      <c r="BY171" s="239">
        <v>43917</v>
      </c>
      <c r="BZ171" s="239">
        <v>205975</v>
      </c>
      <c r="CA171" s="239">
        <v>164781</v>
      </c>
      <c r="CB171" s="239">
        <v>37076</v>
      </c>
      <c r="CC171" s="239">
        <v>4120</v>
      </c>
      <c r="CD171" s="239">
        <v>411952</v>
      </c>
      <c r="CE171" s="239">
        <v>-184017</v>
      </c>
      <c r="CF171" s="239">
        <v>-147214</v>
      </c>
      <c r="CG171" s="239">
        <v>-33123</v>
      </c>
      <c r="CH171" s="239">
        <v>-3681</v>
      </c>
      <c r="CI171" s="239">
        <v>-368035</v>
      </c>
      <c r="CJ171" s="239">
        <v>7381876</v>
      </c>
      <c r="CK171" s="239">
        <v>5905502</v>
      </c>
      <c r="CL171" s="239">
        <v>1328738</v>
      </c>
      <c r="CM171" s="239">
        <v>147638</v>
      </c>
      <c r="CN171" s="239">
        <v>14763754</v>
      </c>
      <c r="CO171" s="239">
        <v>6639780</v>
      </c>
      <c r="CP171" s="239">
        <v>5311824</v>
      </c>
      <c r="CQ171" s="239">
        <v>1195160</v>
      </c>
      <c r="CR171" s="239">
        <v>132796</v>
      </c>
      <c r="CS171" s="239">
        <v>13279560</v>
      </c>
      <c r="CT171" s="239">
        <v>-742096</v>
      </c>
      <c r="CU171" s="239">
        <v>-593678</v>
      </c>
      <c r="CV171" s="239">
        <v>-133578</v>
      </c>
      <c r="CW171" s="239">
        <v>-14842</v>
      </c>
      <c r="CX171" s="239">
        <v>-1484194</v>
      </c>
      <c r="CY171" s="239">
        <v>-926113</v>
      </c>
      <c r="CZ171" s="239">
        <v>-740892</v>
      </c>
      <c r="DA171" s="239">
        <v>-166701</v>
      </c>
      <c r="DB171" s="239">
        <v>-18523</v>
      </c>
      <c r="DC171" s="239">
        <v>-1852229</v>
      </c>
      <c r="DD171" s="214">
        <v>0.5</v>
      </c>
      <c r="DE171" s="214">
        <v>0.4</v>
      </c>
      <c r="DF171" s="214">
        <v>0.09</v>
      </c>
      <c r="DG171" s="214">
        <v>0.01</v>
      </c>
      <c r="DH171" s="214">
        <v>1</v>
      </c>
      <c r="DI171" s="214" t="s">
        <v>1294</v>
      </c>
    </row>
    <row r="172" spans="1:113" s="214" customFormat="1" x14ac:dyDescent="0.2">
      <c r="B172" s="610" t="s">
        <v>427</v>
      </c>
      <c r="C172" s="610" t="s">
        <v>426</v>
      </c>
      <c r="D172" s="239">
        <v>10713193</v>
      </c>
      <c r="E172" s="239">
        <v>8570555</v>
      </c>
      <c r="F172" s="239">
        <v>2142639</v>
      </c>
      <c r="G172" s="239">
        <v>0</v>
      </c>
      <c r="H172" s="239">
        <v>21426387</v>
      </c>
      <c r="I172" s="239">
        <v>0</v>
      </c>
      <c r="J172" s="239">
        <v>0</v>
      </c>
      <c r="K172" s="239">
        <v>10713193</v>
      </c>
      <c r="L172" s="239">
        <v>128399</v>
      </c>
      <c r="M172" s="239">
        <v>128399</v>
      </c>
      <c r="N172" s="239">
        <v>0</v>
      </c>
      <c r="O172" s="239">
        <v>0</v>
      </c>
      <c r="P172" s="239">
        <v>144556</v>
      </c>
      <c r="Q172" s="239">
        <v>244795</v>
      </c>
      <c r="R172" s="239">
        <v>389351</v>
      </c>
      <c r="S172" s="239">
        <v>0</v>
      </c>
      <c r="T172" s="239">
        <v>0</v>
      </c>
      <c r="U172" s="239">
        <v>0</v>
      </c>
      <c r="V172" s="239">
        <v>0</v>
      </c>
      <c r="W172" s="239">
        <v>357167</v>
      </c>
      <c r="X172" s="239">
        <v>285733</v>
      </c>
      <c r="Y172" s="239">
        <v>71433</v>
      </c>
      <c r="Z172" s="239">
        <v>0</v>
      </c>
      <c r="AA172" s="239">
        <v>714333</v>
      </c>
      <c r="AB172" s="239">
        <v>-16542</v>
      </c>
      <c r="AC172" s="239">
        <v>-13234</v>
      </c>
      <c r="AD172" s="239">
        <v>-3308</v>
      </c>
      <c r="AE172" s="239">
        <v>0</v>
      </c>
      <c r="AF172" s="239">
        <v>-33084</v>
      </c>
      <c r="AG172" s="239">
        <v>-125441</v>
      </c>
      <c r="AH172" s="239">
        <v>-100352</v>
      </c>
      <c r="AI172" s="239">
        <v>-25088</v>
      </c>
      <c r="AJ172" s="239">
        <v>0</v>
      </c>
      <c r="AK172" s="239">
        <v>-250881</v>
      </c>
      <c r="AL172" s="239">
        <v>146004</v>
      </c>
      <c r="AM172" s="239">
        <v>116804</v>
      </c>
      <c r="AN172" s="239">
        <v>29201</v>
      </c>
      <c r="AO172" s="239">
        <v>0</v>
      </c>
      <c r="AP172" s="239">
        <v>292009</v>
      </c>
      <c r="AQ172" s="239">
        <v>-124077</v>
      </c>
      <c r="AR172" s="239">
        <v>-99262</v>
      </c>
      <c r="AS172" s="239">
        <v>-24816</v>
      </c>
      <c r="AT172" s="239">
        <v>0</v>
      </c>
      <c r="AU172" s="239">
        <v>-248155</v>
      </c>
      <c r="AV172" s="239">
        <v>-103514</v>
      </c>
      <c r="AW172" s="239">
        <v>-82810</v>
      </c>
      <c r="AX172" s="239">
        <v>-20703</v>
      </c>
      <c r="AY172" s="239">
        <v>0</v>
      </c>
      <c r="AZ172" s="239">
        <v>-207027</v>
      </c>
      <c r="BA172" s="239">
        <v>-919517</v>
      </c>
      <c r="BB172" s="239">
        <v>-735614</v>
      </c>
      <c r="BC172" s="239">
        <v>-183904</v>
      </c>
      <c r="BD172" s="239">
        <v>0</v>
      </c>
      <c r="BE172" s="239">
        <v>-1839035</v>
      </c>
      <c r="BF172" s="239">
        <v>204894</v>
      </c>
      <c r="BG172" s="239">
        <v>163916</v>
      </c>
      <c r="BH172" s="239">
        <v>40979</v>
      </c>
      <c r="BI172" s="239">
        <v>0</v>
      </c>
      <c r="BJ172" s="239">
        <v>409789</v>
      </c>
      <c r="BK172" s="239">
        <v>-333503</v>
      </c>
      <c r="BL172" s="239">
        <v>-266803</v>
      </c>
      <c r="BM172" s="239">
        <v>-66701</v>
      </c>
      <c r="BN172" s="239">
        <v>0</v>
      </c>
      <c r="BO172" s="239">
        <v>-667007</v>
      </c>
      <c r="BP172" s="239">
        <v>-1048126</v>
      </c>
      <c r="BQ172" s="239">
        <v>-838501</v>
      </c>
      <c r="BR172" s="239">
        <v>-209626</v>
      </c>
      <c r="BS172" s="239">
        <v>0</v>
      </c>
      <c r="BT172" s="239">
        <v>-2096253</v>
      </c>
      <c r="BU172" s="239">
        <v>-767684</v>
      </c>
      <c r="BV172" s="239">
        <v>-614148</v>
      </c>
      <c r="BW172" s="239">
        <v>-153537</v>
      </c>
      <c r="BX172" s="239">
        <v>0</v>
      </c>
      <c r="BY172" s="239">
        <v>-1535369</v>
      </c>
      <c r="BZ172" s="239">
        <v>-600025</v>
      </c>
      <c r="CA172" s="239">
        <v>-480020</v>
      </c>
      <c r="CB172" s="239">
        <v>-120005</v>
      </c>
      <c r="CC172" s="239">
        <v>0</v>
      </c>
      <c r="CD172" s="239">
        <v>-1200050</v>
      </c>
      <c r="CE172" s="239">
        <v>-167659</v>
      </c>
      <c r="CF172" s="239">
        <v>-134128</v>
      </c>
      <c r="CG172" s="239">
        <v>-33532</v>
      </c>
      <c r="CH172" s="239">
        <v>0</v>
      </c>
      <c r="CI172" s="239">
        <v>-335319</v>
      </c>
      <c r="CJ172" s="239">
        <v>11038023</v>
      </c>
      <c r="CK172" s="239">
        <v>8830419</v>
      </c>
      <c r="CL172" s="239">
        <v>2207605</v>
      </c>
      <c r="CM172" s="239">
        <v>0</v>
      </c>
      <c r="CN172" s="239">
        <v>22076047</v>
      </c>
      <c r="CO172" s="239">
        <v>10713193</v>
      </c>
      <c r="CP172" s="239">
        <v>8570555</v>
      </c>
      <c r="CQ172" s="239">
        <v>2142639</v>
      </c>
      <c r="CR172" s="239">
        <v>0</v>
      </c>
      <c r="CS172" s="239">
        <v>21426387</v>
      </c>
      <c r="CT172" s="239">
        <v>-324830</v>
      </c>
      <c r="CU172" s="239">
        <v>-259864</v>
      </c>
      <c r="CV172" s="239">
        <v>-64966</v>
      </c>
      <c r="CW172" s="239">
        <v>0</v>
      </c>
      <c r="CX172" s="239">
        <v>-649660</v>
      </c>
      <c r="CY172" s="239">
        <v>-492489</v>
      </c>
      <c r="CZ172" s="239">
        <v>-393992</v>
      </c>
      <c r="DA172" s="239">
        <v>-98498</v>
      </c>
      <c r="DB172" s="239">
        <v>0</v>
      </c>
      <c r="DC172" s="239">
        <v>-984979</v>
      </c>
      <c r="DD172" s="214">
        <v>0.5</v>
      </c>
      <c r="DE172" s="214">
        <v>0.4</v>
      </c>
      <c r="DF172" s="214">
        <v>0.1</v>
      </c>
      <c r="DG172" s="214">
        <v>0</v>
      </c>
      <c r="DH172" s="214">
        <v>1</v>
      </c>
      <c r="DI172" s="214" t="s">
        <v>1294</v>
      </c>
    </row>
    <row r="173" spans="1:113" s="214" customFormat="1" x14ac:dyDescent="0.2">
      <c r="B173" s="610" t="s">
        <v>429</v>
      </c>
      <c r="C173" s="610" t="s">
        <v>428</v>
      </c>
      <c r="D173" s="239">
        <v>20279613</v>
      </c>
      <c r="E173" s="239">
        <v>16223691</v>
      </c>
      <c r="F173" s="239">
        <v>4055923</v>
      </c>
      <c r="G173" s="239">
        <v>0</v>
      </c>
      <c r="H173" s="239">
        <v>40559227</v>
      </c>
      <c r="I173" s="239">
        <v>0</v>
      </c>
      <c r="J173" s="239">
        <v>0</v>
      </c>
      <c r="K173" s="239">
        <v>20279613</v>
      </c>
      <c r="L173" s="239">
        <v>172866</v>
      </c>
      <c r="M173" s="239">
        <v>172866</v>
      </c>
      <c r="N173" s="239">
        <v>0</v>
      </c>
      <c r="O173" s="239">
        <v>0</v>
      </c>
      <c r="P173" s="239">
        <v>0</v>
      </c>
      <c r="Q173" s="239">
        <v>0</v>
      </c>
      <c r="R173" s="239">
        <v>0</v>
      </c>
      <c r="S173" s="239">
        <v>0</v>
      </c>
      <c r="T173" s="239">
        <v>0</v>
      </c>
      <c r="U173" s="239">
        <v>0</v>
      </c>
      <c r="V173" s="239">
        <v>0</v>
      </c>
      <c r="W173" s="239">
        <v>1304017</v>
      </c>
      <c r="X173" s="239">
        <v>1043214</v>
      </c>
      <c r="Y173" s="239">
        <v>260803</v>
      </c>
      <c r="Z173" s="239">
        <v>0</v>
      </c>
      <c r="AA173" s="239">
        <v>2608034</v>
      </c>
      <c r="AB173" s="239">
        <v>-849953</v>
      </c>
      <c r="AC173" s="239">
        <v>-679963</v>
      </c>
      <c r="AD173" s="239">
        <v>-169991</v>
      </c>
      <c r="AE173" s="239">
        <v>0</v>
      </c>
      <c r="AF173" s="239">
        <v>-1699907</v>
      </c>
      <c r="AG173" s="239">
        <v>-843212</v>
      </c>
      <c r="AH173" s="239">
        <v>-674571</v>
      </c>
      <c r="AI173" s="239">
        <v>-168643</v>
      </c>
      <c r="AJ173" s="239">
        <v>0</v>
      </c>
      <c r="AK173" s="239">
        <v>-1686426</v>
      </c>
      <c r="AL173" s="239">
        <v>84084</v>
      </c>
      <c r="AM173" s="239">
        <v>67267</v>
      </c>
      <c r="AN173" s="239">
        <v>16817</v>
      </c>
      <c r="AO173" s="239">
        <v>0</v>
      </c>
      <c r="AP173" s="239">
        <v>168168</v>
      </c>
      <c r="AQ173" s="239">
        <v>-129016</v>
      </c>
      <c r="AR173" s="239">
        <v>-103212</v>
      </c>
      <c r="AS173" s="239">
        <v>-25803</v>
      </c>
      <c r="AT173" s="239">
        <v>0</v>
      </c>
      <c r="AU173" s="239">
        <v>-258031</v>
      </c>
      <c r="AV173" s="239">
        <v>-888144</v>
      </c>
      <c r="AW173" s="239">
        <v>-710516</v>
      </c>
      <c r="AX173" s="239">
        <v>-177629</v>
      </c>
      <c r="AY173" s="239">
        <v>0</v>
      </c>
      <c r="AZ173" s="239">
        <v>-1776289</v>
      </c>
      <c r="BA173" s="239">
        <v>-885443</v>
      </c>
      <c r="BB173" s="239">
        <v>-708355</v>
      </c>
      <c r="BC173" s="239">
        <v>-177089</v>
      </c>
      <c r="BD173" s="239">
        <v>0</v>
      </c>
      <c r="BE173" s="239">
        <v>-1770887</v>
      </c>
      <c r="BF173" s="239">
        <v>551531</v>
      </c>
      <c r="BG173" s="239">
        <v>441225</v>
      </c>
      <c r="BH173" s="239">
        <v>110306</v>
      </c>
      <c r="BI173" s="239">
        <v>0</v>
      </c>
      <c r="BJ173" s="239">
        <v>1103062</v>
      </c>
      <c r="BK173" s="239">
        <v>-1905531</v>
      </c>
      <c r="BL173" s="239">
        <v>-1524425</v>
      </c>
      <c r="BM173" s="239">
        <v>-381106</v>
      </c>
      <c r="BN173" s="239">
        <v>0</v>
      </c>
      <c r="BO173" s="239">
        <v>-3811062</v>
      </c>
      <c r="BP173" s="239">
        <v>-2239443</v>
      </c>
      <c r="BQ173" s="239">
        <v>-1791555</v>
      </c>
      <c r="BR173" s="239">
        <v>-447889</v>
      </c>
      <c r="BS173" s="239">
        <v>0</v>
      </c>
      <c r="BT173" s="239">
        <v>-4478887</v>
      </c>
      <c r="BU173" s="239">
        <v>-658999</v>
      </c>
      <c r="BV173" s="239">
        <v>-527199</v>
      </c>
      <c r="BW173" s="239">
        <v>-131800</v>
      </c>
      <c r="BX173" s="239">
        <v>0</v>
      </c>
      <c r="BY173" s="239">
        <v>-1317998</v>
      </c>
      <c r="BZ173" s="239">
        <v>-338565</v>
      </c>
      <c r="CA173" s="239">
        <v>-270852</v>
      </c>
      <c r="CB173" s="239">
        <v>-67713</v>
      </c>
      <c r="CC173" s="239">
        <v>0</v>
      </c>
      <c r="CD173" s="239">
        <v>-677130</v>
      </c>
      <c r="CE173" s="239">
        <v>-320434</v>
      </c>
      <c r="CF173" s="239">
        <v>-256347</v>
      </c>
      <c r="CG173" s="239">
        <v>-64087</v>
      </c>
      <c r="CH173" s="239">
        <v>0</v>
      </c>
      <c r="CI173" s="239">
        <v>-640868</v>
      </c>
      <c r="CJ173" s="239">
        <v>21506776</v>
      </c>
      <c r="CK173" s="239">
        <v>17205421</v>
      </c>
      <c r="CL173" s="239">
        <v>4301355</v>
      </c>
      <c r="CM173" s="239">
        <v>0</v>
      </c>
      <c r="CN173" s="239">
        <v>43013552</v>
      </c>
      <c r="CO173" s="239">
        <v>20279613</v>
      </c>
      <c r="CP173" s="239">
        <v>16223691</v>
      </c>
      <c r="CQ173" s="239">
        <v>4055923</v>
      </c>
      <c r="CR173" s="239">
        <v>0</v>
      </c>
      <c r="CS173" s="239">
        <v>40559227</v>
      </c>
      <c r="CT173" s="239">
        <v>-1227163</v>
      </c>
      <c r="CU173" s="239">
        <v>-981730</v>
      </c>
      <c r="CV173" s="239">
        <v>-245432</v>
      </c>
      <c r="CW173" s="239">
        <v>0</v>
      </c>
      <c r="CX173" s="239">
        <v>-2454325</v>
      </c>
      <c r="CY173" s="239">
        <v>-1547597</v>
      </c>
      <c r="CZ173" s="239">
        <v>-1238077</v>
      </c>
      <c r="DA173" s="239">
        <v>-309519</v>
      </c>
      <c r="DB173" s="239">
        <v>0</v>
      </c>
      <c r="DC173" s="239">
        <v>-3095193</v>
      </c>
      <c r="DD173" s="214">
        <v>0.5</v>
      </c>
      <c r="DE173" s="214">
        <v>0.4</v>
      </c>
      <c r="DF173" s="214">
        <v>0.1</v>
      </c>
      <c r="DG173" s="214">
        <v>0</v>
      </c>
      <c r="DH173" s="214">
        <v>1</v>
      </c>
      <c r="DI173" s="214" t="s">
        <v>1294</v>
      </c>
    </row>
    <row r="174" spans="1:113" s="214" customFormat="1" x14ac:dyDescent="0.2">
      <c r="B174" s="610" t="s">
        <v>431</v>
      </c>
      <c r="C174" s="610" t="s">
        <v>430</v>
      </c>
      <c r="D174" s="239">
        <v>20684580</v>
      </c>
      <c r="E174" s="239">
        <v>20270888</v>
      </c>
      <c r="F174" s="239">
        <v>0</v>
      </c>
      <c r="G174" s="239">
        <v>413692</v>
      </c>
      <c r="H174" s="239">
        <v>41369160</v>
      </c>
      <c r="I174" s="239">
        <v>0</v>
      </c>
      <c r="J174" s="239">
        <v>0</v>
      </c>
      <c r="K174" s="239">
        <v>20684580</v>
      </c>
      <c r="L174" s="239">
        <v>178921</v>
      </c>
      <c r="M174" s="239">
        <v>178921</v>
      </c>
      <c r="N174" s="239">
        <v>0</v>
      </c>
      <c r="O174" s="239">
        <v>0</v>
      </c>
      <c r="P174" s="239">
        <v>0</v>
      </c>
      <c r="Q174" s="239">
        <v>0</v>
      </c>
      <c r="R174" s="239">
        <v>0</v>
      </c>
      <c r="S174" s="239">
        <v>0</v>
      </c>
      <c r="T174" s="239">
        <v>0</v>
      </c>
      <c r="U174" s="239">
        <v>0</v>
      </c>
      <c r="V174" s="239">
        <v>0</v>
      </c>
      <c r="W174" s="239">
        <v>4376555</v>
      </c>
      <c r="X174" s="239">
        <v>4289023</v>
      </c>
      <c r="Y174" s="239">
        <v>0</v>
      </c>
      <c r="Z174" s="239">
        <v>87531</v>
      </c>
      <c r="AA174" s="239">
        <v>8753109</v>
      </c>
      <c r="AB174" s="239">
        <v>-1624536</v>
      </c>
      <c r="AC174" s="239">
        <v>-1592045</v>
      </c>
      <c r="AD174" s="239">
        <v>0</v>
      </c>
      <c r="AE174" s="239">
        <v>-32491</v>
      </c>
      <c r="AF174" s="239">
        <v>-3249072</v>
      </c>
      <c r="AG174" s="239">
        <v>-2609678</v>
      </c>
      <c r="AH174" s="239">
        <v>-2557485</v>
      </c>
      <c r="AI174" s="239">
        <v>0</v>
      </c>
      <c r="AJ174" s="239">
        <v>-52194</v>
      </c>
      <c r="AK174" s="239">
        <v>-5219357</v>
      </c>
      <c r="AL174" s="239">
        <v>286264</v>
      </c>
      <c r="AM174" s="239">
        <v>280539</v>
      </c>
      <c r="AN174" s="239">
        <v>0</v>
      </c>
      <c r="AO174" s="239">
        <v>5725</v>
      </c>
      <c r="AP174" s="239">
        <v>572528</v>
      </c>
      <c r="AQ174" s="239">
        <v>-445833</v>
      </c>
      <c r="AR174" s="239">
        <v>-436917</v>
      </c>
      <c r="AS174" s="239">
        <v>0</v>
      </c>
      <c r="AT174" s="239">
        <v>-8917</v>
      </c>
      <c r="AU174" s="239">
        <v>-891667</v>
      </c>
      <c r="AV174" s="239">
        <v>-2769247</v>
      </c>
      <c r="AW174" s="239">
        <v>-2713863</v>
      </c>
      <c r="AX174" s="239">
        <v>0</v>
      </c>
      <c r="AY174" s="239">
        <v>-55386</v>
      </c>
      <c r="AZ174" s="239">
        <v>-5538496</v>
      </c>
      <c r="BA174" s="239">
        <v>-2000000</v>
      </c>
      <c r="BB174" s="239">
        <v>-1960000</v>
      </c>
      <c r="BC174" s="239">
        <v>0</v>
      </c>
      <c r="BD174" s="239">
        <v>-40000</v>
      </c>
      <c r="BE174" s="239">
        <v>-4000000</v>
      </c>
      <c r="BF174" s="239">
        <v>1500000</v>
      </c>
      <c r="BG174" s="239">
        <v>1470000</v>
      </c>
      <c r="BH174" s="239">
        <v>0</v>
      </c>
      <c r="BI174" s="239">
        <v>30000</v>
      </c>
      <c r="BJ174" s="239">
        <v>3000000</v>
      </c>
      <c r="BK174" s="239">
        <v>0</v>
      </c>
      <c r="BL174" s="239">
        <v>0</v>
      </c>
      <c r="BM174" s="239">
        <v>0</v>
      </c>
      <c r="BN174" s="239">
        <v>0</v>
      </c>
      <c r="BO174" s="239">
        <v>0</v>
      </c>
      <c r="BP174" s="239">
        <v>-500000</v>
      </c>
      <c r="BQ174" s="239">
        <v>-490000</v>
      </c>
      <c r="BR174" s="239">
        <v>0</v>
      </c>
      <c r="BS174" s="239">
        <v>-10000</v>
      </c>
      <c r="BT174" s="239">
        <v>-1000000</v>
      </c>
      <c r="BU174" s="239">
        <v>-1454606</v>
      </c>
      <c r="BV174" s="239">
        <v>-1425513</v>
      </c>
      <c r="BW174" s="239">
        <v>0</v>
      </c>
      <c r="BX174" s="239">
        <v>-29092</v>
      </c>
      <c r="BY174" s="239">
        <v>-2909211</v>
      </c>
      <c r="BZ174" s="239">
        <v>-51817</v>
      </c>
      <c r="CA174" s="239">
        <v>-50781</v>
      </c>
      <c r="CB174" s="239">
        <v>0</v>
      </c>
      <c r="CC174" s="239">
        <v>-1036</v>
      </c>
      <c r="CD174" s="239">
        <v>-103634</v>
      </c>
      <c r="CE174" s="239">
        <v>-1402789</v>
      </c>
      <c r="CF174" s="239">
        <v>-1374732</v>
      </c>
      <c r="CG174" s="239">
        <v>0</v>
      </c>
      <c r="CH174" s="239">
        <v>-28056</v>
      </c>
      <c r="CI174" s="239">
        <v>-2805577</v>
      </c>
      <c r="CJ174" s="239">
        <v>20266361</v>
      </c>
      <c r="CK174" s="239">
        <v>19861034</v>
      </c>
      <c r="CL174" s="239">
        <v>0</v>
      </c>
      <c r="CM174" s="239">
        <v>405327</v>
      </c>
      <c r="CN174" s="239">
        <v>40532722</v>
      </c>
      <c r="CO174" s="239">
        <v>20684580</v>
      </c>
      <c r="CP174" s="239">
        <v>20270888</v>
      </c>
      <c r="CQ174" s="239">
        <v>0</v>
      </c>
      <c r="CR174" s="239">
        <v>413692</v>
      </c>
      <c r="CS174" s="239">
        <v>41369160</v>
      </c>
      <c r="CT174" s="239">
        <v>418219</v>
      </c>
      <c r="CU174" s="239">
        <v>409854</v>
      </c>
      <c r="CV174" s="239">
        <v>0</v>
      </c>
      <c r="CW174" s="239">
        <v>8365</v>
      </c>
      <c r="CX174" s="239">
        <v>836438</v>
      </c>
      <c r="CY174" s="239">
        <v>-984570</v>
      </c>
      <c r="CZ174" s="239">
        <v>-964878</v>
      </c>
      <c r="DA174" s="239">
        <v>0</v>
      </c>
      <c r="DB174" s="239">
        <v>-19691</v>
      </c>
      <c r="DC174" s="239">
        <v>-1969139</v>
      </c>
      <c r="DD174" s="214">
        <v>0.5</v>
      </c>
      <c r="DE174" s="214">
        <v>0.49</v>
      </c>
      <c r="DF174" s="214">
        <v>0</v>
      </c>
      <c r="DG174" s="214">
        <v>0.01</v>
      </c>
      <c r="DH174" s="214">
        <v>1</v>
      </c>
      <c r="DI174" s="214" t="s">
        <v>748</v>
      </c>
    </row>
    <row r="175" spans="1:113" s="214" customFormat="1" x14ac:dyDescent="0.2">
      <c r="B175" s="610" t="s">
        <v>433</v>
      </c>
      <c r="C175" s="610" t="s">
        <v>432</v>
      </c>
      <c r="D175" s="239">
        <v>76380507</v>
      </c>
      <c r="E175" s="239">
        <v>74852896</v>
      </c>
      <c r="F175" s="239">
        <v>0</v>
      </c>
      <c r="G175" s="239">
        <v>1527610</v>
      </c>
      <c r="H175" s="239">
        <v>152761013</v>
      </c>
      <c r="I175" s="239">
        <v>0</v>
      </c>
      <c r="J175" s="239">
        <v>0</v>
      </c>
      <c r="K175" s="239">
        <v>76380507</v>
      </c>
      <c r="L175" s="239">
        <v>376320</v>
      </c>
      <c r="M175" s="239">
        <v>376320</v>
      </c>
      <c r="N175" s="239">
        <v>0</v>
      </c>
      <c r="O175" s="239">
        <v>0</v>
      </c>
      <c r="P175" s="239">
        <v>0</v>
      </c>
      <c r="Q175" s="239">
        <v>0</v>
      </c>
      <c r="R175" s="239">
        <v>0</v>
      </c>
      <c r="S175" s="239">
        <v>0</v>
      </c>
      <c r="T175" s="239">
        <v>0</v>
      </c>
      <c r="U175" s="239">
        <v>0</v>
      </c>
      <c r="V175" s="239">
        <v>0</v>
      </c>
      <c r="W175" s="239">
        <v>3069781</v>
      </c>
      <c r="X175" s="239">
        <v>3008386</v>
      </c>
      <c r="Y175" s="239">
        <v>0</v>
      </c>
      <c r="Z175" s="239">
        <v>61396</v>
      </c>
      <c r="AA175" s="239">
        <v>6139563</v>
      </c>
      <c r="AB175" s="239">
        <v>-1204513</v>
      </c>
      <c r="AC175" s="239">
        <v>-1180423</v>
      </c>
      <c r="AD175" s="239">
        <v>0</v>
      </c>
      <c r="AE175" s="239">
        <v>-24090</v>
      </c>
      <c r="AF175" s="239">
        <v>-2409026</v>
      </c>
      <c r="AG175" s="239">
        <v>-2365000</v>
      </c>
      <c r="AH175" s="239">
        <v>-2317700</v>
      </c>
      <c r="AI175" s="239">
        <v>0</v>
      </c>
      <c r="AJ175" s="239">
        <v>-47300</v>
      </c>
      <c r="AK175" s="239">
        <v>-4730000</v>
      </c>
      <c r="AL175" s="239">
        <v>534731</v>
      </c>
      <c r="AM175" s="239">
        <v>524036</v>
      </c>
      <c r="AN175" s="239">
        <v>0</v>
      </c>
      <c r="AO175" s="239">
        <v>10695</v>
      </c>
      <c r="AP175" s="239">
        <v>1069462</v>
      </c>
      <c r="AQ175" s="239">
        <v>-224731</v>
      </c>
      <c r="AR175" s="239">
        <v>-220236</v>
      </c>
      <c r="AS175" s="239">
        <v>0</v>
      </c>
      <c r="AT175" s="239">
        <v>-4495</v>
      </c>
      <c r="AU175" s="239">
        <v>-449462</v>
      </c>
      <c r="AV175" s="239">
        <v>-2055000</v>
      </c>
      <c r="AW175" s="239">
        <v>-2013900</v>
      </c>
      <c r="AX175" s="239">
        <v>0</v>
      </c>
      <c r="AY175" s="239">
        <v>-41100</v>
      </c>
      <c r="AZ175" s="239">
        <v>-4110000</v>
      </c>
      <c r="BA175" s="239">
        <v>-13792936</v>
      </c>
      <c r="BB175" s="239">
        <v>-13517078</v>
      </c>
      <c r="BC175" s="239">
        <v>0</v>
      </c>
      <c r="BD175" s="239">
        <v>-275858</v>
      </c>
      <c r="BE175" s="239">
        <v>-27585872</v>
      </c>
      <c r="BF175" s="239">
        <v>3122879</v>
      </c>
      <c r="BG175" s="239">
        <v>3060421</v>
      </c>
      <c r="BH175" s="239">
        <v>0</v>
      </c>
      <c r="BI175" s="239">
        <v>62458</v>
      </c>
      <c r="BJ175" s="239">
        <v>6245758</v>
      </c>
      <c r="BK175" s="239">
        <v>-5948844</v>
      </c>
      <c r="BL175" s="239">
        <v>-5829867</v>
      </c>
      <c r="BM175" s="239">
        <v>0</v>
      </c>
      <c r="BN175" s="239">
        <v>-118977</v>
      </c>
      <c r="BO175" s="239">
        <v>-11897688</v>
      </c>
      <c r="BP175" s="239">
        <v>-16618901</v>
      </c>
      <c r="BQ175" s="239">
        <v>-16286524</v>
      </c>
      <c r="BR175" s="239">
        <v>0</v>
      </c>
      <c r="BS175" s="239">
        <v>-332377</v>
      </c>
      <c r="BT175" s="239">
        <v>-33237802</v>
      </c>
      <c r="BU175" s="239">
        <v>-4819973</v>
      </c>
      <c r="BV175" s="239">
        <v>-4723574</v>
      </c>
      <c r="BW175" s="239">
        <v>0</v>
      </c>
      <c r="BX175" s="239">
        <v>-96399</v>
      </c>
      <c r="BY175" s="239">
        <v>-9639946</v>
      </c>
      <c r="BZ175" s="239">
        <v>1712244</v>
      </c>
      <c r="CA175" s="239">
        <v>1678000</v>
      </c>
      <c r="CB175" s="239">
        <v>0</v>
      </c>
      <c r="CC175" s="239">
        <v>34245</v>
      </c>
      <c r="CD175" s="239">
        <v>3424489</v>
      </c>
      <c r="CE175" s="239">
        <v>-6532217</v>
      </c>
      <c r="CF175" s="239">
        <v>-6401574</v>
      </c>
      <c r="CG175" s="239">
        <v>0</v>
      </c>
      <c r="CH175" s="239">
        <v>-130644</v>
      </c>
      <c r="CI175" s="239">
        <v>-13064435</v>
      </c>
      <c r="CJ175" s="239">
        <v>77600990</v>
      </c>
      <c r="CK175" s="239">
        <v>76048970</v>
      </c>
      <c r="CL175" s="239">
        <v>0</v>
      </c>
      <c r="CM175" s="239">
        <v>1552020</v>
      </c>
      <c r="CN175" s="239">
        <v>155201980</v>
      </c>
      <c r="CO175" s="239">
        <v>76380507</v>
      </c>
      <c r="CP175" s="239">
        <v>74852896</v>
      </c>
      <c r="CQ175" s="239">
        <v>0</v>
      </c>
      <c r="CR175" s="239">
        <v>1527610</v>
      </c>
      <c r="CS175" s="239">
        <v>152761013</v>
      </c>
      <c r="CT175" s="239">
        <v>-1220483</v>
      </c>
      <c r="CU175" s="239">
        <v>-1196074</v>
      </c>
      <c r="CV175" s="239">
        <v>0</v>
      </c>
      <c r="CW175" s="239">
        <v>-24410</v>
      </c>
      <c r="CX175" s="239">
        <v>-2440967</v>
      </c>
      <c r="CY175" s="239">
        <v>-7752700</v>
      </c>
      <c r="CZ175" s="239">
        <v>-7597648</v>
      </c>
      <c r="DA175" s="239">
        <v>0</v>
      </c>
      <c r="DB175" s="239">
        <v>-155054</v>
      </c>
      <c r="DC175" s="239">
        <v>-15505402</v>
      </c>
      <c r="DD175" s="214">
        <v>0.5</v>
      </c>
      <c r="DE175" s="214">
        <v>0.49</v>
      </c>
      <c r="DF175" s="214">
        <v>0</v>
      </c>
      <c r="DG175" s="214">
        <v>0.01</v>
      </c>
      <c r="DH175" s="214">
        <v>1</v>
      </c>
      <c r="DI175" s="214" t="s">
        <v>748</v>
      </c>
    </row>
    <row r="176" spans="1:113" s="214" customFormat="1" x14ac:dyDescent="0.2">
      <c r="B176" s="610" t="s">
        <v>435</v>
      </c>
      <c r="C176" s="610" t="s">
        <v>434</v>
      </c>
      <c r="D176" s="239">
        <v>20331102</v>
      </c>
      <c r="E176" s="239">
        <v>16264881</v>
      </c>
      <c r="F176" s="239">
        <v>4066220</v>
      </c>
      <c r="G176" s="239">
        <v>0</v>
      </c>
      <c r="H176" s="239">
        <v>40662203</v>
      </c>
      <c r="I176" s="239">
        <v>0</v>
      </c>
      <c r="J176" s="239">
        <v>0</v>
      </c>
      <c r="K176" s="239">
        <v>20331102</v>
      </c>
      <c r="L176" s="239">
        <v>151601</v>
      </c>
      <c r="M176" s="239">
        <v>151601</v>
      </c>
      <c r="N176" s="239">
        <v>0</v>
      </c>
      <c r="O176" s="239">
        <v>0</v>
      </c>
      <c r="P176" s="239">
        <v>0</v>
      </c>
      <c r="Q176" s="239">
        <v>0</v>
      </c>
      <c r="R176" s="239">
        <v>0</v>
      </c>
      <c r="S176" s="239">
        <v>0</v>
      </c>
      <c r="T176" s="239">
        <v>0</v>
      </c>
      <c r="U176" s="239">
        <v>0</v>
      </c>
      <c r="V176" s="239">
        <v>0</v>
      </c>
      <c r="W176" s="239">
        <v>913882</v>
      </c>
      <c r="X176" s="239">
        <v>731106</v>
      </c>
      <c r="Y176" s="239">
        <v>182776</v>
      </c>
      <c r="Z176" s="239">
        <v>0</v>
      </c>
      <c r="AA176" s="239">
        <v>1827764</v>
      </c>
      <c r="AB176" s="239">
        <v>-1106210</v>
      </c>
      <c r="AC176" s="239">
        <v>-884968</v>
      </c>
      <c r="AD176" s="239">
        <v>-221242</v>
      </c>
      <c r="AE176" s="239">
        <v>0</v>
      </c>
      <c r="AF176" s="239">
        <v>-2212420</v>
      </c>
      <c r="AG176" s="239">
        <v>-185000</v>
      </c>
      <c r="AH176" s="239">
        <v>-148000</v>
      </c>
      <c r="AI176" s="239">
        <v>-37000</v>
      </c>
      <c r="AJ176" s="239">
        <v>0</v>
      </c>
      <c r="AK176" s="239">
        <v>-370000</v>
      </c>
      <c r="AL176" s="239">
        <v>8237</v>
      </c>
      <c r="AM176" s="239">
        <v>6589</v>
      </c>
      <c r="AN176" s="239">
        <v>1647</v>
      </c>
      <c r="AO176" s="239">
        <v>0</v>
      </c>
      <c r="AP176" s="239">
        <v>16473</v>
      </c>
      <c r="AQ176" s="239">
        <v>-68237</v>
      </c>
      <c r="AR176" s="239">
        <v>-54589</v>
      </c>
      <c r="AS176" s="239">
        <v>-13647</v>
      </c>
      <c r="AT176" s="239">
        <v>0</v>
      </c>
      <c r="AU176" s="239">
        <v>-136473</v>
      </c>
      <c r="AV176" s="239">
        <v>-245000</v>
      </c>
      <c r="AW176" s="239">
        <v>-196000</v>
      </c>
      <c r="AX176" s="239">
        <v>-49000</v>
      </c>
      <c r="AY176" s="239">
        <v>0</v>
      </c>
      <c r="AZ176" s="239">
        <v>-490000</v>
      </c>
      <c r="BA176" s="239">
        <v>-2160524</v>
      </c>
      <c r="BB176" s="239">
        <v>-1728419</v>
      </c>
      <c r="BC176" s="239">
        <v>-432104</v>
      </c>
      <c r="BD176" s="239">
        <v>0</v>
      </c>
      <c r="BE176" s="239">
        <v>-4321047</v>
      </c>
      <c r="BF176" s="239">
        <v>130000</v>
      </c>
      <c r="BG176" s="239">
        <v>104000</v>
      </c>
      <c r="BH176" s="239">
        <v>26000</v>
      </c>
      <c r="BI176" s="239">
        <v>0</v>
      </c>
      <c r="BJ176" s="239">
        <v>260000</v>
      </c>
      <c r="BK176" s="239">
        <v>1424932</v>
      </c>
      <c r="BL176" s="239">
        <v>1139946</v>
      </c>
      <c r="BM176" s="239">
        <v>284987</v>
      </c>
      <c r="BN176" s="239">
        <v>0</v>
      </c>
      <c r="BO176" s="239">
        <v>2849865</v>
      </c>
      <c r="BP176" s="239">
        <v>-605592</v>
      </c>
      <c r="BQ176" s="239">
        <v>-484473</v>
      </c>
      <c r="BR176" s="239">
        <v>-121117</v>
      </c>
      <c r="BS176" s="239">
        <v>0</v>
      </c>
      <c r="BT176" s="239">
        <v>-1211182</v>
      </c>
      <c r="BU176" s="239">
        <v>-1155084</v>
      </c>
      <c r="BV176" s="239">
        <v>-924068</v>
      </c>
      <c r="BW176" s="239">
        <v>-231017</v>
      </c>
      <c r="BX176" s="239">
        <v>0</v>
      </c>
      <c r="BY176" s="239">
        <v>-2310169</v>
      </c>
      <c r="BZ176" s="239">
        <v>92221</v>
      </c>
      <c r="CA176" s="239">
        <v>73777</v>
      </c>
      <c r="CB176" s="239">
        <v>18444</v>
      </c>
      <c r="CC176" s="239">
        <v>0</v>
      </c>
      <c r="CD176" s="239">
        <v>184442</v>
      </c>
      <c r="CE176" s="239">
        <v>-1247305</v>
      </c>
      <c r="CF176" s="239">
        <v>-997845</v>
      </c>
      <c r="CG176" s="239">
        <v>-249461</v>
      </c>
      <c r="CH176" s="239">
        <v>0</v>
      </c>
      <c r="CI176" s="239">
        <v>-2494611</v>
      </c>
      <c r="CJ176" s="239">
        <v>18936791</v>
      </c>
      <c r="CK176" s="239">
        <v>15149432</v>
      </c>
      <c r="CL176" s="239">
        <v>3787358</v>
      </c>
      <c r="CM176" s="239">
        <v>0</v>
      </c>
      <c r="CN176" s="239">
        <v>37873581</v>
      </c>
      <c r="CO176" s="239">
        <v>20331102</v>
      </c>
      <c r="CP176" s="239">
        <v>16264881</v>
      </c>
      <c r="CQ176" s="239">
        <v>4066220</v>
      </c>
      <c r="CR176" s="239">
        <v>0</v>
      </c>
      <c r="CS176" s="239">
        <v>40662203</v>
      </c>
      <c r="CT176" s="239">
        <v>1394311</v>
      </c>
      <c r="CU176" s="239">
        <v>1115449</v>
      </c>
      <c r="CV176" s="239">
        <v>278862</v>
      </c>
      <c r="CW176" s="239">
        <v>0</v>
      </c>
      <c r="CX176" s="239">
        <v>2788622</v>
      </c>
      <c r="CY176" s="239">
        <v>147006</v>
      </c>
      <c r="CZ176" s="239">
        <v>117604</v>
      </c>
      <c r="DA176" s="239">
        <v>29401</v>
      </c>
      <c r="DB176" s="239">
        <v>0</v>
      </c>
      <c r="DC176" s="239">
        <v>294011</v>
      </c>
      <c r="DD176" s="214">
        <v>0.5</v>
      </c>
      <c r="DE176" s="214">
        <v>0.4</v>
      </c>
      <c r="DF176" s="214">
        <v>0.1</v>
      </c>
      <c r="DG176" s="214">
        <v>0</v>
      </c>
      <c r="DH176" s="214">
        <v>1</v>
      </c>
      <c r="DI176" s="214" t="s">
        <v>1294</v>
      </c>
    </row>
    <row r="177" spans="2:113" s="214" customFormat="1" x14ac:dyDescent="0.2">
      <c r="B177" s="610" t="s">
        <v>437</v>
      </c>
      <c r="C177" s="610" t="s">
        <v>436</v>
      </c>
      <c r="D177" s="239">
        <v>31490319</v>
      </c>
      <c r="E177" s="239">
        <v>25192256</v>
      </c>
      <c r="F177" s="239">
        <v>5668258</v>
      </c>
      <c r="G177" s="239">
        <v>629806</v>
      </c>
      <c r="H177" s="239">
        <v>62980639</v>
      </c>
      <c r="I177" s="239">
        <v>0</v>
      </c>
      <c r="J177" s="239">
        <v>0</v>
      </c>
      <c r="K177" s="239">
        <v>31490319</v>
      </c>
      <c r="L177" s="239">
        <v>280124</v>
      </c>
      <c r="M177" s="239">
        <v>280124</v>
      </c>
      <c r="N177" s="239">
        <v>0</v>
      </c>
      <c r="O177" s="239">
        <v>0</v>
      </c>
      <c r="P177" s="239">
        <v>35213</v>
      </c>
      <c r="Q177" s="239">
        <v>0</v>
      </c>
      <c r="R177" s="239">
        <v>35213</v>
      </c>
      <c r="S177" s="239">
        <v>0</v>
      </c>
      <c r="T177" s="239">
        <v>0</v>
      </c>
      <c r="U177" s="239">
        <v>0</v>
      </c>
      <c r="V177" s="239">
        <v>0</v>
      </c>
      <c r="W177" s="239">
        <v>638279</v>
      </c>
      <c r="X177" s="239">
        <v>510624</v>
      </c>
      <c r="Y177" s="239">
        <v>114890</v>
      </c>
      <c r="Z177" s="239">
        <v>12766</v>
      </c>
      <c r="AA177" s="239">
        <v>1276559</v>
      </c>
      <c r="AB177" s="239">
        <v>-466771</v>
      </c>
      <c r="AC177" s="239">
        <v>-373417</v>
      </c>
      <c r="AD177" s="239">
        <v>-84019</v>
      </c>
      <c r="AE177" s="239">
        <v>-9335</v>
      </c>
      <c r="AF177" s="239">
        <v>-933542</v>
      </c>
      <c r="AG177" s="239">
        <v>-181780</v>
      </c>
      <c r="AH177" s="239">
        <v>-145424</v>
      </c>
      <c r="AI177" s="239">
        <v>-32720</v>
      </c>
      <c r="AJ177" s="239">
        <v>-3636</v>
      </c>
      <c r="AK177" s="239">
        <v>-363560</v>
      </c>
      <c r="AL177" s="239">
        <v>84125</v>
      </c>
      <c r="AM177" s="239">
        <v>67299</v>
      </c>
      <c r="AN177" s="239">
        <v>15142</v>
      </c>
      <c r="AO177" s="239">
        <v>1682</v>
      </c>
      <c r="AP177" s="239">
        <v>168248</v>
      </c>
      <c r="AQ177" s="239">
        <v>-92839</v>
      </c>
      <c r="AR177" s="239">
        <v>-74271</v>
      </c>
      <c r="AS177" s="239">
        <v>-16711</v>
      </c>
      <c r="AT177" s="239">
        <v>-1857</v>
      </c>
      <c r="AU177" s="239">
        <v>-185678</v>
      </c>
      <c r="AV177" s="239">
        <v>-190494</v>
      </c>
      <c r="AW177" s="239">
        <v>-152396</v>
      </c>
      <c r="AX177" s="239">
        <v>-34289</v>
      </c>
      <c r="AY177" s="239">
        <v>-3811</v>
      </c>
      <c r="AZ177" s="239">
        <v>-380990</v>
      </c>
      <c r="BA177" s="239">
        <v>-5149999</v>
      </c>
      <c r="BB177" s="239">
        <v>-4120000</v>
      </c>
      <c r="BC177" s="239">
        <v>-927000</v>
      </c>
      <c r="BD177" s="239">
        <v>-103001</v>
      </c>
      <c r="BE177" s="239">
        <v>-10300000</v>
      </c>
      <c r="BF177" s="239">
        <v>86686</v>
      </c>
      <c r="BG177" s="239">
        <v>69349</v>
      </c>
      <c r="BH177" s="239">
        <v>15603</v>
      </c>
      <c r="BI177" s="239">
        <v>1734</v>
      </c>
      <c r="BJ177" s="239">
        <v>173372</v>
      </c>
      <c r="BK177" s="239">
        <v>-949186</v>
      </c>
      <c r="BL177" s="239">
        <v>-759349</v>
      </c>
      <c r="BM177" s="239">
        <v>-170853</v>
      </c>
      <c r="BN177" s="239">
        <v>-18984</v>
      </c>
      <c r="BO177" s="239">
        <v>-1898372</v>
      </c>
      <c r="BP177" s="239">
        <v>-6012499</v>
      </c>
      <c r="BQ177" s="239">
        <v>-4810000</v>
      </c>
      <c r="BR177" s="239">
        <v>-1082250</v>
      </c>
      <c r="BS177" s="239">
        <v>-120251</v>
      </c>
      <c r="BT177" s="239">
        <v>-12025000</v>
      </c>
      <c r="BU177" s="239">
        <v>-291510</v>
      </c>
      <c r="BV177" s="239">
        <v>-233208</v>
      </c>
      <c r="BW177" s="239">
        <v>-52472</v>
      </c>
      <c r="BX177" s="239">
        <v>-5830</v>
      </c>
      <c r="BY177" s="239">
        <v>-583020</v>
      </c>
      <c r="BZ177" s="239">
        <v>20429</v>
      </c>
      <c r="CA177" s="239">
        <v>16344</v>
      </c>
      <c r="CB177" s="239">
        <v>3677</v>
      </c>
      <c r="CC177" s="239">
        <v>409</v>
      </c>
      <c r="CD177" s="239">
        <v>40859</v>
      </c>
      <c r="CE177" s="239">
        <v>-311939</v>
      </c>
      <c r="CF177" s="239">
        <v>-249552</v>
      </c>
      <c r="CG177" s="239">
        <v>-56149</v>
      </c>
      <c r="CH177" s="239">
        <v>-6239</v>
      </c>
      <c r="CI177" s="239">
        <v>-623879</v>
      </c>
      <c r="CJ177" s="239">
        <v>31864492</v>
      </c>
      <c r="CK177" s="239">
        <v>25491593</v>
      </c>
      <c r="CL177" s="239">
        <v>5735608</v>
      </c>
      <c r="CM177" s="239">
        <v>637290</v>
      </c>
      <c r="CN177" s="239">
        <v>63728983</v>
      </c>
      <c r="CO177" s="239">
        <v>31490319</v>
      </c>
      <c r="CP177" s="239">
        <v>25192256</v>
      </c>
      <c r="CQ177" s="239">
        <v>5668258</v>
      </c>
      <c r="CR177" s="239">
        <v>629806</v>
      </c>
      <c r="CS177" s="239">
        <v>62980639</v>
      </c>
      <c r="CT177" s="239">
        <v>-374173</v>
      </c>
      <c r="CU177" s="239">
        <v>-299337</v>
      </c>
      <c r="CV177" s="239">
        <v>-67350</v>
      </c>
      <c r="CW177" s="239">
        <v>-7484</v>
      </c>
      <c r="CX177" s="239">
        <v>-748344</v>
      </c>
      <c r="CY177" s="239">
        <v>-686112</v>
      </c>
      <c r="CZ177" s="239">
        <v>-548889</v>
      </c>
      <c r="DA177" s="239">
        <v>-123499</v>
      </c>
      <c r="DB177" s="239">
        <v>-13723</v>
      </c>
      <c r="DC177" s="239">
        <v>-1372223</v>
      </c>
      <c r="DD177" s="214">
        <v>0.5</v>
      </c>
      <c r="DE177" s="214">
        <v>0.4</v>
      </c>
      <c r="DF177" s="214">
        <v>0.09</v>
      </c>
      <c r="DG177" s="214">
        <v>0.01</v>
      </c>
      <c r="DH177" s="214">
        <v>1</v>
      </c>
      <c r="DI177" s="214" t="s">
        <v>1294</v>
      </c>
    </row>
    <row r="178" spans="2:113" s="214" customFormat="1" x14ac:dyDescent="0.2">
      <c r="B178" s="610" t="s">
        <v>439</v>
      </c>
      <c r="C178" s="610" t="s">
        <v>438</v>
      </c>
      <c r="D178" s="239">
        <v>18128214</v>
      </c>
      <c r="E178" s="239">
        <v>14502571</v>
      </c>
      <c r="F178" s="239">
        <v>3263078</v>
      </c>
      <c r="G178" s="239">
        <v>362564</v>
      </c>
      <c r="H178" s="239">
        <v>36256427</v>
      </c>
      <c r="I178" s="239">
        <v>0</v>
      </c>
      <c r="J178" s="239">
        <v>0</v>
      </c>
      <c r="K178" s="239">
        <v>18128214</v>
      </c>
      <c r="L178" s="239">
        <v>164151</v>
      </c>
      <c r="M178" s="239">
        <v>164151</v>
      </c>
      <c r="N178" s="239">
        <v>0</v>
      </c>
      <c r="O178" s="239">
        <v>0</v>
      </c>
      <c r="P178" s="239">
        <v>64677</v>
      </c>
      <c r="Q178" s="239">
        <v>0</v>
      </c>
      <c r="R178" s="239">
        <v>64677</v>
      </c>
      <c r="S178" s="239">
        <v>0</v>
      </c>
      <c r="T178" s="239">
        <v>0</v>
      </c>
      <c r="U178" s="239">
        <v>0</v>
      </c>
      <c r="V178" s="239">
        <v>0</v>
      </c>
      <c r="W178" s="239">
        <v>553384</v>
      </c>
      <c r="X178" s="239">
        <v>442707</v>
      </c>
      <c r="Y178" s="239">
        <v>99609</v>
      </c>
      <c r="Z178" s="239">
        <v>11068</v>
      </c>
      <c r="AA178" s="239">
        <v>1106768</v>
      </c>
      <c r="AB178" s="239">
        <v>-50714</v>
      </c>
      <c r="AC178" s="239">
        <v>-40570</v>
      </c>
      <c r="AD178" s="239">
        <v>-9128</v>
      </c>
      <c r="AE178" s="239">
        <v>-1014</v>
      </c>
      <c r="AF178" s="239">
        <v>-101426</v>
      </c>
      <c r="AG178" s="239">
        <v>-173776</v>
      </c>
      <c r="AH178" s="239">
        <v>-139020</v>
      </c>
      <c r="AI178" s="239">
        <v>-31279</v>
      </c>
      <c r="AJ178" s="239">
        <v>-3475</v>
      </c>
      <c r="AK178" s="239">
        <v>-347550</v>
      </c>
      <c r="AL178" s="239">
        <v>97215</v>
      </c>
      <c r="AM178" s="239">
        <v>77772</v>
      </c>
      <c r="AN178" s="239">
        <v>17499</v>
      </c>
      <c r="AO178" s="239">
        <v>1944</v>
      </c>
      <c r="AP178" s="239">
        <v>194430</v>
      </c>
      <c r="AQ178" s="239">
        <v>-129625</v>
      </c>
      <c r="AR178" s="239">
        <v>-103701</v>
      </c>
      <c r="AS178" s="239">
        <v>-23333</v>
      </c>
      <c r="AT178" s="239">
        <v>-2593</v>
      </c>
      <c r="AU178" s="239">
        <v>-259252</v>
      </c>
      <c r="AV178" s="239">
        <v>-206186</v>
      </c>
      <c r="AW178" s="239">
        <v>-164949</v>
      </c>
      <c r="AX178" s="239">
        <v>-37113</v>
      </c>
      <c r="AY178" s="239">
        <v>-4124</v>
      </c>
      <c r="AZ178" s="239">
        <v>-412372</v>
      </c>
      <c r="BA178" s="239">
        <v>-800000</v>
      </c>
      <c r="BB178" s="239">
        <v>-640000</v>
      </c>
      <c r="BC178" s="239">
        <v>-144000</v>
      </c>
      <c r="BD178" s="239">
        <v>-16000</v>
      </c>
      <c r="BE178" s="239">
        <v>-1600000</v>
      </c>
      <c r="BF178" s="239">
        <v>355000</v>
      </c>
      <c r="BG178" s="239">
        <v>284000</v>
      </c>
      <c r="BH178" s="239">
        <v>63900</v>
      </c>
      <c r="BI178" s="239">
        <v>7100</v>
      </c>
      <c r="BJ178" s="239">
        <v>710000</v>
      </c>
      <c r="BK178" s="239">
        <v>-1300000</v>
      </c>
      <c r="BL178" s="239">
        <v>-1040000</v>
      </c>
      <c r="BM178" s="239">
        <v>-234000</v>
      </c>
      <c r="BN178" s="239">
        <v>-26000</v>
      </c>
      <c r="BO178" s="239">
        <v>-2600000</v>
      </c>
      <c r="BP178" s="239">
        <v>-1745000</v>
      </c>
      <c r="BQ178" s="239">
        <v>-1396000</v>
      </c>
      <c r="BR178" s="239">
        <v>-314100</v>
      </c>
      <c r="BS178" s="239">
        <v>-34900</v>
      </c>
      <c r="BT178" s="239">
        <v>-3490000</v>
      </c>
      <c r="BU178" s="239">
        <v>-1025853</v>
      </c>
      <c r="BV178" s="239">
        <v>-820683</v>
      </c>
      <c r="BW178" s="239">
        <v>-184654</v>
      </c>
      <c r="BX178" s="239">
        <v>-20517</v>
      </c>
      <c r="BY178" s="239">
        <v>-2051707</v>
      </c>
      <c r="BZ178" s="239">
        <v>-352589</v>
      </c>
      <c r="CA178" s="239">
        <v>-282072</v>
      </c>
      <c r="CB178" s="239">
        <v>-63466</v>
      </c>
      <c r="CC178" s="239">
        <v>-7052</v>
      </c>
      <c r="CD178" s="239">
        <v>-705179</v>
      </c>
      <c r="CE178" s="239">
        <v>-673264</v>
      </c>
      <c r="CF178" s="239">
        <v>-538611</v>
      </c>
      <c r="CG178" s="239">
        <v>-121188</v>
      </c>
      <c r="CH178" s="239">
        <v>-13465</v>
      </c>
      <c r="CI178" s="239">
        <v>-1346528</v>
      </c>
      <c r="CJ178" s="239">
        <v>19531547</v>
      </c>
      <c r="CK178" s="239">
        <v>15625238</v>
      </c>
      <c r="CL178" s="239">
        <v>3515678</v>
      </c>
      <c r="CM178" s="239">
        <v>390631</v>
      </c>
      <c r="CN178" s="239">
        <v>39063094</v>
      </c>
      <c r="CO178" s="239">
        <v>18128214</v>
      </c>
      <c r="CP178" s="239">
        <v>14502571</v>
      </c>
      <c r="CQ178" s="239">
        <v>3263078</v>
      </c>
      <c r="CR178" s="239">
        <v>362564</v>
      </c>
      <c r="CS178" s="239">
        <v>36256427</v>
      </c>
      <c r="CT178" s="239">
        <v>-1403333</v>
      </c>
      <c r="CU178" s="239">
        <v>-1122667</v>
      </c>
      <c r="CV178" s="239">
        <v>-252600</v>
      </c>
      <c r="CW178" s="239">
        <v>-28067</v>
      </c>
      <c r="CX178" s="239">
        <v>-2806667</v>
      </c>
      <c r="CY178" s="239">
        <v>-2076597</v>
      </c>
      <c r="CZ178" s="239">
        <v>-1661278</v>
      </c>
      <c r="DA178" s="239">
        <v>-373788</v>
      </c>
      <c r="DB178" s="239">
        <v>-41532</v>
      </c>
      <c r="DC178" s="239">
        <v>-4153195</v>
      </c>
      <c r="DD178" s="214">
        <v>0.5</v>
      </c>
      <c r="DE178" s="214">
        <v>0.4</v>
      </c>
      <c r="DF178" s="214">
        <v>0.09</v>
      </c>
      <c r="DG178" s="214">
        <v>0.01</v>
      </c>
      <c r="DH178" s="214">
        <v>1</v>
      </c>
      <c r="DI178" s="214" t="s">
        <v>1294</v>
      </c>
    </row>
    <row r="179" spans="2:113" s="214" customFormat="1" x14ac:dyDescent="0.2">
      <c r="B179" s="610" t="s">
        <v>441</v>
      </c>
      <c r="C179" s="610" t="s">
        <v>1144</v>
      </c>
      <c r="D179" s="239">
        <v>69112346</v>
      </c>
      <c r="E179" s="239">
        <v>67730099</v>
      </c>
      <c r="F179" s="239">
        <v>0</v>
      </c>
      <c r="G179" s="239">
        <v>1382247</v>
      </c>
      <c r="H179" s="239">
        <v>138224692</v>
      </c>
      <c r="I179" s="239">
        <v>0</v>
      </c>
      <c r="J179" s="239">
        <v>0</v>
      </c>
      <c r="K179" s="239">
        <v>69112346</v>
      </c>
      <c r="L179" s="239">
        <v>471251</v>
      </c>
      <c r="M179" s="239">
        <v>471251</v>
      </c>
      <c r="N179" s="239">
        <v>476106</v>
      </c>
      <c r="O179" s="239">
        <v>476106</v>
      </c>
      <c r="P179" s="239">
        <v>0</v>
      </c>
      <c r="Q179" s="239">
        <v>0</v>
      </c>
      <c r="R179" s="239">
        <v>0</v>
      </c>
      <c r="S179" s="239">
        <v>0</v>
      </c>
      <c r="T179" s="239">
        <v>0</v>
      </c>
      <c r="U179" s="239">
        <v>0</v>
      </c>
      <c r="V179" s="239">
        <v>0</v>
      </c>
      <c r="W179" s="239">
        <v>4071892</v>
      </c>
      <c r="X179" s="239">
        <v>3990455</v>
      </c>
      <c r="Y179" s="239">
        <v>0</v>
      </c>
      <c r="Z179" s="239">
        <v>81438</v>
      </c>
      <c r="AA179" s="239">
        <v>8143785</v>
      </c>
      <c r="AB179" s="239">
        <v>-2474258</v>
      </c>
      <c r="AC179" s="239">
        <v>-2424772</v>
      </c>
      <c r="AD179" s="239">
        <v>0</v>
      </c>
      <c r="AE179" s="239">
        <v>-49485</v>
      </c>
      <c r="AF179" s="239">
        <v>-4948515</v>
      </c>
      <c r="AG179" s="239">
        <v>-603536</v>
      </c>
      <c r="AH179" s="239">
        <v>-591466</v>
      </c>
      <c r="AI179" s="239">
        <v>0</v>
      </c>
      <c r="AJ179" s="239">
        <v>-12071</v>
      </c>
      <c r="AK179" s="239">
        <v>-1207073</v>
      </c>
      <c r="AL179" s="239">
        <v>1815703.77</v>
      </c>
      <c r="AM179" s="239">
        <v>1779389</v>
      </c>
      <c r="AN179" s="239">
        <v>0</v>
      </c>
      <c r="AO179" s="239">
        <v>36314</v>
      </c>
      <c r="AP179" s="239">
        <v>3631406.77</v>
      </c>
      <c r="AQ179" s="239">
        <v>-2312317</v>
      </c>
      <c r="AR179" s="239">
        <v>-2266070</v>
      </c>
      <c r="AS179" s="239">
        <v>0</v>
      </c>
      <c r="AT179" s="239">
        <v>-46246</v>
      </c>
      <c r="AU179" s="239">
        <v>-4624633</v>
      </c>
      <c r="AV179" s="239">
        <v>-1100149.23</v>
      </c>
      <c r="AW179" s="239">
        <v>-1078147</v>
      </c>
      <c r="AX179" s="239">
        <v>0</v>
      </c>
      <c r="AY179" s="239">
        <v>-22003</v>
      </c>
      <c r="AZ179" s="239">
        <v>-2200299.23</v>
      </c>
      <c r="BA179" s="239">
        <v>-7200630</v>
      </c>
      <c r="BB179" s="239">
        <v>-7056617</v>
      </c>
      <c r="BC179" s="239">
        <v>0</v>
      </c>
      <c r="BD179" s="239">
        <v>-144012</v>
      </c>
      <c r="BE179" s="239">
        <v>-14401259</v>
      </c>
      <c r="BF179" s="239">
        <v>3618724</v>
      </c>
      <c r="BG179" s="239">
        <v>3546349</v>
      </c>
      <c r="BH179" s="239">
        <v>0</v>
      </c>
      <c r="BI179" s="239">
        <v>72374</v>
      </c>
      <c r="BJ179" s="239">
        <v>7237447</v>
      </c>
      <c r="BK179" s="239">
        <v>-6758863</v>
      </c>
      <c r="BL179" s="239">
        <v>-6623685</v>
      </c>
      <c r="BM179" s="239">
        <v>0</v>
      </c>
      <c r="BN179" s="239">
        <v>-135177</v>
      </c>
      <c r="BO179" s="239">
        <v>-13517725</v>
      </c>
      <c r="BP179" s="239">
        <v>-10340769</v>
      </c>
      <c r="BQ179" s="239">
        <v>-10133953</v>
      </c>
      <c r="BR179" s="239">
        <v>0</v>
      </c>
      <c r="BS179" s="239">
        <v>-206815</v>
      </c>
      <c r="BT179" s="239">
        <v>-20681537</v>
      </c>
      <c r="BU179" s="239">
        <v>-6824863</v>
      </c>
      <c r="BV179" s="239">
        <v>-6688365</v>
      </c>
      <c r="BW179" s="239">
        <v>0</v>
      </c>
      <c r="BX179" s="239">
        <v>-136497</v>
      </c>
      <c r="BY179" s="239">
        <v>-13649725</v>
      </c>
      <c r="BZ179" s="239">
        <v>-724357</v>
      </c>
      <c r="CA179" s="239">
        <v>-709870</v>
      </c>
      <c r="CB179" s="239">
        <v>0</v>
      </c>
      <c r="CC179" s="239">
        <v>-14487</v>
      </c>
      <c r="CD179" s="239">
        <v>-1448714</v>
      </c>
      <c r="CE179" s="239">
        <v>-6100506</v>
      </c>
      <c r="CF179" s="239">
        <v>-5978495</v>
      </c>
      <c r="CG179" s="239">
        <v>0</v>
      </c>
      <c r="CH179" s="239">
        <v>-122010</v>
      </c>
      <c r="CI179" s="239">
        <v>-12201011</v>
      </c>
      <c r="CJ179" s="239">
        <v>77026153</v>
      </c>
      <c r="CK179" s="239">
        <v>75485629</v>
      </c>
      <c r="CL179" s="239">
        <v>0</v>
      </c>
      <c r="CM179" s="239">
        <v>1540523</v>
      </c>
      <c r="CN179" s="239">
        <v>154052305</v>
      </c>
      <c r="CO179" s="239">
        <v>69112346</v>
      </c>
      <c r="CP179" s="239">
        <v>67730099</v>
      </c>
      <c r="CQ179" s="239">
        <v>0</v>
      </c>
      <c r="CR179" s="239">
        <v>1382247</v>
      </c>
      <c r="CS179" s="239">
        <v>138224692</v>
      </c>
      <c r="CT179" s="239">
        <v>-7913807</v>
      </c>
      <c r="CU179" s="239">
        <v>-7755530</v>
      </c>
      <c r="CV179" s="239">
        <v>0</v>
      </c>
      <c r="CW179" s="239">
        <v>-158276</v>
      </c>
      <c r="CX179" s="239">
        <v>-15827613</v>
      </c>
      <c r="CY179" s="239">
        <v>-14014313</v>
      </c>
      <c r="CZ179" s="239">
        <v>-13734025</v>
      </c>
      <c r="DA179" s="239">
        <v>0</v>
      </c>
      <c r="DB179" s="239">
        <v>-280286</v>
      </c>
      <c r="DC179" s="239">
        <v>-28028624</v>
      </c>
      <c r="DD179" s="214">
        <v>0.5</v>
      </c>
      <c r="DE179" s="214">
        <v>0.49</v>
      </c>
      <c r="DF179" s="214">
        <v>0</v>
      </c>
      <c r="DG179" s="214">
        <v>0.01</v>
      </c>
      <c r="DH179" s="214">
        <v>1</v>
      </c>
      <c r="DI179" s="214" t="s">
        <v>1296</v>
      </c>
    </row>
    <row r="180" spans="2:113" s="214" customFormat="1" x14ac:dyDescent="0.2">
      <c r="B180" s="610" t="s">
        <v>443</v>
      </c>
      <c r="C180" s="610" t="s">
        <v>442</v>
      </c>
      <c r="D180" s="239">
        <v>16125924</v>
      </c>
      <c r="E180" s="239">
        <v>12900739</v>
      </c>
      <c r="F180" s="239">
        <v>2902666</v>
      </c>
      <c r="G180" s="239">
        <v>322518</v>
      </c>
      <c r="H180" s="239">
        <v>32251847</v>
      </c>
      <c r="I180" s="239">
        <v>0</v>
      </c>
      <c r="J180" s="239">
        <v>0</v>
      </c>
      <c r="K180" s="239">
        <v>16125924</v>
      </c>
      <c r="L180" s="239">
        <v>140565</v>
      </c>
      <c r="M180" s="239">
        <v>140565</v>
      </c>
      <c r="N180" s="239">
        <v>0</v>
      </c>
      <c r="O180" s="239">
        <v>0</v>
      </c>
      <c r="P180" s="239">
        <v>0</v>
      </c>
      <c r="Q180" s="239">
        <v>0</v>
      </c>
      <c r="R180" s="239">
        <v>0</v>
      </c>
      <c r="S180" s="239">
        <v>0</v>
      </c>
      <c r="T180" s="239">
        <v>0</v>
      </c>
      <c r="U180" s="239">
        <v>0</v>
      </c>
      <c r="V180" s="239">
        <v>0</v>
      </c>
      <c r="W180" s="239">
        <v>1164169</v>
      </c>
      <c r="X180" s="239">
        <v>931336</v>
      </c>
      <c r="Y180" s="239">
        <v>209551</v>
      </c>
      <c r="Z180" s="239">
        <v>23283</v>
      </c>
      <c r="AA180" s="239">
        <v>2328339</v>
      </c>
      <c r="AB180" s="239">
        <v>-220376</v>
      </c>
      <c r="AC180" s="239">
        <v>-176302</v>
      </c>
      <c r="AD180" s="239">
        <v>-39668</v>
      </c>
      <c r="AE180" s="239">
        <v>-4408</v>
      </c>
      <c r="AF180" s="239">
        <v>-440754</v>
      </c>
      <c r="AG180" s="239">
        <v>-435727.5</v>
      </c>
      <c r="AH180" s="239">
        <v>-348581.6</v>
      </c>
      <c r="AI180" s="239">
        <v>-78430.210000000006</v>
      </c>
      <c r="AJ180" s="239">
        <v>-8714.69</v>
      </c>
      <c r="AK180" s="239">
        <v>-871454</v>
      </c>
      <c r="AL180" s="239">
        <v>177989</v>
      </c>
      <c r="AM180" s="239">
        <v>142392</v>
      </c>
      <c r="AN180" s="239">
        <v>32038</v>
      </c>
      <c r="AO180" s="239">
        <v>3560</v>
      </c>
      <c r="AP180" s="239">
        <v>355979</v>
      </c>
      <c r="AQ180" s="239">
        <v>-179388</v>
      </c>
      <c r="AR180" s="239">
        <v>-143510</v>
      </c>
      <c r="AS180" s="239">
        <v>-32290</v>
      </c>
      <c r="AT180" s="239">
        <v>-3588</v>
      </c>
      <c r="AU180" s="239">
        <v>-358776</v>
      </c>
      <c r="AV180" s="239">
        <v>-437126.5</v>
      </c>
      <c r="AW180" s="239">
        <v>-349699.6</v>
      </c>
      <c r="AX180" s="239">
        <v>-78682.210000000006</v>
      </c>
      <c r="AY180" s="239">
        <v>-8742.69</v>
      </c>
      <c r="AZ180" s="239">
        <v>-874251</v>
      </c>
      <c r="BA180" s="239">
        <v>-432439</v>
      </c>
      <c r="BB180" s="239">
        <v>-345951</v>
      </c>
      <c r="BC180" s="239">
        <v>-77839</v>
      </c>
      <c r="BD180" s="239">
        <v>-8649</v>
      </c>
      <c r="BE180" s="239">
        <v>-864878</v>
      </c>
      <c r="BF180" s="239">
        <v>432439</v>
      </c>
      <c r="BG180" s="239">
        <v>345951</v>
      </c>
      <c r="BH180" s="239">
        <v>77839</v>
      </c>
      <c r="BI180" s="239">
        <v>8649</v>
      </c>
      <c r="BJ180" s="239">
        <v>864878</v>
      </c>
      <c r="BK180" s="239">
        <v>-966132</v>
      </c>
      <c r="BL180" s="239">
        <v>-772906</v>
      </c>
      <c r="BM180" s="239">
        <v>-173904</v>
      </c>
      <c r="BN180" s="239">
        <v>-19323</v>
      </c>
      <c r="BO180" s="239">
        <v>-1932265</v>
      </c>
      <c r="BP180" s="239">
        <v>-966132</v>
      </c>
      <c r="BQ180" s="239">
        <v>-772906</v>
      </c>
      <c r="BR180" s="239">
        <v>-173904</v>
      </c>
      <c r="BS180" s="239">
        <v>-19323</v>
      </c>
      <c r="BT180" s="239">
        <v>-1932265</v>
      </c>
      <c r="BU180" s="239">
        <v>-1060912</v>
      </c>
      <c r="BV180" s="239">
        <v>-848730</v>
      </c>
      <c r="BW180" s="239">
        <v>-190964</v>
      </c>
      <c r="BX180" s="239">
        <v>-21218</v>
      </c>
      <c r="BY180" s="239">
        <v>-2121824</v>
      </c>
      <c r="BZ180" s="239">
        <v>-1000354</v>
      </c>
      <c r="CA180" s="239">
        <v>-800283</v>
      </c>
      <c r="CB180" s="239">
        <v>-180064</v>
      </c>
      <c r="CC180" s="239">
        <v>-20007</v>
      </c>
      <c r="CD180" s="239">
        <v>-2000708</v>
      </c>
      <c r="CE180" s="239">
        <v>-60558</v>
      </c>
      <c r="CF180" s="239">
        <v>-48447</v>
      </c>
      <c r="CG180" s="239">
        <v>-10900</v>
      </c>
      <c r="CH180" s="239">
        <v>-1211</v>
      </c>
      <c r="CI180" s="239">
        <v>-121116</v>
      </c>
      <c r="CJ180" s="239">
        <v>16430664</v>
      </c>
      <c r="CK180" s="239">
        <v>13144530</v>
      </c>
      <c r="CL180" s="239">
        <v>2957519</v>
      </c>
      <c r="CM180" s="239">
        <v>328613</v>
      </c>
      <c r="CN180" s="239">
        <v>32861326</v>
      </c>
      <c r="CO180" s="239">
        <v>16125924</v>
      </c>
      <c r="CP180" s="239">
        <v>12900739</v>
      </c>
      <c r="CQ180" s="239">
        <v>2902666</v>
      </c>
      <c r="CR180" s="239">
        <v>322518</v>
      </c>
      <c r="CS180" s="239">
        <v>32251847</v>
      </c>
      <c r="CT180" s="239">
        <v>-304740</v>
      </c>
      <c r="CU180" s="239">
        <v>-243791</v>
      </c>
      <c r="CV180" s="239">
        <v>-54853</v>
      </c>
      <c r="CW180" s="239">
        <v>-6095</v>
      </c>
      <c r="CX180" s="239">
        <v>-609479</v>
      </c>
      <c r="CY180" s="239">
        <v>-365298</v>
      </c>
      <c r="CZ180" s="239">
        <v>-292238</v>
      </c>
      <c r="DA180" s="239">
        <v>-65753</v>
      </c>
      <c r="DB180" s="239">
        <v>-7306</v>
      </c>
      <c r="DC180" s="239">
        <v>-730595</v>
      </c>
      <c r="DD180" s="214">
        <v>0.5</v>
      </c>
      <c r="DE180" s="214">
        <v>0.4</v>
      </c>
      <c r="DF180" s="214">
        <v>0.09</v>
      </c>
      <c r="DG180" s="214">
        <v>0.01</v>
      </c>
      <c r="DH180" s="214">
        <v>1</v>
      </c>
      <c r="DI180" s="214" t="s">
        <v>1294</v>
      </c>
    </row>
    <row r="181" spans="2:113" s="214" customFormat="1" x14ac:dyDescent="0.2">
      <c r="B181" s="610" t="s">
        <v>445</v>
      </c>
      <c r="C181" s="610" t="s">
        <v>444</v>
      </c>
      <c r="D181" s="239">
        <v>62188406</v>
      </c>
      <c r="E181" s="239">
        <v>37313043</v>
      </c>
      <c r="F181" s="239">
        <v>24875362</v>
      </c>
      <c r="G181" s="239">
        <v>0</v>
      </c>
      <c r="H181" s="239">
        <v>124376811</v>
      </c>
      <c r="I181" s="239">
        <v>-242930.81875000001</v>
      </c>
      <c r="J181" s="239">
        <v>-242930.81875000001</v>
      </c>
      <c r="K181" s="239">
        <v>62431336.818750001</v>
      </c>
      <c r="L181" s="239">
        <v>371854</v>
      </c>
      <c r="M181" s="239">
        <v>371854</v>
      </c>
      <c r="N181" s="239">
        <v>203349</v>
      </c>
      <c r="O181" s="239">
        <v>203349</v>
      </c>
      <c r="P181" s="239">
        <v>0</v>
      </c>
      <c r="Q181" s="239">
        <v>0</v>
      </c>
      <c r="R181" s="239">
        <v>0</v>
      </c>
      <c r="S181" s="239">
        <v>-242930.81875000001</v>
      </c>
      <c r="T181" s="239">
        <v>0</v>
      </c>
      <c r="U181" s="239">
        <v>0</v>
      </c>
      <c r="V181" s="239">
        <v>-242930.81875000001</v>
      </c>
      <c r="W181" s="239">
        <v>1564024</v>
      </c>
      <c r="X181" s="239">
        <v>938415</v>
      </c>
      <c r="Y181" s="239">
        <v>625610</v>
      </c>
      <c r="Z181" s="239">
        <v>0</v>
      </c>
      <c r="AA181" s="239">
        <v>3128049</v>
      </c>
      <c r="AB181" s="239">
        <v>-2677001</v>
      </c>
      <c r="AC181" s="239">
        <v>-1606201</v>
      </c>
      <c r="AD181" s="239">
        <v>-1070801</v>
      </c>
      <c r="AE181" s="239">
        <v>0</v>
      </c>
      <c r="AF181" s="239">
        <v>-5354003</v>
      </c>
      <c r="AG181" s="239">
        <v>-1102682.3999999999</v>
      </c>
      <c r="AH181" s="239">
        <v>-661610</v>
      </c>
      <c r="AI181" s="239">
        <v>-441072</v>
      </c>
      <c r="AJ181" s="239">
        <v>0</v>
      </c>
      <c r="AK181" s="239">
        <v>-2205364.4</v>
      </c>
      <c r="AL181" s="239">
        <v>534306.84000000008</v>
      </c>
      <c r="AM181" s="239">
        <v>320584</v>
      </c>
      <c r="AN181" s="239">
        <v>213723</v>
      </c>
      <c r="AO181" s="239">
        <v>0</v>
      </c>
      <c r="AP181" s="239">
        <v>1068613.8400000001</v>
      </c>
      <c r="AQ181" s="239">
        <v>-351499</v>
      </c>
      <c r="AR181" s="239">
        <v>-210899</v>
      </c>
      <c r="AS181" s="239">
        <v>-140600</v>
      </c>
      <c r="AT181" s="239">
        <v>0</v>
      </c>
      <c r="AU181" s="239">
        <v>-702998</v>
      </c>
      <c r="AV181" s="239">
        <v>-919874.55999999982</v>
      </c>
      <c r="AW181" s="239">
        <v>-551925</v>
      </c>
      <c r="AX181" s="239">
        <v>-367949</v>
      </c>
      <c r="AY181" s="239">
        <v>0</v>
      </c>
      <c r="AZ181" s="239">
        <v>-1839748.5599999998</v>
      </c>
      <c r="BA181" s="239">
        <v>-4200115</v>
      </c>
      <c r="BB181" s="239">
        <v>-2520068</v>
      </c>
      <c r="BC181" s="239">
        <v>-1680046</v>
      </c>
      <c r="BD181" s="239">
        <v>0</v>
      </c>
      <c r="BE181" s="239">
        <v>-8400229</v>
      </c>
      <c r="BF181" s="239">
        <v>3670684</v>
      </c>
      <c r="BG181" s="239">
        <v>2202411</v>
      </c>
      <c r="BH181" s="239">
        <v>1468274</v>
      </c>
      <c r="BI181" s="239">
        <v>0</v>
      </c>
      <c r="BJ181" s="239">
        <v>7341369</v>
      </c>
      <c r="BK181" s="239">
        <v>-4767241</v>
      </c>
      <c r="BL181" s="239">
        <v>-2860345</v>
      </c>
      <c r="BM181" s="239">
        <v>-1906896</v>
      </c>
      <c r="BN181" s="239">
        <v>0</v>
      </c>
      <c r="BO181" s="239">
        <v>-9534482</v>
      </c>
      <c r="BP181" s="239">
        <v>-5296672</v>
      </c>
      <c r="BQ181" s="239">
        <v>-3178002</v>
      </c>
      <c r="BR181" s="239">
        <v>-2118668</v>
      </c>
      <c r="BS181" s="239">
        <v>0</v>
      </c>
      <c r="BT181" s="239">
        <v>-10593342</v>
      </c>
      <c r="BU181" s="239">
        <v>-8253299</v>
      </c>
      <c r="BV181" s="239">
        <v>-4951980</v>
      </c>
      <c r="BW181" s="239">
        <v>-3301320</v>
      </c>
      <c r="BX181" s="239">
        <v>0</v>
      </c>
      <c r="BY181" s="239">
        <v>-16506599</v>
      </c>
      <c r="BZ181" s="239">
        <v>-2840411</v>
      </c>
      <c r="CA181" s="239">
        <v>-1704247</v>
      </c>
      <c r="CB181" s="239">
        <v>-1136164</v>
      </c>
      <c r="CC181" s="239">
        <v>0</v>
      </c>
      <c r="CD181" s="239">
        <v>-5680822</v>
      </c>
      <c r="CE181" s="239">
        <v>-5412888</v>
      </c>
      <c r="CF181" s="239">
        <v>-3247733</v>
      </c>
      <c r="CG181" s="239">
        <v>-2165156</v>
      </c>
      <c r="CH181" s="239">
        <v>0</v>
      </c>
      <c r="CI181" s="239">
        <v>-10825777</v>
      </c>
      <c r="CJ181" s="239">
        <v>63245671</v>
      </c>
      <c r="CK181" s="239">
        <v>37947403</v>
      </c>
      <c r="CL181" s="239">
        <v>25298269</v>
      </c>
      <c r="CM181" s="239">
        <v>0</v>
      </c>
      <c r="CN181" s="239">
        <v>126491343</v>
      </c>
      <c r="CO181" s="239">
        <v>62188406</v>
      </c>
      <c r="CP181" s="239">
        <v>37313043</v>
      </c>
      <c r="CQ181" s="239">
        <v>24875362</v>
      </c>
      <c r="CR181" s="239">
        <v>0</v>
      </c>
      <c r="CS181" s="239">
        <v>124376811</v>
      </c>
      <c r="CT181" s="239">
        <v>-1057265</v>
      </c>
      <c r="CU181" s="239">
        <v>-634360</v>
      </c>
      <c r="CV181" s="239">
        <v>-422907</v>
      </c>
      <c r="CW181" s="239">
        <v>0</v>
      </c>
      <c r="CX181" s="239">
        <v>-2114532</v>
      </c>
      <c r="CY181" s="239">
        <v>-6470153</v>
      </c>
      <c r="CZ181" s="239">
        <v>-3882093</v>
      </c>
      <c r="DA181" s="239">
        <v>-2588063</v>
      </c>
      <c r="DB181" s="239">
        <v>0</v>
      </c>
      <c r="DC181" s="239">
        <v>-12940309</v>
      </c>
      <c r="DD181" s="214">
        <v>0.5</v>
      </c>
      <c r="DE181" s="214">
        <v>0.3</v>
      </c>
      <c r="DF181" s="214">
        <v>0.2</v>
      </c>
      <c r="DG181" s="214">
        <v>0</v>
      </c>
      <c r="DH181" s="214">
        <v>1</v>
      </c>
      <c r="DI181" s="214" t="s">
        <v>1295</v>
      </c>
    </row>
    <row r="182" spans="2:113" s="214" customFormat="1" x14ac:dyDescent="0.2">
      <c r="B182" s="610" t="s">
        <v>447</v>
      </c>
      <c r="C182" s="610" t="s">
        <v>446</v>
      </c>
      <c r="D182" s="239">
        <v>14834484</v>
      </c>
      <c r="E182" s="239">
        <v>11867587</v>
      </c>
      <c r="F182" s="239">
        <v>2670207</v>
      </c>
      <c r="G182" s="239">
        <v>296690</v>
      </c>
      <c r="H182" s="239">
        <v>29668968</v>
      </c>
      <c r="I182" s="239">
        <v>0</v>
      </c>
      <c r="J182" s="239">
        <v>0</v>
      </c>
      <c r="K182" s="239">
        <v>14834484</v>
      </c>
      <c r="L182" s="239">
        <v>201252</v>
      </c>
      <c r="M182" s="239">
        <v>201252</v>
      </c>
      <c r="N182" s="239">
        <v>0</v>
      </c>
      <c r="O182" s="239">
        <v>0</v>
      </c>
      <c r="P182" s="239">
        <v>195352</v>
      </c>
      <c r="Q182" s="239">
        <v>0</v>
      </c>
      <c r="R182" s="239">
        <v>195352</v>
      </c>
      <c r="S182" s="239">
        <v>0</v>
      </c>
      <c r="T182" s="239">
        <v>0</v>
      </c>
      <c r="U182" s="239">
        <v>0</v>
      </c>
      <c r="V182" s="239">
        <v>0</v>
      </c>
      <c r="W182" s="239">
        <v>680088</v>
      </c>
      <c r="X182" s="239">
        <v>544071</v>
      </c>
      <c r="Y182" s="239">
        <v>122416</v>
      </c>
      <c r="Z182" s="239">
        <v>13602</v>
      </c>
      <c r="AA182" s="239">
        <v>1360177</v>
      </c>
      <c r="AB182" s="239">
        <v>-1163388</v>
      </c>
      <c r="AC182" s="239">
        <v>-930710</v>
      </c>
      <c r="AD182" s="239">
        <v>-209410</v>
      </c>
      <c r="AE182" s="239">
        <v>-23268</v>
      </c>
      <c r="AF182" s="239">
        <v>-2326776</v>
      </c>
      <c r="AG182" s="239">
        <v>-410693</v>
      </c>
      <c r="AH182" s="239">
        <v>-328555</v>
      </c>
      <c r="AI182" s="239">
        <v>-73925</v>
      </c>
      <c r="AJ182" s="239">
        <v>-8214</v>
      </c>
      <c r="AK182" s="239">
        <v>-821387</v>
      </c>
      <c r="AL182" s="239">
        <v>99204</v>
      </c>
      <c r="AM182" s="239">
        <v>79364</v>
      </c>
      <c r="AN182" s="239">
        <v>17857</v>
      </c>
      <c r="AO182" s="239">
        <v>1984</v>
      </c>
      <c r="AP182" s="239">
        <v>198409</v>
      </c>
      <c r="AQ182" s="239">
        <v>-104452</v>
      </c>
      <c r="AR182" s="239">
        <v>-83562</v>
      </c>
      <c r="AS182" s="239">
        <v>-18801</v>
      </c>
      <c r="AT182" s="239">
        <v>-2089</v>
      </c>
      <c r="AU182" s="239">
        <v>-208904</v>
      </c>
      <c r="AV182" s="239">
        <v>-415941</v>
      </c>
      <c r="AW182" s="239">
        <v>-332753</v>
      </c>
      <c r="AX182" s="239">
        <v>-74869</v>
      </c>
      <c r="AY182" s="239">
        <v>-8319</v>
      </c>
      <c r="AZ182" s="239">
        <v>-831882</v>
      </c>
      <c r="BA182" s="239">
        <v>-494616</v>
      </c>
      <c r="BB182" s="239">
        <v>-395693</v>
      </c>
      <c r="BC182" s="239">
        <v>-89031</v>
      </c>
      <c r="BD182" s="239">
        <v>-9892</v>
      </c>
      <c r="BE182" s="239">
        <v>-989232</v>
      </c>
      <c r="BF182" s="239">
        <v>748203</v>
      </c>
      <c r="BG182" s="239">
        <v>598562</v>
      </c>
      <c r="BH182" s="239">
        <v>134676</v>
      </c>
      <c r="BI182" s="239">
        <v>14964</v>
      </c>
      <c r="BJ182" s="239">
        <v>1496405</v>
      </c>
      <c r="BK182" s="239">
        <v>-1353664</v>
      </c>
      <c r="BL182" s="239">
        <v>-1082932</v>
      </c>
      <c r="BM182" s="239">
        <v>-243660</v>
      </c>
      <c r="BN182" s="239">
        <v>-27073</v>
      </c>
      <c r="BO182" s="239">
        <v>-2707329</v>
      </c>
      <c r="BP182" s="239">
        <v>-1100077</v>
      </c>
      <c r="BQ182" s="239">
        <v>-880063</v>
      </c>
      <c r="BR182" s="239">
        <v>-198015</v>
      </c>
      <c r="BS182" s="239">
        <v>-22001</v>
      </c>
      <c r="BT182" s="239">
        <v>-2200156</v>
      </c>
      <c r="BU182" s="239">
        <v>-529125</v>
      </c>
      <c r="BV182" s="239">
        <v>-423300</v>
      </c>
      <c r="BW182" s="239">
        <v>-95242</v>
      </c>
      <c r="BX182" s="239">
        <v>-10582</v>
      </c>
      <c r="BY182" s="239">
        <v>-1058249</v>
      </c>
      <c r="BZ182" s="239">
        <v>-423641</v>
      </c>
      <c r="CA182" s="239">
        <v>-338913</v>
      </c>
      <c r="CB182" s="239">
        <v>-76255</v>
      </c>
      <c r="CC182" s="239">
        <v>-8473</v>
      </c>
      <c r="CD182" s="239">
        <v>-847282</v>
      </c>
      <c r="CE182" s="239">
        <v>-105484</v>
      </c>
      <c r="CF182" s="239">
        <v>-84387</v>
      </c>
      <c r="CG182" s="239">
        <v>-18987</v>
      </c>
      <c r="CH182" s="239">
        <v>-2109</v>
      </c>
      <c r="CI182" s="239">
        <v>-210967</v>
      </c>
      <c r="CJ182" s="239">
        <v>16113571</v>
      </c>
      <c r="CK182" s="239">
        <v>12890856</v>
      </c>
      <c r="CL182" s="239">
        <v>2900443</v>
      </c>
      <c r="CM182" s="239">
        <v>322271</v>
      </c>
      <c r="CN182" s="239">
        <v>32227141</v>
      </c>
      <c r="CO182" s="239">
        <v>14834484</v>
      </c>
      <c r="CP182" s="239">
        <v>11867587</v>
      </c>
      <c r="CQ182" s="239">
        <v>2670207</v>
      </c>
      <c r="CR182" s="239">
        <v>296690</v>
      </c>
      <c r="CS182" s="239">
        <v>29668968</v>
      </c>
      <c r="CT182" s="239">
        <v>-1279087</v>
      </c>
      <c r="CU182" s="239">
        <v>-1023269</v>
      </c>
      <c r="CV182" s="239">
        <v>-230236</v>
      </c>
      <c r="CW182" s="239">
        <v>-25581</v>
      </c>
      <c r="CX182" s="239">
        <v>-2558173</v>
      </c>
      <c r="CY182" s="239">
        <v>-1384571</v>
      </c>
      <c r="CZ182" s="239">
        <v>-1107656</v>
      </c>
      <c r="DA182" s="239">
        <v>-249223</v>
      </c>
      <c r="DB182" s="239">
        <v>-27690</v>
      </c>
      <c r="DC182" s="239">
        <v>-2769140</v>
      </c>
      <c r="DD182" s="214">
        <v>0.5</v>
      </c>
      <c r="DE182" s="214">
        <v>0.4</v>
      </c>
      <c r="DF182" s="214">
        <v>0.09</v>
      </c>
      <c r="DG182" s="214">
        <v>0.01</v>
      </c>
      <c r="DH182" s="214">
        <v>1</v>
      </c>
      <c r="DI182" s="214" t="s">
        <v>1294</v>
      </c>
    </row>
    <row r="183" spans="2:113" s="214" customFormat="1" x14ac:dyDescent="0.2">
      <c r="B183" s="610" t="s">
        <v>449</v>
      </c>
      <c r="C183" s="610" t="s">
        <v>448</v>
      </c>
      <c r="D183" s="239">
        <v>6139520</v>
      </c>
      <c r="E183" s="239">
        <v>4911616</v>
      </c>
      <c r="F183" s="239">
        <v>1105114</v>
      </c>
      <c r="G183" s="239">
        <v>122790</v>
      </c>
      <c r="H183" s="239">
        <v>12279040</v>
      </c>
      <c r="I183" s="239">
        <v>0</v>
      </c>
      <c r="J183" s="239">
        <v>0</v>
      </c>
      <c r="K183" s="239">
        <v>6139520</v>
      </c>
      <c r="L183" s="239">
        <v>92435</v>
      </c>
      <c r="M183" s="239">
        <v>92435</v>
      </c>
      <c r="N183" s="239">
        <v>0</v>
      </c>
      <c r="O183" s="239">
        <v>0</v>
      </c>
      <c r="P183" s="239">
        <v>179849</v>
      </c>
      <c r="Q183" s="239">
        <v>0</v>
      </c>
      <c r="R183" s="239">
        <v>179849</v>
      </c>
      <c r="S183" s="239">
        <v>0</v>
      </c>
      <c r="T183" s="239">
        <v>0</v>
      </c>
      <c r="U183" s="239">
        <v>0</v>
      </c>
      <c r="V183" s="239">
        <v>0</v>
      </c>
      <c r="W183" s="239">
        <v>344532</v>
      </c>
      <c r="X183" s="239">
        <v>275626</v>
      </c>
      <c r="Y183" s="239">
        <v>62016</v>
      </c>
      <c r="Z183" s="239">
        <v>6891</v>
      </c>
      <c r="AA183" s="239">
        <v>689065</v>
      </c>
      <c r="AB183" s="239">
        <v>-30949</v>
      </c>
      <c r="AC183" s="239">
        <v>-24760</v>
      </c>
      <c r="AD183" s="239">
        <v>-5571</v>
      </c>
      <c r="AE183" s="239">
        <v>-619</v>
      </c>
      <c r="AF183" s="239">
        <v>-61899</v>
      </c>
      <c r="AG183" s="239">
        <v>-168021</v>
      </c>
      <c r="AH183" s="239">
        <v>-134418</v>
      </c>
      <c r="AI183" s="239">
        <v>-30245</v>
      </c>
      <c r="AJ183" s="239">
        <v>-3362</v>
      </c>
      <c r="AK183" s="239">
        <v>-336046</v>
      </c>
      <c r="AL183" s="239">
        <v>27488</v>
      </c>
      <c r="AM183" s="239">
        <v>21990</v>
      </c>
      <c r="AN183" s="239">
        <v>4948</v>
      </c>
      <c r="AO183" s="239">
        <v>550</v>
      </c>
      <c r="AP183" s="239">
        <v>54976</v>
      </c>
      <c r="AQ183" s="239">
        <v>-35767</v>
      </c>
      <c r="AR183" s="239">
        <v>-28614</v>
      </c>
      <c r="AS183" s="239">
        <v>-6438</v>
      </c>
      <c r="AT183" s="239">
        <v>-715</v>
      </c>
      <c r="AU183" s="239">
        <v>-71534</v>
      </c>
      <c r="AV183" s="239">
        <v>-176300</v>
      </c>
      <c r="AW183" s="239">
        <v>-141042</v>
      </c>
      <c r="AX183" s="239">
        <v>-31735</v>
      </c>
      <c r="AY183" s="239">
        <v>-3527</v>
      </c>
      <c r="AZ183" s="239">
        <v>-352604</v>
      </c>
      <c r="BA183" s="239">
        <v>-302798</v>
      </c>
      <c r="BB183" s="239">
        <v>-242238</v>
      </c>
      <c r="BC183" s="239">
        <v>-54503</v>
      </c>
      <c r="BD183" s="239">
        <v>-6056</v>
      </c>
      <c r="BE183" s="239">
        <v>-605595</v>
      </c>
      <c r="BF183" s="239">
        <v>552634</v>
      </c>
      <c r="BG183" s="239">
        <v>442107</v>
      </c>
      <c r="BH183" s="239">
        <v>99474</v>
      </c>
      <c r="BI183" s="239">
        <v>11053</v>
      </c>
      <c r="BJ183" s="239">
        <v>1105268</v>
      </c>
      <c r="BK183" s="239">
        <v>-599402</v>
      </c>
      <c r="BL183" s="239">
        <v>-479522</v>
      </c>
      <c r="BM183" s="239">
        <v>-107892</v>
      </c>
      <c r="BN183" s="239">
        <v>-11988</v>
      </c>
      <c r="BO183" s="239">
        <v>-1198804</v>
      </c>
      <c r="BP183" s="239">
        <v>-349566</v>
      </c>
      <c r="BQ183" s="239">
        <v>-279653</v>
      </c>
      <c r="BR183" s="239">
        <v>-62921</v>
      </c>
      <c r="BS183" s="239">
        <v>-6991</v>
      </c>
      <c r="BT183" s="239">
        <v>-699131</v>
      </c>
      <c r="BU183" s="239">
        <v>-206275</v>
      </c>
      <c r="BV183" s="239">
        <v>-165020</v>
      </c>
      <c r="BW183" s="239">
        <v>-37129</v>
      </c>
      <c r="BX183" s="239">
        <v>-4125</v>
      </c>
      <c r="BY183" s="239">
        <v>-412549</v>
      </c>
      <c r="BZ183" s="239">
        <v>-28526</v>
      </c>
      <c r="CA183" s="239">
        <v>-22821</v>
      </c>
      <c r="CB183" s="239">
        <v>-5135</v>
      </c>
      <c r="CC183" s="239">
        <v>-571</v>
      </c>
      <c r="CD183" s="239">
        <v>-57053</v>
      </c>
      <c r="CE183" s="239">
        <v>-177749</v>
      </c>
      <c r="CF183" s="239">
        <v>-142199</v>
      </c>
      <c r="CG183" s="239">
        <v>-31994</v>
      </c>
      <c r="CH183" s="239">
        <v>-3554</v>
      </c>
      <c r="CI183" s="239">
        <v>-355496</v>
      </c>
      <c r="CJ183" s="239">
        <v>6492681</v>
      </c>
      <c r="CK183" s="239">
        <v>5194146</v>
      </c>
      <c r="CL183" s="239">
        <v>1168683</v>
      </c>
      <c r="CM183" s="239">
        <v>129854</v>
      </c>
      <c r="CN183" s="239">
        <v>12985364</v>
      </c>
      <c r="CO183" s="239">
        <v>6139520</v>
      </c>
      <c r="CP183" s="239">
        <v>4911616</v>
      </c>
      <c r="CQ183" s="239">
        <v>1105114</v>
      </c>
      <c r="CR183" s="239">
        <v>122790</v>
      </c>
      <c r="CS183" s="239">
        <v>12279040</v>
      </c>
      <c r="CT183" s="239">
        <v>-353161</v>
      </c>
      <c r="CU183" s="239">
        <v>-282530</v>
      </c>
      <c r="CV183" s="239">
        <v>-63569</v>
      </c>
      <c r="CW183" s="239">
        <v>-7064</v>
      </c>
      <c r="CX183" s="239">
        <v>-706324</v>
      </c>
      <c r="CY183" s="239">
        <v>-530910</v>
      </c>
      <c r="CZ183" s="239">
        <v>-424729</v>
      </c>
      <c r="DA183" s="239">
        <v>-95563</v>
      </c>
      <c r="DB183" s="239">
        <v>-10618</v>
      </c>
      <c r="DC183" s="239">
        <v>-1061820</v>
      </c>
      <c r="DD183" s="214">
        <v>0.5</v>
      </c>
      <c r="DE183" s="214">
        <v>0.4</v>
      </c>
      <c r="DF183" s="214">
        <v>0.09</v>
      </c>
      <c r="DG183" s="214">
        <v>0.01</v>
      </c>
      <c r="DH183" s="214">
        <v>1</v>
      </c>
      <c r="DI183" s="214" t="s">
        <v>1294</v>
      </c>
    </row>
    <row r="184" spans="2:113" s="214" customFormat="1" x14ac:dyDescent="0.2">
      <c r="B184" s="610" t="s">
        <v>451</v>
      </c>
      <c r="C184" s="610" t="s">
        <v>450</v>
      </c>
      <c r="D184" s="239">
        <v>6752709</v>
      </c>
      <c r="E184" s="239">
        <v>5402166</v>
      </c>
      <c r="F184" s="239">
        <v>1215487</v>
      </c>
      <c r="G184" s="239">
        <v>135054</v>
      </c>
      <c r="H184" s="239">
        <v>13505416</v>
      </c>
      <c r="I184" s="239">
        <v>0</v>
      </c>
      <c r="J184" s="239">
        <v>0</v>
      </c>
      <c r="K184" s="239">
        <v>6752709</v>
      </c>
      <c r="L184" s="239">
        <v>97835</v>
      </c>
      <c r="M184" s="239">
        <v>97835</v>
      </c>
      <c r="N184" s="239">
        <v>0</v>
      </c>
      <c r="O184" s="239">
        <v>0</v>
      </c>
      <c r="P184" s="239">
        <v>0</v>
      </c>
      <c r="Q184" s="239">
        <v>0</v>
      </c>
      <c r="R184" s="239">
        <v>0</v>
      </c>
      <c r="S184" s="239">
        <v>0</v>
      </c>
      <c r="T184" s="239">
        <v>0</v>
      </c>
      <c r="U184" s="239">
        <v>0</v>
      </c>
      <c r="V184" s="239">
        <v>0</v>
      </c>
      <c r="W184" s="239">
        <v>320376</v>
      </c>
      <c r="X184" s="239">
        <v>256302</v>
      </c>
      <c r="Y184" s="239">
        <v>57668</v>
      </c>
      <c r="Z184" s="239">
        <v>6408</v>
      </c>
      <c r="AA184" s="239">
        <v>640754</v>
      </c>
      <c r="AB184" s="239">
        <v>-52125</v>
      </c>
      <c r="AC184" s="239">
        <v>-41699</v>
      </c>
      <c r="AD184" s="239">
        <v>-9382</v>
      </c>
      <c r="AE184" s="239">
        <v>-1042</v>
      </c>
      <c r="AF184" s="239">
        <v>-104248</v>
      </c>
      <c r="AG184" s="239">
        <v>-80065</v>
      </c>
      <c r="AH184" s="239">
        <v>-64053</v>
      </c>
      <c r="AI184" s="239">
        <v>-14412</v>
      </c>
      <c r="AJ184" s="239">
        <v>-1601</v>
      </c>
      <c r="AK184" s="239">
        <v>-160131</v>
      </c>
      <c r="AL184" s="239">
        <v>53011</v>
      </c>
      <c r="AM184" s="239">
        <v>42409</v>
      </c>
      <c r="AN184" s="239">
        <v>9542</v>
      </c>
      <c r="AO184" s="239">
        <v>1060</v>
      </c>
      <c r="AP184" s="239">
        <v>106022</v>
      </c>
      <c r="AQ184" s="239">
        <v>-76153</v>
      </c>
      <c r="AR184" s="239">
        <v>-60922</v>
      </c>
      <c r="AS184" s="239">
        <v>-13707</v>
      </c>
      <c r="AT184" s="239">
        <v>-1523</v>
      </c>
      <c r="AU184" s="239">
        <v>-152305</v>
      </c>
      <c r="AV184" s="239">
        <v>-103207</v>
      </c>
      <c r="AW184" s="239">
        <v>-82566</v>
      </c>
      <c r="AX184" s="239">
        <v>-18577</v>
      </c>
      <c r="AY184" s="239">
        <v>-2064</v>
      </c>
      <c r="AZ184" s="239">
        <v>-206414</v>
      </c>
      <c r="BA184" s="239">
        <v>-500241.24</v>
      </c>
      <c r="BB184" s="239">
        <v>-400192</v>
      </c>
      <c r="BC184" s="239">
        <v>-90044</v>
      </c>
      <c r="BD184" s="239">
        <v>-10005</v>
      </c>
      <c r="BE184" s="239">
        <v>-1000482.2</v>
      </c>
      <c r="BF184" s="239">
        <v>171079</v>
      </c>
      <c r="BG184" s="239">
        <v>136864</v>
      </c>
      <c r="BH184" s="239">
        <v>30794</v>
      </c>
      <c r="BI184" s="239">
        <v>3422</v>
      </c>
      <c r="BJ184" s="239">
        <v>342159</v>
      </c>
      <c r="BK184" s="239">
        <v>-1390653</v>
      </c>
      <c r="BL184" s="239">
        <v>-1112522</v>
      </c>
      <c r="BM184" s="239">
        <v>-250317</v>
      </c>
      <c r="BN184" s="239">
        <v>-27813</v>
      </c>
      <c r="BO184" s="239">
        <v>-2781305</v>
      </c>
      <c r="BP184" s="239">
        <v>-1719815.24</v>
      </c>
      <c r="BQ184" s="239">
        <v>-1375850</v>
      </c>
      <c r="BR184" s="239">
        <v>-309567</v>
      </c>
      <c r="BS184" s="239">
        <v>-34396</v>
      </c>
      <c r="BT184" s="239">
        <v>-3439628.2</v>
      </c>
      <c r="BU184" s="239">
        <v>398017</v>
      </c>
      <c r="BV184" s="239">
        <v>318413</v>
      </c>
      <c r="BW184" s="239">
        <v>71643</v>
      </c>
      <c r="BX184" s="239">
        <v>7960</v>
      </c>
      <c r="BY184" s="239">
        <v>796033</v>
      </c>
      <c r="BZ184" s="239">
        <v>366593</v>
      </c>
      <c r="CA184" s="239">
        <v>293274</v>
      </c>
      <c r="CB184" s="239">
        <v>65987</v>
      </c>
      <c r="CC184" s="239">
        <v>7332</v>
      </c>
      <c r="CD184" s="239">
        <v>733186</v>
      </c>
      <c r="CE184" s="239">
        <v>31424</v>
      </c>
      <c r="CF184" s="239">
        <v>25139</v>
      </c>
      <c r="CG184" s="239">
        <v>5656</v>
      </c>
      <c r="CH184" s="239">
        <v>628</v>
      </c>
      <c r="CI184" s="239">
        <v>62847</v>
      </c>
      <c r="CJ184" s="239">
        <v>8022422</v>
      </c>
      <c r="CK184" s="239">
        <v>6417938</v>
      </c>
      <c r="CL184" s="239">
        <v>1444036</v>
      </c>
      <c r="CM184" s="239">
        <v>160448</v>
      </c>
      <c r="CN184" s="239">
        <v>16044844</v>
      </c>
      <c r="CO184" s="239">
        <v>6752709</v>
      </c>
      <c r="CP184" s="239">
        <v>5402166</v>
      </c>
      <c r="CQ184" s="239">
        <v>1215487</v>
      </c>
      <c r="CR184" s="239">
        <v>135054</v>
      </c>
      <c r="CS184" s="239">
        <v>13505416</v>
      </c>
      <c r="CT184" s="239">
        <v>-1269713</v>
      </c>
      <c r="CU184" s="239">
        <v>-1015772</v>
      </c>
      <c r="CV184" s="239">
        <v>-228549</v>
      </c>
      <c r="CW184" s="239">
        <v>-25394</v>
      </c>
      <c r="CX184" s="239">
        <v>-2539428</v>
      </c>
      <c r="CY184" s="239">
        <v>-1238289</v>
      </c>
      <c r="CZ184" s="239">
        <v>-990633</v>
      </c>
      <c r="DA184" s="239">
        <v>-222893</v>
      </c>
      <c r="DB184" s="239">
        <v>-24766</v>
      </c>
      <c r="DC184" s="239">
        <v>-2476581</v>
      </c>
      <c r="DD184" s="214">
        <v>0.5</v>
      </c>
      <c r="DE184" s="214">
        <v>0.4</v>
      </c>
      <c r="DF184" s="214">
        <v>0.09</v>
      </c>
      <c r="DG184" s="214">
        <v>0.01</v>
      </c>
      <c r="DH184" s="214">
        <v>1</v>
      </c>
      <c r="DI184" s="214" t="s">
        <v>1294</v>
      </c>
    </row>
    <row r="185" spans="2:113" s="214" customFormat="1" x14ac:dyDescent="0.2">
      <c r="B185" s="610" t="s">
        <v>453</v>
      </c>
      <c r="C185" s="610" t="s">
        <v>452</v>
      </c>
      <c r="D185" s="239">
        <v>31705906</v>
      </c>
      <c r="E185" s="239">
        <v>31071788</v>
      </c>
      <c r="F185" s="239">
        <v>0</v>
      </c>
      <c r="G185" s="239">
        <v>634118</v>
      </c>
      <c r="H185" s="239">
        <v>63411812</v>
      </c>
      <c r="I185" s="239">
        <v>66149.818750000006</v>
      </c>
      <c r="J185" s="239">
        <v>66149.818750000006</v>
      </c>
      <c r="K185" s="239">
        <v>31639756.181249999</v>
      </c>
      <c r="L185" s="239">
        <v>235478</v>
      </c>
      <c r="M185" s="239">
        <v>235478</v>
      </c>
      <c r="N185" s="239">
        <v>0</v>
      </c>
      <c r="O185" s="239">
        <v>0</v>
      </c>
      <c r="P185" s="239">
        <v>0</v>
      </c>
      <c r="Q185" s="239">
        <v>0</v>
      </c>
      <c r="R185" s="239">
        <v>0</v>
      </c>
      <c r="S185" s="239">
        <v>66149.818750000006</v>
      </c>
      <c r="T185" s="239">
        <v>0</v>
      </c>
      <c r="U185" s="239">
        <v>0</v>
      </c>
      <c r="V185" s="239">
        <v>66149.818750000006</v>
      </c>
      <c r="W185" s="239">
        <v>2430475</v>
      </c>
      <c r="X185" s="239">
        <v>2381866</v>
      </c>
      <c r="Y185" s="239">
        <v>0</v>
      </c>
      <c r="Z185" s="239">
        <v>48610</v>
      </c>
      <c r="AA185" s="239">
        <v>4860951</v>
      </c>
      <c r="AB185" s="239">
        <v>-784394</v>
      </c>
      <c r="AC185" s="239">
        <v>-768707</v>
      </c>
      <c r="AD185" s="239">
        <v>0</v>
      </c>
      <c r="AE185" s="239">
        <v>-15688</v>
      </c>
      <c r="AF185" s="239">
        <v>-1568789</v>
      </c>
      <c r="AG185" s="239">
        <v>-1191246</v>
      </c>
      <c r="AH185" s="239">
        <v>-1167419</v>
      </c>
      <c r="AI185" s="239">
        <v>0</v>
      </c>
      <c r="AJ185" s="239">
        <v>-23825</v>
      </c>
      <c r="AK185" s="239">
        <v>-2382490</v>
      </c>
      <c r="AL185" s="239">
        <v>1281887</v>
      </c>
      <c r="AM185" s="239">
        <v>1256250</v>
      </c>
      <c r="AN185" s="239">
        <v>0</v>
      </c>
      <c r="AO185" s="239">
        <v>25638</v>
      </c>
      <c r="AP185" s="239">
        <v>2563775</v>
      </c>
      <c r="AQ185" s="239">
        <v>-1151784</v>
      </c>
      <c r="AR185" s="239">
        <v>-1128749</v>
      </c>
      <c r="AS185" s="239">
        <v>0</v>
      </c>
      <c r="AT185" s="239">
        <v>-23036</v>
      </c>
      <c r="AU185" s="239">
        <v>-2303569</v>
      </c>
      <c r="AV185" s="239">
        <v>-1061143</v>
      </c>
      <c r="AW185" s="239">
        <v>-1039918</v>
      </c>
      <c r="AX185" s="239">
        <v>0</v>
      </c>
      <c r="AY185" s="239">
        <v>-21223</v>
      </c>
      <c r="AZ185" s="239">
        <v>-2122284</v>
      </c>
      <c r="BA185" s="239">
        <v>-6852261.9000000004</v>
      </c>
      <c r="BB185" s="239">
        <v>-6715215</v>
      </c>
      <c r="BC185" s="239">
        <v>0</v>
      </c>
      <c r="BD185" s="239">
        <v>-137046</v>
      </c>
      <c r="BE185" s="239">
        <v>-13704522</v>
      </c>
      <c r="BF185" s="239">
        <v>390005</v>
      </c>
      <c r="BG185" s="239">
        <v>382204</v>
      </c>
      <c r="BH185" s="239">
        <v>0</v>
      </c>
      <c r="BI185" s="239">
        <v>7800</v>
      </c>
      <c r="BJ185" s="239">
        <v>780009</v>
      </c>
      <c r="BK185" s="239">
        <v>-1881808</v>
      </c>
      <c r="BL185" s="239">
        <v>-1844172</v>
      </c>
      <c r="BM185" s="239">
        <v>0</v>
      </c>
      <c r="BN185" s="239">
        <v>-37636</v>
      </c>
      <c r="BO185" s="239">
        <v>-3763616</v>
      </c>
      <c r="BP185" s="239">
        <v>-8344064.9000000004</v>
      </c>
      <c r="BQ185" s="239">
        <v>-8177183</v>
      </c>
      <c r="BR185" s="239">
        <v>0</v>
      </c>
      <c r="BS185" s="239">
        <v>-166882</v>
      </c>
      <c r="BT185" s="239">
        <v>-16688129</v>
      </c>
      <c r="BU185" s="239">
        <v>-9314692</v>
      </c>
      <c r="BV185" s="239">
        <v>-9128399</v>
      </c>
      <c r="BW185" s="239">
        <v>0</v>
      </c>
      <c r="BX185" s="239">
        <v>-186294</v>
      </c>
      <c r="BY185" s="239">
        <v>-18629385</v>
      </c>
      <c r="BZ185" s="239">
        <v>-10582162</v>
      </c>
      <c r="CA185" s="239">
        <v>-10370518</v>
      </c>
      <c r="CB185" s="239">
        <v>0</v>
      </c>
      <c r="CC185" s="239">
        <v>-211643</v>
      </c>
      <c r="CD185" s="239">
        <v>-21164323</v>
      </c>
      <c r="CE185" s="239">
        <v>1267470</v>
      </c>
      <c r="CF185" s="239">
        <v>1242119</v>
      </c>
      <c r="CG185" s="239">
        <v>0</v>
      </c>
      <c r="CH185" s="239">
        <v>25349</v>
      </c>
      <c r="CI185" s="239">
        <v>2534938</v>
      </c>
      <c r="CJ185" s="239">
        <v>34102548</v>
      </c>
      <c r="CK185" s="239">
        <v>33420498</v>
      </c>
      <c r="CL185" s="239">
        <v>0</v>
      </c>
      <c r="CM185" s="239">
        <v>682051</v>
      </c>
      <c r="CN185" s="239">
        <v>68205097</v>
      </c>
      <c r="CO185" s="239">
        <v>31705906</v>
      </c>
      <c r="CP185" s="239">
        <v>31071788</v>
      </c>
      <c r="CQ185" s="239">
        <v>0</v>
      </c>
      <c r="CR185" s="239">
        <v>634118</v>
      </c>
      <c r="CS185" s="239">
        <v>63411812</v>
      </c>
      <c r="CT185" s="239">
        <v>-2396642</v>
      </c>
      <c r="CU185" s="239">
        <v>-2348710</v>
      </c>
      <c r="CV185" s="239">
        <v>0</v>
      </c>
      <c r="CW185" s="239">
        <v>-47933</v>
      </c>
      <c r="CX185" s="239">
        <v>-4793285</v>
      </c>
      <c r="CY185" s="239">
        <v>-1129172</v>
      </c>
      <c r="CZ185" s="239">
        <v>-1106591</v>
      </c>
      <c r="DA185" s="239">
        <v>0</v>
      </c>
      <c r="DB185" s="239">
        <v>-22584</v>
      </c>
      <c r="DC185" s="239">
        <v>-2258347</v>
      </c>
      <c r="DD185" s="214">
        <v>0.5</v>
      </c>
      <c r="DE185" s="214">
        <v>0.49</v>
      </c>
      <c r="DF185" s="214">
        <v>0</v>
      </c>
      <c r="DG185" s="214">
        <v>0.01</v>
      </c>
      <c r="DH185" s="214">
        <v>1</v>
      </c>
      <c r="DI185" s="214" t="s">
        <v>748</v>
      </c>
    </row>
    <row r="186" spans="2:113" s="214" customFormat="1" x14ac:dyDescent="0.2">
      <c r="B186" s="610" t="s">
        <v>455</v>
      </c>
      <c r="C186" s="610" t="s">
        <v>454</v>
      </c>
      <c r="D186" s="239">
        <v>18321983</v>
      </c>
      <c r="E186" s="239">
        <v>14657587</v>
      </c>
      <c r="F186" s="239">
        <v>3664397</v>
      </c>
      <c r="G186" s="239">
        <v>0</v>
      </c>
      <c r="H186" s="239">
        <v>36643967</v>
      </c>
      <c r="I186" s="239">
        <v>0</v>
      </c>
      <c r="J186" s="239">
        <v>0</v>
      </c>
      <c r="K186" s="239">
        <v>18321983</v>
      </c>
      <c r="L186" s="239">
        <v>181145</v>
      </c>
      <c r="M186" s="239">
        <v>181145</v>
      </c>
      <c r="N186" s="239">
        <v>0</v>
      </c>
      <c r="O186" s="239">
        <v>0</v>
      </c>
      <c r="P186" s="239">
        <v>37026</v>
      </c>
      <c r="Q186" s="239">
        <v>0</v>
      </c>
      <c r="R186" s="239">
        <v>37026</v>
      </c>
      <c r="S186" s="239">
        <v>0</v>
      </c>
      <c r="T186" s="239">
        <v>0</v>
      </c>
      <c r="U186" s="239">
        <v>0</v>
      </c>
      <c r="V186" s="239">
        <v>0</v>
      </c>
      <c r="W186" s="239">
        <v>1011383</v>
      </c>
      <c r="X186" s="239">
        <v>809106</v>
      </c>
      <c r="Y186" s="239">
        <v>202277</v>
      </c>
      <c r="Z186" s="239">
        <v>0</v>
      </c>
      <c r="AA186" s="239">
        <v>2022766</v>
      </c>
      <c r="AB186" s="239">
        <v>-431569</v>
      </c>
      <c r="AC186" s="239">
        <v>-345255</v>
      </c>
      <c r="AD186" s="239">
        <v>-86314</v>
      </c>
      <c r="AE186" s="239">
        <v>0</v>
      </c>
      <c r="AF186" s="239">
        <v>-863138</v>
      </c>
      <c r="AG186" s="239">
        <v>-61453</v>
      </c>
      <c r="AH186" s="239">
        <v>-49163</v>
      </c>
      <c r="AI186" s="239">
        <v>-12290</v>
      </c>
      <c r="AJ186" s="239">
        <v>0</v>
      </c>
      <c r="AK186" s="239">
        <v>-122906</v>
      </c>
      <c r="AL186" s="239">
        <v>187753</v>
      </c>
      <c r="AM186" s="239">
        <v>150203</v>
      </c>
      <c r="AN186" s="239">
        <v>37551</v>
      </c>
      <c r="AO186" s="239">
        <v>0</v>
      </c>
      <c r="AP186" s="239">
        <v>375507</v>
      </c>
      <c r="AQ186" s="239">
        <v>-191191</v>
      </c>
      <c r="AR186" s="239">
        <v>-152952</v>
      </c>
      <c r="AS186" s="239">
        <v>-38238</v>
      </c>
      <c r="AT186" s="239">
        <v>0</v>
      </c>
      <c r="AU186" s="239">
        <v>-382381</v>
      </c>
      <c r="AV186" s="239">
        <v>-64891</v>
      </c>
      <c r="AW186" s="239">
        <v>-51912</v>
      </c>
      <c r="AX186" s="239">
        <v>-12977</v>
      </c>
      <c r="AY186" s="239">
        <v>0</v>
      </c>
      <c r="AZ186" s="239">
        <v>-129780</v>
      </c>
      <c r="BA186" s="239">
        <v>-1189172</v>
      </c>
      <c r="BB186" s="239">
        <v>-951338</v>
      </c>
      <c r="BC186" s="239">
        <v>-237834</v>
      </c>
      <c r="BD186" s="239">
        <v>0</v>
      </c>
      <c r="BE186" s="239">
        <v>-2378344</v>
      </c>
      <c r="BF186" s="239">
        <v>920891</v>
      </c>
      <c r="BG186" s="239">
        <v>736713</v>
      </c>
      <c r="BH186" s="239">
        <v>184178</v>
      </c>
      <c r="BI186" s="239">
        <v>0</v>
      </c>
      <c r="BJ186" s="239">
        <v>1841782</v>
      </c>
      <c r="BK186" s="239">
        <v>-869419</v>
      </c>
      <c r="BL186" s="239">
        <v>-695535</v>
      </c>
      <c r="BM186" s="239">
        <v>-173884</v>
      </c>
      <c r="BN186" s="239">
        <v>0</v>
      </c>
      <c r="BO186" s="239">
        <v>-1738838</v>
      </c>
      <c r="BP186" s="239">
        <v>-1137700</v>
      </c>
      <c r="BQ186" s="239">
        <v>-910160</v>
      </c>
      <c r="BR186" s="239">
        <v>-227540</v>
      </c>
      <c r="BS186" s="239">
        <v>0</v>
      </c>
      <c r="BT186" s="239">
        <v>-2275400</v>
      </c>
      <c r="BU186" s="239">
        <v>-1627144</v>
      </c>
      <c r="BV186" s="239">
        <v>-1301715</v>
      </c>
      <c r="BW186" s="239">
        <v>-325429</v>
      </c>
      <c r="BX186" s="239">
        <v>0</v>
      </c>
      <c r="BY186" s="239">
        <v>-3254288</v>
      </c>
      <c r="BZ186" s="239">
        <v>-1667964</v>
      </c>
      <c r="CA186" s="239">
        <v>-1334371</v>
      </c>
      <c r="CB186" s="239">
        <v>-333593</v>
      </c>
      <c r="CC186" s="239">
        <v>0</v>
      </c>
      <c r="CD186" s="239">
        <v>-3335928</v>
      </c>
      <c r="CE186" s="239">
        <v>40820</v>
      </c>
      <c r="CF186" s="239">
        <v>32656</v>
      </c>
      <c r="CG186" s="239">
        <v>8164</v>
      </c>
      <c r="CH186" s="239">
        <v>0</v>
      </c>
      <c r="CI186" s="239">
        <v>81640</v>
      </c>
      <c r="CJ186" s="239">
        <v>19079411</v>
      </c>
      <c r="CK186" s="239">
        <v>15263529</v>
      </c>
      <c r="CL186" s="239">
        <v>3815882</v>
      </c>
      <c r="CM186" s="239">
        <v>0</v>
      </c>
      <c r="CN186" s="239">
        <v>38158822</v>
      </c>
      <c r="CO186" s="239">
        <v>18321983</v>
      </c>
      <c r="CP186" s="239">
        <v>14657587</v>
      </c>
      <c r="CQ186" s="239">
        <v>3664397</v>
      </c>
      <c r="CR186" s="239">
        <v>0</v>
      </c>
      <c r="CS186" s="239">
        <v>36643967</v>
      </c>
      <c r="CT186" s="239">
        <v>-757428</v>
      </c>
      <c r="CU186" s="239">
        <v>-605942</v>
      </c>
      <c r="CV186" s="239">
        <v>-151485</v>
      </c>
      <c r="CW186" s="239">
        <v>0</v>
      </c>
      <c r="CX186" s="239">
        <v>-1514855</v>
      </c>
      <c r="CY186" s="239">
        <v>-716608</v>
      </c>
      <c r="CZ186" s="239">
        <v>-573286</v>
      </c>
      <c r="DA186" s="239">
        <v>-143321</v>
      </c>
      <c r="DB186" s="239">
        <v>0</v>
      </c>
      <c r="DC186" s="239">
        <v>-1433215</v>
      </c>
      <c r="DD186" s="214">
        <v>0.5</v>
      </c>
      <c r="DE186" s="214">
        <v>0.4</v>
      </c>
      <c r="DF186" s="214">
        <v>0.1</v>
      </c>
      <c r="DG186" s="214">
        <v>0</v>
      </c>
      <c r="DH186" s="214">
        <v>1</v>
      </c>
      <c r="DI186" s="214" t="s">
        <v>1294</v>
      </c>
    </row>
    <row r="187" spans="2:113" s="214" customFormat="1" x14ac:dyDescent="0.2">
      <c r="B187" s="610" t="s">
        <v>457</v>
      </c>
      <c r="C187" s="610" t="s">
        <v>456</v>
      </c>
      <c r="D187" s="239">
        <v>10371975</v>
      </c>
      <c r="E187" s="239">
        <v>8297580</v>
      </c>
      <c r="F187" s="239">
        <v>2074395</v>
      </c>
      <c r="G187" s="239">
        <v>0</v>
      </c>
      <c r="H187" s="239">
        <v>20743950</v>
      </c>
      <c r="I187" s="239">
        <v>0</v>
      </c>
      <c r="J187" s="239">
        <v>0</v>
      </c>
      <c r="K187" s="239">
        <v>10371975</v>
      </c>
      <c r="L187" s="239">
        <v>122921</v>
      </c>
      <c r="M187" s="239">
        <v>122921</v>
      </c>
      <c r="N187" s="239">
        <v>0</v>
      </c>
      <c r="O187" s="239">
        <v>0</v>
      </c>
      <c r="P187" s="239">
        <v>1512240</v>
      </c>
      <c r="Q187" s="239">
        <v>132000</v>
      </c>
      <c r="R187" s="239">
        <v>1644240</v>
      </c>
      <c r="S187" s="239">
        <v>0</v>
      </c>
      <c r="T187" s="239">
        <v>0</v>
      </c>
      <c r="U187" s="239">
        <v>0</v>
      </c>
      <c r="V187" s="239">
        <v>0</v>
      </c>
      <c r="W187" s="239">
        <v>147602</v>
      </c>
      <c r="X187" s="239">
        <v>118081</v>
      </c>
      <c r="Y187" s="239">
        <v>29520</v>
      </c>
      <c r="Z187" s="239">
        <v>0</v>
      </c>
      <c r="AA187" s="239">
        <v>295203</v>
      </c>
      <c r="AB187" s="239">
        <v>-270873</v>
      </c>
      <c r="AC187" s="239">
        <v>-216699</v>
      </c>
      <c r="AD187" s="239">
        <v>-54175</v>
      </c>
      <c r="AE187" s="239">
        <v>0</v>
      </c>
      <c r="AF187" s="239">
        <v>-541747</v>
      </c>
      <c r="AG187" s="239">
        <v>-102500</v>
      </c>
      <c r="AH187" s="239">
        <v>-82000</v>
      </c>
      <c r="AI187" s="239">
        <v>-20500</v>
      </c>
      <c r="AJ187" s="239">
        <v>0</v>
      </c>
      <c r="AK187" s="239">
        <v>-205000</v>
      </c>
      <c r="AL187" s="239">
        <v>32174</v>
      </c>
      <c r="AM187" s="239">
        <v>25739</v>
      </c>
      <c r="AN187" s="239">
        <v>6435</v>
      </c>
      <c r="AO187" s="239">
        <v>0</v>
      </c>
      <c r="AP187" s="239">
        <v>64348</v>
      </c>
      <c r="AQ187" s="239">
        <v>-28061</v>
      </c>
      <c r="AR187" s="239">
        <v>-22448</v>
      </c>
      <c r="AS187" s="239">
        <v>-5612</v>
      </c>
      <c r="AT187" s="239">
        <v>0</v>
      </c>
      <c r="AU187" s="239">
        <v>-56121</v>
      </c>
      <c r="AV187" s="239">
        <v>-98387</v>
      </c>
      <c r="AW187" s="239">
        <v>-78709</v>
      </c>
      <c r="AX187" s="239">
        <v>-19677</v>
      </c>
      <c r="AY187" s="239">
        <v>0</v>
      </c>
      <c r="AZ187" s="239">
        <v>-196773</v>
      </c>
      <c r="BA187" s="239">
        <v>-1003300</v>
      </c>
      <c r="BB187" s="239">
        <v>-802640</v>
      </c>
      <c r="BC187" s="239">
        <v>-200660</v>
      </c>
      <c r="BD187" s="239">
        <v>0</v>
      </c>
      <c r="BE187" s="239">
        <v>-2006600</v>
      </c>
      <c r="BF187" s="239">
        <v>111550</v>
      </c>
      <c r="BG187" s="239">
        <v>89240</v>
      </c>
      <c r="BH187" s="239">
        <v>22310</v>
      </c>
      <c r="BI187" s="239">
        <v>0</v>
      </c>
      <c r="BJ187" s="239">
        <v>223100</v>
      </c>
      <c r="BK187" s="239">
        <v>-941501</v>
      </c>
      <c r="BL187" s="239">
        <v>-753200</v>
      </c>
      <c r="BM187" s="239">
        <v>-188300</v>
      </c>
      <c r="BN187" s="239">
        <v>0</v>
      </c>
      <c r="BO187" s="239">
        <v>-1883001</v>
      </c>
      <c r="BP187" s="239">
        <v>-1833251</v>
      </c>
      <c r="BQ187" s="239">
        <v>-1466600</v>
      </c>
      <c r="BR187" s="239">
        <v>-366650</v>
      </c>
      <c r="BS187" s="239">
        <v>0</v>
      </c>
      <c r="BT187" s="239">
        <v>-3666501</v>
      </c>
      <c r="BU187" s="239">
        <v>-1088618</v>
      </c>
      <c r="BV187" s="239">
        <v>-870895</v>
      </c>
      <c r="BW187" s="239">
        <v>-217724</v>
      </c>
      <c r="BX187" s="239">
        <v>0</v>
      </c>
      <c r="BY187" s="239">
        <v>-2177237</v>
      </c>
      <c r="BZ187" s="239">
        <v>0</v>
      </c>
      <c r="CA187" s="239">
        <v>0</v>
      </c>
      <c r="CB187" s="239">
        <v>0</v>
      </c>
      <c r="CC187" s="239">
        <v>0</v>
      </c>
      <c r="CD187" s="239">
        <v>0</v>
      </c>
      <c r="CE187" s="239">
        <v>-1088618</v>
      </c>
      <c r="CF187" s="239">
        <v>-870895</v>
      </c>
      <c r="CG187" s="239">
        <v>-217724</v>
      </c>
      <c r="CH187" s="239">
        <v>0</v>
      </c>
      <c r="CI187" s="239">
        <v>-2177237</v>
      </c>
      <c r="CJ187" s="239">
        <v>12539325</v>
      </c>
      <c r="CK187" s="239">
        <v>10031460</v>
      </c>
      <c r="CL187" s="239">
        <v>2507865</v>
      </c>
      <c r="CM187" s="239">
        <v>0</v>
      </c>
      <c r="CN187" s="239">
        <v>25078650</v>
      </c>
      <c r="CO187" s="239">
        <v>10371975</v>
      </c>
      <c r="CP187" s="239">
        <v>8297580</v>
      </c>
      <c r="CQ187" s="239">
        <v>2074395</v>
      </c>
      <c r="CR187" s="239">
        <v>0</v>
      </c>
      <c r="CS187" s="239">
        <v>20743950</v>
      </c>
      <c r="CT187" s="239">
        <v>-2167350</v>
      </c>
      <c r="CU187" s="239">
        <v>-1733880</v>
      </c>
      <c r="CV187" s="239">
        <v>-433470</v>
      </c>
      <c r="CW187" s="239">
        <v>0</v>
      </c>
      <c r="CX187" s="239">
        <v>-4334700</v>
      </c>
      <c r="CY187" s="239">
        <v>-3255968</v>
      </c>
      <c r="CZ187" s="239">
        <v>-2604775</v>
      </c>
      <c r="DA187" s="239">
        <v>-651194</v>
      </c>
      <c r="DB187" s="239">
        <v>0</v>
      </c>
      <c r="DC187" s="239">
        <v>-6511937</v>
      </c>
      <c r="DD187" s="214">
        <v>0.5</v>
      </c>
      <c r="DE187" s="214">
        <v>0.4</v>
      </c>
      <c r="DF187" s="214">
        <v>0.1</v>
      </c>
      <c r="DG187" s="214">
        <v>0</v>
      </c>
      <c r="DH187" s="214">
        <v>1</v>
      </c>
      <c r="DI187" s="214" t="s">
        <v>1294</v>
      </c>
    </row>
    <row r="188" spans="2:113" s="214" customFormat="1" x14ac:dyDescent="0.2">
      <c r="B188" s="610" t="s">
        <v>459</v>
      </c>
      <c r="C188" s="610" t="s">
        <v>458</v>
      </c>
      <c r="D188" s="239">
        <v>40587192</v>
      </c>
      <c r="E188" s="239">
        <v>39775448</v>
      </c>
      <c r="F188" s="239">
        <v>0</v>
      </c>
      <c r="G188" s="239">
        <v>811744</v>
      </c>
      <c r="H188" s="239">
        <v>81174384</v>
      </c>
      <c r="I188" s="239">
        <v>0</v>
      </c>
      <c r="J188" s="239">
        <v>0</v>
      </c>
      <c r="K188" s="239">
        <v>40587192</v>
      </c>
      <c r="L188" s="239">
        <v>251144</v>
      </c>
      <c r="M188" s="239">
        <v>251144</v>
      </c>
      <c r="N188" s="239">
        <v>156104</v>
      </c>
      <c r="O188" s="239">
        <v>156104</v>
      </c>
      <c r="P188" s="239">
        <v>1122359</v>
      </c>
      <c r="Q188" s="239">
        <v>0</v>
      </c>
      <c r="R188" s="239">
        <v>1122359</v>
      </c>
      <c r="S188" s="239">
        <v>0</v>
      </c>
      <c r="T188" s="239">
        <v>0</v>
      </c>
      <c r="U188" s="239">
        <v>0</v>
      </c>
      <c r="V188" s="239">
        <v>0</v>
      </c>
      <c r="W188" s="239">
        <v>2255022</v>
      </c>
      <c r="X188" s="239">
        <v>2209922</v>
      </c>
      <c r="Y188" s="239">
        <v>0</v>
      </c>
      <c r="Z188" s="239">
        <v>45100</v>
      </c>
      <c r="AA188" s="239">
        <v>4510044</v>
      </c>
      <c r="AB188" s="239">
        <v>-506687</v>
      </c>
      <c r="AC188" s="239">
        <v>-496553</v>
      </c>
      <c r="AD188" s="239">
        <v>0</v>
      </c>
      <c r="AE188" s="239">
        <v>-10134</v>
      </c>
      <c r="AF188" s="239">
        <v>-1013374</v>
      </c>
      <c r="AG188" s="239">
        <v>-428550</v>
      </c>
      <c r="AH188" s="239">
        <v>-419979</v>
      </c>
      <c r="AI188" s="239">
        <v>0</v>
      </c>
      <c r="AJ188" s="239">
        <v>-8571</v>
      </c>
      <c r="AK188" s="239">
        <v>-857100</v>
      </c>
      <c r="AL188" s="239">
        <v>352288</v>
      </c>
      <c r="AM188" s="239">
        <v>345243</v>
      </c>
      <c r="AN188" s="239">
        <v>0</v>
      </c>
      <c r="AO188" s="239">
        <v>7046</v>
      </c>
      <c r="AP188" s="239">
        <v>704577</v>
      </c>
      <c r="AQ188" s="239">
        <v>-452738</v>
      </c>
      <c r="AR188" s="239">
        <v>-443684</v>
      </c>
      <c r="AS188" s="239">
        <v>0</v>
      </c>
      <c r="AT188" s="239">
        <v>-9055</v>
      </c>
      <c r="AU188" s="239">
        <v>-905477</v>
      </c>
      <c r="AV188" s="239">
        <v>-529000</v>
      </c>
      <c r="AW188" s="239">
        <v>-518420</v>
      </c>
      <c r="AX188" s="239">
        <v>0</v>
      </c>
      <c r="AY188" s="239">
        <v>-10580</v>
      </c>
      <c r="AZ188" s="239">
        <v>-1058000</v>
      </c>
      <c r="BA188" s="239">
        <v>-6644745</v>
      </c>
      <c r="BB188" s="239">
        <v>-6511851</v>
      </c>
      <c r="BC188" s="239">
        <v>0</v>
      </c>
      <c r="BD188" s="239">
        <v>-132894</v>
      </c>
      <c r="BE188" s="239">
        <v>-13289490</v>
      </c>
      <c r="BF188" s="239">
        <v>6644700</v>
      </c>
      <c r="BG188" s="239">
        <v>6511806</v>
      </c>
      <c r="BH188" s="239">
        <v>0</v>
      </c>
      <c r="BI188" s="239">
        <v>132894</v>
      </c>
      <c r="BJ188" s="239">
        <v>13289400</v>
      </c>
      <c r="BK188" s="239">
        <v>-3719750</v>
      </c>
      <c r="BL188" s="239">
        <v>-3645355</v>
      </c>
      <c r="BM188" s="239">
        <v>0</v>
      </c>
      <c r="BN188" s="239">
        <v>-74395</v>
      </c>
      <c r="BO188" s="239">
        <v>-7439500</v>
      </c>
      <c r="BP188" s="239">
        <v>-3719795</v>
      </c>
      <c r="BQ188" s="239">
        <v>-3645400</v>
      </c>
      <c r="BR188" s="239">
        <v>0</v>
      </c>
      <c r="BS188" s="239">
        <v>-74395</v>
      </c>
      <c r="BT188" s="239">
        <v>-7439590</v>
      </c>
      <c r="BU188" s="239">
        <v>949066</v>
      </c>
      <c r="BV188" s="239">
        <v>930084</v>
      </c>
      <c r="BW188" s="239">
        <v>0</v>
      </c>
      <c r="BX188" s="239">
        <v>18981</v>
      </c>
      <c r="BY188" s="239">
        <v>1898131</v>
      </c>
      <c r="BZ188" s="239">
        <v>-205579</v>
      </c>
      <c r="CA188" s="239">
        <v>-201467</v>
      </c>
      <c r="CB188" s="239">
        <v>0</v>
      </c>
      <c r="CC188" s="239">
        <v>-4112</v>
      </c>
      <c r="CD188" s="239">
        <v>-411158</v>
      </c>
      <c r="CE188" s="239">
        <v>1154645</v>
      </c>
      <c r="CF188" s="239">
        <v>1131551</v>
      </c>
      <c r="CG188" s="239">
        <v>0</v>
      </c>
      <c r="CH188" s="239">
        <v>23093</v>
      </c>
      <c r="CI188" s="239">
        <v>2309289</v>
      </c>
      <c r="CJ188" s="239">
        <v>44759467</v>
      </c>
      <c r="CK188" s="239">
        <v>43864277</v>
      </c>
      <c r="CL188" s="239">
        <v>0</v>
      </c>
      <c r="CM188" s="239">
        <v>895189</v>
      </c>
      <c r="CN188" s="239">
        <v>89518933</v>
      </c>
      <c r="CO188" s="239">
        <v>40587192</v>
      </c>
      <c r="CP188" s="239">
        <v>39775448</v>
      </c>
      <c r="CQ188" s="239">
        <v>0</v>
      </c>
      <c r="CR188" s="239">
        <v>811744</v>
      </c>
      <c r="CS188" s="239">
        <v>81174384</v>
      </c>
      <c r="CT188" s="239">
        <v>-4172275</v>
      </c>
      <c r="CU188" s="239">
        <v>-4088829</v>
      </c>
      <c r="CV188" s="239">
        <v>0</v>
      </c>
      <c r="CW188" s="239">
        <v>-83445</v>
      </c>
      <c r="CX188" s="239">
        <v>-8344549</v>
      </c>
      <c r="CY188" s="239">
        <v>-3017630</v>
      </c>
      <c r="CZ188" s="239">
        <v>-2957278</v>
      </c>
      <c r="DA188" s="239">
        <v>0</v>
      </c>
      <c r="DB188" s="239">
        <v>-60352</v>
      </c>
      <c r="DC188" s="239">
        <v>-6035260</v>
      </c>
      <c r="DD188" s="214">
        <v>0.5</v>
      </c>
      <c r="DE188" s="214">
        <v>0.49</v>
      </c>
      <c r="DF188" s="214">
        <v>0</v>
      </c>
      <c r="DG188" s="214">
        <v>0.01</v>
      </c>
      <c r="DH188" s="214">
        <v>1</v>
      </c>
      <c r="DI188" s="214" t="s">
        <v>748</v>
      </c>
    </row>
    <row r="189" spans="2:113" s="214" customFormat="1" x14ac:dyDescent="0.2">
      <c r="B189" s="610" t="s">
        <v>461</v>
      </c>
      <c r="C189" s="610" t="s">
        <v>460</v>
      </c>
      <c r="D189" s="239">
        <v>11066947</v>
      </c>
      <c r="E189" s="239">
        <v>8853557</v>
      </c>
      <c r="F189" s="239">
        <v>2213389</v>
      </c>
      <c r="G189" s="239">
        <v>0</v>
      </c>
      <c r="H189" s="239">
        <v>22133893</v>
      </c>
      <c r="I189" s="239">
        <v>0</v>
      </c>
      <c r="J189" s="239">
        <v>0</v>
      </c>
      <c r="K189" s="239">
        <v>11066947</v>
      </c>
      <c r="L189" s="239">
        <v>236095</v>
      </c>
      <c r="M189" s="239">
        <v>236095</v>
      </c>
      <c r="N189" s="239">
        <v>0</v>
      </c>
      <c r="O189" s="239">
        <v>0</v>
      </c>
      <c r="P189" s="239">
        <v>587779</v>
      </c>
      <c r="Q189" s="239">
        <v>0</v>
      </c>
      <c r="R189" s="239">
        <v>587779</v>
      </c>
      <c r="S189" s="239">
        <v>0</v>
      </c>
      <c r="T189" s="239">
        <v>0</v>
      </c>
      <c r="U189" s="239">
        <v>0</v>
      </c>
      <c r="V189" s="239">
        <v>0</v>
      </c>
      <c r="W189" s="239">
        <v>171286</v>
      </c>
      <c r="X189" s="239">
        <v>137029</v>
      </c>
      <c r="Y189" s="239">
        <v>34257</v>
      </c>
      <c r="Z189" s="239">
        <v>0</v>
      </c>
      <c r="AA189" s="239">
        <v>342572</v>
      </c>
      <c r="AB189" s="239">
        <v>-95862</v>
      </c>
      <c r="AC189" s="239">
        <v>-76689</v>
      </c>
      <c r="AD189" s="239">
        <v>-19172</v>
      </c>
      <c r="AE189" s="239">
        <v>0</v>
      </c>
      <c r="AF189" s="239">
        <v>-191723</v>
      </c>
      <c r="AG189" s="239">
        <v>-83981</v>
      </c>
      <c r="AH189" s="239">
        <v>-67185</v>
      </c>
      <c r="AI189" s="239">
        <v>-16796</v>
      </c>
      <c r="AJ189" s="239">
        <v>0</v>
      </c>
      <c r="AK189" s="239">
        <v>-167962</v>
      </c>
      <c r="AL189" s="239">
        <v>23305</v>
      </c>
      <c r="AM189" s="239">
        <v>18644</v>
      </c>
      <c r="AN189" s="239">
        <v>4661</v>
      </c>
      <c r="AO189" s="239">
        <v>0</v>
      </c>
      <c r="AP189" s="239">
        <v>46610</v>
      </c>
      <c r="AQ189" s="239">
        <v>-39697</v>
      </c>
      <c r="AR189" s="239">
        <v>-31758</v>
      </c>
      <c r="AS189" s="239">
        <v>-7939</v>
      </c>
      <c r="AT189" s="239">
        <v>0</v>
      </c>
      <c r="AU189" s="239">
        <v>-79394</v>
      </c>
      <c r="AV189" s="239">
        <v>-100373</v>
      </c>
      <c r="AW189" s="239">
        <v>-80299</v>
      </c>
      <c r="AX189" s="239">
        <v>-20074</v>
      </c>
      <c r="AY189" s="239">
        <v>0</v>
      </c>
      <c r="AZ189" s="239">
        <v>-200746</v>
      </c>
      <c r="BA189" s="239">
        <v>-418644</v>
      </c>
      <c r="BB189" s="239">
        <v>-334914</v>
      </c>
      <c r="BC189" s="239">
        <v>-83728</v>
      </c>
      <c r="BD189" s="239">
        <v>0</v>
      </c>
      <c r="BE189" s="239">
        <v>-837286</v>
      </c>
      <c r="BF189" s="239">
        <v>224549</v>
      </c>
      <c r="BG189" s="239">
        <v>179639</v>
      </c>
      <c r="BH189" s="239">
        <v>44910</v>
      </c>
      <c r="BI189" s="239">
        <v>0</v>
      </c>
      <c r="BJ189" s="239">
        <v>449098</v>
      </c>
      <c r="BK189" s="239">
        <v>-873837</v>
      </c>
      <c r="BL189" s="239">
        <v>-699069</v>
      </c>
      <c r="BM189" s="239">
        <v>-174767</v>
      </c>
      <c r="BN189" s="239">
        <v>0</v>
      </c>
      <c r="BO189" s="239">
        <v>-1747673</v>
      </c>
      <c r="BP189" s="239">
        <v>-1067932</v>
      </c>
      <c r="BQ189" s="239">
        <v>-854344</v>
      </c>
      <c r="BR189" s="239">
        <v>-213585</v>
      </c>
      <c r="BS189" s="239">
        <v>0</v>
      </c>
      <c r="BT189" s="239">
        <v>-2135861</v>
      </c>
      <c r="BU189" s="239">
        <v>-948992</v>
      </c>
      <c r="BV189" s="239">
        <v>-759194</v>
      </c>
      <c r="BW189" s="239">
        <v>-189798</v>
      </c>
      <c r="BX189" s="239">
        <v>0</v>
      </c>
      <c r="BY189" s="239">
        <v>-1897984</v>
      </c>
      <c r="BZ189" s="239">
        <v>-802497</v>
      </c>
      <c r="CA189" s="239">
        <v>-641997</v>
      </c>
      <c r="CB189" s="239">
        <v>-160499</v>
      </c>
      <c r="CC189" s="239">
        <v>0</v>
      </c>
      <c r="CD189" s="239">
        <v>-1604993</v>
      </c>
      <c r="CE189" s="239">
        <v>-146495</v>
      </c>
      <c r="CF189" s="239">
        <v>-117197</v>
      </c>
      <c r="CG189" s="239">
        <v>-29299</v>
      </c>
      <c r="CH189" s="239">
        <v>0</v>
      </c>
      <c r="CI189" s="239">
        <v>-292991</v>
      </c>
      <c r="CJ189" s="239">
        <v>12079022</v>
      </c>
      <c r="CK189" s="239">
        <v>9663218</v>
      </c>
      <c r="CL189" s="239">
        <v>2415805</v>
      </c>
      <c r="CM189" s="239">
        <v>0</v>
      </c>
      <c r="CN189" s="239">
        <v>24158045</v>
      </c>
      <c r="CO189" s="239">
        <v>11066947</v>
      </c>
      <c r="CP189" s="239">
        <v>8853557</v>
      </c>
      <c r="CQ189" s="239">
        <v>2213389</v>
      </c>
      <c r="CR189" s="239">
        <v>0</v>
      </c>
      <c r="CS189" s="239">
        <v>22133893</v>
      </c>
      <c r="CT189" s="239">
        <v>-1012075</v>
      </c>
      <c r="CU189" s="239">
        <v>-809661</v>
      </c>
      <c r="CV189" s="239">
        <v>-202416</v>
      </c>
      <c r="CW189" s="239">
        <v>0</v>
      </c>
      <c r="CX189" s="239">
        <v>-2024152</v>
      </c>
      <c r="CY189" s="239">
        <v>-1158570</v>
      </c>
      <c r="CZ189" s="239">
        <v>-926858</v>
      </c>
      <c r="DA189" s="239">
        <v>-231715</v>
      </c>
      <c r="DB189" s="239">
        <v>0</v>
      </c>
      <c r="DC189" s="239">
        <v>-2317143</v>
      </c>
      <c r="DD189" s="214">
        <v>0.5</v>
      </c>
      <c r="DE189" s="214">
        <v>0.4</v>
      </c>
      <c r="DF189" s="214">
        <v>0.1</v>
      </c>
      <c r="DG189" s="214">
        <v>0</v>
      </c>
      <c r="DH189" s="214">
        <v>1</v>
      </c>
      <c r="DI189" s="214" t="s">
        <v>1294</v>
      </c>
    </row>
    <row r="190" spans="2:113" s="214" customFormat="1" x14ac:dyDescent="0.2">
      <c r="B190" s="610" t="s">
        <v>463</v>
      </c>
      <c r="C190" s="610" t="s">
        <v>462</v>
      </c>
      <c r="D190" s="239">
        <v>33909769</v>
      </c>
      <c r="E190" s="239">
        <v>33231573</v>
      </c>
      <c r="F190" s="239">
        <v>0</v>
      </c>
      <c r="G190" s="239">
        <v>678195</v>
      </c>
      <c r="H190" s="239">
        <v>67819537</v>
      </c>
      <c r="I190" s="239">
        <v>0</v>
      </c>
      <c r="J190" s="239">
        <v>0</v>
      </c>
      <c r="K190" s="239">
        <v>33909769</v>
      </c>
      <c r="L190" s="239">
        <v>261826</v>
      </c>
      <c r="M190" s="239">
        <v>261826</v>
      </c>
      <c r="N190" s="239">
        <v>257821</v>
      </c>
      <c r="O190" s="239">
        <v>257821</v>
      </c>
      <c r="P190" s="239">
        <v>89320</v>
      </c>
      <c r="Q190" s="239">
        <v>0</v>
      </c>
      <c r="R190" s="239">
        <v>89320</v>
      </c>
      <c r="S190" s="239">
        <v>0</v>
      </c>
      <c r="T190" s="239">
        <v>0</v>
      </c>
      <c r="U190" s="239">
        <v>0</v>
      </c>
      <c r="V190" s="239">
        <v>0</v>
      </c>
      <c r="W190" s="239">
        <v>6119805</v>
      </c>
      <c r="X190" s="239">
        <v>5997408</v>
      </c>
      <c r="Y190" s="239">
        <v>0</v>
      </c>
      <c r="Z190" s="239">
        <v>122396</v>
      </c>
      <c r="AA190" s="239">
        <v>12239609</v>
      </c>
      <c r="AB190" s="239">
        <v>-1136217</v>
      </c>
      <c r="AC190" s="239">
        <v>-1113493</v>
      </c>
      <c r="AD190" s="239">
        <v>0</v>
      </c>
      <c r="AE190" s="239">
        <v>-22724</v>
      </c>
      <c r="AF190" s="239">
        <v>-2272434</v>
      </c>
      <c r="AG190" s="239">
        <v>-1357357.3</v>
      </c>
      <c r="AH190" s="239">
        <v>-1330212</v>
      </c>
      <c r="AI190" s="239">
        <v>0</v>
      </c>
      <c r="AJ190" s="239">
        <v>-27148</v>
      </c>
      <c r="AK190" s="239">
        <v>-2714717.3</v>
      </c>
      <c r="AL190" s="239">
        <v>306714</v>
      </c>
      <c r="AM190" s="239">
        <v>300580</v>
      </c>
      <c r="AN190" s="239">
        <v>0</v>
      </c>
      <c r="AO190" s="239">
        <v>6134</v>
      </c>
      <c r="AP190" s="239">
        <v>613428</v>
      </c>
      <c r="AQ190" s="239">
        <v>-61692</v>
      </c>
      <c r="AR190" s="239">
        <v>-60458</v>
      </c>
      <c r="AS190" s="239">
        <v>0</v>
      </c>
      <c r="AT190" s="239">
        <v>-1234</v>
      </c>
      <c r="AU190" s="239">
        <v>-123384</v>
      </c>
      <c r="AV190" s="239">
        <v>-1112335.3</v>
      </c>
      <c r="AW190" s="239">
        <v>-1090090</v>
      </c>
      <c r="AX190" s="239">
        <v>0</v>
      </c>
      <c r="AY190" s="239">
        <v>-22248</v>
      </c>
      <c r="AZ190" s="239">
        <v>-2224673.2999999998</v>
      </c>
      <c r="BA190" s="239">
        <v>-1781111.4</v>
      </c>
      <c r="BB190" s="239">
        <v>-1745489</v>
      </c>
      <c r="BC190" s="239">
        <v>0</v>
      </c>
      <c r="BD190" s="239">
        <v>-35622</v>
      </c>
      <c r="BE190" s="239">
        <v>-3562222.4</v>
      </c>
      <c r="BF190" s="239">
        <v>645886</v>
      </c>
      <c r="BG190" s="239">
        <v>632969</v>
      </c>
      <c r="BH190" s="239">
        <v>0</v>
      </c>
      <c r="BI190" s="239">
        <v>12918</v>
      </c>
      <c r="BJ190" s="239">
        <v>1291773</v>
      </c>
      <c r="BK190" s="239">
        <v>-884842</v>
      </c>
      <c r="BL190" s="239">
        <v>-867145</v>
      </c>
      <c r="BM190" s="239">
        <v>0</v>
      </c>
      <c r="BN190" s="239">
        <v>-17697</v>
      </c>
      <c r="BO190" s="239">
        <v>-1769684</v>
      </c>
      <c r="BP190" s="239">
        <v>-2020067.4</v>
      </c>
      <c r="BQ190" s="239">
        <v>-1979665</v>
      </c>
      <c r="BR190" s="239">
        <v>0</v>
      </c>
      <c r="BS190" s="239">
        <v>-40401</v>
      </c>
      <c r="BT190" s="239">
        <v>-4040133.4</v>
      </c>
      <c r="BU190" s="239">
        <v>634689</v>
      </c>
      <c r="BV190" s="239">
        <v>621995</v>
      </c>
      <c r="BW190" s="239">
        <v>0</v>
      </c>
      <c r="BX190" s="239">
        <v>12694</v>
      </c>
      <c r="BY190" s="239">
        <v>1269378</v>
      </c>
      <c r="BZ190" s="239">
        <v>710789</v>
      </c>
      <c r="CA190" s="239">
        <v>696574</v>
      </c>
      <c r="CB190" s="239">
        <v>0</v>
      </c>
      <c r="CC190" s="239">
        <v>14216</v>
      </c>
      <c r="CD190" s="239">
        <v>1421579</v>
      </c>
      <c r="CE190" s="239">
        <v>-76100</v>
      </c>
      <c r="CF190" s="239">
        <v>-74579</v>
      </c>
      <c r="CG190" s="239">
        <v>0</v>
      </c>
      <c r="CH190" s="239">
        <v>-1522</v>
      </c>
      <c r="CI190" s="239">
        <v>-152201</v>
      </c>
      <c r="CJ190" s="239">
        <v>28714610</v>
      </c>
      <c r="CK190" s="239">
        <v>28140318</v>
      </c>
      <c r="CL190" s="239">
        <v>0</v>
      </c>
      <c r="CM190" s="239">
        <v>574292</v>
      </c>
      <c r="CN190" s="239">
        <v>57429220</v>
      </c>
      <c r="CO190" s="239">
        <v>33909769</v>
      </c>
      <c r="CP190" s="239">
        <v>33231573</v>
      </c>
      <c r="CQ190" s="239">
        <v>0</v>
      </c>
      <c r="CR190" s="239">
        <v>678195</v>
      </c>
      <c r="CS190" s="239">
        <v>67819537</v>
      </c>
      <c r="CT190" s="239">
        <v>5195159</v>
      </c>
      <c r="CU190" s="239">
        <v>5091255</v>
      </c>
      <c r="CV190" s="239">
        <v>0</v>
      </c>
      <c r="CW190" s="239">
        <v>103903</v>
      </c>
      <c r="CX190" s="239">
        <v>10390317</v>
      </c>
      <c r="CY190" s="239">
        <v>5119059</v>
      </c>
      <c r="CZ190" s="239">
        <v>5016676</v>
      </c>
      <c r="DA190" s="239">
        <v>0</v>
      </c>
      <c r="DB190" s="239">
        <v>102381</v>
      </c>
      <c r="DC190" s="239">
        <v>10238116</v>
      </c>
      <c r="DD190" s="214">
        <v>0.5</v>
      </c>
      <c r="DE190" s="214">
        <v>0.49</v>
      </c>
      <c r="DF190" s="214">
        <v>0</v>
      </c>
      <c r="DG190" s="214">
        <v>0.01</v>
      </c>
      <c r="DH190" s="214">
        <v>1</v>
      </c>
      <c r="DI190" s="214" t="s">
        <v>748</v>
      </c>
    </row>
    <row r="191" spans="2:113" s="214" customFormat="1" x14ac:dyDescent="0.2">
      <c r="B191" s="610" t="s">
        <v>465</v>
      </c>
      <c r="C191" s="610" t="s">
        <v>464</v>
      </c>
      <c r="D191" s="239">
        <v>27914454</v>
      </c>
      <c r="E191" s="239">
        <v>27356164</v>
      </c>
      <c r="F191" s="239">
        <v>0</v>
      </c>
      <c r="G191" s="239">
        <v>558289</v>
      </c>
      <c r="H191" s="239">
        <v>55828907</v>
      </c>
      <c r="I191" s="239">
        <v>69301.114583333343</v>
      </c>
      <c r="J191" s="239">
        <v>69301.114583333343</v>
      </c>
      <c r="K191" s="239">
        <v>27845152.885416668</v>
      </c>
      <c r="L191" s="239">
        <v>229326</v>
      </c>
      <c r="M191" s="239">
        <v>229326</v>
      </c>
      <c r="N191" s="239">
        <v>24532</v>
      </c>
      <c r="O191" s="239">
        <v>24532</v>
      </c>
      <c r="P191" s="239">
        <v>0</v>
      </c>
      <c r="Q191" s="239">
        <v>0</v>
      </c>
      <c r="R191" s="239">
        <v>0</v>
      </c>
      <c r="S191" s="239">
        <v>69301.114583333343</v>
      </c>
      <c r="T191" s="239">
        <v>0</v>
      </c>
      <c r="U191" s="239">
        <v>0</v>
      </c>
      <c r="V191" s="239">
        <v>69301.114583333343</v>
      </c>
      <c r="W191" s="239">
        <v>2698539</v>
      </c>
      <c r="X191" s="239">
        <v>2644568</v>
      </c>
      <c r="Y191" s="239">
        <v>0</v>
      </c>
      <c r="Z191" s="239">
        <v>53971</v>
      </c>
      <c r="AA191" s="239">
        <v>5397078</v>
      </c>
      <c r="AB191" s="239">
        <v>-572804</v>
      </c>
      <c r="AC191" s="239">
        <v>-561348</v>
      </c>
      <c r="AD191" s="239">
        <v>0</v>
      </c>
      <c r="AE191" s="239">
        <v>-11456</v>
      </c>
      <c r="AF191" s="239">
        <v>-1145608</v>
      </c>
      <c r="AG191" s="239">
        <v>92274</v>
      </c>
      <c r="AH191" s="239">
        <v>90428</v>
      </c>
      <c r="AI191" s="239">
        <v>0</v>
      </c>
      <c r="AJ191" s="239">
        <v>1845</v>
      </c>
      <c r="AK191" s="239">
        <v>184547</v>
      </c>
      <c r="AL191" s="239">
        <v>1470</v>
      </c>
      <c r="AM191" s="239">
        <v>1441</v>
      </c>
      <c r="AN191" s="239">
        <v>0</v>
      </c>
      <c r="AO191" s="239">
        <v>29</v>
      </c>
      <c r="AP191" s="239">
        <v>2940</v>
      </c>
      <c r="AQ191" s="239">
        <v>119970</v>
      </c>
      <c r="AR191" s="239">
        <v>117571</v>
      </c>
      <c r="AS191" s="239">
        <v>0</v>
      </c>
      <c r="AT191" s="239">
        <v>2399</v>
      </c>
      <c r="AU191" s="239">
        <v>239940</v>
      </c>
      <c r="AV191" s="239">
        <v>213714</v>
      </c>
      <c r="AW191" s="239">
        <v>209440</v>
      </c>
      <c r="AX191" s="239">
        <v>0</v>
      </c>
      <c r="AY191" s="239">
        <v>4273</v>
      </c>
      <c r="AZ191" s="239">
        <v>427427</v>
      </c>
      <c r="BA191" s="239">
        <v>-726593</v>
      </c>
      <c r="BB191" s="239">
        <v>-712061</v>
      </c>
      <c r="BC191" s="239">
        <v>0</v>
      </c>
      <c r="BD191" s="239">
        <v>-14532</v>
      </c>
      <c r="BE191" s="239">
        <v>-1453186</v>
      </c>
      <c r="BF191" s="239">
        <v>0</v>
      </c>
      <c r="BG191" s="239">
        <v>0</v>
      </c>
      <c r="BH191" s="239">
        <v>0</v>
      </c>
      <c r="BI191" s="239">
        <v>0</v>
      </c>
      <c r="BJ191" s="239">
        <v>0</v>
      </c>
      <c r="BK191" s="239">
        <v>-943500</v>
      </c>
      <c r="BL191" s="239">
        <v>-924630</v>
      </c>
      <c r="BM191" s="239">
        <v>0</v>
      </c>
      <c r="BN191" s="239">
        <v>-18870</v>
      </c>
      <c r="BO191" s="239">
        <v>-1887000</v>
      </c>
      <c r="BP191" s="239">
        <v>-1670093</v>
      </c>
      <c r="BQ191" s="239">
        <v>-1636691</v>
      </c>
      <c r="BR191" s="239">
        <v>0</v>
      </c>
      <c r="BS191" s="239">
        <v>-33402</v>
      </c>
      <c r="BT191" s="239">
        <v>-3340186</v>
      </c>
      <c r="BU191" s="239">
        <v>-2913909</v>
      </c>
      <c r="BV191" s="239">
        <v>-2855631</v>
      </c>
      <c r="BW191" s="239">
        <v>0</v>
      </c>
      <c r="BX191" s="239">
        <v>-58278</v>
      </c>
      <c r="BY191" s="239">
        <v>-5827818</v>
      </c>
      <c r="BZ191" s="239">
        <v>-2245100</v>
      </c>
      <c r="CA191" s="239">
        <v>-2200198</v>
      </c>
      <c r="CB191" s="239">
        <v>0</v>
      </c>
      <c r="CC191" s="239">
        <v>-44902</v>
      </c>
      <c r="CD191" s="239">
        <v>-4490200</v>
      </c>
      <c r="CE191" s="239">
        <v>-668809</v>
      </c>
      <c r="CF191" s="239">
        <v>-655433</v>
      </c>
      <c r="CG191" s="239">
        <v>0</v>
      </c>
      <c r="CH191" s="239">
        <v>-13376</v>
      </c>
      <c r="CI191" s="239">
        <v>-1337618</v>
      </c>
      <c r="CJ191" s="239">
        <v>28897951</v>
      </c>
      <c r="CK191" s="239">
        <v>28319992</v>
      </c>
      <c r="CL191" s="239">
        <v>0</v>
      </c>
      <c r="CM191" s="239">
        <v>577959</v>
      </c>
      <c r="CN191" s="239">
        <v>57795902</v>
      </c>
      <c r="CO191" s="239">
        <v>27914454</v>
      </c>
      <c r="CP191" s="239">
        <v>27356164</v>
      </c>
      <c r="CQ191" s="239">
        <v>0</v>
      </c>
      <c r="CR191" s="239">
        <v>558289</v>
      </c>
      <c r="CS191" s="239">
        <v>55828907</v>
      </c>
      <c r="CT191" s="239">
        <v>-983497</v>
      </c>
      <c r="CU191" s="239">
        <v>-963828</v>
      </c>
      <c r="CV191" s="239">
        <v>0</v>
      </c>
      <c r="CW191" s="239">
        <v>-19670</v>
      </c>
      <c r="CX191" s="239">
        <v>-1966995</v>
      </c>
      <c r="CY191" s="239">
        <v>-1652306</v>
      </c>
      <c r="CZ191" s="239">
        <v>-1619261</v>
      </c>
      <c r="DA191" s="239">
        <v>0</v>
      </c>
      <c r="DB191" s="239">
        <v>-33046</v>
      </c>
      <c r="DC191" s="239">
        <v>-3304613</v>
      </c>
      <c r="DD191" s="214">
        <v>0.5</v>
      </c>
      <c r="DE191" s="214">
        <v>0.49</v>
      </c>
      <c r="DF191" s="214">
        <v>0</v>
      </c>
      <c r="DG191" s="214">
        <v>0.01</v>
      </c>
      <c r="DH191" s="214">
        <v>1</v>
      </c>
      <c r="DI191" s="214" t="s">
        <v>1296</v>
      </c>
    </row>
    <row r="192" spans="2:113" s="214" customFormat="1" x14ac:dyDescent="0.2">
      <c r="B192" s="610" t="s">
        <v>467</v>
      </c>
      <c r="C192" s="610" t="s">
        <v>466</v>
      </c>
      <c r="D192" s="239">
        <v>20586542</v>
      </c>
      <c r="E192" s="239">
        <v>16469234</v>
      </c>
      <c r="F192" s="239">
        <v>4117308</v>
      </c>
      <c r="G192" s="239">
        <v>0</v>
      </c>
      <c r="H192" s="239">
        <v>41173084</v>
      </c>
      <c r="I192" s="239">
        <v>0</v>
      </c>
      <c r="J192" s="239">
        <v>0</v>
      </c>
      <c r="K192" s="239">
        <v>20586542</v>
      </c>
      <c r="L192" s="239">
        <v>110738</v>
      </c>
      <c r="M192" s="239">
        <v>110738</v>
      </c>
      <c r="N192" s="239">
        <v>0</v>
      </c>
      <c r="O192" s="239">
        <v>0</v>
      </c>
      <c r="P192" s="239">
        <v>0</v>
      </c>
      <c r="Q192" s="239">
        <v>0</v>
      </c>
      <c r="R192" s="239">
        <v>0</v>
      </c>
      <c r="S192" s="239">
        <v>0</v>
      </c>
      <c r="T192" s="239">
        <v>0</v>
      </c>
      <c r="U192" s="239">
        <v>0</v>
      </c>
      <c r="V192" s="239">
        <v>0</v>
      </c>
      <c r="W192" s="239">
        <v>163601</v>
      </c>
      <c r="X192" s="239">
        <v>130881</v>
      </c>
      <c r="Y192" s="239">
        <v>32720</v>
      </c>
      <c r="Z192" s="239">
        <v>0</v>
      </c>
      <c r="AA192" s="239">
        <v>327202</v>
      </c>
      <c r="AB192" s="239">
        <v>-1807</v>
      </c>
      <c r="AC192" s="239">
        <v>-1445</v>
      </c>
      <c r="AD192" s="239">
        <v>-361</v>
      </c>
      <c r="AE192" s="239">
        <v>0</v>
      </c>
      <c r="AF192" s="239">
        <v>-3613</v>
      </c>
      <c r="AG192" s="239">
        <v>-84829</v>
      </c>
      <c r="AH192" s="239">
        <v>-67864</v>
      </c>
      <c r="AI192" s="239">
        <v>-16967</v>
      </c>
      <c r="AJ192" s="239">
        <v>0</v>
      </c>
      <c r="AK192" s="239">
        <v>-169660</v>
      </c>
      <c r="AL192" s="239">
        <v>98103</v>
      </c>
      <c r="AM192" s="239">
        <v>78482</v>
      </c>
      <c r="AN192" s="239">
        <v>19621</v>
      </c>
      <c r="AO192" s="239">
        <v>0</v>
      </c>
      <c r="AP192" s="239">
        <v>196206</v>
      </c>
      <c r="AQ192" s="239">
        <v>-59745</v>
      </c>
      <c r="AR192" s="239">
        <v>-47796</v>
      </c>
      <c r="AS192" s="239">
        <v>-11949</v>
      </c>
      <c r="AT192" s="239">
        <v>0</v>
      </c>
      <c r="AU192" s="239">
        <v>-119490</v>
      </c>
      <c r="AV192" s="239">
        <v>-46471</v>
      </c>
      <c r="AW192" s="239">
        <v>-37178</v>
      </c>
      <c r="AX192" s="239">
        <v>-9295</v>
      </c>
      <c r="AY192" s="239">
        <v>0</v>
      </c>
      <c r="AZ192" s="239">
        <v>-92944</v>
      </c>
      <c r="BA192" s="239">
        <v>-2003383</v>
      </c>
      <c r="BB192" s="239">
        <v>-1602706</v>
      </c>
      <c r="BC192" s="239">
        <v>-400676</v>
      </c>
      <c r="BD192" s="239">
        <v>0</v>
      </c>
      <c r="BE192" s="239">
        <v>-4006765</v>
      </c>
      <c r="BF192" s="239">
        <v>420365</v>
      </c>
      <c r="BG192" s="239">
        <v>336292</v>
      </c>
      <c r="BH192" s="239">
        <v>84073</v>
      </c>
      <c r="BI192" s="239">
        <v>0</v>
      </c>
      <c r="BJ192" s="239">
        <v>840730</v>
      </c>
      <c r="BK192" s="239">
        <v>-1259776</v>
      </c>
      <c r="BL192" s="239">
        <v>-1007821</v>
      </c>
      <c r="BM192" s="239">
        <v>-251955</v>
      </c>
      <c r="BN192" s="239">
        <v>0</v>
      </c>
      <c r="BO192" s="239">
        <v>-2519552</v>
      </c>
      <c r="BP192" s="239">
        <v>-2842794</v>
      </c>
      <c r="BQ192" s="239">
        <v>-2274235</v>
      </c>
      <c r="BR192" s="239">
        <v>-568558</v>
      </c>
      <c r="BS192" s="239">
        <v>0</v>
      </c>
      <c r="BT192" s="239">
        <v>-5685587</v>
      </c>
      <c r="BU192" s="239">
        <v>-1453333</v>
      </c>
      <c r="BV192" s="239">
        <v>-1162666</v>
      </c>
      <c r="BW192" s="239">
        <v>-290667</v>
      </c>
      <c r="BX192" s="239">
        <v>0</v>
      </c>
      <c r="BY192" s="239">
        <v>-2906666</v>
      </c>
      <c r="BZ192" s="239">
        <v>-359216</v>
      </c>
      <c r="CA192" s="239">
        <v>-287372</v>
      </c>
      <c r="CB192" s="239">
        <v>-71843</v>
      </c>
      <c r="CC192" s="239">
        <v>0</v>
      </c>
      <c r="CD192" s="239">
        <v>-718431</v>
      </c>
      <c r="CE192" s="239">
        <v>-1094117</v>
      </c>
      <c r="CF192" s="239">
        <v>-875294</v>
      </c>
      <c r="CG192" s="239">
        <v>-218824</v>
      </c>
      <c r="CH192" s="239">
        <v>0</v>
      </c>
      <c r="CI192" s="239">
        <v>-2188235</v>
      </c>
      <c r="CJ192" s="239">
        <v>21496379</v>
      </c>
      <c r="CK192" s="239">
        <v>17197104</v>
      </c>
      <c r="CL192" s="239">
        <v>4299276</v>
      </c>
      <c r="CM192" s="239">
        <v>0</v>
      </c>
      <c r="CN192" s="239">
        <v>42992759</v>
      </c>
      <c r="CO192" s="239">
        <v>20586542</v>
      </c>
      <c r="CP192" s="239">
        <v>16469234</v>
      </c>
      <c r="CQ192" s="239">
        <v>4117308</v>
      </c>
      <c r="CR192" s="239">
        <v>0</v>
      </c>
      <c r="CS192" s="239">
        <v>41173084</v>
      </c>
      <c r="CT192" s="239">
        <v>-909837</v>
      </c>
      <c r="CU192" s="239">
        <v>-727870</v>
      </c>
      <c r="CV192" s="239">
        <v>-181968</v>
      </c>
      <c r="CW192" s="239">
        <v>0</v>
      </c>
      <c r="CX192" s="239">
        <v>-1819675</v>
      </c>
      <c r="CY192" s="239">
        <v>-2003954</v>
      </c>
      <c r="CZ192" s="239">
        <v>-1603164</v>
      </c>
      <c r="DA192" s="239">
        <v>-400792</v>
      </c>
      <c r="DB192" s="239">
        <v>0</v>
      </c>
      <c r="DC192" s="239">
        <v>-4007910</v>
      </c>
      <c r="DD192" s="214">
        <v>0.5</v>
      </c>
      <c r="DE192" s="214">
        <v>0.4</v>
      </c>
      <c r="DF192" s="214">
        <v>0.1</v>
      </c>
      <c r="DG192" s="214">
        <v>0</v>
      </c>
      <c r="DH192" s="214">
        <v>1</v>
      </c>
      <c r="DI192" s="214" t="s">
        <v>1294</v>
      </c>
    </row>
    <row r="193" spans="2:113" s="214" customFormat="1" x14ac:dyDescent="0.2">
      <c r="B193" s="610" t="s">
        <v>469</v>
      </c>
      <c r="C193" s="610" t="s">
        <v>468</v>
      </c>
      <c r="D193" s="239">
        <v>25552081</v>
      </c>
      <c r="E193" s="239">
        <v>20441665</v>
      </c>
      <c r="F193" s="239">
        <v>4599375</v>
      </c>
      <c r="G193" s="239">
        <v>511042</v>
      </c>
      <c r="H193" s="239">
        <v>51104163</v>
      </c>
      <c r="I193" s="239">
        <v>0</v>
      </c>
      <c r="J193" s="239">
        <v>0</v>
      </c>
      <c r="K193" s="239">
        <v>25552081</v>
      </c>
      <c r="L193" s="239">
        <v>146594</v>
      </c>
      <c r="M193" s="239">
        <v>146594</v>
      </c>
      <c r="N193" s="239">
        <v>0</v>
      </c>
      <c r="O193" s="239">
        <v>0</v>
      </c>
      <c r="P193" s="239">
        <v>0</v>
      </c>
      <c r="Q193" s="239">
        <v>0</v>
      </c>
      <c r="R193" s="239">
        <v>0</v>
      </c>
      <c r="S193" s="239">
        <v>0</v>
      </c>
      <c r="T193" s="239">
        <v>0</v>
      </c>
      <c r="U193" s="239">
        <v>0</v>
      </c>
      <c r="V193" s="239">
        <v>0</v>
      </c>
      <c r="W193" s="239">
        <v>216228</v>
      </c>
      <c r="X193" s="239">
        <v>172982</v>
      </c>
      <c r="Y193" s="239">
        <v>38921</v>
      </c>
      <c r="Z193" s="239">
        <v>4325</v>
      </c>
      <c r="AA193" s="239">
        <v>432456</v>
      </c>
      <c r="AB193" s="239">
        <v>-247416</v>
      </c>
      <c r="AC193" s="239">
        <v>-197933</v>
      </c>
      <c r="AD193" s="239">
        <v>-44535</v>
      </c>
      <c r="AE193" s="239">
        <v>-4948</v>
      </c>
      <c r="AF193" s="239">
        <v>-494832</v>
      </c>
      <c r="AG193" s="239">
        <v>-301146.92</v>
      </c>
      <c r="AH193" s="239">
        <v>-240918</v>
      </c>
      <c r="AI193" s="239">
        <v>-54206</v>
      </c>
      <c r="AJ193" s="239">
        <v>-6024</v>
      </c>
      <c r="AK193" s="239">
        <v>-602294.92000000004</v>
      </c>
      <c r="AL193" s="239">
        <v>87136</v>
      </c>
      <c r="AM193" s="239">
        <v>69709</v>
      </c>
      <c r="AN193" s="239">
        <v>15684</v>
      </c>
      <c r="AO193" s="239">
        <v>1743</v>
      </c>
      <c r="AP193" s="239">
        <v>174272</v>
      </c>
      <c r="AQ193" s="239">
        <v>55326</v>
      </c>
      <c r="AR193" s="239">
        <v>44262</v>
      </c>
      <c r="AS193" s="239">
        <v>9959</v>
      </c>
      <c r="AT193" s="239">
        <v>1107</v>
      </c>
      <c r="AU193" s="239">
        <v>110654</v>
      </c>
      <c r="AV193" s="239">
        <v>-158684.91999999998</v>
      </c>
      <c r="AW193" s="239">
        <v>-126947</v>
      </c>
      <c r="AX193" s="239">
        <v>-28563</v>
      </c>
      <c r="AY193" s="239">
        <v>-3174</v>
      </c>
      <c r="AZ193" s="239">
        <v>-317368.92000000004</v>
      </c>
      <c r="BA193" s="239">
        <v>-3068910</v>
      </c>
      <c r="BB193" s="239">
        <v>-2455128</v>
      </c>
      <c r="BC193" s="239">
        <v>-552403</v>
      </c>
      <c r="BD193" s="239">
        <v>-61378</v>
      </c>
      <c r="BE193" s="239">
        <v>-6137819</v>
      </c>
      <c r="BF193" s="239">
        <v>185274</v>
      </c>
      <c r="BG193" s="239">
        <v>148218</v>
      </c>
      <c r="BH193" s="239">
        <v>33349</v>
      </c>
      <c r="BI193" s="239">
        <v>3705</v>
      </c>
      <c r="BJ193" s="239">
        <v>370546</v>
      </c>
      <c r="BK193" s="239">
        <v>-694115</v>
      </c>
      <c r="BL193" s="239">
        <v>-555292</v>
      </c>
      <c r="BM193" s="239">
        <v>-124941</v>
      </c>
      <c r="BN193" s="239">
        <v>-13882</v>
      </c>
      <c r="BO193" s="239">
        <v>-1388230</v>
      </c>
      <c r="BP193" s="239">
        <v>-3577751</v>
      </c>
      <c r="BQ193" s="239">
        <v>-2862202</v>
      </c>
      <c r="BR193" s="239">
        <v>-643995</v>
      </c>
      <c r="BS193" s="239">
        <v>-71555</v>
      </c>
      <c r="BT193" s="239">
        <v>-7155503</v>
      </c>
      <c r="BU193" s="239">
        <v>-3419000</v>
      </c>
      <c r="BV193" s="239">
        <v>-2735200</v>
      </c>
      <c r="BW193" s="239">
        <v>-615420</v>
      </c>
      <c r="BX193" s="239">
        <v>-68380</v>
      </c>
      <c r="BY193" s="239">
        <v>-6838000</v>
      </c>
      <c r="BZ193" s="239">
        <v>-1755228</v>
      </c>
      <c r="CA193" s="239">
        <v>-1404182</v>
      </c>
      <c r="CB193" s="239">
        <v>-315941</v>
      </c>
      <c r="CC193" s="239">
        <v>-35105</v>
      </c>
      <c r="CD193" s="239">
        <v>-3510456</v>
      </c>
      <c r="CE193" s="239">
        <v>-1663772</v>
      </c>
      <c r="CF193" s="239">
        <v>-1331018</v>
      </c>
      <c r="CG193" s="239">
        <v>-299479</v>
      </c>
      <c r="CH193" s="239">
        <v>-33275</v>
      </c>
      <c r="CI193" s="239">
        <v>-3327544</v>
      </c>
      <c r="CJ193" s="239">
        <v>25106358</v>
      </c>
      <c r="CK193" s="239">
        <v>20085087</v>
      </c>
      <c r="CL193" s="239">
        <v>4519145</v>
      </c>
      <c r="CM193" s="239">
        <v>502127</v>
      </c>
      <c r="CN193" s="239">
        <v>50212717</v>
      </c>
      <c r="CO193" s="239">
        <v>25552081</v>
      </c>
      <c r="CP193" s="239">
        <v>20441665</v>
      </c>
      <c r="CQ193" s="239">
        <v>4599375</v>
      </c>
      <c r="CR193" s="239">
        <v>511042</v>
      </c>
      <c r="CS193" s="239">
        <v>51104163</v>
      </c>
      <c r="CT193" s="239">
        <v>445723</v>
      </c>
      <c r="CU193" s="239">
        <v>356578</v>
      </c>
      <c r="CV193" s="239">
        <v>80230</v>
      </c>
      <c r="CW193" s="239">
        <v>8915</v>
      </c>
      <c r="CX193" s="239">
        <v>891446</v>
      </c>
      <c r="CY193" s="239">
        <v>-1218049</v>
      </c>
      <c r="CZ193" s="239">
        <v>-974440</v>
      </c>
      <c r="DA193" s="239">
        <v>-219249</v>
      </c>
      <c r="DB193" s="239">
        <v>-24360</v>
      </c>
      <c r="DC193" s="239">
        <v>-2436098</v>
      </c>
      <c r="DD193" s="214">
        <v>0.5</v>
      </c>
      <c r="DE193" s="214">
        <v>0.4</v>
      </c>
      <c r="DF193" s="214">
        <v>0.09</v>
      </c>
      <c r="DG193" s="214">
        <v>0.01</v>
      </c>
      <c r="DH193" s="214">
        <v>1</v>
      </c>
      <c r="DI193" s="214" t="s">
        <v>1294</v>
      </c>
    </row>
    <row r="194" spans="2:113" s="214" customFormat="1" x14ac:dyDescent="0.2">
      <c r="B194" s="610" t="s">
        <v>471</v>
      </c>
      <c r="C194" s="610" t="s">
        <v>470</v>
      </c>
      <c r="D194" s="239">
        <v>47997960</v>
      </c>
      <c r="E194" s="239">
        <v>38398368</v>
      </c>
      <c r="F194" s="239">
        <v>9599592</v>
      </c>
      <c r="G194" s="239">
        <v>0</v>
      </c>
      <c r="H194" s="239">
        <v>95995920</v>
      </c>
      <c r="I194" s="239">
        <v>2147974.375</v>
      </c>
      <c r="J194" s="239">
        <v>2147974.375</v>
      </c>
      <c r="K194" s="239">
        <v>45849985.625</v>
      </c>
      <c r="L194" s="239">
        <v>297757</v>
      </c>
      <c r="M194" s="239">
        <v>297757</v>
      </c>
      <c r="N194" s="239">
        <v>551114</v>
      </c>
      <c r="O194" s="239">
        <v>551114</v>
      </c>
      <c r="P194" s="239">
        <v>0</v>
      </c>
      <c r="Q194" s="239">
        <v>0</v>
      </c>
      <c r="R194" s="239">
        <v>0</v>
      </c>
      <c r="S194" s="239">
        <v>2147974.375</v>
      </c>
      <c r="T194" s="239">
        <v>0</v>
      </c>
      <c r="U194" s="239">
        <v>0</v>
      </c>
      <c r="V194" s="239">
        <v>2147974.375</v>
      </c>
      <c r="W194" s="239">
        <v>1299449</v>
      </c>
      <c r="X194" s="239">
        <v>1039560</v>
      </c>
      <c r="Y194" s="239">
        <v>259890</v>
      </c>
      <c r="Z194" s="239">
        <v>0</v>
      </c>
      <c r="AA194" s="239">
        <v>2598899</v>
      </c>
      <c r="AB194" s="239">
        <v>-272781</v>
      </c>
      <c r="AC194" s="239">
        <v>-218225</v>
      </c>
      <c r="AD194" s="239">
        <v>-54556</v>
      </c>
      <c r="AE194" s="239">
        <v>0</v>
      </c>
      <c r="AF194" s="239">
        <v>-545562</v>
      </c>
      <c r="AG194" s="239">
        <v>-337680.73</v>
      </c>
      <c r="AH194" s="239">
        <v>-270145</v>
      </c>
      <c r="AI194" s="239">
        <v>-67535</v>
      </c>
      <c r="AJ194" s="239">
        <v>0</v>
      </c>
      <c r="AK194" s="239">
        <v>-675360.73</v>
      </c>
      <c r="AL194" s="239">
        <v>155788</v>
      </c>
      <c r="AM194" s="239">
        <v>124630</v>
      </c>
      <c r="AN194" s="239">
        <v>31158</v>
      </c>
      <c r="AO194" s="239">
        <v>0</v>
      </c>
      <c r="AP194" s="239">
        <v>311576</v>
      </c>
      <c r="AQ194" s="239">
        <v>-108179</v>
      </c>
      <c r="AR194" s="239">
        <v>-86543</v>
      </c>
      <c r="AS194" s="239">
        <v>-21636</v>
      </c>
      <c r="AT194" s="239">
        <v>0</v>
      </c>
      <c r="AU194" s="239">
        <v>-216358</v>
      </c>
      <c r="AV194" s="239">
        <v>-290071.73</v>
      </c>
      <c r="AW194" s="239">
        <v>-232058</v>
      </c>
      <c r="AX194" s="239">
        <v>-58013</v>
      </c>
      <c r="AY194" s="239">
        <v>0</v>
      </c>
      <c r="AZ194" s="239">
        <v>-580142.73</v>
      </c>
      <c r="BA194" s="239">
        <v>-2026687.4</v>
      </c>
      <c r="BB194" s="239">
        <v>-1621349</v>
      </c>
      <c r="BC194" s="239">
        <v>-405336</v>
      </c>
      <c r="BD194" s="239">
        <v>0</v>
      </c>
      <c r="BE194" s="239">
        <v>-4053372.4</v>
      </c>
      <c r="BF194" s="239">
        <v>861625</v>
      </c>
      <c r="BG194" s="239">
        <v>689300</v>
      </c>
      <c r="BH194" s="239">
        <v>172325</v>
      </c>
      <c r="BI194" s="239">
        <v>0</v>
      </c>
      <c r="BJ194" s="239">
        <v>1723250</v>
      </c>
      <c r="BK194" s="239">
        <v>-3660848</v>
      </c>
      <c r="BL194" s="239">
        <v>-2928679</v>
      </c>
      <c r="BM194" s="239">
        <v>-732170</v>
      </c>
      <c r="BN194" s="239">
        <v>0</v>
      </c>
      <c r="BO194" s="239">
        <v>-7321697</v>
      </c>
      <c r="BP194" s="239">
        <v>-4825910.4000000004</v>
      </c>
      <c r="BQ194" s="239">
        <v>-3860728</v>
      </c>
      <c r="BR194" s="239">
        <v>-965181</v>
      </c>
      <c r="BS194" s="239">
        <v>0</v>
      </c>
      <c r="BT194" s="239">
        <v>-9651819.4000000004</v>
      </c>
      <c r="BU194" s="239">
        <v>-7243000</v>
      </c>
      <c r="BV194" s="239">
        <v>-5794400</v>
      </c>
      <c r="BW194" s="239">
        <v>-1448600</v>
      </c>
      <c r="BX194" s="239">
        <v>0</v>
      </c>
      <c r="BY194" s="239">
        <v>-14486000</v>
      </c>
      <c r="BZ194" s="239">
        <v>-7469029</v>
      </c>
      <c r="CA194" s="239">
        <v>-5975223</v>
      </c>
      <c r="CB194" s="239">
        <v>-1493806</v>
      </c>
      <c r="CC194" s="239">
        <v>0</v>
      </c>
      <c r="CD194" s="239">
        <v>-14938058</v>
      </c>
      <c r="CE194" s="239">
        <v>226029</v>
      </c>
      <c r="CF194" s="239">
        <v>180823</v>
      </c>
      <c r="CG194" s="239">
        <v>45206</v>
      </c>
      <c r="CH194" s="239">
        <v>0</v>
      </c>
      <c r="CI194" s="239">
        <v>452058</v>
      </c>
      <c r="CJ194" s="239">
        <v>49083932</v>
      </c>
      <c r="CK194" s="239">
        <v>39267146</v>
      </c>
      <c r="CL194" s="239">
        <v>9816786</v>
      </c>
      <c r="CM194" s="239">
        <v>0</v>
      </c>
      <c r="CN194" s="239">
        <v>98167864</v>
      </c>
      <c r="CO194" s="239">
        <v>47997960</v>
      </c>
      <c r="CP194" s="239">
        <v>38398368</v>
      </c>
      <c r="CQ194" s="239">
        <v>9599592</v>
      </c>
      <c r="CR194" s="239">
        <v>0</v>
      </c>
      <c r="CS194" s="239">
        <v>95995920</v>
      </c>
      <c r="CT194" s="239">
        <v>-1085972</v>
      </c>
      <c r="CU194" s="239">
        <v>-868778</v>
      </c>
      <c r="CV194" s="239">
        <v>-217194</v>
      </c>
      <c r="CW194" s="239">
        <v>0</v>
      </c>
      <c r="CX194" s="239">
        <v>-2171944</v>
      </c>
      <c r="CY194" s="239">
        <v>-859943</v>
      </c>
      <c r="CZ194" s="239">
        <v>-687955</v>
      </c>
      <c r="DA194" s="239">
        <v>-171988</v>
      </c>
      <c r="DB194" s="239">
        <v>0</v>
      </c>
      <c r="DC194" s="239">
        <v>-1719886</v>
      </c>
      <c r="DD194" s="214">
        <v>0.5</v>
      </c>
      <c r="DE194" s="214">
        <v>0.4</v>
      </c>
      <c r="DF194" s="214">
        <v>0.1</v>
      </c>
      <c r="DG194" s="214">
        <v>0</v>
      </c>
      <c r="DH194" s="214">
        <v>1</v>
      </c>
      <c r="DI194" s="214" t="s">
        <v>1294</v>
      </c>
    </row>
    <row r="195" spans="2:113" s="214" customFormat="1" x14ac:dyDescent="0.2">
      <c r="B195" s="610" t="s">
        <v>473</v>
      </c>
      <c r="C195" s="610" t="s">
        <v>472</v>
      </c>
      <c r="D195" s="239">
        <v>36020060</v>
      </c>
      <c r="E195" s="239">
        <v>36020060</v>
      </c>
      <c r="F195" s="239">
        <v>0</v>
      </c>
      <c r="G195" s="239">
        <v>0</v>
      </c>
      <c r="H195" s="239">
        <v>72040120</v>
      </c>
      <c r="I195" s="239">
        <v>62935.618750000001</v>
      </c>
      <c r="J195" s="239">
        <v>62935.618750000001</v>
      </c>
      <c r="K195" s="239">
        <v>35957124.381250001</v>
      </c>
      <c r="L195" s="239">
        <v>474651</v>
      </c>
      <c r="M195" s="239">
        <v>474651</v>
      </c>
      <c r="N195" s="239">
        <v>33348</v>
      </c>
      <c r="O195" s="239">
        <v>33348</v>
      </c>
      <c r="P195" s="239">
        <v>1221311</v>
      </c>
      <c r="Q195" s="239">
        <v>0</v>
      </c>
      <c r="R195" s="239">
        <v>1221311</v>
      </c>
      <c r="S195" s="239">
        <v>62935.618750000001</v>
      </c>
      <c r="T195" s="239">
        <v>0</v>
      </c>
      <c r="U195" s="239">
        <v>0</v>
      </c>
      <c r="V195" s="239">
        <v>62935.618750000001</v>
      </c>
      <c r="W195" s="239">
        <v>1361748</v>
      </c>
      <c r="X195" s="239">
        <v>1361748</v>
      </c>
      <c r="Y195" s="239">
        <v>0</v>
      </c>
      <c r="Z195" s="239">
        <v>0</v>
      </c>
      <c r="AA195" s="239">
        <v>2723496</v>
      </c>
      <c r="AB195" s="239">
        <v>-538082</v>
      </c>
      <c r="AC195" s="239">
        <v>-538083</v>
      </c>
      <c r="AD195" s="239">
        <v>0</v>
      </c>
      <c r="AE195" s="239">
        <v>0</v>
      </c>
      <c r="AF195" s="239">
        <v>-1076165</v>
      </c>
      <c r="AG195" s="239">
        <v>-623535.37</v>
      </c>
      <c r="AH195" s="239">
        <v>-623535</v>
      </c>
      <c r="AI195" s="239">
        <v>0</v>
      </c>
      <c r="AJ195" s="239">
        <v>0</v>
      </c>
      <c r="AK195" s="239">
        <v>-1247070.3</v>
      </c>
      <c r="AL195" s="239">
        <v>313135</v>
      </c>
      <c r="AM195" s="239">
        <v>313135</v>
      </c>
      <c r="AN195" s="239">
        <v>0</v>
      </c>
      <c r="AO195" s="239">
        <v>0</v>
      </c>
      <c r="AP195" s="239">
        <v>626270</v>
      </c>
      <c r="AQ195" s="239">
        <v>-292930</v>
      </c>
      <c r="AR195" s="239">
        <v>-292931</v>
      </c>
      <c r="AS195" s="239">
        <v>0</v>
      </c>
      <c r="AT195" s="239">
        <v>0</v>
      </c>
      <c r="AU195" s="239">
        <v>-585861</v>
      </c>
      <c r="AV195" s="239">
        <v>-603330.37</v>
      </c>
      <c r="AW195" s="239">
        <v>-603331</v>
      </c>
      <c r="AX195" s="239">
        <v>0</v>
      </c>
      <c r="AY195" s="239">
        <v>0</v>
      </c>
      <c r="AZ195" s="239">
        <v>-1206661.3</v>
      </c>
      <c r="BA195" s="239">
        <v>-3452195</v>
      </c>
      <c r="BB195" s="239">
        <v>-3452196</v>
      </c>
      <c r="BC195" s="239">
        <v>0</v>
      </c>
      <c r="BD195" s="239">
        <v>0</v>
      </c>
      <c r="BE195" s="239">
        <v>-6904391</v>
      </c>
      <c r="BF195" s="239">
        <v>2218981</v>
      </c>
      <c r="BG195" s="239">
        <v>2218981</v>
      </c>
      <c r="BH195" s="239">
        <v>0</v>
      </c>
      <c r="BI195" s="239">
        <v>0</v>
      </c>
      <c r="BJ195" s="239">
        <v>4437962</v>
      </c>
      <c r="BK195" s="239">
        <v>-2756991</v>
      </c>
      <c r="BL195" s="239">
        <v>-2756991</v>
      </c>
      <c r="BM195" s="239">
        <v>0</v>
      </c>
      <c r="BN195" s="239">
        <v>0</v>
      </c>
      <c r="BO195" s="239">
        <v>-5513982</v>
      </c>
      <c r="BP195" s="239">
        <v>-3990205</v>
      </c>
      <c r="BQ195" s="239">
        <v>-3990206</v>
      </c>
      <c r="BR195" s="239">
        <v>0</v>
      </c>
      <c r="BS195" s="239">
        <v>0</v>
      </c>
      <c r="BT195" s="239">
        <v>-7980411</v>
      </c>
      <c r="BU195" s="239">
        <v>-750622</v>
      </c>
      <c r="BV195" s="239">
        <v>-750622</v>
      </c>
      <c r="BW195" s="239">
        <v>0</v>
      </c>
      <c r="BX195" s="239">
        <v>0</v>
      </c>
      <c r="BY195" s="239">
        <v>-1501244</v>
      </c>
      <c r="BZ195" s="239">
        <v>-368418</v>
      </c>
      <c r="CA195" s="239">
        <v>-368419</v>
      </c>
      <c r="CB195" s="239">
        <v>0</v>
      </c>
      <c r="CC195" s="239">
        <v>0</v>
      </c>
      <c r="CD195" s="239">
        <v>-736837</v>
      </c>
      <c r="CE195" s="239">
        <v>-382204</v>
      </c>
      <c r="CF195" s="239">
        <v>-382203</v>
      </c>
      <c r="CG195" s="239">
        <v>0</v>
      </c>
      <c r="CH195" s="239">
        <v>0</v>
      </c>
      <c r="CI195" s="239">
        <v>-764407</v>
      </c>
      <c r="CJ195" s="239">
        <v>37649896</v>
      </c>
      <c r="CK195" s="239">
        <v>37649896</v>
      </c>
      <c r="CL195" s="239">
        <v>0</v>
      </c>
      <c r="CM195" s="239">
        <v>0</v>
      </c>
      <c r="CN195" s="239">
        <v>75299792</v>
      </c>
      <c r="CO195" s="239">
        <v>36020060</v>
      </c>
      <c r="CP195" s="239">
        <v>36020060</v>
      </c>
      <c r="CQ195" s="239">
        <v>0</v>
      </c>
      <c r="CR195" s="239">
        <v>0</v>
      </c>
      <c r="CS195" s="239">
        <v>72040120</v>
      </c>
      <c r="CT195" s="239">
        <v>-1629836</v>
      </c>
      <c r="CU195" s="239">
        <v>-1629836</v>
      </c>
      <c r="CV195" s="239">
        <v>0</v>
      </c>
      <c r="CW195" s="239">
        <v>0</v>
      </c>
      <c r="CX195" s="239">
        <v>-3259672</v>
      </c>
      <c r="CY195" s="239">
        <v>-2012040</v>
      </c>
      <c r="CZ195" s="239">
        <v>-2012039</v>
      </c>
      <c r="DA195" s="239">
        <v>0</v>
      </c>
      <c r="DB195" s="239">
        <v>0</v>
      </c>
      <c r="DC195" s="239">
        <v>-4024079</v>
      </c>
      <c r="DD195" s="214">
        <v>0.5</v>
      </c>
      <c r="DE195" s="214">
        <v>0.5</v>
      </c>
      <c r="DF195" s="214">
        <v>0</v>
      </c>
      <c r="DG195" s="214">
        <v>0</v>
      </c>
      <c r="DH195" s="214">
        <v>1</v>
      </c>
      <c r="DI195" s="214" t="s">
        <v>748</v>
      </c>
    </row>
    <row r="196" spans="2:113" s="214" customFormat="1" x14ac:dyDescent="0.2">
      <c r="B196" s="610" t="s">
        <v>475</v>
      </c>
      <c r="C196" s="610" t="s">
        <v>474</v>
      </c>
      <c r="D196" s="239">
        <v>37132024</v>
      </c>
      <c r="E196" s="239">
        <v>29705619</v>
      </c>
      <c r="F196" s="239">
        <v>7426405</v>
      </c>
      <c r="G196" s="239">
        <v>0</v>
      </c>
      <c r="H196" s="239">
        <v>74264048</v>
      </c>
      <c r="I196" s="239">
        <v>0</v>
      </c>
      <c r="J196" s="239">
        <v>0</v>
      </c>
      <c r="K196" s="239">
        <v>37132024</v>
      </c>
      <c r="L196" s="239">
        <v>270558</v>
      </c>
      <c r="M196" s="239">
        <v>270558</v>
      </c>
      <c r="N196" s="239">
        <v>0</v>
      </c>
      <c r="O196" s="239">
        <v>0</v>
      </c>
      <c r="P196" s="239">
        <v>0</v>
      </c>
      <c r="Q196" s="239">
        <v>0</v>
      </c>
      <c r="R196" s="239">
        <v>0</v>
      </c>
      <c r="S196" s="239">
        <v>0</v>
      </c>
      <c r="T196" s="239">
        <v>0</v>
      </c>
      <c r="U196" s="239">
        <v>0</v>
      </c>
      <c r="V196" s="239">
        <v>0</v>
      </c>
      <c r="W196" s="239">
        <v>1134591</v>
      </c>
      <c r="X196" s="239">
        <v>907673</v>
      </c>
      <c r="Y196" s="239">
        <v>226918</v>
      </c>
      <c r="Z196" s="239">
        <v>0</v>
      </c>
      <c r="AA196" s="239">
        <v>2269182</v>
      </c>
      <c r="AB196" s="239">
        <v>-473035</v>
      </c>
      <c r="AC196" s="239">
        <v>-378428</v>
      </c>
      <c r="AD196" s="239">
        <v>-94607</v>
      </c>
      <c r="AE196" s="239">
        <v>0</v>
      </c>
      <c r="AF196" s="239">
        <v>-946070</v>
      </c>
      <c r="AG196" s="239">
        <v>-768126</v>
      </c>
      <c r="AH196" s="239">
        <v>-614501.19999999995</v>
      </c>
      <c r="AI196" s="239">
        <v>-153625.79999999999</v>
      </c>
      <c r="AJ196" s="239">
        <v>0</v>
      </c>
      <c r="AK196" s="239">
        <v>-1536253</v>
      </c>
      <c r="AL196" s="239">
        <v>618807</v>
      </c>
      <c r="AM196" s="239">
        <v>495046</v>
      </c>
      <c r="AN196" s="239">
        <v>123762</v>
      </c>
      <c r="AO196" s="239">
        <v>0</v>
      </c>
      <c r="AP196" s="239">
        <v>1237615</v>
      </c>
      <c r="AQ196" s="239">
        <v>-442920</v>
      </c>
      <c r="AR196" s="239">
        <v>-354336</v>
      </c>
      <c r="AS196" s="239">
        <v>-88584</v>
      </c>
      <c r="AT196" s="239">
        <v>0</v>
      </c>
      <c r="AU196" s="239">
        <v>-885840</v>
      </c>
      <c r="AV196" s="239">
        <v>-592239</v>
      </c>
      <c r="AW196" s="239">
        <v>-473791.19999999995</v>
      </c>
      <c r="AX196" s="239">
        <v>-118447.79999999999</v>
      </c>
      <c r="AY196" s="239">
        <v>0</v>
      </c>
      <c r="AZ196" s="239">
        <v>-1184478</v>
      </c>
      <c r="BA196" s="239">
        <v>-716891</v>
      </c>
      <c r="BB196" s="239">
        <v>-573514</v>
      </c>
      <c r="BC196" s="239">
        <v>-143380</v>
      </c>
      <c r="BD196" s="239">
        <v>0</v>
      </c>
      <c r="BE196" s="239">
        <v>-1433785</v>
      </c>
      <c r="BF196" s="239">
        <v>716892</v>
      </c>
      <c r="BG196" s="239">
        <v>573514</v>
      </c>
      <c r="BH196" s="239">
        <v>143379</v>
      </c>
      <c r="BI196" s="239">
        <v>0</v>
      </c>
      <c r="BJ196" s="239">
        <v>1433785</v>
      </c>
      <c r="BK196" s="239">
        <v>-1965315</v>
      </c>
      <c r="BL196" s="239">
        <v>-1572252</v>
      </c>
      <c r="BM196" s="239">
        <v>-393063</v>
      </c>
      <c r="BN196" s="239">
        <v>0</v>
      </c>
      <c r="BO196" s="239">
        <v>-3930630</v>
      </c>
      <c r="BP196" s="239">
        <v>-1965314</v>
      </c>
      <c r="BQ196" s="239">
        <v>-1572252</v>
      </c>
      <c r="BR196" s="239">
        <v>-393064</v>
      </c>
      <c r="BS196" s="239">
        <v>0</v>
      </c>
      <c r="BT196" s="239">
        <v>-3930630</v>
      </c>
      <c r="BU196" s="239">
        <v>-1713976</v>
      </c>
      <c r="BV196" s="239">
        <v>-1371181</v>
      </c>
      <c r="BW196" s="239">
        <v>-342795</v>
      </c>
      <c r="BX196" s="239">
        <v>0</v>
      </c>
      <c r="BY196" s="239">
        <v>-3427952</v>
      </c>
      <c r="BZ196" s="239">
        <v>-1558591</v>
      </c>
      <c r="CA196" s="239">
        <v>-1246872</v>
      </c>
      <c r="CB196" s="239">
        <v>-311718</v>
      </c>
      <c r="CC196" s="239">
        <v>0</v>
      </c>
      <c r="CD196" s="239">
        <v>-3117181</v>
      </c>
      <c r="CE196" s="239">
        <v>-155385</v>
      </c>
      <c r="CF196" s="239">
        <v>-124309</v>
      </c>
      <c r="CG196" s="239">
        <v>-31077</v>
      </c>
      <c r="CH196" s="239">
        <v>0</v>
      </c>
      <c r="CI196" s="239">
        <v>-310771</v>
      </c>
      <c r="CJ196" s="239">
        <v>38379248</v>
      </c>
      <c r="CK196" s="239">
        <v>30703399</v>
      </c>
      <c r="CL196" s="239">
        <v>7675850</v>
      </c>
      <c r="CM196" s="239">
        <v>0</v>
      </c>
      <c r="CN196" s="239">
        <v>76758497</v>
      </c>
      <c r="CO196" s="239">
        <v>37132024</v>
      </c>
      <c r="CP196" s="239">
        <v>29705619</v>
      </c>
      <c r="CQ196" s="239">
        <v>7426405</v>
      </c>
      <c r="CR196" s="239">
        <v>0</v>
      </c>
      <c r="CS196" s="239">
        <v>74264048</v>
      </c>
      <c r="CT196" s="239">
        <v>-1247224</v>
      </c>
      <c r="CU196" s="239">
        <v>-997780</v>
      </c>
      <c r="CV196" s="239">
        <v>-249445</v>
      </c>
      <c r="CW196" s="239">
        <v>0</v>
      </c>
      <c r="CX196" s="239">
        <v>-2494449</v>
      </c>
      <c r="CY196" s="239">
        <v>-1402609</v>
      </c>
      <c r="CZ196" s="239">
        <v>-1122089</v>
      </c>
      <c r="DA196" s="239">
        <v>-280522</v>
      </c>
      <c r="DB196" s="239">
        <v>0</v>
      </c>
      <c r="DC196" s="239">
        <v>-2805220</v>
      </c>
      <c r="DD196" s="214">
        <v>0.5</v>
      </c>
      <c r="DE196" s="214">
        <v>0.4</v>
      </c>
      <c r="DF196" s="214">
        <v>0.1</v>
      </c>
      <c r="DG196" s="214">
        <v>0</v>
      </c>
      <c r="DH196" s="214">
        <v>1</v>
      </c>
      <c r="DI196" s="214" t="s">
        <v>1294</v>
      </c>
    </row>
    <row r="197" spans="2:113" s="214" customFormat="1" x14ac:dyDescent="0.2">
      <c r="B197" s="610" t="s">
        <v>477</v>
      </c>
      <c r="C197" s="610" t="s">
        <v>476</v>
      </c>
      <c r="D197" s="239">
        <v>54611486</v>
      </c>
      <c r="E197" s="239">
        <v>53519257</v>
      </c>
      <c r="F197" s="239">
        <v>0</v>
      </c>
      <c r="G197" s="239">
        <v>1092230</v>
      </c>
      <c r="H197" s="239">
        <v>109222973</v>
      </c>
      <c r="I197" s="239">
        <v>0</v>
      </c>
      <c r="J197" s="239">
        <v>0</v>
      </c>
      <c r="K197" s="239">
        <v>54611486</v>
      </c>
      <c r="L197" s="239">
        <v>495426</v>
      </c>
      <c r="M197" s="239">
        <v>495426</v>
      </c>
      <c r="N197" s="239">
        <v>0</v>
      </c>
      <c r="O197" s="239">
        <v>0</v>
      </c>
      <c r="P197" s="239">
        <v>0</v>
      </c>
      <c r="Q197" s="239">
        <v>0</v>
      </c>
      <c r="R197" s="239">
        <v>0</v>
      </c>
      <c r="S197" s="239">
        <v>0</v>
      </c>
      <c r="T197" s="239">
        <v>0</v>
      </c>
      <c r="U197" s="239">
        <v>0</v>
      </c>
      <c r="V197" s="239">
        <v>0</v>
      </c>
      <c r="W197" s="239">
        <v>4970388</v>
      </c>
      <c r="X197" s="239">
        <v>4870981</v>
      </c>
      <c r="Y197" s="239">
        <v>0</v>
      </c>
      <c r="Z197" s="239">
        <v>99408</v>
      </c>
      <c r="AA197" s="239">
        <v>9940777</v>
      </c>
      <c r="AB197" s="239">
        <v>-1246404</v>
      </c>
      <c r="AC197" s="239">
        <v>-1221475</v>
      </c>
      <c r="AD197" s="239">
        <v>0</v>
      </c>
      <c r="AE197" s="239">
        <v>-24928</v>
      </c>
      <c r="AF197" s="239">
        <v>-2492807</v>
      </c>
      <c r="AG197" s="239">
        <v>-3108524</v>
      </c>
      <c r="AH197" s="239">
        <v>-3046355</v>
      </c>
      <c r="AI197" s="239">
        <v>0</v>
      </c>
      <c r="AJ197" s="239">
        <v>-62171</v>
      </c>
      <c r="AK197" s="239">
        <v>-6217050</v>
      </c>
      <c r="AL197" s="239">
        <v>340499</v>
      </c>
      <c r="AM197" s="239">
        <v>333689</v>
      </c>
      <c r="AN197" s="239">
        <v>0</v>
      </c>
      <c r="AO197" s="239">
        <v>6810</v>
      </c>
      <c r="AP197" s="239">
        <v>680998</v>
      </c>
      <c r="AQ197" s="239">
        <v>-344249</v>
      </c>
      <c r="AR197" s="239">
        <v>-337364</v>
      </c>
      <c r="AS197" s="239">
        <v>0</v>
      </c>
      <c r="AT197" s="239">
        <v>-6885</v>
      </c>
      <c r="AU197" s="239">
        <v>-688498</v>
      </c>
      <c r="AV197" s="239">
        <v>-3112274</v>
      </c>
      <c r="AW197" s="239">
        <v>-3050030</v>
      </c>
      <c r="AX197" s="239">
        <v>0</v>
      </c>
      <c r="AY197" s="239">
        <v>-62246</v>
      </c>
      <c r="AZ197" s="239">
        <v>-6224550</v>
      </c>
      <c r="BA197" s="239">
        <v>-3180100</v>
      </c>
      <c r="BB197" s="239">
        <v>-3116497</v>
      </c>
      <c r="BC197" s="239">
        <v>0</v>
      </c>
      <c r="BD197" s="239">
        <v>-63602</v>
      </c>
      <c r="BE197" s="239">
        <v>-6360199</v>
      </c>
      <c r="BF197" s="239">
        <v>1451565</v>
      </c>
      <c r="BG197" s="239">
        <v>1422533</v>
      </c>
      <c r="BH197" s="239">
        <v>0</v>
      </c>
      <c r="BI197" s="239">
        <v>29031</v>
      </c>
      <c r="BJ197" s="239">
        <v>2903129</v>
      </c>
      <c r="BK197" s="239">
        <v>-9383901</v>
      </c>
      <c r="BL197" s="239">
        <v>-9196223</v>
      </c>
      <c r="BM197" s="239">
        <v>0</v>
      </c>
      <c r="BN197" s="239">
        <v>-187678</v>
      </c>
      <c r="BO197" s="239">
        <v>-18767802</v>
      </c>
      <c r="BP197" s="239">
        <v>-11112436</v>
      </c>
      <c r="BQ197" s="239">
        <v>-10890187</v>
      </c>
      <c r="BR197" s="239">
        <v>0</v>
      </c>
      <c r="BS197" s="239">
        <v>-222249</v>
      </c>
      <c r="BT197" s="239">
        <v>-22224872</v>
      </c>
      <c r="BU197" s="239">
        <v>1559797</v>
      </c>
      <c r="BV197" s="239">
        <v>1528602</v>
      </c>
      <c r="BW197" s="239">
        <v>0</v>
      </c>
      <c r="BX197" s="239">
        <v>31196</v>
      </c>
      <c r="BY197" s="239">
        <v>3119595</v>
      </c>
      <c r="BZ197" s="239">
        <v>2600272</v>
      </c>
      <c r="CA197" s="239">
        <v>2548266</v>
      </c>
      <c r="CB197" s="239">
        <v>0</v>
      </c>
      <c r="CC197" s="239">
        <v>52005</v>
      </c>
      <c r="CD197" s="239">
        <v>5200543</v>
      </c>
      <c r="CE197" s="239">
        <v>-1040475</v>
      </c>
      <c r="CF197" s="239">
        <v>-1019664</v>
      </c>
      <c r="CG197" s="239">
        <v>0</v>
      </c>
      <c r="CH197" s="239">
        <v>-20809</v>
      </c>
      <c r="CI197" s="239">
        <v>-2080948</v>
      </c>
      <c r="CJ197" s="239">
        <v>61702168</v>
      </c>
      <c r="CK197" s="239">
        <v>60468125</v>
      </c>
      <c r="CL197" s="239">
        <v>0</v>
      </c>
      <c r="CM197" s="239">
        <v>1234043</v>
      </c>
      <c r="CN197" s="239">
        <v>123404336</v>
      </c>
      <c r="CO197" s="239">
        <v>54611486</v>
      </c>
      <c r="CP197" s="239">
        <v>53519257</v>
      </c>
      <c r="CQ197" s="239">
        <v>0</v>
      </c>
      <c r="CR197" s="239">
        <v>1092230</v>
      </c>
      <c r="CS197" s="239">
        <v>109222973</v>
      </c>
      <c r="CT197" s="239">
        <v>-7090682</v>
      </c>
      <c r="CU197" s="239">
        <v>-6948868</v>
      </c>
      <c r="CV197" s="239">
        <v>0</v>
      </c>
      <c r="CW197" s="239">
        <v>-141813</v>
      </c>
      <c r="CX197" s="239">
        <v>-14181363</v>
      </c>
      <c r="CY197" s="239">
        <v>-8131157</v>
      </c>
      <c r="CZ197" s="239">
        <v>-7968532</v>
      </c>
      <c r="DA197" s="239">
        <v>0</v>
      </c>
      <c r="DB197" s="239">
        <v>-162622</v>
      </c>
      <c r="DC197" s="239">
        <v>-16262311</v>
      </c>
      <c r="DD197" s="214">
        <v>0.5</v>
      </c>
      <c r="DE197" s="214">
        <v>0.49</v>
      </c>
      <c r="DF197" s="214">
        <v>0</v>
      </c>
      <c r="DG197" s="214">
        <v>0.01</v>
      </c>
      <c r="DH197" s="214">
        <v>1</v>
      </c>
      <c r="DI197" s="214" t="s">
        <v>748</v>
      </c>
    </row>
    <row r="198" spans="2:113" s="214" customFormat="1" x14ac:dyDescent="0.2">
      <c r="B198" s="610" t="s">
        <v>479</v>
      </c>
      <c r="C198" s="610" t="s">
        <v>478</v>
      </c>
      <c r="D198" s="239">
        <v>16665625</v>
      </c>
      <c r="E198" s="239">
        <v>13332500</v>
      </c>
      <c r="F198" s="239">
        <v>3333125</v>
      </c>
      <c r="G198" s="239">
        <v>0</v>
      </c>
      <c r="H198" s="239">
        <v>33331250</v>
      </c>
      <c r="I198" s="239">
        <v>0</v>
      </c>
      <c r="J198" s="239">
        <v>0</v>
      </c>
      <c r="K198" s="239">
        <v>16665625</v>
      </c>
      <c r="L198" s="239">
        <v>134325</v>
      </c>
      <c r="M198" s="239">
        <v>134325</v>
      </c>
      <c r="N198" s="239">
        <v>0</v>
      </c>
      <c r="O198" s="239">
        <v>0</v>
      </c>
      <c r="P198" s="239">
        <v>0</v>
      </c>
      <c r="Q198" s="239">
        <v>0</v>
      </c>
      <c r="R198" s="239">
        <v>0</v>
      </c>
      <c r="S198" s="239">
        <v>0</v>
      </c>
      <c r="T198" s="239">
        <v>0</v>
      </c>
      <c r="U198" s="239">
        <v>0</v>
      </c>
      <c r="V198" s="239">
        <v>0</v>
      </c>
      <c r="W198" s="239">
        <v>498783</v>
      </c>
      <c r="X198" s="239">
        <v>399027</v>
      </c>
      <c r="Y198" s="239">
        <v>99757</v>
      </c>
      <c r="Z198" s="239">
        <v>0</v>
      </c>
      <c r="AA198" s="239">
        <v>997567</v>
      </c>
      <c r="AB198" s="239">
        <v>-86228</v>
      </c>
      <c r="AC198" s="239">
        <v>-68982</v>
      </c>
      <c r="AD198" s="239">
        <v>-17246</v>
      </c>
      <c r="AE198" s="239">
        <v>0</v>
      </c>
      <c r="AF198" s="239">
        <v>-172456</v>
      </c>
      <c r="AG198" s="239">
        <v>-176800</v>
      </c>
      <c r="AH198" s="239">
        <v>-141440</v>
      </c>
      <c r="AI198" s="239">
        <v>-35360</v>
      </c>
      <c r="AJ198" s="239">
        <v>0</v>
      </c>
      <c r="AK198" s="239">
        <v>-353600</v>
      </c>
      <c r="AL198" s="239">
        <v>104334</v>
      </c>
      <c r="AM198" s="239">
        <v>83467</v>
      </c>
      <c r="AN198" s="239">
        <v>20867</v>
      </c>
      <c r="AO198" s="239">
        <v>0</v>
      </c>
      <c r="AP198" s="239">
        <v>208668</v>
      </c>
      <c r="AQ198" s="239">
        <v>-95384</v>
      </c>
      <c r="AR198" s="239">
        <v>-76307</v>
      </c>
      <c r="AS198" s="239">
        <v>-19077</v>
      </c>
      <c r="AT198" s="239">
        <v>0</v>
      </c>
      <c r="AU198" s="239">
        <v>-190768</v>
      </c>
      <c r="AV198" s="239">
        <v>-167850</v>
      </c>
      <c r="AW198" s="239">
        <v>-134280</v>
      </c>
      <c r="AX198" s="239">
        <v>-33570</v>
      </c>
      <c r="AY198" s="239">
        <v>0</v>
      </c>
      <c r="AZ198" s="239">
        <v>-335700</v>
      </c>
      <c r="BA198" s="239">
        <v>-1669862.5</v>
      </c>
      <c r="BB198" s="239">
        <v>-1335891</v>
      </c>
      <c r="BC198" s="239">
        <v>-333972</v>
      </c>
      <c r="BD198" s="239">
        <v>0</v>
      </c>
      <c r="BE198" s="239">
        <v>-3339725.5</v>
      </c>
      <c r="BF198" s="239">
        <v>430417</v>
      </c>
      <c r="BG198" s="239">
        <v>344333</v>
      </c>
      <c r="BH198" s="239">
        <v>86083</v>
      </c>
      <c r="BI198" s="239">
        <v>0</v>
      </c>
      <c r="BJ198" s="239">
        <v>860833</v>
      </c>
      <c r="BK198" s="239">
        <v>-960023</v>
      </c>
      <c r="BL198" s="239">
        <v>-768018</v>
      </c>
      <c r="BM198" s="239">
        <v>-192005</v>
      </c>
      <c r="BN198" s="239">
        <v>0</v>
      </c>
      <c r="BO198" s="239">
        <v>-1920046</v>
      </c>
      <c r="BP198" s="239">
        <v>-2199468.5</v>
      </c>
      <c r="BQ198" s="239">
        <v>-1759576</v>
      </c>
      <c r="BR198" s="239">
        <v>-439894</v>
      </c>
      <c r="BS198" s="239">
        <v>0</v>
      </c>
      <c r="BT198" s="239">
        <v>-4398938.5</v>
      </c>
      <c r="BU198" s="239">
        <v>-1292524</v>
      </c>
      <c r="BV198" s="239">
        <v>-1034020</v>
      </c>
      <c r="BW198" s="239">
        <v>-258505</v>
      </c>
      <c r="BX198" s="239">
        <v>0</v>
      </c>
      <c r="BY198" s="239">
        <v>-2585049</v>
      </c>
      <c r="BZ198" s="239">
        <v>-605285</v>
      </c>
      <c r="CA198" s="239">
        <v>-484228</v>
      </c>
      <c r="CB198" s="239">
        <v>-121057</v>
      </c>
      <c r="CC198" s="239">
        <v>0</v>
      </c>
      <c r="CD198" s="239">
        <v>-1210570</v>
      </c>
      <c r="CE198" s="239">
        <v>-687239</v>
      </c>
      <c r="CF198" s="239">
        <v>-549792</v>
      </c>
      <c r="CG198" s="239">
        <v>-137448</v>
      </c>
      <c r="CH198" s="239">
        <v>0</v>
      </c>
      <c r="CI198" s="239">
        <v>-1374479</v>
      </c>
      <c r="CJ198" s="239">
        <v>17251364</v>
      </c>
      <c r="CK198" s="239">
        <v>13801091</v>
      </c>
      <c r="CL198" s="239">
        <v>3450273</v>
      </c>
      <c r="CM198" s="239">
        <v>0</v>
      </c>
      <c r="CN198" s="239">
        <v>34502728</v>
      </c>
      <c r="CO198" s="239">
        <v>16665625</v>
      </c>
      <c r="CP198" s="239">
        <v>13332500</v>
      </c>
      <c r="CQ198" s="239">
        <v>3333125</v>
      </c>
      <c r="CR198" s="239">
        <v>0</v>
      </c>
      <c r="CS198" s="239">
        <v>33331250</v>
      </c>
      <c r="CT198" s="239">
        <v>-585739</v>
      </c>
      <c r="CU198" s="239">
        <v>-468591</v>
      </c>
      <c r="CV198" s="239">
        <v>-117148</v>
      </c>
      <c r="CW198" s="239">
        <v>0</v>
      </c>
      <c r="CX198" s="239">
        <v>-1171478</v>
      </c>
      <c r="CY198" s="239">
        <v>-1272978</v>
      </c>
      <c r="CZ198" s="239">
        <v>-1018383</v>
      </c>
      <c r="DA198" s="239">
        <v>-254596</v>
      </c>
      <c r="DB198" s="239">
        <v>0</v>
      </c>
      <c r="DC198" s="239">
        <v>-2545957</v>
      </c>
      <c r="DD198" s="214">
        <v>0.5</v>
      </c>
      <c r="DE198" s="214">
        <v>0.4</v>
      </c>
      <c r="DF198" s="214">
        <v>0.1</v>
      </c>
      <c r="DG198" s="214">
        <v>0</v>
      </c>
      <c r="DH198" s="214">
        <v>1</v>
      </c>
      <c r="DI198" s="214" t="s">
        <v>1294</v>
      </c>
    </row>
    <row r="199" spans="2:113" s="214" customFormat="1" x14ac:dyDescent="0.2">
      <c r="B199" s="610" t="s">
        <v>481</v>
      </c>
      <c r="C199" s="610" t="s">
        <v>480</v>
      </c>
      <c r="D199" s="239">
        <v>5802394</v>
      </c>
      <c r="E199" s="239">
        <v>4641915</v>
      </c>
      <c r="F199" s="239">
        <v>1044431</v>
      </c>
      <c r="G199" s="239">
        <v>116048</v>
      </c>
      <c r="H199" s="239">
        <v>11604788</v>
      </c>
      <c r="I199" s="239">
        <v>0</v>
      </c>
      <c r="J199" s="239">
        <v>0</v>
      </c>
      <c r="K199" s="239">
        <v>5802394</v>
      </c>
      <c r="L199" s="239">
        <v>56350</v>
      </c>
      <c r="M199" s="239">
        <v>56350</v>
      </c>
      <c r="N199" s="239">
        <v>0</v>
      </c>
      <c r="O199" s="239">
        <v>0</v>
      </c>
      <c r="P199" s="239">
        <v>0</v>
      </c>
      <c r="Q199" s="239">
        <v>0</v>
      </c>
      <c r="R199" s="239">
        <v>0</v>
      </c>
      <c r="S199" s="239">
        <v>0</v>
      </c>
      <c r="T199" s="239">
        <v>0</v>
      </c>
      <c r="U199" s="239">
        <v>0</v>
      </c>
      <c r="V199" s="239">
        <v>0</v>
      </c>
      <c r="W199" s="239">
        <v>530017</v>
      </c>
      <c r="X199" s="239">
        <v>424013</v>
      </c>
      <c r="Y199" s="239">
        <v>95403</v>
      </c>
      <c r="Z199" s="239">
        <v>10600</v>
      </c>
      <c r="AA199" s="239">
        <v>1060033</v>
      </c>
      <c r="AB199" s="239">
        <v>-150988</v>
      </c>
      <c r="AC199" s="239">
        <v>-120791</v>
      </c>
      <c r="AD199" s="239">
        <v>-27178</v>
      </c>
      <c r="AE199" s="239">
        <v>-3020</v>
      </c>
      <c r="AF199" s="239">
        <v>-301977</v>
      </c>
      <c r="AG199" s="239">
        <v>-128794.2</v>
      </c>
      <c r="AH199" s="239">
        <v>-103037</v>
      </c>
      <c r="AI199" s="239">
        <v>-23183</v>
      </c>
      <c r="AJ199" s="239">
        <v>-2577</v>
      </c>
      <c r="AK199" s="239">
        <v>-257591.2</v>
      </c>
      <c r="AL199" s="239">
        <v>20341</v>
      </c>
      <c r="AM199" s="239">
        <v>16272</v>
      </c>
      <c r="AN199" s="239">
        <v>3661</v>
      </c>
      <c r="AO199" s="239">
        <v>407</v>
      </c>
      <c r="AP199" s="239">
        <v>40681</v>
      </c>
      <c r="AQ199" s="239">
        <v>-50499</v>
      </c>
      <c r="AR199" s="239">
        <v>-40400</v>
      </c>
      <c r="AS199" s="239">
        <v>-9090</v>
      </c>
      <c r="AT199" s="239">
        <v>-1010</v>
      </c>
      <c r="AU199" s="239">
        <v>-100999</v>
      </c>
      <c r="AV199" s="239">
        <v>-158952.20000000001</v>
      </c>
      <c r="AW199" s="239">
        <v>-127165</v>
      </c>
      <c r="AX199" s="239">
        <v>-28612</v>
      </c>
      <c r="AY199" s="239">
        <v>-3180</v>
      </c>
      <c r="AZ199" s="239">
        <v>-317909.2</v>
      </c>
      <c r="BA199" s="239">
        <v>-407548</v>
      </c>
      <c r="BB199" s="239">
        <v>-326038</v>
      </c>
      <c r="BC199" s="239">
        <v>-73359</v>
      </c>
      <c r="BD199" s="239">
        <v>-8151</v>
      </c>
      <c r="BE199" s="239">
        <v>-815096</v>
      </c>
      <c r="BF199" s="239">
        <v>0</v>
      </c>
      <c r="BG199" s="239">
        <v>0</v>
      </c>
      <c r="BH199" s="239">
        <v>0</v>
      </c>
      <c r="BI199" s="239">
        <v>0</v>
      </c>
      <c r="BJ199" s="239">
        <v>0</v>
      </c>
      <c r="BK199" s="239">
        <v>-305923</v>
      </c>
      <c r="BL199" s="239">
        <v>-244738</v>
      </c>
      <c r="BM199" s="239">
        <v>-55066</v>
      </c>
      <c r="BN199" s="239">
        <v>-6118</v>
      </c>
      <c r="BO199" s="239">
        <v>-611845</v>
      </c>
      <c r="BP199" s="239">
        <v>-713471</v>
      </c>
      <c r="BQ199" s="239">
        <v>-570776</v>
      </c>
      <c r="BR199" s="239">
        <v>-128425</v>
      </c>
      <c r="BS199" s="239">
        <v>-14269</v>
      </c>
      <c r="BT199" s="239">
        <v>-1426941</v>
      </c>
      <c r="BU199" s="239">
        <v>-447669</v>
      </c>
      <c r="BV199" s="239">
        <v>-358135</v>
      </c>
      <c r="BW199" s="239">
        <v>-80580</v>
      </c>
      <c r="BX199" s="239">
        <v>-8953</v>
      </c>
      <c r="BY199" s="239">
        <v>-895337</v>
      </c>
      <c r="BZ199" s="239">
        <v>-217023</v>
      </c>
      <c r="CA199" s="239">
        <v>-173618</v>
      </c>
      <c r="CB199" s="239">
        <v>-39064</v>
      </c>
      <c r="CC199" s="239">
        <v>-4340</v>
      </c>
      <c r="CD199" s="239">
        <v>-434045</v>
      </c>
      <c r="CE199" s="239">
        <v>-230646</v>
      </c>
      <c r="CF199" s="239">
        <v>-184517</v>
      </c>
      <c r="CG199" s="239">
        <v>-41516</v>
      </c>
      <c r="CH199" s="239">
        <v>-4613</v>
      </c>
      <c r="CI199" s="239">
        <v>-461292</v>
      </c>
      <c r="CJ199" s="239">
        <v>5912875</v>
      </c>
      <c r="CK199" s="239">
        <v>4730300</v>
      </c>
      <c r="CL199" s="239">
        <v>1064317</v>
      </c>
      <c r="CM199" s="239">
        <v>118257</v>
      </c>
      <c r="CN199" s="239">
        <v>11825749</v>
      </c>
      <c r="CO199" s="239">
        <v>5802394</v>
      </c>
      <c r="CP199" s="239">
        <v>4641915</v>
      </c>
      <c r="CQ199" s="239">
        <v>1044431</v>
      </c>
      <c r="CR199" s="239">
        <v>116048</v>
      </c>
      <c r="CS199" s="239">
        <v>11604788</v>
      </c>
      <c r="CT199" s="239">
        <v>-110481</v>
      </c>
      <c r="CU199" s="239">
        <v>-88385</v>
      </c>
      <c r="CV199" s="239">
        <v>-19886</v>
      </c>
      <c r="CW199" s="239">
        <v>-2209</v>
      </c>
      <c r="CX199" s="239">
        <v>-220961</v>
      </c>
      <c r="CY199" s="239">
        <v>-341127</v>
      </c>
      <c r="CZ199" s="239">
        <v>-272902</v>
      </c>
      <c r="DA199" s="239">
        <v>-61402</v>
      </c>
      <c r="DB199" s="239">
        <v>-6822</v>
      </c>
      <c r="DC199" s="239">
        <v>-682253</v>
      </c>
      <c r="DD199" s="214">
        <v>0.5</v>
      </c>
      <c r="DE199" s="214">
        <v>0.4</v>
      </c>
      <c r="DF199" s="214">
        <v>0.09</v>
      </c>
      <c r="DG199" s="214">
        <v>0.01</v>
      </c>
      <c r="DH199" s="214">
        <v>1</v>
      </c>
      <c r="DI199" s="214" t="s">
        <v>1294</v>
      </c>
    </row>
    <row r="200" spans="2:113" s="214" customFormat="1" x14ac:dyDescent="0.2">
      <c r="B200" s="610" t="s">
        <v>483</v>
      </c>
      <c r="C200" s="610" t="s">
        <v>482</v>
      </c>
      <c r="D200" s="239">
        <v>27212843</v>
      </c>
      <c r="E200" s="239">
        <v>26668586</v>
      </c>
      <c r="F200" s="239">
        <v>0</v>
      </c>
      <c r="G200" s="239">
        <v>544257</v>
      </c>
      <c r="H200" s="239">
        <v>54425686</v>
      </c>
      <c r="I200" s="239">
        <v>0</v>
      </c>
      <c r="J200" s="239">
        <v>0</v>
      </c>
      <c r="K200" s="239">
        <v>27212843</v>
      </c>
      <c r="L200" s="239">
        <v>311145</v>
      </c>
      <c r="M200" s="239">
        <v>311145</v>
      </c>
      <c r="N200" s="239">
        <v>0</v>
      </c>
      <c r="O200" s="239">
        <v>0</v>
      </c>
      <c r="P200" s="239">
        <v>0</v>
      </c>
      <c r="Q200" s="239">
        <v>0</v>
      </c>
      <c r="R200" s="239">
        <v>0</v>
      </c>
      <c r="S200" s="239">
        <v>0</v>
      </c>
      <c r="T200" s="239">
        <v>0</v>
      </c>
      <c r="U200" s="239">
        <v>0</v>
      </c>
      <c r="V200" s="239">
        <v>0</v>
      </c>
      <c r="W200" s="239">
        <v>3958161</v>
      </c>
      <c r="X200" s="239">
        <v>3878998</v>
      </c>
      <c r="Y200" s="239">
        <v>0</v>
      </c>
      <c r="Z200" s="239">
        <v>79163</v>
      </c>
      <c r="AA200" s="239">
        <v>7916322</v>
      </c>
      <c r="AB200" s="239">
        <v>-963579</v>
      </c>
      <c r="AC200" s="239">
        <v>-944308</v>
      </c>
      <c r="AD200" s="239">
        <v>0</v>
      </c>
      <c r="AE200" s="239">
        <v>-19272</v>
      </c>
      <c r="AF200" s="239">
        <v>-1927159</v>
      </c>
      <c r="AG200" s="239">
        <v>-2126885</v>
      </c>
      <c r="AH200" s="239">
        <v>-2084349</v>
      </c>
      <c r="AI200" s="239">
        <v>0</v>
      </c>
      <c r="AJ200" s="239">
        <v>-42539</v>
      </c>
      <c r="AK200" s="239">
        <v>-4253773</v>
      </c>
      <c r="AL200" s="239">
        <v>435318</v>
      </c>
      <c r="AM200" s="239">
        <v>426612</v>
      </c>
      <c r="AN200" s="239">
        <v>0</v>
      </c>
      <c r="AO200" s="239">
        <v>8706</v>
      </c>
      <c r="AP200" s="239">
        <v>870636</v>
      </c>
      <c r="AQ200" s="239">
        <v>-588152</v>
      </c>
      <c r="AR200" s="239">
        <v>-576388</v>
      </c>
      <c r="AS200" s="239">
        <v>0</v>
      </c>
      <c r="AT200" s="239">
        <v>-11763</v>
      </c>
      <c r="AU200" s="239">
        <v>-1176303</v>
      </c>
      <c r="AV200" s="239">
        <v>-2279719</v>
      </c>
      <c r="AW200" s="239">
        <v>-2234125</v>
      </c>
      <c r="AX200" s="239">
        <v>0</v>
      </c>
      <c r="AY200" s="239">
        <v>-45596</v>
      </c>
      <c r="AZ200" s="239">
        <v>-4559440</v>
      </c>
      <c r="BA200" s="239">
        <v>-1539654</v>
      </c>
      <c r="BB200" s="239">
        <v>-1508862</v>
      </c>
      <c r="BC200" s="239">
        <v>0</v>
      </c>
      <c r="BD200" s="239">
        <v>-30794</v>
      </c>
      <c r="BE200" s="239">
        <v>-3079310</v>
      </c>
      <c r="BF200" s="239">
        <v>341645</v>
      </c>
      <c r="BG200" s="239">
        <v>334812</v>
      </c>
      <c r="BH200" s="239">
        <v>0</v>
      </c>
      <c r="BI200" s="239">
        <v>6833</v>
      </c>
      <c r="BJ200" s="239">
        <v>683290</v>
      </c>
      <c r="BK200" s="239">
        <v>-2355440</v>
      </c>
      <c r="BL200" s="239">
        <v>-2308331</v>
      </c>
      <c r="BM200" s="239">
        <v>0</v>
      </c>
      <c r="BN200" s="239">
        <v>-47109</v>
      </c>
      <c r="BO200" s="239">
        <v>-4710880</v>
      </c>
      <c r="BP200" s="239">
        <v>-3553449</v>
      </c>
      <c r="BQ200" s="239">
        <v>-3482381</v>
      </c>
      <c r="BR200" s="239">
        <v>0</v>
      </c>
      <c r="BS200" s="239">
        <v>-71070</v>
      </c>
      <c r="BT200" s="239">
        <v>-7106900</v>
      </c>
      <c r="BU200" s="239">
        <v>-1487443</v>
      </c>
      <c r="BV200" s="239">
        <v>-1457694</v>
      </c>
      <c r="BW200" s="239">
        <v>0</v>
      </c>
      <c r="BX200" s="239">
        <v>-29749</v>
      </c>
      <c r="BY200" s="239">
        <v>-2974886</v>
      </c>
      <c r="BZ200" s="239">
        <v>-928137</v>
      </c>
      <c r="CA200" s="239">
        <v>-909575</v>
      </c>
      <c r="CB200" s="239">
        <v>0</v>
      </c>
      <c r="CC200" s="239">
        <v>-18563</v>
      </c>
      <c r="CD200" s="239">
        <v>-1856275</v>
      </c>
      <c r="CE200" s="239">
        <v>-559306</v>
      </c>
      <c r="CF200" s="239">
        <v>-548119</v>
      </c>
      <c r="CG200" s="239">
        <v>0</v>
      </c>
      <c r="CH200" s="239">
        <v>-11186</v>
      </c>
      <c r="CI200" s="239">
        <v>-1118611</v>
      </c>
      <c r="CJ200" s="239">
        <v>29182251</v>
      </c>
      <c r="CK200" s="239">
        <v>28598606</v>
      </c>
      <c r="CL200" s="239">
        <v>0</v>
      </c>
      <c r="CM200" s="239">
        <v>583645</v>
      </c>
      <c r="CN200" s="239">
        <v>58364502</v>
      </c>
      <c r="CO200" s="239">
        <v>27212843</v>
      </c>
      <c r="CP200" s="239">
        <v>26668586</v>
      </c>
      <c r="CQ200" s="239">
        <v>0</v>
      </c>
      <c r="CR200" s="239">
        <v>544257</v>
      </c>
      <c r="CS200" s="239">
        <v>54425686</v>
      </c>
      <c r="CT200" s="239">
        <v>-1969408</v>
      </c>
      <c r="CU200" s="239">
        <v>-1930020</v>
      </c>
      <c r="CV200" s="239">
        <v>0</v>
      </c>
      <c r="CW200" s="239">
        <v>-39388</v>
      </c>
      <c r="CX200" s="239">
        <v>-3938816</v>
      </c>
      <c r="CY200" s="239">
        <v>-2528714</v>
      </c>
      <c r="CZ200" s="239">
        <v>-2478139</v>
      </c>
      <c r="DA200" s="239">
        <v>0</v>
      </c>
      <c r="DB200" s="239">
        <v>-50574</v>
      </c>
      <c r="DC200" s="239">
        <v>-5057427</v>
      </c>
      <c r="DD200" s="214">
        <v>0.5</v>
      </c>
      <c r="DE200" s="214">
        <v>0.49</v>
      </c>
      <c r="DF200" s="214">
        <v>0</v>
      </c>
      <c r="DG200" s="214">
        <v>0.01</v>
      </c>
      <c r="DH200" s="214">
        <v>1</v>
      </c>
      <c r="DI200" s="214" t="s">
        <v>1296</v>
      </c>
    </row>
    <row r="201" spans="2:113" s="214" customFormat="1" x14ac:dyDescent="0.2">
      <c r="B201" s="610" t="s">
        <v>485</v>
      </c>
      <c r="C201" s="610" t="s">
        <v>484</v>
      </c>
      <c r="D201" s="239">
        <v>43708026</v>
      </c>
      <c r="E201" s="239">
        <v>34966420</v>
      </c>
      <c r="F201" s="239">
        <v>8741605</v>
      </c>
      <c r="G201" s="239">
        <v>0</v>
      </c>
      <c r="H201" s="239">
        <v>87416051</v>
      </c>
      <c r="I201" s="239">
        <v>0</v>
      </c>
      <c r="J201" s="239">
        <v>0</v>
      </c>
      <c r="K201" s="239">
        <v>43708026</v>
      </c>
      <c r="L201" s="239">
        <v>219682</v>
      </c>
      <c r="M201" s="239">
        <v>219682</v>
      </c>
      <c r="N201" s="239">
        <v>0</v>
      </c>
      <c r="O201" s="239">
        <v>0</v>
      </c>
      <c r="P201" s="239">
        <v>21818</v>
      </c>
      <c r="Q201" s="239">
        <v>0</v>
      </c>
      <c r="R201" s="239">
        <v>21818</v>
      </c>
      <c r="S201" s="239">
        <v>0</v>
      </c>
      <c r="T201" s="239">
        <v>0</v>
      </c>
      <c r="U201" s="239">
        <v>0</v>
      </c>
      <c r="V201" s="239">
        <v>0</v>
      </c>
      <c r="W201" s="239">
        <v>1500566</v>
      </c>
      <c r="X201" s="239">
        <v>1200452</v>
      </c>
      <c r="Y201" s="239">
        <v>300113</v>
      </c>
      <c r="Z201" s="239">
        <v>0</v>
      </c>
      <c r="AA201" s="239">
        <v>3001131</v>
      </c>
      <c r="AB201" s="239">
        <v>-887136</v>
      </c>
      <c r="AC201" s="239">
        <v>-709708</v>
      </c>
      <c r="AD201" s="239">
        <v>-177427</v>
      </c>
      <c r="AE201" s="239">
        <v>0</v>
      </c>
      <c r="AF201" s="239">
        <v>-1774271</v>
      </c>
      <c r="AG201" s="239">
        <v>-499794</v>
      </c>
      <c r="AH201" s="239">
        <v>-399835</v>
      </c>
      <c r="AI201" s="239">
        <v>-99959</v>
      </c>
      <c r="AJ201" s="239">
        <v>0</v>
      </c>
      <c r="AK201" s="239">
        <v>-999588</v>
      </c>
      <c r="AL201" s="239">
        <v>0</v>
      </c>
      <c r="AM201" s="239">
        <v>0</v>
      </c>
      <c r="AN201" s="239">
        <v>0</v>
      </c>
      <c r="AO201" s="239">
        <v>0</v>
      </c>
      <c r="AP201" s="239">
        <v>0</v>
      </c>
      <c r="AQ201" s="239">
        <v>-138123</v>
      </c>
      <c r="AR201" s="239">
        <v>-110499</v>
      </c>
      <c r="AS201" s="239">
        <v>-27625</v>
      </c>
      <c r="AT201" s="239">
        <v>0</v>
      </c>
      <c r="AU201" s="239">
        <v>-276247</v>
      </c>
      <c r="AV201" s="239">
        <v>-637917</v>
      </c>
      <c r="AW201" s="239">
        <v>-510334</v>
      </c>
      <c r="AX201" s="239">
        <v>-127584</v>
      </c>
      <c r="AY201" s="239">
        <v>0</v>
      </c>
      <c r="AZ201" s="239">
        <v>-1275835</v>
      </c>
      <c r="BA201" s="239">
        <v>-7058956</v>
      </c>
      <c r="BB201" s="239">
        <v>-5647165</v>
      </c>
      <c r="BC201" s="239">
        <v>-1411791</v>
      </c>
      <c r="BD201" s="239">
        <v>0</v>
      </c>
      <c r="BE201" s="239">
        <v>-14117912</v>
      </c>
      <c r="BF201" s="239">
        <v>265157</v>
      </c>
      <c r="BG201" s="239">
        <v>212126</v>
      </c>
      <c r="BH201" s="239">
        <v>53031</v>
      </c>
      <c r="BI201" s="239">
        <v>0</v>
      </c>
      <c r="BJ201" s="239">
        <v>530314</v>
      </c>
      <c r="BK201" s="239">
        <v>-325992</v>
      </c>
      <c r="BL201" s="239">
        <v>-260794</v>
      </c>
      <c r="BM201" s="239">
        <v>-65199</v>
      </c>
      <c r="BN201" s="239">
        <v>0</v>
      </c>
      <c r="BO201" s="239">
        <v>-651985</v>
      </c>
      <c r="BP201" s="239">
        <v>-7119791</v>
      </c>
      <c r="BQ201" s="239">
        <v>-5695833</v>
      </c>
      <c r="BR201" s="239">
        <v>-1423959</v>
      </c>
      <c r="BS201" s="239">
        <v>0</v>
      </c>
      <c r="BT201" s="239">
        <v>-14239583</v>
      </c>
      <c r="BU201" s="239">
        <v>-5252139</v>
      </c>
      <c r="BV201" s="239">
        <v>-4201711</v>
      </c>
      <c r="BW201" s="239">
        <v>-1050428</v>
      </c>
      <c r="BX201" s="239">
        <v>0</v>
      </c>
      <c r="BY201" s="239">
        <v>-10504278</v>
      </c>
      <c r="BZ201" s="239">
        <v>86558</v>
      </c>
      <c r="CA201" s="239">
        <v>69246</v>
      </c>
      <c r="CB201" s="239">
        <v>17312</v>
      </c>
      <c r="CC201" s="239">
        <v>0</v>
      </c>
      <c r="CD201" s="239">
        <v>173116</v>
      </c>
      <c r="CE201" s="239">
        <v>-5338697</v>
      </c>
      <c r="CF201" s="239">
        <v>-4270957</v>
      </c>
      <c r="CG201" s="239">
        <v>-1067740</v>
      </c>
      <c r="CH201" s="239">
        <v>0</v>
      </c>
      <c r="CI201" s="239">
        <v>-10677394</v>
      </c>
      <c r="CJ201" s="239">
        <v>42424107</v>
      </c>
      <c r="CK201" s="239">
        <v>33939286</v>
      </c>
      <c r="CL201" s="239">
        <v>8484822</v>
      </c>
      <c r="CM201" s="239">
        <v>0</v>
      </c>
      <c r="CN201" s="239">
        <v>84848215</v>
      </c>
      <c r="CO201" s="239">
        <v>43708026</v>
      </c>
      <c r="CP201" s="239">
        <v>34966420</v>
      </c>
      <c r="CQ201" s="239">
        <v>8741605</v>
      </c>
      <c r="CR201" s="239">
        <v>0</v>
      </c>
      <c r="CS201" s="239">
        <v>87416051</v>
      </c>
      <c r="CT201" s="239">
        <v>1283919</v>
      </c>
      <c r="CU201" s="239">
        <v>1027134</v>
      </c>
      <c r="CV201" s="239">
        <v>256783</v>
      </c>
      <c r="CW201" s="239">
        <v>0</v>
      </c>
      <c r="CX201" s="239">
        <v>2567836</v>
      </c>
      <c r="CY201" s="239">
        <v>-4054778</v>
      </c>
      <c r="CZ201" s="239">
        <v>-3243823</v>
      </c>
      <c r="DA201" s="239">
        <v>-810957</v>
      </c>
      <c r="DB201" s="239">
        <v>0</v>
      </c>
      <c r="DC201" s="239">
        <v>-8109558</v>
      </c>
      <c r="DD201" s="214">
        <v>0.5</v>
      </c>
      <c r="DE201" s="214">
        <v>0.4</v>
      </c>
      <c r="DF201" s="214">
        <v>0.1</v>
      </c>
      <c r="DG201" s="214">
        <v>0</v>
      </c>
      <c r="DH201" s="214">
        <v>1</v>
      </c>
      <c r="DI201" s="214" t="s">
        <v>1294</v>
      </c>
    </row>
    <row r="202" spans="2:113" s="214" customFormat="1" x14ac:dyDescent="0.2">
      <c r="B202" s="610" t="s">
        <v>487</v>
      </c>
      <c r="C202" s="610" t="s">
        <v>486</v>
      </c>
      <c r="D202" s="239">
        <v>8468436</v>
      </c>
      <c r="E202" s="239">
        <v>6774749</v>
      </c>
      <c r="F202" s="239">
        <v>1524319</v>
      </c>
      <c r="G202" s="239">
        <v>169369</v>
      </c>
      <c r="H202" s="239">
        <v>16936873</v>
      </c>
      <c r="I202" s="239">
        <v>0</v>
      </c>
      <c r="J202" s="239">
        <v>0</v>
      </c>
      <c r="K202" s="239">
        <v>8468436</v>
      </c>
      <c r="L202" s="239">
        <v>136755</v>
      </c>
      <c r="M202" s="239">
        <v>136755</v>
      </c>
      <c r="N202" s="239">
        <v>0</v>
      </c>
      <c r="O202" s="239">
        <v>0</v>
      </c>
      <c r="P202" s="239">
        <v>0</v>
      </c>
      <c r="Q202" s="239">
        <v>0</v>
      </c>
      <c r="R202" s="239">
        <v>0</v>
      </c>
      <c r="S202" s="239">
        <v>0</v>
      </c>
      <c r="T202" s="239">
        <v>0</v>
      </c>
      <c r="U202" s="239">
        <v>0</v>
      </c>
      <c r="V202" s="239">
        <v>0</v>
      </c>
      <c r="W202" s="239">
        <v>534143</v>
      </c>
      <c r="X202" s="239">
        <v>427315</v>
      </c>
      <c r="Y202" s="239">
        <v>96146</v>
      </c>
      <c r="Z202" s="239">
        <v>10683</v>
      </c>
      <c r="AA202" s="239">
        <v>1068287</v>
      </c>
      <c r="AB202" s="239">
        <v>-55416</v>
      </c>
      <c r="AC202" s="239">
        <v>-44332</v>
      </c>
      <c r="AD202" s="239">
        <v>-9975</v>
      </c>
      <c r="AE202" s="239">
        <v>-1108</v>
      </c>
      <c r="AF202" s="239">
        <v>-110831</v>
      </c>
      <c r="AG202" s="239">
        <v>-400000</v>
      </c>
      <c r="AH202" s="239">
        <v>-320000</v>
      </c>
      <c r="AI202" s="239">
        <v>-72000</v>
      </c>
      <c r="AJ202" s="239">
        <v>-8000</v>
      </c>
      <c r="AK202" s="239">
        <v>-800000</v>
      </c>
      <c r="AL202" s="239">
        <v>0</v>
      </c>
      <c r="AM202" s="239">
        <v>0</v>
      </c>
      <c r="AN202" s="239">
        <v>0</v>
      </c>
      <c r="AO202" s="239">
        <v>0</v>
      </c>
      <c r="AP202" s="239">
        <v>0</v>
      </c>
      <c r="AQ202" s="239">
        <v>-70000</v>
      </c>
      <c r="AR202" s="239">
        <v>-56000</v>
      </c>
      <c r="AS202" s="239">
        <v>-12600</v>
      </c>
      <c r="AT202" s="239">
        <v>-1400</v>
      </c>
      <c r="AU202" s="239">
        <v>-140000</v>
      </c>
      <c r="AV202" s="239">
        <v>-470000</v>
      </c>
      <c r="AW202" s="239">
        <v>-376000</v>
      </c>
      <c r="AX202" s="239">
        <v>-84600</v>
      </c>
      <c r="AY202" s="239">
        <v>-9400</v>
      </c>
      <c r="AZ202" s="239">
        <v>-940000</v>
      </c>
      <c r="BA202" s="239">
        <v>-1284999</v>
      </c>
      <c r="BB202" s="239">
        <v>-1028001</v>
      </c>
      <c r="BC202" s="239">
        <v>-231301</v>
      </c>
      <c r="BD202" s="239">
        <v>-25699</v>
      </c>
      <c r="BE202" s="239">
        <v>-2570000</v>
      </c>
      <c r="BF202" s="239">
        <v>721714</v>
      </c>
      <c r="BG202" s="239">
        <v>577371</v>
      </c>
      <c r="BH202" s="239">
        <v>129909</v>
      </c>
      <c r="BI202" s="239">
        <v>14434</v>
      </c>
      <c r="BJ202" s="239">
        <v>1443428</v>
      </c>
      <c r="BK202" s="239">
        <v>-1269214</v>
      </c>
      <c r="BL202" s="239">
        <v>-1015371</v>
      </c>
      <c r="BM202" s="239">
        <v>-228459</v>
      </c>
      <c r="BN202" s="239">
        <v>-25384</v>
      </c>
      <c r="BO202" s="239">
        <v>-2538428</v>
      </c>
      <c r="BP202" s="239">
        <v>-1832499</v>
      </c>
      <c r="BQ202" s="239">
        <v>-1466001</v>
      </c>
      <c r="BR202" s="239">
        <v>-329851</v>
      </c>
      <c r="BS202" s="239">
        <v>-36649</v>
      </c>
      <c r="BT202" s="239">
        <v>-3665000</v>
      </c>
      <c r="BU202" s="239">
        <v>-216531</v>
      </c>
      <c r="BV202" s="239">
        <v>-173226</v>
      </c>
      <c r="BW202" s="239">
        <v>-38976</v>
      </c>
      <c r="BX202" s="239">
        <v>-4331</v>
      </c>
      <c r="BY202" s="239">
        <v>-433064</v>
      </c>
      <c r="BZ202" s="239">
        <v>0</v>
      </c>
      <c r="CA202" s="239">
        <v>0</v>
      </c>
      <c r="CB202" s="239">
        <v>0</v>
      </c>
      <c r="CC202" s="239">
        <v>0</v>
      </c>
      <c r="CD202" s="239">
        <v>0</v>
      </c>
      <c r="CE202" s="239">
        <v>-216531</v>
      </c>
      <c r="CF202" s="239">
        <v>-173226</v>
      </c>
      <c r="CG202" s="239">
        <v>-38976</v>
      </c>
      <c r="CH202" s="239">
        <v>-4331</v>
      </c>
      <c r="CI202" s="239">
        <v>-433064</v>
      </c>
      <c r="CJ202" s="239">
        <v>9663009</v>
      </c>
      <c r="CK202" s="239">
        <v>7730408</v>
      </c>
      <c r="CL202" s="239">
        <v>1739342</v>
      </c>
      <c r="CM202" s="239">
        <v>193260</v>
      </c>
      <c r="CN202" s="239">
        <v>19326019</v>
      </c>
      <c r="CO202" s="239">
        <v>8468436</v>
      </c>
      <c r="CP202" s="239">
        <v>6774749</v>
      </c>
      <c r="CQ202" s="239">
        <v>1524319</v>
      </c>
      <c r="CR202" s="239">
        <v>169369</v>
      </c>
      <c r="CS202" s="239">
        <v>16936873</v>
      </c>
      <c r="CT202" s="239">
        <v>-1194573</v>
      </c>
      <c r="CU202" s="239">
        <v>-955659</v>
      </c>
      <c r="CV202" s="239">
        <v>-215023</v>
      </c>
      <c r="CW202" s="239">
        <v>-23891</v>
      </c>
      <c r="CX202" s="239">
        <v>-2389146</v>
      </c>
      <c r="CY202" s="239">
        <v>-1411104</v>
      </c>
      <c r="CZ202" s="239">
        <v>-1128885</v>
      </c>
      <c r="DA202" s="239">
        <v>-253999</v>
      </c>
      <c r="DB202" s="239">
        <v>-28222</v>
      </c>
      <c r="DC202" s="239">
        <v>-2822210</v>
      </c>
      <c r="DD202" s="214">
        <v>0.5</v>
      </c>
      <c r="DE202" s="214">
        <v>0.4</v>
      </c>
      <c r="DF202" s="214">
        <v>0.09</v>
      </c>
      <c r="DG202" s="214">
        <v>0.01</v>
      </c>
      <c r="DH202" s="214">
        <v>1</v>
      </c>
      <c r="DI202" s="214" t="s">
        <v>1294</v>
      </c>
    </row>
    <row r="203" spans="2:113" s="214" customFormat="1" x14ac:dyDescent="0.2">
      <c r="B203" s="610" t="s">
        <v>489</v>
      </c>
      <c r="C203" s="610" t="s">
        <v>488</v>
      </c>
      <c r="D203" s="239">
        <v>48081404</v>
      </c>
      <c r="E203" s="239">
        <v>47119776</v>
      </c>
      <c r="F203" s="239">
        <v>0</v>
      </c>
      <c r="G203" s="239">
        <v>961628</v>
      </c>
      <c r="H203" s="239">
        <v>96162808</v>
      </c>
      <c r="I203" s="239">
        <v>0</v>
      </c>
      <c r="J203" s="239">
        <v>0</v>
      </c>
      <c r="K203" s="239">
        <v>48081404</v>
      </c>
      <c r="L203" s="239">
        <v>274992</v>
      </c>
      <c r="M203" s="239">
        <v>274992</v>
      </c>
      <c r="N203" s="239">
        <v>0</v>
      </c>
      <c r="O203" s="239">
        <v>0</v>
      </c>
      <c r="P203" s="239">
        <v>20815</v>
      </c>
      <c r="Q203" s="239">
        <v>0</v>
      </c>
      <c r="R203" s="239">
        <v>20815</v>
      </c>
      <c r="S203" s="239">
        <v>0</v>
      </c>
      <c r="T203" s="239">
        <v>0</v>
      </c>
      <c r="U203" s="239">
        <v>0</v>
      </c>
      <c r="V203" s="239">
        <v>0</v>
      </c>
      <c r="W203" s="239">
        <v>5501911</v>
      </c>
      <c r="X203" s="239">
        <v>5391873</v>
      </c>
      <c r="Y203" s="239">
        <v>0</v>
      </c>
      <c r="Z203" s="239">
        <v>110038</v>
      </c>
      <c r="AA203" s="239">
        <v>11003822</v>
      </c>
      <c r="AB203" s="239">
        <v>-812153</v>
      </c>
      <c r="AC203" s="239">
        <v>-795909</v>
      </c>
      <c r="AD203" s="239">
        <v>0</v>
      </c>
      <c r="AE203" s="239">
        <v>-16243</v>
      </c>
      <c r="AF203" s="239">
        <v>-1624305</v>
      </c>
      <c r="AG203" s="239">
        <v>-2652180</v>
      </c>
      <c r="AH203" s="239">
        <v>-2599136</v>
      </c>
      <c r="AI203" s="239">
        <v>0</v>
      </c>
      <c r="AJ203" s="239">
        <v>-53044</v>
      </c>
      <c r="AK203" s="239">
        <v>-5304360</v>
      </c>
      <c r="AL203" s="239">
        <v>13069</v>
      </c>
      <c r="AM203" s="239">
        <v>12807</v>
      </c>
      <c r="AN203" s="239">
        <v>0</v>
      </c>
      <c r="AO203" s="239">
        <v>261</v>
      </c>
      <c r="AP203" s="239">
        <v>26137</v>
      </c>
      <c r="AQ203" s="239">
        <v>-553933</v>
      </c>
      <c r="AR203" s="239">
        <v>-542855</v>
      </c>
      <c r="AS203" s="239">
        <v>0</v>
      </c>
      <c r="AT203" s="239">
        <v>-11079</v>
      </c>
      <c r="AU203" s="239">
        <v>-1107867</v>
      </c>
      <c r="AV203" s="239">
        <v>-3193044</v>
      </c>
      <c r="AW203" s="239">
        <v>-3129184</v>
      </c>
      <c r="AX203" s="239">
        <v>0</v>
      </c>
      <c r="AY203" s="239">
        <v>-63862</v>
      </c>
      <c r="AZ203" s="239">
        <v>-6386090</v>
      </c>
      <c r="BA203" s="239">
        <v>-5348231</v>
      </c>
      <c r="BB203" s="239">
        <v>-5241264</v>
      </c>
      <c r="BC203" s="239">
        <v>0</v>
      </c>
      <c r="BD203" s="239">
        <v>-106964</v>
      </c>
      <c r="BE203" s="239">
        <v>-10696459</v>
      </c>
      <c r="BF203" s="239">
        <v>1715828</v>
      </c>
      <c r="BG203" s="239">
        <v>1681512</v>
      </c>
      <c r="BH203" s="239">
        <v>0</v>
      </c>
      <c r="BI203" s="239">
        <v>34317</v>
      </c>
      <c r="BJ203" s="239">
        <v>3431657</v>
      </c>
      <c r="BK203" s="239">
        <v>-2631052</v>
      </c>
      <c r="BL203" s="239">
        <v>-2578431</v>
      </c>
      <c r="BM203" s="239">
        <v>0</v>
      </c>
      <c r="BN203" s="239">
        <v>-52621</v>
      </c>
      <c r="BO203" s="239">
        <v>-5262104</v>
      </c>
      <c r="BP203" s="239">
        <v>-6263455</v>
      </c>
      <c r="BQ203" s="239">
        <v>-6138183</v>
      </c>
      <c r="BR203" s="239">
        <v>0</v>
      </c>
      <c r="BS203" s="239">
        <v>-125268</v>
      </c>
      <c r="BT203" s="239">
        <v>-12526906</v>
      </c>
      <c r="BU203" s="239">
        <v>-3009770</v>
      </c>
      <c r="BV203" s="239">
        <v>-2949574</v>
      </c>
      <c r="BW203" s="239">
        <v>0</v>
      </c>
      <c r="BX203" s="239">
        <v>-60195</v>
      </c>
      <c r="BY203" s="239">
        <v>-6019539</v>
      </c>
      <c r="BZ203" s="239">
        <v>-1553000</v>
      </c>
      <c r="CA203" s="239">
        <v>-1521940</v>
      </c>
      <c r="CB203" s="239">
        <v>0</v>
      </c>
      <c r="CC203" s="239">
        <v>-31060</v>
      </c>
      <c r="CD203" s="239">
        <v>-3106000</v>
      </c>
      <c r="CE203" s="239">
        <v>-1456770</v>
      </c>
      <c r="CF203" s="239">
        <v>-1427634</v>
      </c>
      <c r="CG203" s="239">
        <v>0</v>
      </c>
      <c r="CH203" s="239">
        <v>-29135</v>
      </c>
      <c r="CI203" s="239">
        <v>-2913539</v>
      </c>
      <c r="CJ203" s="239">
        <v>48090503</v>
      </c>
      <c r="CK203" s="239">
        <v>47128692</v>
      </c>
      <c r="CL203" s="239">
        <v>0</v>
      </c>
      <c r="CM203" s="239">
        <v>961810</v>
      </c>
      <c r="CN203" s="239">
        <v>96181005</v>
      </c>
      <c r="CO203" s="239">
        <v>48081404</v>
      </c>
      <c r="CP203" s="239">
        <v>47119776</v>
      </c>
      <c r="CQ203" s="239">
        <v>0</v>
      </c>
      <c r="CR203" s="239">
        <v>961628</v>
      </c>
      <c r="CS203" s="239">
        <v>96162808</v>
      </c>
      <c r="CT203" s="239">
        <v>-9099</v>
      </c>
      <c r="CU203" s="239">
        <v>-8916</v>
      </c>
      <c r="CV203" s="239">
        <v>0</v>
      </c>
      <c r="CW203" s="239">
        <v>-182</v>
      </c>
      <c r="CX203" s="239">
        <v>-18197</v>
      </c>
      <c r="CY203" s="239">
        <v>-1465869</v>
      </c>
      <c r="CZ203" s="239">
        <v>-1436550</v>
      </c>
      <c r="DA203" s="239">
        <v>0</v>
      </c>
      <c r="DB203" s="239">
        <v>-29317</v>
      </c>
      <c r="DC203" s="239">
        <v>-2931736</v>
      </c>
      <c r="DD203" s="214">
        <v>0.5</v>
      </c>
      <c r="DE203" s="214">
        <v>0.49</v>
      </c>
      <c r="DF203" s="214">
        <v>0</v>
      </c>
      <c r="DG203" s="214">
        <v>0.01</v>
      </c>
      <c r="DH203" s="214">
        <v>1</v>
      </c>
      <c r="DI203" s="214" t="s">
        <v>748</v>
      </c>
    </row>
    <row r="204" spans="2:113" s="214" customFormat="1" x14ac:dyDescent="0.2">
      <c r="B204" s="610" t="s">
        <v>491</v>
      </c>
      <c r="C204" s="610" t="s">
        <v>490</v>
      </c>
      <c r="D204" s="239">
        <v>43354247</v>
      </c>
      <c r="E204" s="239">
        <v>42487163</v>
      </c>
      <c r="F204" s="239">
        <v>0</v>
      </c>
      <c r="G204" s="239">
        <v>867085</v>
      </c>
      <c r="H204" s="239">
        <v>86708495</v>
      </c>
      <c r="I204" s="239">
        <v>0</v>
      </c>
      <c r="J204" s="239">
        <v>0</v>
      </c>
      <c r="K204" s="239">
        <v>43354247</v>
      </c>
      <c r="L204" s="239">
        <v>312349</v>
      </c>
      <c r="M204" s="239">
        <v>312349</v>
      </c>
      <c r="N204" s="239">
        <v>0</v>
      </c>
      <c r="O204" s="239">
        <v>0</v>
      </c>
      <c r="P204" s="239">
        <v>101951</v>
      </c>
      <c r="Q204" s="239">
        <v>0</v>
      </c>
      <c r="R204" s="239">
        <v>101951</v>
      </c>
      <c r="S204" s="239">
        <v>0</v>
      </c>
      <c r="T204" s="239">
        <v>0</v>
      </c>
      <c r="U204" s="239">
        <v>0</v>
      </c>
      <c r="V204" s="239">
        <v>0</v>
      </c>
      <c r="W204" s="239">
        <v>1467284</v>
      </c>
      <c r="X204" s="239">
        <v>1437938</v>
      </c>
      <c r="Y204" s="239">
        <v>0</v>
      </c>
      <c r="Z204" s="239">
        <v>29346</v>
      </c>
      <c r="AA204" s="239">
        <v>2934568</v>
      </c>
      <c r="AB204" s="239">
        <v>-925725</v>
      </c>
      <c r="AC204" s="239">
        <v>-907210</v>
      </c>
      <c r="AD204" s="239">
        <v>0</v>
      </c>
      <c r="AE204" s="239">
        <v>-18514</v>
      </c>
      <c r="AF204" s="239">
        <v>-1851449</v>
      </c>
      <c r="AG204" s="239">
        <v>-484960.59</v>
      </c>
      <c r="AH204" s="239">
        <v>-475261</v>
      </c>
      <c r="AI204" s="239">
        <v>0</v>
      </c>
      <c r="AJ204" s="239">
        <v>-9699</v>
      </c>
      <c r="AK204" s="239">
        <v>-969920.59</v>
      </c>
      <c r="AL204" s="239">
        <v>355445</v>
      </c>
      <c r="AM204" s="239">
        <v>348336</v>
      </c>
      <c r="AN204" s="239">
        <v>0</v>
      </c>
      <c r="AO204" s="239">
        <v>7109</v>
      </c>
      <c r="AP204" s="239">
        <v>710890</v>
      </c>
      <c r="AQ204" s="239">
        <v>-240621</v>
      </c>
      <c r="AR204" s="239">
        <v>-235809</v>
      </c>
      <c r="AS204" s="239">
        <v>0</v>
      </c>
      <c r="AT204" s="239">
        <v>-4812</v>
      </c>
      <c r="AU204" s="239">
        <v>-481242</v>
      </c>
      <c r="AV204" s="239">
        <v>-370136.59</v>
      </c>
      <c r="AW204" s="239">
        <v>-362734</v>
      </c>
      <c r="AX204" s="239">
        <v>0</v>
      </c>
      <c r="AY204" s="239">
        <v>-7402</v>
      </c>
      <c r="AZ204" s="239">
        <v>-740272.59</v>
      </c>
      <c r="BA204" s="239">
        <v>-670175</v>
      </c>
      <c r="BB204" s="239">
        <v>-656771</v>
      </c>
      <c r="BC204" s="239">
        <v>0</v>
      </c>
      <c r="BD204" s="239">
        <v>-13403</v>
      </c>
      <c r="BE204" s="239">
        <v>-1340349</v>
      </c>
      <c r="BF204" s="239">
        <v>402379</v>
      </c>
      <c r="BG204" s="239">
        <v>394332</v>
      </c>
      <c r="BH204" s="239">
        <v>0</v>
      </c>
      <c r="BI204" s="239">
        <v>8048</v>
      </c>
      <c r="BJ204" s="239">
        <v>804759</v>
      </c>
      <c r="BK204" s="239">
        <v>-790992</v>
      </c>
      <c r="BL204" s="239">
        <v>-775173</v>
      </c>
      <c r="BM204" s="239">
        <v>0</v>
      </c>
      <c r="BN204" s="239">
        <v>-15820</v>
      </c>
      <c r="BO204" s="239">
        <v>-1581985</v>
      </c>
      <c r="BP204" s="239">
        <v>-1058788</v>
      </c>
      <c r="BQ204" s="239">
        <v>-1037612</v>
      </c>
      <c r="BR204" s="239">
        <v>0</v>
      </c>
      <c r="BS204" s="239">
        <v>-21175</v>
      </c>
      <c r="BT204" s="239">
        <v>-2117575</v>
      </c>
      <c r="BU204" s="239">
        <v>455190</v>
      </c>
      <c r="BV204" s="239">
        <v>446086</v>
      </c>
      <c r="BW204" s="239">
        <v>0</v>
      </c>
      <c r="BX204" s="239">
        <v>9104</v>
      </c>
      <c r="BY204" s="239">
        <v>910380</v>
      </c>
      <c r="BZ204" s="239">
        <v>-539047</v>
      </c>
      <c r="CA204" s="239">
        <v>-528266</v>
      </c>
      <c r="CB204" s="239">
        <v>0</v>
      </c>
      <c r="CC204" s="239">
        <v>-10781</v>
      </c>
      <c r="CD204" s="239">
        <v>-1078094</v>
      </c>
      <c r="CE204" s="239">
        <v>994237</v>
      </c>
      <c r="CF204" s="239">
        <v>974352</v>
      </c>
      <c r="CG204" s="239">
        <v>0</v>
      </c>
      <c r="CH204" s="239">
        <v>19885</v>
      </c>
      <c r="CI204" s="239">
        <v>1988474</v>
      </c>
      <c r="CJ204" s="239">
        <v>45390438</v>
      </c>
      <c r="CK204" s="239">
        <v>44482630</v>
      </c>
      <c r="CL204" s="239">
        <v>0</v>
      </c>
      <c r="CM204" s="239">
        <v>907809</v>
      </c>
      <c r="CN204" s="239">
        <v>90780877</v>
      </c>
      <c r="CO204" s="239">
        <v>43354247</v>
      </c>
      <c r="CP204" s="239">
        <v>42487163</v>
      </c>
      <c r="CQ204" s="239">
        <v>0</v>
      </c>
      <c r="CR204" s="239">
        <v>867085</v>
      </c>
      <c r="CS204" s="239">
        <v>86708495</v>
      </c>
      <c r="CT204" s="239">
        <v>-2036191</v>
      </c>
      <c r="CU204" s="239">
        <v>-1995467</v>
      </c>
      <c r="CV204" s="239">
        <v>0</v>
      </c>
      <c r="CW204" s="239">
        <v>-40724</v>
      </c>
      <c r="CX204" s="239">
        <v>-4072382</v>
      </c>
      <c r="CY204" s="239">
        <v>-1041954</v>
      </c>
      <c r="CZ204" s="239">
        <v>-1021115</v>
      </c>
      <c r="DA204" s="239">
        <v>0</v>
      </c>
      <c r="DB204" s="239">
        <v>-20839</v>
      </c>
      <c r="DC204" s="239">
        <v>-2083908</v>
      </c>
      <c r="DD204" s="214">
        <v>0.5</v>
      </c>
      <c r="DE204" s="214">
        <v>0.49</v>
      </c>
      <c r="DF204" s="214">
        <v>0</v>
      </c>
      <c r="DG204" s="214">
        <v>0.01</v>
      </c>
      <c r="DH204" s="214">
        <v>1</v>
      </c>
      <c r="DI204" s="214" t="s">
        <v>748</v>
      </c>
    </row>
    <row r="205" spans="2:113" s="214" customFormat="1" x14ac:dyDescent="0.2">
      <c r="B205" s="610" t="s">
        <v>493</v>
      </c>
      <c r="C205" s="610" t="s">
        <v>492</v>
      </c>
      <c r="D205" s="239">
        <v>29887825</v>
      </c>
      <c r="E205" s="239">
        <v>29290069</v>
      </c>
      <c r="F205" s="239">
        <v>0</v>
      </c>
      <c r="G205" s="239">
        <v>597757</v>
      </c>
      <c r="H205" s="239">
        <v>59775651</v>
      </c>
      <c r="I205" s="239">
        <v>0</v>
      </c>
      <c r="J205" s="239">
        <v>0</v>
      </c>
      <c r="K205" s="239">
        <v>29887825</v>
      </c>
      <c r="L205" s="239">
        <v>236916</v>
      </c>
      <c r="M205" s="239">
        <v>236916</v>
      </c>
      <c r="N205" s="239">
        <v>0</v>
      </c>
      <c r="O205" s="239">
        <v>0</v>
      </c>
      <c r="P205" s="239">
        <v>0</v>
      </c>
      <c r="Q205" s="239">
        <v>0</v>
      </c>
      <c r="R205" s="239">
        <v>0</v>
      </c>
      <c r="S205" s="239">
        <v>0</v>
      </c>
      <c r="T205" s="239">
        <v>0</v>
      </c>
      <c r="U205" s="239">
        <v>0</v>
      </c>
      <c r="V205" s="239">
        <v>0</v>
      </c>
      <c r="W205" s="239">
        <v>558622</v>
      </c>
      <c r="X205" s="239">
        <v>547450</v>
      </c>
      <c r="Y205" s="239">
        <v>0</v>
      </c>
      <c r="Z205" s="239">
        <v>11172</v>
      </c>
      <c r="AA205" s="239">
        <v>1117244</v>
      </c>
      <c r="AB205" s="239">
        <v>-351092</v>
      </c>
      <c r="AC205" s="239">
        <v>-344071</v>
      </c>
      <c r="AD205" s="239">
        <v>0</v>
      </c>
      <c r="AE205" s="239">
        <v>-7022</v>
      </c>
      <c r="AF205" s="239">
        <v>-702185</v>
      </c>
      <c r="AG205" s="239">
        <v>-242755</v>
      </c>
      <c r="AH205" s="239">
        <v>-237899</v>
      </c>
      <c r="AI205" s="239">
        <v>0</v>
      </c>
      <c r="AJ205" s="239">
        <v>-4856</v>
      </c>
      <c r="AK205" s="239">
        <v>-485509</v>
      </c>
      <c r="AL205" s="239">
        <v>128419</v>
      </c>
      <c r="AM205" s="239">
        <v>125851</v>
      </c>
      <c r="AN205" s="239">
        <v>0</v>
      </c>
      <c r="AO205" s="239">
        <v>2568</v>
      </c>
      <c r="AP205" s="239">
        <v>256838</v>
      </c>
      <c r="AQ205" s="239">
        <v>-101842</v>
      </c>
      <c r="AR205" s="239">
        <v>-99805</v>
      </c>
      <c r="AS205" s="239">
        <v>0</v>
      </c>
      <c r="AT205" s="239">
        <v>-2037</v>
      </c>
      <c r="AU205" s="239">
        <v>-203684</v>
      </c>
      <c r="AV205" s="239">
        <v>-216178</v>
      </c>
      <c r="AW205" s="239">
        <v>-211853</v>
      </c>
      <c r="AX205" s="239">
        <v>0</v>
      </c>
      <c r="AY205" s="239">
        <v>-4325</v>
      </c>
      <c r="AZ205" s="239">
        <v>-432355</v>
      </c>
      <c r="BA205" s="239">
        <v>-1513199</v>
      </c>
      <c r="BB205" s="239">
        <v>-1482933</v>
      </c>
      <c r="BC205" s="239">
        <v>0</v>
      </c>
      <c r="BD205" s="239">
        <v>-30263</v>
      </c>
      <c r="BE205" s="239">
        <v>-3026396</v>
      </c>
      <c r="BF205" s="239">
        <v>599375</v>
      </c>
      <c r="BG205" s="239">
        <v>587387</v>
      </c>
      <c r="BH205" s="239">
        <v>0</v>
      </c>
      <c r="BI205" s="239">
        <v>11987</v>
      </c>
      <c r="BJ205" s="239">
        <v>1198749</v>
      </c>
      <c r="BK205" s="239">
        <v>-1904821</v>
      </c>
      <c r="BL205" s="239">
        <v>-1866724</v>
      </c>
      <c r="BM205" s="239">
        <v>0</v>
      </c>
      <c r="BN205" s="239">
        <v>-38096</v>
      </c>
      <c r="BO205" s="239">
        <v>-3809641</v>
      </c>
      <c r="BP205" s="239">
        <v>-2818645</v>
      </c>
      <c r="BQ205" s="239">
        <v>-2762270</v>
      </c>
      <c r="BR205" s="239">
        <v>0</v>
      </c>
      <c r="BS205" s="239">
        <v>-56372</v>
      </c>
      <c r="BT205" s="239">
        <v>-5637288</v>
      </c>
      <c r="BU205" s="239">
        <v>-381755</v>
      </c>
      <c r="BV205" s="239">
        <v>-374120</v>
      </c>
      <c r="BW205" s="239">
        <v>0</v>
      </c>
      <c r="BX205" s="239">
        <v>-7635</v>
      </c>
      <c r="BY205" s="239">
        <v>-763510</v>
      </c>
      <c r="BZ205" s="239">
        <v>-261807</v>
      </c>
      <c r="CA205" s="239">
        <v>-256570</v>
      </c>
      <c r="CB205" s="239">
        <v>0</v>
      </c>
      <c r="CC205" s="239">
        <v>-5236</v>
      </c>
      <c r="CD205" s="239">
        <v>-523613</v>
      </c>
      <c r="CE205" s="239">
        <v>-119948</v>
      </c>
      <c r="CF205" s="239">
        <v>-117550</v>
      </c>
      <c r="CG205" s="239">
        <v>0</v>
      </c>
      <c r="CH205" s="239">
        <v>-2399</v>
      </c>
      <c r="CI205" s="239">
        <v>-239897</v>
      </c>
      <c r="CJ205" s="239">
        <v>29596395</v>
      </c>
      <c r="CK205" s="239">
        <v>29004468</v>
      </c>
      <c r="CL205" s="239">
        <v>0</v>
      </c>
      <c r="CM205" s="239">
        <v>591928</v>
      </c>
      <c r="CN205" s="239">
        <v>59192791</v>
      </c>
      <c r="CO205" s="239">
        <v>29887825</v>
      </c>
      <c r="CP205" s="239">
        <v>29290069</v>
      </c>
      <c r="CQ205" s="239">
        <v>0</v>
      </c>
      <c r="CR205" s="239">
        <v>597757</v>
      </c>
      <c r="CS205" s="239">
        <v>59775651</v>
      </c>
      <c r="CT205" s="239">
        <v>291430</v>
      </c>
      <c r="CU205" s="239">
        <v>285601</v>
      </c>
      <c r="CV205" s="239">
        <v>0</v>
      </c>
      <c r="CW205" s="239">
        <v>5829</v>
      </c>
      <c r="CX205" s="239">
        <v>582860</v>
      </c>
      <c r="CY205" s="239">
        <v>171482</v>
      </c>
      <c r="CZ205" s="239">
        <v>168051</v>
      </c>
      <c r="DA205" s="239">
        <v>0</v>
      </c>
      <c r="DB205" s="239">
        <v>3430</v>
      </c>
      <c r="DC205" s="239">
        <v>342963</v>
      </c>
      <c r="DD205" s="214">
        <v>0.5</v>
      </c>
      <c r="DE205" s="214">
        <v>0.49</v>
      </c>
      <c r="DF205" s="214">
        <v>0</v>
      </c>
      <c r="DG205" s="214">
        <v>0.01</v>
      </c>
      <c r="DH205" s="214">
        <v>1</v>
      </c>
      <c r="DI205" s="214" t="s">
        <v>748</v>
      </c>
    </row>
    <row r="206" spans="2:113" s="214" customFormat="1" x14ac:dyDescent="0.2">
      <c r="B206" s="610" t="s">
        <v>495</v>
      </c>
      <c r="C206" s="610" t="s">
        <v>494</v>
      </c>
      <c r="D206" s="239">
        <v>41707508</v>
      </c>
      <c r="E206" s="239">
        <v>40873357</v>
      </c>
      <c r="F206" s="239">
        <v>0</v>
      </c>
      <c r="G206" s="239">
        <v>834150</v>
      </c>
      <c r="H206" s="239">
        <v>83415015</v>
      </c>
      <c r="I206" s="239">
        <v>0</v>
      </c>
      <c r="J206" s="239">
        <v>0</v>
      </c>
      <c r="K206" s="239">
        <v>41707508</v>
      </c>
      <c r="L206" s="239">
        <v>277975</v>
      </c>
      <c r="M206" s="239">
        <v>277975</v>
      </c>
      <c r="N206" s="239">
        <v>0</v>
      </c>
      <c r="O206" s="239">
        <v>0</v>
      </c>
      <c r="P206" s="239">
        <v>0</v>
      </c>
      <c r="Q206" s="239">
        <v>0</v>
      </c>
      <c r="R206" s="239">
        <v>0</v>
      </c>
      <c r="S206" s="239">
        <v>0</v>
      </c>
      <c r="T206" s="239">
        <v>0</v>
      </c>
      <c r="U206" s="239">
        <v>0</v>
      </c>
      <c r="V206" s="239">
        <v>0</v>
      </c>
      <c r="W206" s="239">
        <v>2209272</v>
      </c>
      <c r="X206" s="239">
        <v>2165087</v>
      </c>
      <c r="Y206" s="239">
        <v>0</v>
      </c>
      <c r="Z206" s="239">
        <v>44185</v>
      </c>
      <c r="AA206" s="239">
        <v>4418544</v>
      </c>
      <c r="AB206" s="239">
        <v>-1246394</v>
      </c>
      <c r="AC206" s="239">
        <v>-1221467</v>
      </c>
      <c r="AD206" s="239">
        <v>0</v>
      </c>
      <c r="AE206" s="239">
        <v>-24928</v>
      </c>
      <c r="AF206" s="239">
        <v>-2492789</v>
      </c>
      <c r="AG206" s="239">
        <v>-1721500</v>
      </c>
      <c r="AH206" s="239">
        <v>-1687070</v>
      </c>
      <c r="AI206" s="239">
        <v>0</v>
      </c>
      <c r="AJ206" s="239">
        <v>-34430</v>
      </c>
      <c r="AK206" s="239">
        <v>-3443000</v>
      </c>
      <c r="AL206" s="239">
        <v>635684</v>
      </c>
      <c r="AM206" s="239">
        <v>622971</v>
      </c>
      <c r="AN206" s="239">
        <v>0</v>
      </c>
      <c r="AO206" s="239">
        <v>12714</v>
      </c>
      <c r="AP206" s="239">
        <v>1271369</v>
      </c>
      <c r="AQ206" s="239">
        <v>-448684</v>
      </c>
      <c r="AR206" s="239">
        <v>-439711</v>
      </c>
      <c r="AS206" s="239">
        <v>0</v>
      </c>
      <c r="AT206" s="239">
        <v>-8974</v>
      </c>
      <c r="AU206" s="239">
        <v>-897369</v>
      </c>
      <c r="AV206" s="239">
        <v>-1534500</v>
      </c>
      <c r="AW206" s="239">
        <v>-1503810</v>
      </c>
      <c r="AX206" s="239">
        <v>0</v>
      </c>
      <c r="AY206" s="239">
        <v>-30690</v>
      </c>
      <c r="AZ206" s="239">
        <v>-3069000</v>
      </c>
      <c r="BA206" s="239">
        <v>-7973810</v>
      </c>
      <c r="BB206" s="239">
        <v>-7814332</v>
      </c>
      <c r="BC206" s="239">
        <v>0</v>
      </c>
      <c r="BD206" s="239">
        <v>-159477</v>
      </c>
      <c r="BE206" s="239">
        <v>-15947619</v>
      </c>
      <c r="BF206" s="239">
        <v>556261</v>
      </c>
      <c r="BG206" s="239">
        <v>545136</v>
      </c>
      <c r="BH206" s="239">
        <v>0</v>
      </c>
      <c r="BI206" s="239">
        <v>11125</v>
      </c>
      <c r="BJ206" s="239">
        <v>1112522</v>
      </c>
      <c r="BK206" s="239">
        <v>646054</v>
      </c>
      <c r="BL206" s="239">
        <v>633133</v>
      </c>
      <c r="BM206" s="239">
        <v>0</v>
      </c>
      <c r="BN206" s="239">
        <v>12921</v>
      </c>
      <c r="BO206" s="239">
        <v>1292108</v>
      </c>
      <c r="BP206" s="239">
        <v>-6771495</v>
      </c>
      <c r="BQ206" s="239">
        <v>-6636063</v>
      </c>
      <c r="BR206" s="239">
        <v>0</v>
      </c>
      <c r="BS206" s="239">
        <v>-135431</v>
      </c>
      <c r="BT206" s="239">
        <v>-13542989</v>
      </c>
      <c r="BU206" s="239">
        <v>-2655922</v>
      </c>
      <c r="BV206" s="239">
        <v>-2602804</v>
      </c>
      <c r="BW206" s="239">
        <v>0</v>
      </c>
      <c r="BX206" s="239">
        <v>-53118</v>
      </c>
      <c r="BY206" s="239">
        <v>-5311844</v>
      </c>
      <c r="BZ206" s="239">
        <v>-1346072</v>
      </c>
      <c r="CA206" s="239">
        <v>-1319150</v>
      </c>
      <c r="CB206" s="239">
        <v>0</v>
      </c>
      <c r="CC206" s="239">
        <v>-26921</v>
      </c>
      <c r="CD206" s="239">
        <v>-2692143</v>
      </c>
      <c r="CE206" s="239">
        <v>-1309850</v>
      </c>
      <c r="CF206" s="239">
        <v>-1283654</v>
      </c>
      <c r="CG206" s="239">
        <v>0</v>
      </c>
      <c r="CH206" s="239">
        <v>-26197</v>
      </c>
      <c r="CI206" s="239">
        <v>-2619701</v>
      </c>
      <c r="CJ206" s="239">
        <v>40430520</v>
      </c>
      <c r="CK206" s="239">
        <v>39621909</v>
      </c>
      <c r="CL206" s="239">
        <v>0</v>
      </c>
      <c r="CM206" s="239">
        <v>808610</v>
      </c>
      <c r="CN206" s="239">
        <v>80861039</v>
      </c>
      <c r="CO206" s="239">
        <v>41707508</v>
      </c>
      <c r="CP206" s="239">
        <v>40873357</v>
      </c>
      <c r="CQ206" s="239">
        <v>0</v>
      </c>
      <c r="CR206" s="239">
        <v>834150</v>
      </c>
      <c r="CS206" s="239">
        <v>83415015</v>
      </c>
      <c r="CT206" s="239">
        <v>1276988</v>
      </c>
      <c r="CU206" s="239">
        <v>1251448</v>
      </c>
      <c r="CV206" s="239">
        <v>0</v>
      </c>
      <c r="CW206" s="239">
        <v>25540</v>
      </c>
      <c r="CX206" s="239">
        <v>2553976</v>
      </c>
      <c r="CY206" s="239">
        <v>-32862</v>
      </c>
      <c r="CZ206" s="239">
        <v>-32206</v>
      </c>
      <c r="DA206" s="239">
        <v>0</v>
      </c>
      <c r="DB206" s="239">
        <v>-657</v>
      </c>
      <c r="DC206" s="239">
        <v>-65725</v>
      </c>
      <c r="DD206" s="214">
        <v>0.5</v>
      </c>
      <c r="DE206" s="214">
        <v>0.49</v>
      </c>
      <c r="DF206" s="214">
        <v>0</v>
      </c>
      <c r="DG206" s="214">
        <v>0.01</v>
      </c>
      <c r="DH206" s="214">
        <v>1</v>
      </c>
      <c r="DI206" s="214" t="s">
        <v>748</v>
      </c>
    </row>
    <row r="207" spans="2:113" s="214" customFormat="1" x14ac:dyDescent="0.2">
      <c r="B207" s="610" t="s">
        <v>497</v>
      </c>
      <c r="C207" s="610" t="s">
        <v>496</v>
      </c>
      <c r="D207" s="239">
        <v>32750364</v>
      </c>
      <c r="E207" s="239">
        <v>26200291</v>
      </c>
      <c r="F207" s="239">
        <v>5895065</v>
      </c>
      <c r="G207" s="239">
        <v>655007</v>
      </c>
      <c r="H207" s="239">
        <v>65500727</v>
      </c>
      <c r="I207" s="239">
        <v>0</v>
      </c>
      <c r="J207" s="239">
        <v>0</v>
      </c>
      <c r="K207" s="239">
        <v>32750364</v>
      </c>
      <c r="L207" s="239">
        <v>237714</v>
      </c>
      <c r="M207" s="239">
        <v>237714</v>
      </c>
      <c r="N207" s="239">
        <v>0</v>
      </c>
      <c r="O207" s="239">
        <v>0</v>
      </c>
      <c r="P207" s="239">
        <v>1988</v>
      </c>
      <c r="Q207" s="239">
        <v>0</v>
      </c>
      <c r="R207" s="239">
        <v>1988</v>
      </c>
      <c r="S207" s="239">
        <v>0</v>
      </c>
      <c r="T207" s="239">
        <v>0</v>
      </c>
      <c r="U207" s="239">
        <v>0</v>
      </c>
      <c r="V207" s="239">
        <v>0</v>
      </c>
      <c r="W207" s="239">
        <v>2114436</v>
      </c>
      <c r="X207" s="239">
        <v>1691549</v>
      </c>
      <c r="Y207" s="239">
        <v>380598</v>
      </c>
      <c r="Z207" s="239">
        <v>42289</v>
      </c>
      <c r="AA207" s="239">
        <v>4228872</v>
      </c>
      <c r="AB207" s="239">
        <v>-551941</v>
      </c>
      <c r="AC207" s="239">
        <v>-441554</v>
      </c>
      <c r="AD207" s="239">
        <v>-99350</v>
      </c>
      <c r="AE207" s="239">
        <v>-11039</v>
      </c>
      <c r="AF207" s="239">
        <v>-1103884</v>
      </c>
      <c r="AG207" s="239">
        <v>-1225155.8</v>
      </c>
      <c r="AH207" s="239">
        <v>-980123</v>
      </c>
      <c r="AI207" s="239">
        <v>-220527</v>
      </c>
      <c r="AJ207" s="239">
        <v>-24503</v>
      </c>
      <c r="AK207" s="239">
        <v>-2450308.7999999998</v>
      </c>
      <c r="AL207" s="239">
        <v>607025</v>
      </c>
      <c r="AM207" s="239">
        <v>485621</v>
      </c>
      <c r="AN207" s="239">
        <v>109265</v>
      </c>
      <c r="AO207" s="239">
        <v>12141</v>
      </c>
      <c r="AP207" s="239">
        <v>1214052</v>
      </c>
      <c r="AQ207" s="239">
        <v>-770008</v>
      </c>
      <c r="AR207" s="239">
        <v>-616006</v>
      </c>
      <c r="AS207" s="239">
        <v>-138601</v>
      </c>
      <c r="AT207" s="239">
        <v>-15400</v>
      </c>
      <c r="AU207" s="239">
        <v>-1540015</v>
      </c>
      <c r="AV207" s="239">
        <v>-1388138.8</v>
      </c>
      <c r="AW207" s="239">
        <v>-1110508</v>
      </c>
      <c r="AX207" s="239">
        <v>-249863</v>
      </c>
      <c r="AY207" s="239">
        <v>-27762</v>
      </c>
      <c r="AZ207" s="239">
        <v>-2776271.8</v>
      </c>
      <c r="BA207" s="239">
        <v>-4266839.2</v>
      </c>
      <c r="BB207" s="239">
        <v>-3413471</v>
      </c>
      <c r="BC207" s="239">
        <v>-768030</v>
      </c>
      <c r="BD207" s="239">
        <v>-85337</v>
      </c>
      <c r="BE207" s="239">
        <v>-8533677.1999999993</v>
      </c>
      <c r="BF207" s="239">
        <v>1114926</v>
      </c>
      <c r="BG207" s="239">
        <v>891941</v>
      </c>
      <c r="BH207" s="239">
        <v>200687</v>
      </c>
      <c r="BI207" s="239">
        <v>22299</v>
      </c>
      <c r="BJ207" s="239">
        <v>2229853</v>
      </c>
      <c r="BK207" s="239">
        <v>-1870946</v>
      </c>
      <c r="BL207" s="239">
        <v>-1496756</v>
      </c>
      <c r="BM207" s="239">
        <v>-336770</v>
      </c>
      <c r="BN207" s="239">
        <v>-37419</v>
      </c>
      <c r="BO207" s="239">
        <v>-3741891</v>
      </c>
      <c r="BP207" s="239">
        <v>-5022859.2</v>
      </c>
      <c r="BQ207" s="239">
        <v>-4018286</v>
      </c>
      <c r="BR207" s="239">
        <v>-904113</v>
      </c>
      <c r="BS207" s="239">
        <v>-100457</v>
      </c>
      <c r="BT207" s="239">
        <v>-10045715.199999999</v>
      </c>
      <c r="BU207" s="239">
        <v>-2674966</v>
      </c>
      <c r="BV207" s="239">
        <v>-2139973</v>
      </c>
      <c r="BW207" s="239">
        <v>-481494</v>
      </c>
      <c r="BX207" s="239">
        <v>-53499</v>
      </c>
      <c r="BY207" s="239">
        <v>-5349932</v>
      </c>
      <c r="BZ207" s="239">
        <v>-2450111</v>
      </c>
      <c r="CA207" s="239">
        <v>-1960088</v>
      </c>
      <c r="CB207" s="239">
        <v>-441020</v>
      </c>
      <c r="CC207" s="239">
        <v>-49002</v>
      </c>
      <c r="CD207" s="239">
        <v>-4900221</v>
      </c>
      <c r="CE207" s="239">
        <v>-224855</v>
      </c>
      <c r="CF207" s="239">
        <v>-179885</v>
      </c>
      <c r="CG207" s="239">
        <v>-40474</v>
      </c>
      <c r="CH207" s="239">
        <v>-4497</v>
      </c>
      <c r="CI207" s="239">
        <v>-449711</v>
      </c>
      <c r="CJ207" s="239">
        <v>32746129</v>
      </c>
      <c r="CK207" s="239">
        <v>26196903</v>
      </c>
      <c r="CL207" s="239">
        <v>5894303</v>
      </c>
      <c r="CM207" s="239">
        <v>654923</v>
      </c>
      <c r="CN207" s="239">
        <v>65492258</v>
      </c>
      <c r="CO207" s="239">
        <v>32750364</v>
      </c>
      <c r="CP207" s="239">
        <v>26200291</v>
      </c>
      <c r="CQ207" s="239">
        <v>5895065</v>
      </c>
      <c r="CR207" s="239">
        <v>655007</v>
      </c>
      <c r="CS207" s="239">
        <v>65500727</v>
      </c>
      <c r="CT207" s="239">
        <v>4235</v>
      </c>
      <c r="CU207" s="239">
        <v>3388</v>
      </c>
      <c r="CV207" s="239">
        <v>762</v>
      </c>
      <c r="CW207" s="239">
        <v>84</v>
      </c>
      <c r="CX207" s="239">
        <v>8469</v>
      </c>
      <c r="CY207" s="239">
        <v>-220620</v>
      </c>
      <c r="CZ207" s="239">
        <v>-176497</v>
      </c>
      <c r="DA207" s="239">
        <v>-39712</v>
      </c>
      <c r="DB207" s="239">
        <v>-4413</v>
      </c>
      <c r="DC207" s="239">
        <v>-441242</v>
      </c>
      <c r="DD207" s="214">
        <v>0.5</v>
      </c>
      <c r="DE207" s="214">
        <v>0.4</v>
      </c>
      <c r="DF207" s="214">
        <v>0.09</v>
      </c>
      <c r="DG207" s="214">
        <v>0.01</v>
      </c>
      <c r="DH207" s="214">
        <v>1</v>
      </c>
      <c r="DI207" s="214" t="s">
        <v>1294</v>
      </c>
    </row>
    <row r="208" spans="2:113" s="214" customFormat="1" x14ac:dyDescent="0.2">
      <c r="B208" s="610" t="s">
        <v>499</v>
      </c>
      <c r="C208" s="610" t="s">
        <v>498</v>
      </c>
      <c r="D208" s="239">
        <v>6534224</v>
      </c>
      <c r="E208" s="239">
        <v>5227379</v>
      </c>
      <c r="F208" s="239">
        <v>1176160</v>
      </c>
      <c r="G208" s="239">
        <v>130684</v>
      </c>
      <c r="H208" s="239">
        <v>13068447</v>
      </c>
      <c r="I208" s="239">
        <v>0</v>
      </c>
      <c r="J208" s="239">
        <v>0</v>
      </c>
      <c r="K208" s="239">
        <v>6534224</v>
      </c>
      <c r="L208" s="239">
        <v>96644</v>
      </c>
      <c r="M208" s="239">
        <v>96644</v>
      </c>
      <c r="N208" s="239">
        <v>0</v>
      </c>
      <c r="O208" s="239">
        <v>0</v>
      </c>
      <c r="P208" s="239">
        <v>174481</v>
      </c>
      <c r="Q208" s="239">
        <v>0</v>
      </c>
      <c r="R208" s="239">
        <v>174481</v>
      </c>
      <c r="S208" s="239">
        <v>0</v>
      </c>
      <c r="T208" s="239">
        <v>0</v>
      </c>
      <c r="U208" s="239">
        <v>0</v>
      </c>
      <c r="V208" s="239">
        <v>0</v>
      </c>
      <c r="W208" s="239">
        <v>233767</v>
      </c>
      <c r="X208" s="239">
        <v>187013</v>
      </c>
      <c r="Y208" s="239">
        <v>42078</v>
      </c>
      <c r="Z208" s="239">
        <v>4675</v>
      </c>
      <c r="AA208" s="239">
        <v>467533</v>
      </c>
      <c r="AB208" s="239">
        <v>-64875</v>
      </c>
      <c r="AC208" s="239">
        <v>-51900</v>
      </c>
      <c r="AD208" s="239">
        <v>-11678</v>
      </c>
      <c r="AE208" s="239">
        <v>-1298</v>
      </c>
      <c r="AF208" s="239">
        <v>-129751</v>
      </c>
      <c r="AG208" s="239">
        <v>-81258</v>
      </c>
      <c r="AH208" s="239">
        <v>-65006</v>
      </c>
      <c r="AI208" s="239">
        <v>-14626</v>
      </c>
      <c r="AJ208" s="239">
        <v>-1625</v>
      </c>
      <c r="AK208" s="239">
        <v>-162515</v>
      </c>
      <c r="AL208" s="239">
        <v>72064</v>
      </c>
      <c r="AM208" s="239">
        <v>57651</v>
      </c>
      <c r="AN208" s="239">
        <v>12971</v>
      </c>
      <c r="AO208" s="239">
        <v>1441</v>
      </c>
      <c r="AP208" s="239">
        <v>144127</v>
      </c>
      <c r="AQ208" s="239">
        <v>-112500</v>
      </c>
      <c r="AR208" s="239">
        <v>-90000</v>
      </c>
      <c r="AS208" s="239">
        <v>-20250</v>
      </c>
      <c r="AT208" s="239">
        <v>-2250</v>
      </c>
      <c r="AU208" s="239">
        <v>-225000</v>
      </c>
      <c r="AV208" s="239">
        <v>-121694</v>
      </c>
      <c r="AW208" s="239">
        <v>-97355</v>
      </c>
      <c r="AX208" s="239">
        <v>-21905</v>
      </c>
      <c r="AY208" s="239">
        <v>-2434</v>
      </c>
      <c r="AZ208" s="239">
        <v>-243388</v>
      </c>
      <c r="BA208" s="239">
        <v>-2300001</v>
      </c>
      <c r="BB208" s="239">
        <v>-1839999</v>
      </c>
      <c r="BC208" s="239">
        <v>-414000</v>
      </c>
      <c r="BD208" s="239">
        <v>-46000</v>
      </c>
      <c r="BE208" s="239">
        <v>-4600000</v>
      </c>
      <c r="BF208" s="239">
        <v>1181814</v>
      </c>
      <c r="BG208" s="239">
        <v>945450</v>
      </c>
      <c r="BH208" s="239">
        <v>212726</v>
      </c>
      <c r="BI208" s="239">
        <v>23636</v>
      </c>
      <c r="BJ208" s="239">
        <v>2363626</v>
      </c>
      <c r="BK208" s="239">
        <v>-1732000</v>
      </c>
      <c r="BL208" s="239">
        <v>-1385600</v>
      </c>
      <c r="BM208" s="239">
        <v>-311760</v>
      </c>
      <c r="BN208" s="239">
        <v>-34640</v>
      </c>
      <c r="BO208" s="239">
        <v>-3464000</v>
      </c>
      <c r="BP208" s="239">
        <v>-2850187</v>
      </c>
      <c r="BQ208" s="239">
        <v>-2280149</v>
      </c>
      <c r="BR208" s="239">
        <v>-513034</v>
      </c>
      <c r="BS208" s="239">
        <v>-57004</v>
      </c>
      <c r="BT208" s="239">
        <v>-5700374</v>
      </c>
      <c r="BU208" s="239">
        <v>-2041593</v>
      </c>
      <c r="BV208" s="239">
        <v>-1633275</v>
      </c>
      <c r="BW208" s="239">
        <v>-367487</v>
      </c>
      <c r="BX208" s="239">
        <v>-40832</v>
      </c>
      <c r="BY208" s="239">
        <v>-4083187</v>
      </c>
      <c r="BZ208" s="239">
        <v>-41513</v>
      </c>
      <c r="CA208" s="239">
        <v>-33210</v>
      </c>
      <c r="CB208" s="239">
        <v>-7472</v>
      </c>
      <c r="CC208" s="239">
        <v>-830</v>
      </c>
      <c r="CD208" s="239">
        <v>-83025</v>
      </c>
      <c r="CE208" s="239">
        <v>-2000080</v>
      </c>
      <c r="CF208" s="239">
        <v>-1600065</v>
      </c>
      <c r="CG208" s="239">
        <v>-360015</v>
      </c>
      <c r="CH208" s="239">
        <v>-40002</v>
      </c>
      <c r="CI208" s="239">
        <v>-4000162</v>
      </c>
      <c r="CJ208" s="239">
        <v>8444221</v>
      </c>
      <c r="CK208" s="239">
        <v>6755377</v>
      </c>
      <c r="CL208" s="239">
        <v>1519960</v>
      </c>
      <c r="CM208" s="239">
        <v>168884</v>
      </c>
      <c r="CN208" s="239">
        <v>16888442</v>
      </c>
      <c r="CO208" s="239">
        <v>6534224</v>
      </c>
      <c r="CP208" s="239">
        <v>5227379</v>
      </c>
      <c r="CQ208" s="239">
        <v>1176160</v>
      </c>
      <c r="CR208" s="239">
        <v>130684</v>
      </c>
      <c r="CS208" s="239">
        <v>13068447</v>
      </c>
      <c r="CT208" s="239">
        <v>-1909997</v>
      </c>
      <c r="CU208" s="239">
        <v>-1527998</v>
      </c>
      <c r="CV208" s="239">
        <v>-343800</v>
      </c>
      <c r="CW208" s="239">
        <v>-38200</v>
      </c>
      <c r="CX208" s="239">
        <v>-3819995</v>
      </c>
      <c r="CY208" s="239">
        <v>-3910077</v>
      </c>
      <c r="CZ208" s="239">
        <v>-3128063</v>
      </c>
      <c r="DA208" s="239">
        <v>-703815</v>
      </c>
      <c r="DB208" s="239">
        <v>-78202</v>
      </c>
      <c r="DC208" s="239">
        <v>-7820157</v>
      </c>
      <c r="DD208" s="214">
        <v>0.5</v>
      </c>
      <c r="DE208" s="214">
        <v>0.4</v>
      </c>
      <c r="DF208" s="214">
        <v>0.09</v>
      </c>
      <c r="DG208" s="214">
        <v>0.01</v>
      </c>
      <c r="DH208" s="214">
        <v>1</v>
      </c>
      <c r="DI208" s="214" t="s">
        <v>1294</v>
      </c>
    </row>
    <row r="209" spans="2:113" s="214" customFormat="1" x14ac:dyDescent="0.2">
      <c r="B209" s="610" t="s">
        <v>501</v>
      </c>
      <c r="C209" s="610" t="s">
        <v>500</v>
      </c>
      <c r="D209" s="239">
        <v>52517164.710000008</v>
      </c>
      <c r="E209" s="239">
        <v>51466822</v>
      </c>
      <c r="F209" s="239">
        <v>0</v>
      </c>
      <c r="G209" s="239">
        <v>1050343</v>
      </c>
      <c r="H209" s="239">
        <v>105034329.71000001</v>
      </c>
      <c r="I209" s="239">
        <v>0</v>
      </c>
      <c r="J209" s="239">
        <v>0</v>
      </c>
      <c r="K209" s="239">
        <v>52517164.710000008</v>
      </c>
      <c r="L209" s="239">
        <v>270170</v>
      </c>
      <c r="M209" s="239">
        <v>270170</v>
      </c>
      <c r="N209" s="239">
        <v>0</v>
      </c>
      <c r="O209" s="239">
        <v>0</v>
      </c>
      <c r="P209" s="239">
        <v>0</v>
      </c>
      <c r="Q209" s="239">
        <v>0</v>
      </c>
      <c r="R209" s="239">
        <v>0</v>
      </c>
      <c r="S209" s="239">
        <v>0</v>
      </c>
      <c r="T209" s="239">
        <v>0</v>
      </c>
      <c r="U209" s="239">
        <v>0</v>
      </c>
      <c r="V209" s="239">
        <v>0</v>
      </c>
      <c r="W209" s="239">
        <v>2464637</v>
      </c>
      <c r="X209" s="239">
        <v>2415345</v>
      </c>
      <c r="Y209" s="239">
        <v>0</v>
      </c>
      <c r="Z209" s="239">
        <v>49293</v>
      </c>
      <c r="AA209" s="239">
        <v>4929275</v>
      </c>
      <c r="AB209" s="239">
        <v>-1022259</v>
      </c>
      <c r="AC209" s="239">
        <v>-1001813</v>
      </c>
      <c r="AD209" s="239">
        <v>0</v>
      </c>
      <c r="AE209" s="239">
        <v>-20445</v>
      </c>
      <c r="AF209" s="239">
        <v>-2044517</v>
      </c>
      <c r="AG209" s="239">
        <v>-1275000.1000000001</v>
      </c>
      <c r="AH209" s="239">
        <v>-1249499</v>
      </c>
      <c r="AI209" s="239">
        <v>0</v>
      </c>
      <c r="AJ209" s="239">
        <v>-25500</v>
      </c>
      <c r="AK209" s="239">
        <v>-2549999.1</v>
      </c>
      <c r="AL209" s="239">
        <v>264105</v>
      </c>
      <c r="AM209" s="239">
        <v>258822</v>
      </c>
      <c r="AN209" s="239">
        <v>0</v>
      </c>
      <c r="AO209" s="239">
        <v>5282</v>
      </c>
      <c r="AP209" s="239">
        <v>528209</v>
      </c>
      <c r="AQ209" s="239">
        <v>-215397</v>
      </c>
      <c r="AR209" s="239">
        <v>-211089</v>
      </c>
      <c r="AS209" s="239">
        <v>0</v>
      </c>
      <c r="AT209" s="239">
        <v>-4308</v>
      </c>
      <c r="AU209" s="239">
        <v>-430794</v>
      </c>
      <c r="AV209" s="239">
        <v>-1226292.1000000001</v>
      </c>
      <c r="AW209" s="239">
        <v>-1201766</v>
      </c>
      <c r="AX209" s="239">
        <v>0</v>
      </c>
      <c r="AY209" s="239">
        <v>-24526</v>
      </c>
      <c r="AZ209" s="239">
        <v>-2452584.1</v>
      </c>
      <c r="BA209" s="239">
        <v>-6200000</v>
      </c>
      <c r="BB209" s="239">
        <v>-6076000</v>
      </c>
      <c r="BC209" s="239">
        <v>0</v>
      </c>
      <c r="BD209" s="239">
        <v>-124000</v>
      </c>
      <c r="BE209" s="239">
        <v>-12400000</v>
      </c>
      <c r="BF209" s="239">
        <v>1557336.7100000009</v>
      </c>
      <c r="BG209" s="239">
        <v>1526191</v>
      </c>
      <c r="BH209" s="239">
        <v>0</v>
      </c>
      <c r="BI209" s="239">
        <v>31147</v>
      </c>
      <c r="BJ209" s="239">
        <v>3114674.7100000009</v>
      </c>
      <c r="BK209" s="239">
        <v>-3607337</v>
      </c>
      <c r="BL209" s="239">
        <v>-3535191</v>
      </c>
      <c r="BM209" s="239">
        <v>0</v>
      </c>
      <c r="BN209" s="239">
        <v>-72147</v>
      </c>
      <c r="BO209" s="239">
        <v>-7214675</v>
      </c>
      <c r="BP209" s="239">
        <v>-8250000.2899999991</v>
      </c>
      <c r="BQ209" s="239">
        <v>-8085000</v>
      </c>
      <c r="BR209" s="239">
        <v>0</v>
      </c>
      <c r="BS209" s="239">
        <v>-165000</v>
      </c>
      <c r="BT209" s="239">
        <v>-16500000.289999999</v>
      </c>
      <c r="BU209" s="239">
        <v>1458000</v>
      </c>
      <c r="BV209" s="239">
        <v>1428840</v>
      </c>
      <c r="BW209" s="239">
        <v>0</v>
      </c>
      <c r="BX209" s="239">
        <v>29160</v>
      </c>
      <c r="BY209" s="239">
        <v>2916000</v>
      </c>
      <c r="BZ209" s="239">
        <v>867500</v>
      </c>
      <c r="CA209" s="239">
        <v>850150</v>
      </c>
      <c r="CB209" s="239">
        <v>0</v>
      </c>
      <c r="CC209" s="239">
        <v>17350</v>
      </c>
      <c r="CD209" s="239">
        <v>1735000</v>
      </c>
      <c r="CE209" s="239">
        <v>590500</v>
      </c>
      <c r="CF209" s="239">
        <v>578690</v>
      </c>
      <c r="CG209" s="239">
        <v>0</v>
      </c>
      <c r="CH209" s="239">
        <v>11810</v>
      </c>
      <c r="CI209" s="239">
        <v>1181000</v>
      </c>
      <c r="CJ209" s="239">
        <v>52607665</v>
      </c>
      <c r="CK209" s="239">
        <v>51555512</v>
      </c>
      <c r="CL209" s="239">
        <v>0</v>
      </c>
      <c r="CM209" s="239">
        <v>1052153</v>
      </c>
      <c r="CN209" s="239">
        <v>105215330</v>
      </c>
      <c r="CO209" s="239">
        <v>52517164.710000008</v>
      </c>
      <c r="CP209" s="239">
        <v>51466822</v>
      </c>
      <c r="CQ209" s="239">
        <v>0</v>
      </c>
      <c r="CR209" s="239">
        <v>1050343</v>
      </c>
      <c r="CS209" s="239">
        <v>105034329.71000001</v>
      </c>
      <c r="CT209" s="239">
        <v>-90500.289999991655</v>
      </c>
      <c r="CU209" s="239">
        <v>-88690</v>
      </c>
      <c r="CV209" s="239">
        <v>0</v>
      </c>
      <c r="CW209" s="239">
        <v>-1810</v>
      </c>
      <c r="CX209" s="239">
        <v>-181000.28999999166</v>
      </c>
      <c r="CY209" s="239">
        <v>499999.71000000834</v>
      </c>
      <c r="CZ209" s="239">
        <v>490000</v>
      </c>
      <c r="DA209" s="239">
        <v>0</v>
      </c>
      <c r="DB209" s="239">
        <v>10000</v>
      </c>
      <c r="DC209" s="239">
        <v>999999.71000000834</v>
      </c>
      <c r="DD209" s="214">
        <v>0.5</v>
      </c>
      <c r="DE209" s="214">
        <v>0.49</v>
      </c>
      <c r="DF209" s="214">
        <v>0</v>
      </c>
      <c r="DG209" s="214">
        <v>0.01</v>
      </c>
      <c r="DH209" s="214">
        <v>1</v>
      </c>
      <c r="DI209" s="214" t="s">
        <v>748</v>
      </c>
    </row>
    <row r="210" spans="2:113" s="214" customFormat="1" x14ac:dyDescent="0.2">
      <c r="B210" s="610" t="s">
        <v>503</v>
      </c>
      <c r="C210" s="610" t="s">
        <v>502</v>
      </c>
      <c r="D210" s="239">
        <v>25767120</v>
      </c>
      <c r="E210" s="239">
        <v>15460272</v>
      </c>
      <c r="F210" s="239">
        <v>10306848</v>
      </c>
      <c r="G210" s="239">
        <v>0</v>
      </c>
      <c r="H210" s="239">
        <v>51534240</v>
      </c>
      <c r="I210" s="239">
        <v>0</v>
      </c>
      <c r="J210" s="239">
        <v>0</v>
      </c>
      <c r="K210" s="239">
        <v>25767120</v>
      </c>
      <c r="L210" s="239">
        <v>281315</v>
      </c>
      <c r="M210" s="239">
        <v>281315</v>
      </c>
      <c r="N210" s="239">
        <v>0</v>
      </c>
      <c r="O210" s="239">
        <v>0</v>
      </c>
      <c r="P210" s="239">
        <v>0</v>
      </c>
      <c r="Q210" s="239">
        <v>0</v>
      </c>
      <c r="R210" s="239">
        <v>0</v>
      </c>
      <c r="S210" s="239">
        <v>0</v>
      </c>
      <c r="T210" s="239">
        <v>0</v>
      </c>
      <c r="U210" s="239">
        <v>0</v>
      </c>
      <c r="V210" s="239">
        <v>0</v>
      </c>
      <c r="W210" s="239">
        <v>4566922</v>
      </c>
      <c r="X210" s="239">
        <v>2740154</v>
      </c>
      <c r="Y210" s="239">
        <v>1826769</v>
      </c>
      <c r="Z210" s="239">
        <v>0</v>
      </c>
      <c r="AA210" s="239">
        <v>9133845</v>
      </c>
      <c r="AB210" s="239">
        <v>-992974</v>
      </c>
      <c r="AC210" s="239">
        <v>-595785</v>
      </c>
      <c r="AD210" s="239">
        <v>-397190</v>
      </c>
      <c r="AE210" s="239">
        <v>0</v>
      </c>
      <c r="AF210" s="239">
        <v>-1985949</v>
      </c>
      <c r="AG210" s="239">
        <v>-3705700</v>
      </c>
      <c r="AH210" s="239">
        <v>-2223420</v>
      </c>
      <c r="AI210" s="239">
        <v>-1482280</v>
      </c>
      <c r="AJ210" s="239">
        <v>0</v>
      </c>
      <c r="AK210" s="239">
        <v>-7411400</v>
      </c>
      <c r="AL210" s="239">
        <v>302646</v>
      </c>
      <c r="AM210" s="239">
        <v>181588</v>
      </c>
      <c r="AN210" s="239">
        <v>121059</v>
      </c>
      <c r="AO210" s="239">
        <v>0</v>
      </c>
      <c r="AP210" s="239">
        <v>605293</v>
      </c>
      <c r="AQ210" s="239">
        <v>-635120</v>
      </c>
      <c r="AR210" s="239">
        <v>-381072</v>
      </c>
      <c r="AS210" s="239">
        <v>-254048</v>
      </c>
      <c r="AT210" s="239">
        <v>0</v>
      </c>
      <c r="AU210" s="239">
        <v>-1270240</v>
      </c>
      <c r="AV210" s="239">
        <v>-4038174</v>
      </c>
      <c r="AW210" s="239">
        <v>-2422904</v>
      </c>
      <c r="AX210" s="239">
        <v>-1615269</v>
      </c>
      <c r="AY210" s="239">
        <v>0</v>
      </c>
      <c r="AZ210" s="239">
        <v>-8076347</v>
      </c>
      <c r="BA210" s="239">
        <v>-500000</v>
      </c>
      <c r="BB210" s="239">
        <v>-300000</v>
      </c>
      <c r="BC210" s="239">
        <v>-200000</v>
      </c>
      <c r="BD210" s="239">
        <v>0</v>
      </c>
      <c r="BE210" s="239">
        <v>-1000000</v>
      </c>
      <c r="BF210" s="239">
        <v>0</v>
      </c>
      <c r="BG210" s="239">
        <v>0</v>
      </c>
      <c r="BH210" s="239">
        <v>0</v>
      </c>
      <c r="BI210" s="239">
        <v>0</v>
      </c>
      <c r="BJ210" s="239">
        <v>0</v>
      </c>
      <c r="BK210" s="239">
        <v>0</v>
      </c>
      <c r="BL210" s="239">
        <v>0</v>
      </c>
      <c r="BM210" s="239">
        <v>0</v>
      </c>
      <c r="BN210" s="239">
        <v>0</v>
      </c>
      <c r="BO210" s="239">
        <v>0</v>
      </c>
      <c r="BP210" s="239">
        <v>-500000</v>
      </c>
      <c r="BQ210" s="239">
        <v>-300000</v>
      </c>
      <c r="BR210" s="239">
        <v>-200000</v>
      </c>
      <c r="BS210" s="239">
        <v>0</v>
      </c>
      <c r="BT210" s="239">
        <v>-1000000</v>
      </c>
      <c r="BU210" s="239">
        <v>1300500</v>
      </c>
      <c r="BV210" s="239">
        <v>780300</v>
      </c>
      <c r="BW210" s="239">
        <v>520200</v>
      </c>
      <c r="BX210" s="239">
        <v>0</v>
      </c>
      <c r="BY210" s="239">
        <v>2601000</v>
      </c>
      <c r="BZ210" s="239">
        <v>495881</v>
      </c>
      <c r="CA210" s="239">
        <v>297528</v>
      </c>
      <c r="CB210" s="239">
        <v>198352</v>
      </c>
      <c r="CC210" s="239">
        <v>0</v>
      </c>
      <c r="CD210" s="239">
        <v>991761</v>
      </c>
      <c r="CE210" s="239">
        <v>804619</v>
      </c>
      <c r="CF210" s="239">
        <v>482772</v>
      </c>
      <c r="CG210" s="239">
        <v>321848</v>
      </c>
      <c r="CH210" s="239">
        <v>0</v>
      </c>
      <c r="CI210" s="239">
        <v>1609239</v>
      </c>
      <c r="CJ210" s="239">
        <v>26208779</v>
      </c>
      <c r="CK210" s="239">
        <v>15725267</v>
      </c>
      <c r="CL210" s="239">
        <v>10483512</v>
      </c>
      <c r="CM210" s="239">
        <v>0</v>
      </c>
      <c r="CN210" s="239">
        <v>52417558</v>
      </c>
      <c r="CO210" s="239">
        <v>25767120</v>
      </c>
      <c r="CP210" s="239">
        <v>15460272</v>
      </c>
      <c r="CQ210" s="239">
        <v>10306848</v>
      </c>
      <c r="CR210" s="239">
        <v>0</v>
      </c>
      <c r="CS210" s="239">
        <v>51534240</v>
      </c>
      <c r="CT210" s="239">
        <v>-441659</v>
      </c>
      <c r="CU210" s="239">
        <v>-264995</v>
      </c>
      <c r="CV210" s="239">
        <v>-176664</v>
      </c>
      <c r="CW210" s="239">
        <v>0</v>
      </c>
      <c r="CX210" s="239">
        <v>-883318</v>
      </c>
      <c r="CY210" s="239">
        <v>362960</v>
      </c>
      <c r="CZ210" s="239">
        <v>217777</v>
      </c>
      <c r="DA210" s="239">
        <v>145184</v>
      </c>
      <c r="DB210" s="239">
        <v>0</v>
      </c>
      <c r="DC210" s="239">
        <v>725921</v>
      </c>
      <c r="DD210" s="214">
        <v>0.5</v>
      </c>
      <c r="DE210" s="214">
        <v>0.3</v>
      </c>
      <c r="DF210" s="214">
        <v>0.2</v>
      </c>
      <c r="DG210" s="214">
        <v>0</v>
      </c>
      <c r="DH210" s="214">
        <v>1</v>
      </c>
      <c r="DI210" s="214" t="s">
        <v>1295</v>
      </c>
    </row>
    <row r="211" spans="2:113" s="214" customFormat="1" x14ac:dyDescent="0.2">
      <c r="B211" s="610" t="s">
        <v>505</v>
      </c>
      <c r="C211" s="610" t="s">
        <v>504</v>
      </c>
      <c r="D211" s="239">
        <v>18636668</v>
      </c>
      <c r="E211" s="239">
        <v>18263934</v>
      </c>
      <c r="F211" s="239">
        <v>0</v>
      </c>
      <c r="G211" s="239">
        <v>372733</v>
      </c>
      <c r="H211" s="239">
        <v>37273335</v>
      </c>
      <c r="I211" s="239">
        <v>0</v>
      </c>
      <c r="J211" s="239">
        <v>0</v>
      </c>
      <c r="K211" s="239">
        <v>18636668</v>
      </c>
      <c r="L211" s="239">
        <v>169391</v>
      </c>
      <c r="M211" s="239">
        <v>169391</v>
      </c>
      <c r="N211" s="239">
        <v>0</v>
      </c>
      <c r="O211" s="239">
        <v>0</v>
      </c>
      <c r="P211" s="239">
        <v>0</v>
      </c>
      <c r="Q211" s="239">
        <v>0</v>
      </c>
      <c r="R211" s="239">
        <v>0</v>
      </c>
      <c r="S211" s="239">
        <v>0</v>
      </c>
      <c r="T211" s="239">
        <v>0</v>
      </c>
      <c r="U211" s="239">
        <v>0</v>
      </c>
      <c r="V211" s="239">
        <v>0</v>
      </c>
      <c r="W211" s="239">
        <v>6269124</v>
      </c>
      <c r="X211" s="239">
        <v>6143743</v>
      </c>
      <c r="Y211" s="239">
        <v>0</v>
      </c>
      <c r="Z211" s="239">
        <v>125383</v>
      </c>
      <c r="AA211" s="239">
        <v>12538250</v>
      </c>
      <c r="AB211" s="239">
        <v>-80615</v>
      </c>
      <c r="AC211" s="239">
        <v>-79003</v>
      </c>
      <c r="AD211" s="239">
        <v>0</v>
      </c>
      <c r="AE211" s="239">
        <v>-1612</v>
      </c>
      <c r="AF211" s="239">
        <v>-161230</v>
      </c>
      <c r="AG211" s="239">
        <v>-739632</v>
      </c>
      <c r="AH211" s="239">
        <v>-724840</v>
      </c>
      <c r="AI211" s="239">
        <v>0</v>
      </c>
      <c r="AJ211" s="239">
        <v>-14793</v>
      </c>
      <c r="AK211" s="239">
        <v>-1479265</v>
      </c>
      <c r="AL211" s="239">
        <v>142420</v>
      </c>
      <c r="AM211" s="239">
        <v>139572</v>
      </c>
      <c r="AN211" s="239">
        <v>0</v>
      </c>
      <c r="AO211" s="239">
        <v>2848</v>
      </c>
      <c r="AP211" s="239">
        <v>284840</v>
      </c>
      <c r="AQ211" s="239">
        <v>-5420358</v>
      </c>
      <c r="AR211" s="239">
        <v>-5311951</v>
      </c>
      <c r="AS211" s="239">
        <v>0</v>
      </c>
      <c r="AT211" s="239">
        <v>-108407</v>
      </c>
      <c r="AU211" s="239">
        <v>-10840716</v>
      </c>
      <c r="AV211" s="239">
        <v>-6017570</v>
      </c>
      <c r="AW211" s="239">
        <v>-5897219</v>
      </c>
      <c r="AX211" s="239">
        <v>0</v>
      </c>
      <c r="AY211" s="239">
        <v>-120352</v>
      </c>
      <c r="AZ211" s="239">
        <v>-12035141</v>
      </c>
      <c r="BA211" s="239">
        <v>-2399110.2999999998</v>
      </c>
      <c r="BB211" s="239">
        <v>-2351129</v>
      </c>
      <c r="BC211" s="239">
        <v>0</v>
      </c>
      <c r="BD211" s="239">
        <v>-47982</v>
      </c>
      <c r="BE211" s="239">
        <v>-4798221.3</v>
      </c>
      <c r="BF211" s="239">
        <v>727760</v>
      </c>
      <c r="BG211" s="239">
        <v>713205</v>
      </c>
      <c r="BH211" s="239">
        <v>0</v>
      </c>
      <c r="BI211" s="239">
        <v>14555</v>
      </c>
      <c r="BJ211" s="239">
        <v>1455520</v>
      </c>
      <c r="BK211" s="239">
        <v>-691218</v>
      </c>
      <c r="BL211" s="239">
        <v>-677394</v>
      </c>
      <c r="BM211" s="239">
        <v>0</v>
      </c>
      <c r="BN211" s="239">
        <v>-13824</v>
      </c>
      <c r="BO211" s="239">
        <v>-1382436</v>
      </c>
      <c r="BP211" s="239">
        <v>-2362568.2999999998</v>
      </c>
      <c r="BQ211" s="239">
        <v>-2315318</v>
      </c>
      <c r="BR211" s="239">
        <v>0</v>
      </c>
      <c r="BS211" s="239">
        <v>-47251</v>
      </c>
      <c r="BT211" s="239">
        <v>-4725137.3</v>
      </c>
      <c r="BU211" s="239">
        <v>14599412</v>
      </c>
      <c r="BV211" s="239">
        <v>14307423</v>
      </c>
      <c r="BW211" s="239">
        <v>0</v>
      </c>
      <c r="BX211" s="239">
        <v>291988</v>
      </c>
      <c r="BY211" s="239">
        <v>29198823</v>
      </c>
      <c r="BZ211" s="239">
        <v>13934680</v>
      </c>
      <c r="CA211" s="239">
        <v>13655986</v>
      </c>
      <c r="CB211" s="239">
        <v>0</v>
      </c>
      <c r="CC211" s="239">
        <v>278694</v>
      </c>
      <c r="CD211" s="239">
        <v>27869360</v>
      </c>
      <c r="CE211" s="239">
        <v>664732</v>
      </c>
      <c r="CF211" s="239">
        <v>651437</v>
      </c>
      <c r="CG211" s="239">
        <v>0</v>
      </c>
      <c r="CH211" s="239">
        <v>13294</v>
      </c>
      <c r="CI211" s="239">
        <v>1329463</v>
      </c>
      <c r="CJ211" s="239">
        <v>23696721</v>
      </c>
      <c r="CK211" s="239">
        <v>23222787</v>
      </c>
      <c r="CL211" s="239">
        <v>0</v>
      </c>
      <c r="CM211" s="239">
        <v>473934</v>
      </c>
      <c r="CN211" s="239">
        <v>47393442</v>
      </c>
      <c r="CO211" s="239">
        <v>18636668</v>
      </c>
      <c r="CP211" s="239">
        <v>18263934</v>
      </c>
      <c r="CQ211" s="239">
        <v>0</v>
      </c>
      <c r="CR211" s="239">
        <v>372733</v>
      </c>
      <c r="CS211" s="239">
        <v>37273335</v>
      </c>
      <c r="CT211" s="239">
        <v>-5060053</v>
      </c>
      <c r="CU211" s="239">
        <v>-4958853</v>
      </c>
      <c r="CV211" s="239">
        <v>0</v>
      </c>
      <c r="CW211" s="239">
        <v>-101201</v>
      </c>
      <c r="CX211" s="239">
        <v>-10120107</v>
      </c>
      <c r="CY211" s="239">
        <v>-4395321</v>
      </c>
      <c r="CZ211" s="239">
        <v>-4307416</v>
      </c>
      <c r="DA211" s="239">
        <v>0</v>
      </c>
      <c r="DB211" s="239">
        <v>-87907</v>
      </c>
      <c r="DC211" s="239">
        <v>-8790644</v>
      </c>
      <c r="DD211" s="214">
        <v>0.5</v>
      </c>
      <c r="DE211" s="214">
        <v>0.49</v>
      </c>
      <c r="DF211" s="214">
        <v>0</v>
      </c>
      <c r="DG211" s="214">
        <v>0.01</v>
      </c>
      <c r="DH211" s="214">
        <v>1</v>
      </c>
      <c r="DI211" s="214" t="s">
        <v>748</v>
      </c>
    </row>
    <row r="212" spans="2:113" s="214" customFormat="1" x14ac:dyDescent="0.2">
      <c r="B212" s="610" t="s">
        <v>507</v>
      </c>
      <c r="C212" s="610" t="s">
        <v>506</v>
      </c>
      <c r="D212" s="239">
        <v>18472809</v>
      </c>
      <c r="E212" s="239">
        <v>14778246</v>
      </c>
      <c r="F212" s="239">
        <v>3325105</v>
      </c>
      <c r="G212" s="239">
        <v>369456</v>
      </c>
      <c r="H212" s="239">
        <v>36945616</v>
      </c>
      <c r="I212" s="239">
        <v>0</v>
      </c>
      <c r="J212" s="239">
        <v>0</v>
      </c>
      <c r="K212" s="239">
        <v>18472809</v>
      </c>
      <c r="L212" s="239">
        <v>109875</v>
      </c>
      <c r="M212" s="239">
        <v>109875</v>
      </c>
      <c r="N212" s="239">
        <v>0</v>
      </c>
      <c r="O212" s="239">
        <v>0</v>
      </c>
      <c r="P212" s="239">
        <v>0</v>
      </c>
      <c r="Q212" s="239">
        <v>0</v>
      </c>
      <c r="R212" s="239">
        <v>0</v>
      </c>
      <c r="S212" s="239">
        <v>0</v>
      </c>
      <c r="T212" s="239">
        <v>0</v>
      </c>
      <c r="U212" s="239">
        <v>0</v>
      </c>
      <c r="V212" s="239">
        <v>0</v>
      </c>
      <c r="W212" s="239">
        <v>1394033</v>
      </c>
      <c r="X212" s="239">
        <v>1115227</v>
      </c>
      <c r="Y212" s="239">
        <v>250926</v>
      </c>
      <c r="Z212" s="239">
        <v>27881</v>
      </c>
      <c r="AA212" s="239">
        <v>2788067</v>
      </c>
      <c r="AB212" s="239">
        <v>-171041</v>
      </c>
      <c r="AC212" s="239">
        <v>-136834</v>
      </c>
      <c r="AD212" s="239">
        <v>-30788</v>
      </c>
      <c r="AE212" s="239">
        <v>-3421</v>
      </c>
      <c r="AF212" s="239">
        <v>-342084</v>
      </c>
      <c r="AG212" s="239">
        <v>-619415</v>
      </c>
      <c r="AH212" s="239">
        <v>-495531</v>
      </c>
      <c r="AI212" s="239">
        <v>-111494</v>
      </c>
      <c r="AJ212" s="239">
        <v>-12388</v>
      </c>
      <c r="AK212" s="239">
        <v>-1238828</v>
      </c>
      <c r="AL212" s="239">
        <v>87108</v>
      </c>
      <c r="AM212" s="239">
        <v>69686</v>
      </c>
      <c r="AN212" s="239">
        <v>15679</v>
      </c>
      <c r="AO212" s="239">
        <v>1742</v>
      </c>
      <c r="AP212" s="239">
        <v>174215</v>
      </c>
      <c r="AQ212" s="239">
        <v>-417455</v>
      </c>
      <c r="AR212" s="239">
        <v>-333964</v>
      </c>
      <c r="AS212" s="239">
        <v>-75142</v>
      </c>
      <c r="AT212" s="239">
        <v>-8349</v>
      </c>
      <c r="AU212" s="239">
        <v>-834910</v>
      </c>
      <c r="AV212" s="239">
        <v>-949762</v>
      </c>
      <c r="AW212" s="239">
        <v>-759809</v>
      </c>
      <c r="AX212" s="239">
        <v>-170957</v>
      </c>
      <c r="AY212" s="239">
        <v>-18995</v>
      </c>
      <c r="AZ212" s="239">
        <v>-1899523</v>
      </c>
      <c r="BA212" s="239">
        <v>-1793546</v>
      </c>
      <c r="BB212" s="239">
        <v>-1434837</v>
      </c>
      <c r="BC212" s="239">
        <v>-322838</v>
      </c>
      <c r="BD212" s="239">
        <v>-35871</v>
      </c>
      <c r="BE212" s="239">
        <v>-3587092</v>
      </c>
      <c r="BF212" s="239">
        <v>409961</v>
      </c>
      <c r="BG212" s="239">
        <v>327968</v>
      </c>
      <c r="BH212" s="239">
        <v>73793</v>
      </c>
      <c r="BI212" s="239">
        <v>8199</v>
      </c>
      <c r="BJ212" s="239">
        <v>819921</v>
      </c>
      <c r="BK212" s="239">
        <v>140037</v>
      </c>
      <c r="BL212" s="239">
        <v>112030</v>
      </c>
      <c r="BM212" s="239">
        <v>25207</v>
      </c>
      <c r="BN212" s="239">
        <v>2801</v>
      </c>
      <c r="BO212" s="239">
        <v>280075</v>
      </c>
      <c r="BP212" s="239">
        <v>-1243548</v>
      </c>
      <c r="BQ212" s="239">
        <v>-994839</v>
      </c>
      <c r="BR212" s="239">
        <v>-223838</v>
      </c>
      <c r="BS212" s="239">
        <v>-24871</v>
      </c>
      <c r="BT212" s="239">
        <v>-2487096</v>
      </c>
      <c r="BU212" s="239">
        <v>-2021063</v>
      </c>
      <c r="BV212" s="239">
        <v>-1616850</v>
      </c>
      <c r="BW212" s="239">
        <v>-363791</v>
      </c>
      <c r="BX212" s="239">
        <v>-40421</v>
      </c>
      <c r="BY212" s="239">
        <v>-4042125</v>
      </c>
      <c r="BZ212" s="239">
        <v>-1143209.1000000001</v>
      </c>
      <c r="CA212" s="239">
        <v>-914566</v>
      </c>
      <c r="CB212" s="239">
        <v>-205777</v>
      </c>
      <c r="CC212" s="239">
        <v>-22864</v>
      </c>
      <c r="CD212" s="239">
        <v>-2286416.1</v>
      </c>
      <c r="CE212" s="239">
        <v>-877853.89999999991</v>
      </c>
      <c r="CF212" s="239">
        <v>-702284</v>
      </c>
      <c r="CG212" s="239">
        <v>-158014</v>
      </c>
      <c r="CH212" s="239">
        <v>-17557</v>
      </c>
      <c r="CI212" s="239">
        <v>-1755708.9</v>
      </c>
      <c r="CJ212" s="239">
        <v>18361715</v>
      </c>
      <c r="CK212" s="239">
        <v>14689372</v>
      </c>
      <c r="CL212" s="239">
        <v>3305109</v>
      </c>
      <c r="CM212" s="239">
        <v>367234</v>
      </c>
      <c r="CN212" s="239">
        <v>36723430</v>
      </c>
      <c r="CO212" s="239">
        <v>18472809</v>
      </c>
      <c r="CP212" s="239">
        <v>14778246</v>
      </c>
      <c r="CQ212" s="239">
        <v>3325105</v>
      </c>
      <c r="CR212" s="239">
        <v>369456</v>
      </c>
      <c r="CS212" s="239">
        <v>36945616</v>
      </c>
      <c r="CT212" s="239">
        <v>111094</v>
      </c>
      <c r="CU212" s="239">
        <v>88874</v>
      </c>
      <c r="CV212" s="239">
        <v>19996</v>
      </c>
      <c r="CW212" s="239">
        <v>2222</v>
      </c>
      <c r="CX212" s="239">
        <v>222186</v>
      </c>
      <c r="CY212" s="239">
        <v>-766759.89999999991</v>
      </c>
      <c r="CZ212" s="239">
        <v>-613410</v>
      </c>
      <c r="DA212" s="239">
        <v>-138018</v>
      </c>
      <c r="DB212" s="239">
        <v>-15335</v>
      </c>
      <c r="DC212" s="239">
        <v>-1533522.9</v>
      </c>
      <c r="DD212" s="214">
        <v>0.5</v>
      </c>
      <c r="DE212" s="214">
        <v>0.4</v>
      </c>
      <c r="DF212" s="214">
        <v>0.09</v>
      </c>
      <c r="DG212" s="214">
        <v>0.01</v>
      </c>
      <c r="DH212" s="214">
        <v>1</v>
      </c>
      <c r="DI212" s="214" t="s">
        <v>1294</v>
      </c>
    </row>
    <row r="213" spans="2:113" s="214" customFormat="1" x14ac:dyDescent="0.2">
      <c r="B213" s="610" t="s">
        <v>509</v>
      </c>
      <c r="C213" s="610" t="s">
        <v>508</v>
      </c>
      <c r="D213" s="239">
        <v>24014907</v>
      </c>
      <c r="E213" s="239">
        <v>19211926</v>
      </c>
      <c r="F213" s="239">
        <v>4802982</v>
      </c>
      <c r="G213" s="239">
        <v>0</v>
      </c>
      <c r="H213" s="239">
        <v>48029815</v>
      </c>
      <c r="I213" s="239">
        <v>0</v>
      </c>
      <c r="J213" s="239">
        <v>0</v>
      </c>
      <c r="K213" s="239">
        <v>24014907</v>
      </c>
      <c r="L213" s="239">
        <v>175241</v>
      </c>
      <c r="M213" s="239">
        <v>175241</v>
      </c>
      <c r="N213" s="239">
        <v>0</v>
      </c>
      <c r="O213" s="239">
        <v>0</v>
      </c>
      <c r="P213" s="239">
        <v>0</v>
      </c>
      <c r="Q213" s="239">
        <v>0</v>
      </c>
      <c r="R213" s="239">
        <v>0</v>
      </c>
      <c r="S213" s="239">
        <v>0</v>
      </c>
      <c r="T213" s="239">
        <v>0</v>
      </c>
      <c r="U213" s="239">
        <v>0</v>
      </c>
      <c r="V213" s="239">
        <v>0</v>
      </c>
      <c r="W213" s="239">
        <v>305685</v>
      </c>
      <c r="X213" s="239">
        <v>244548</v>
      </c>
      <c r="Y213" s="239">
        <v>61137</v>
      </c>
      <c r="Z213" s="239">
        <v>0</v>
      </c>
      <c r="AA213" s="239">
        <v>611370</v>
      </c>
      <c r="AB213" s="239">
        <v>-764267</v>
      </c>
      <c r="AC213" s="239">
        <v>-611414</v>
      </c>
      <c r="AD213" s="239">
        <v>-152854</v>
      </c>
      <c r="AE213" s="239">
        <v>0</v>
      </c>
      <c r="AF213" s="239">
        <v>-1528535</v>
      </c>
      <c r="AG213" s="239">
        <v>-55407.1</v>
      </c>
      <c r="AH213" s="239">
        <v>-44326</v>
      </c>
      <c r="AI213" s="239">
        <v>-11081</v>
      </c>
      <c r="AJ213" s="239">
        <v>0</v>
      </c>
      <c r="AK213" s="239">
        <v>-110814.1</v>
      </c>
      <c r="AL213" s="239">
        <v>18756</v>
      </c>
      <c r="AM213" s="239">
        <v>15005</v>
      </c>
      <c r="AN213" s="239">
        <v>3751</v>
      </c>
      <c r="AO213" s="239">
        <v>0</v>
      </c>
      <c r="AP213" s="239">
        <v>37512</v>
      </c>
      <c r="AQ213" s="239">
        <v>-31753</v>
      </c>
      <c r="AR213" s="239">
        <v>-25402</v>
      </c>
      <c r="AS213" s="239">
        <v>-6351</v>
      </c>
      <c r="AT213" s="239">
        <v>0</v>
      </c>
      <c r="AU213" s="239">
        <v>-63506</v>
      </c>
      <c r="AV213" s="239">
        <v>-68404.100000000006</v>
      </c>
      <c r="AW213" s="239">
        <v>-54723</v>
      </c>
      <c r="AX213" s="239">
        <v>-13681</v>
      </c>
      <c r="AY213" s="239">
        <v>0</v>
      </c>
      <c r="AZ213" s="239">
        <v>-136808.1</v>
      </c>
      <c r="BA213" s="239">
        <v>-1135757</v>
      </c>
      <c r="BB213" s="239">
        <v>-908608</v>
      </c>
      <c r="BC213" s="239">
        <v>-227153</v>
      </c>
      <c r="BD213" s="239">
        <v>0</v>
      </c>
      <c r="BE213" s="239">
        <v>-2271518</v>
      </c>
      <c r="BF213" s="239">
        <v>341013</v>
      </c>
      <c r="BG213" s="239">
        <v>272811</v>
      </c>
      <c r="BH213" s="239">
        <v>68203</v>
      </c>
      <c r="BI213" s="239">
        <v>0</v>
      </c>
      <c r="BJ213" s="239">
        <v>682027</v>
      </c>
      <c r="BK213" s="239">
        <v>-1045037</v>
      </c>
      <c r="BL213" s="239">
        <v>-836030</v>
      </c>
      <c r="BM213" s="239">
        <v>-209007</v>
      </c>
      <c r="BN213" s="239">
        <v>0</v>
      </c>
      <c r="BO213" s="239">
        <v>-2090074</v>
      </c>
      <c r="BP213" s="239">
        <v>-1839781</v>
      </c>
      <c r="BQ213" s="239">
        <v>-1471827</v>
      </c>
      <c r="BR213" s="239">
        <v>-367957</v>
      </c>
      <c r="BS213" s="239">
        <v>0</v>
      </c>
      <c r="BT213" s="239">
        <v>-3679565</v>
      </c>
      <c r="BU213" s="239">
        <v>-1098453</v>
      </c>
      <c r="BV213" s="239">
        <v>-878763</v>
      </c>
      <c r="BW213" s="239">
        <v>-219691</v>
      </c>
      <c r="BX213" s="239">
        <v>0</v>
      </c>
      <c r="BY213" s="239">
        <v>-2196907</v>
      </c>
      <c r="BZ213" s="239">
        <v>-701427</v>
      </c>
      <c r="CA213" s="239">
        <v>-561142</v>
      </c>
      <c r="CB213" s="239">
        <v>-140286</v>
      </c>
      <c r="CC213" s="239">
        <v>0</v>
      </c>
      <c r="CD213" s="239">
        <v>-1402855</v>
      </c>
      <c r="CE213" s="239">
        <v>-397026</v>
      </c>
      <c r="CF213" s="239">
        <v>-317621</v>
      </c>
      <c r="CG213" s="239">
        <v>-79405</v>
      </c>
      <c r="CH213" s="239">
        <v>0</v>
      </c>
      <c r="CI213" s="239">
        <v>-794052</v>
      </c>
      <c r="CJ213" s="239">
        <v>24403433</v>
      </c>
      <c r="CK213" s="239">
        <v>19522746</v>
      </c>
      <c r="CL213" s="239">
        <v>4880687</v>
      </c>
      <c r="CM213" s="239">
        <v>0</v>
      </c>
      <c r="CN213" s="239">
        <v>48806866</v>
      </c>
      <c r="CO213" s="239">
        <v>24014907</v>
      </c>
      <c r="CP213" s="239">
        <v>19211926</v>
      </c>
      <c r="CQ213" s="239">
        <v>4802982</v>
      </c>
      <c r="CR213" s="239">
        <v>0</v>
      </c>
      <c r="CS213" s="239">
        <v>48029815</v>
      </c>
      <c r="CT213" s="239">
        <v>-388526</v>
      </c>
      <c r="CU213" s="239">
        <v>-310820</v>
      </c>
      <c r="CV213" s="239">
        <v>-77705</v>
      </c>
      <c r="CW213" s="239">
        <v>0</v>
      </c>
      <c r="CX213" s="239">
        <v>-777051</v>
      </c>
      <c r="CY213" s="239">
        <v>-785552</v>
      </c>
      <c r="CZ213" s="239">
        <v>-628441</v>
      </c>
      <c r="DA213" s="239">
        <v>-157110</v>
      </c>
      <c r="DB213" s="239">
        <v>0</v>
      </c>
      <c r="DC213" s="239">
        <v>-1571103</v>
      </c>
      <c r="DD213" s="214">
        <v>0.5</v>
      </c>
      <c r="DE213" s="214">
        <v>0.4</v>
      </c>
      <c r="DF213" s="214">
        <v>0.1</v>
      </c>
      <c r="DG213" s="214">
        <v>0</v>
      </c>
      <c r="DH213" s="214">
        <v>1</v>
      </c>
      <c r="DI213" s="214" t="s">
        <v>1294</v>
      </c>
    </row>
    <row r="214" spans="2:113" s="214" customFormat="1" x14ac:dyDescent="0.2">
      <c r="B214" s="610" t="s">
        <v>511</v>
      </c>
      <c r="C214" s="610" t="s">
        <v>510</v>
      </c>
      <c r="D214" s="239">
        <v>6848286</v>
      </c>
      <c r="E214" s="239">
        <v>5478629</v>
      </c>
      <c r="F214" s="239">
        <v>1232692</v>
      </c>
      <c r="G214" s="239">
        <v>136966</v>
      </c>
      <c r="H214" s="239">
        <v>13696573</v>
      </c>
      <c r="I214" s="239">
        <v>0</v>
      </c>
      <c r="J214" s="239">
        <v>0</v>
      </c>
      <c r="K214" s="239">
        <v>6848286</v>
      </c>
      <c r="L214" s="239">
        <v>90494</v>
      </c>
      <c r="M214" s="239">
        <v>90494</v>
      </c>
      <c r="N214" s="239">
        <v>17772</v>
      </c>
      <c r="O214" s="239">
        <v>17772</v>
      </c>
      <c r="P214" s="239">
        <v>11595</v>
      </c>
      <c r="Q214" s="239">
        <v>0</v>
      </c>
      <c r="R214" s="239">
        <v>11595</v>
      </c>
      <c r="S214" s="239">
        <v>0</v>
      </c>
      <c r="T214" s="239">
        <v>0</v>
      </c>
      <c r="U214" s="239">
        <v>0</v>
      </c>
      <c r="V214" s="239">
        <v>0</v>
      </c>
      <c r="W214" s="239">
        <v>319468</v>
      </c>
      <c r="X214" s="239">
        <v>255574</v>
      </c>
      <c r="Y214" s="239">
        <v>57504</v>
      </c>
      <c r="Z214" s="239">
        <v>6389</v>
      </c>
      <c r="AA214" s="239">
        <v>638935</v>
      </c>
      <c r="AB214" s="239">
        <v>-47964</v>
      </c>
      <c r="AC214" s="239">
        <v>-38371</v>
      </c>
      <c r="AD214" s="239">
        <v>-8634</v>
      </c>
      <c r="AE214" s="239">
        <v>-959</v>
      </c>
      <c r="AF214" s="239">
        <v>-95928</v>
      </c>
      <c r="AG214" s="239">
        <v>-165000</v>
      </c>
      <c r="AH214" s="239">
        <v>-132000</v>
      </c>
      <c r="AI214" s="239">
        <v>-29700</v>
      </c>
      <c r="AJ214" s="239">
        <v>-3300</v>
      </c>
      <c r="AK214" s="239">
        <v>-330000</v>
      </c>
      <c r="AL214" s="239">
        <v>49325</v>
      </c>
      <c r="AM214" s="239">
        <v>39459</v>
      </c>
      <c r="AN214" s="239">
        <v>8878</v>
      </c>
      <c r="AO214" s="239">
        <v>986</v>
      </c>
      <c r="AP214" s="239">
        <v>98648</v>
      </c>
      <c r="AQ214" s="239">
        <v>-71825</v>
      </c>
      <c r="AR214" s="239">
        <v>-57459</v>
      </c>
      <c r="AS214" s="239">
        <v>-12928</v>
      </c>
      <c r="AT214" s="239">
        <v>-1436</v>
      </c>
      <c r="AU214" s="239">
        <v>-143648</v>
      </c>
      <c r="AV214" s="239">
        <v>-187500</v>
      </c>
      <c r="AW214" s="239">
        <v>-150000</v>
      </c>
      <c r="AX214" s="239">
        <v>-33750</v>
      </c>
      <c r="AY214" s="239">
        <v>-3750</v>
      </c>
      <c r="AZ214" s="239">
        <v>-375000</v>
      </c>
      <c r="BA214" s="239">
        <v>-233600</v>
      </c>
      <c r="BB214" s="239">
        <v>-186880</v>
      </c>
      <c r="BC214" s="239">
        <v>-42048</v>
      </c>
      <c r="BD214" s="239">
        <v>-4672</v>
      </c>
      <c r="BE214" s="239">
        <v>-467200</v>
      </c>
      <c r="BF214" s="239">
        <v>0</v>
      </c>
      <c r="BG214" s="239">
        <v>0</v>
      </c>
      <c r="BH214" s="239">
        <v>0</v>
      </c>
      <c r="BI214" s="239">
        <v>0</v>
      </c>
      <c r="BJ214" s="239">
        <v>0</v>
      </c>
      <c r="BK214" s="239">
        <v>-352150</v>
      </c>
      <c r="BL214" s="239">
        <v>-281720</v>
      </c>
      <c r="BM214" s="239">
        <v>-63387</v>
      </c>
      <c r="BN214" s="239">
        <v>-7043</v>
      </c>
      <c r="BO214" s="239">
        <v>-704300</v>
      </c>
      <c r="BP214" s="239">
        <v>-585750</v>
      </c>
      <c r="BQ214" s="239">
        <v>-468600</v>
      </c>
      <c r="BR214" s="239">
        <v>-105435</v>
      </c>
      <c r="BS214" s="239">
        <v>-11715</v>
      </c>
      <c r="BT214" s="239">
        <v>-1171500</v>
      </c>
      <c r="BU214" s="239">
        <v>-111120</v>
      </c>
      <c r="BV214" s="239">
        <v>-88895</v>
      </c>
      <c r="BW214" s="239">
        <v>-20001</v>
      </c>
      <c r="BX214" s="239">
        <v>-2222</v>
      </c>
      <c r="BY214" s="239">
        <v>-222238</v>
      </c>
      <c r="BZ214" s="239">
        <v>-57670</v>
      </c>
      <c r="CA214" s="239">
        <v>-46136</v>
      </c>
      <c r="CB214" s="239">
        <v>-10381</v>
      </c>
      <c r="CC214" s="239">
        <v>-1153</v>
      </c>
      <c r="CD214" s="239">
        <v>-115340</v>
      </c>
      <c r="CE214" s="239">
        <v>-53450</v>
      </c>
      <c r="CF214" s="239">
        <v>-42759</v>
      </c>
      <c r="CG214" s="239">
        <v>-9620</v>
      </c>
      <c r="CH214" s="239">
        <v>-1069</v>
      </c>
      <c r="CI214" s="239">
        <v>-106898</v>
      </c>
      <c r="CJ214" s="239">
        <v>7254738</v>
      </c>
      <c r="CK214" s="239">
        <v>5803790</v>
      </c>
      <c r="CL214" s="239">
        <v>1305853</v>
      </c>
      <c r="CM214" s="239">
        <v>145095</v>
      </c>
      <c r="CN214" s="239">
        <v>14509476</v>
      </c>
      <c r="CO214" s="239">
        <v>6848286</v>
      </c>
      <c r="CP214" s="239">
        <v>5478629</v>
      </c>
      <c r="CQ214" s="239">
        <v>1232692</v>
      </c>
      <c r="CR214" s="239">
        <v>136966</v>
      </c>
      <c r="CS214" s="239">
        <v>13696573</v>
      </c>
      <c r="CT214" s="239">
        <v>-406452</v>
      </c>
      <c r="CU214" s="239">
        <v>-325161</v>
      </c>
      <c r="CV214" s="239">
        <v>-73161</v>
      </c>
      <c r="CW214" s="239">
        <v>-8129</v>
      </c>
      <c r="CX214" s="239">
        <v>-812903</v>
      </c>
      <c r="CY214" s="239">
        <v>-459902</v>
      </c>
      <c r="CZ214" s="239">
        <v>-367920</v>
      </c>
      <c r="DA214" s="239">
        <v>-82781</v>
      </c>
      <c r="DB214" s="239">
        <v>-9198</v>
      </c>
      <c r="DC214" s="239">
        <v>-919801</v>
      </c>
      <c r="DD214" s="214">
        <v>0.5</v>
      </c>
      <c r="DE214" s="214">
        <v>0.4</v>
      </c>
      <c r="DF214" s="214">
        <v>0.09</v>
      </c>
      <c r="DG214" s="214">
        <v>0.01</v>
      </c>
      <c r="DH214" s="214">
        <v>1</v>
      </c>
      <c r="DI214" s="214" t="s">
        <v>1294</v>
      </c>
    </row>
    <row r="215" spans="2:113" s="214" customFormat="1" x14ac:dyDescent="0.2">
      <c r="B215" s="610" t="s">
        <v>513</v>
      </c>
      <c r="C215" s="610" t="s">
        <v>512</v>
      </c>
      <c r="D215" s="239">
        <v>38925329</v>
      </c>
      <c r="E215" s="239">
        <v>23355197</v>
      </c>
      <c r="F215" s="239">
        <v>15570131</v>
      </c>
      <c r="G215" s="239">
        <v>0</v>
      </c>
      <c r="H215" s="239">
        <v>77850657</v>
      </c>
      <c r="I215" s="239">
        <v>0</v>
      </c>
      <c r="J215" s="239">
        <v>0</v>
      </c>
      <c r="K215" s="239">
        <v>38925329</v>
      </c>
      <c r="L215" s="239">
        <v>299392</v>
      </c>
      <c r="M215" s="239">
        <v>299392</v>
      </c>
      <c r="N215" s="239">
        <v>0</v>
      </c>
      <c r="O215" s="239">
        <v>0</v>
      </c>
      <c r="P215" s="239">
        <v>0</v>
      </c>
      <c r="Q215" s="239">
        <v>0</v>
      </c>
      <c r="R215" s="239">
        <v>0</v>
      </c>
      <c r="S215" s="239">
        <v>0</v>
      </c>
      <c r="T215" s="239">
        <v>0</v>
      </c>
      <c r="U215" s="239">
        <v>0</v>
      </c>
      <c r="V215" s="239">
        <v>0</v>
      </c>
      <c r="W215" s="239">
        <v>2063789</v>
      </c>
      <c r="X215" s="239">
        <v>1238273</v>
      </c>
      <c r="Y215" s="239">
        <v>825516</v>
      </c>
      <c r="Z215" s="239">
        <v>0</v>
      </c>
      <c r="AA215" s="239">
        <v>4127578</v>
      </c>
      <c r="AB215" s="239">
        <v>-1107407</v>
      </c>
      <c r="AC215" s="239">
        <v>-664445</v>
      </c>
      <c r="AD215" s="239">
        <v>-442963</v>
      </c>
      <c r="AE215" s="239">
        <v>0</v>
      </c>
      <c r="AF215" s="239">
        <v>-2214815</v>
      </c>
      <c r="AG215" s="239">
        <v>-149837</v>
      </c>
      <c r="AH215" s="239">
        <v>-89902</v>
      </c>
      <c r="AI215" s="239">
        <v>-59935</v>
      </c>
      <c r="AJ215" s="239">
        <v>0</v>
      </c>
      <c r="AK215" s="239">
        <v>-299674</v>
      </c>
      <c r="AL215" s="239">
        <v>0</v>
      </c>
      <c r="AM215" s="239">
        <v>0</v>
      </c>
      <c r="AN215" s="239">
        <v>0</v>
      </c>
      <c r="AO215" s="239">
        <v>0</v>
      </c>
      <c r="AP215" s="239">
        <v>0</v>
      </c>
      <c r="AQ215" s="239">
        <v>112797</v>
      </c>
      <c r="AR215" s="239">
        <v>67678</v>
      </c>
      <c r="AS215" s="239">
        <v>45119</v>
      </c>
      <c r="AT215" s="239">
        <v>0</v>
      </c>
      <c r="AU215" s="239">
        <v>225594</v>
      </c>
      <c r="AV215" s="239">
        <v>-37040</v>
      </c>
      <c r="AW215" s="239">
        <v>-22224</v>
      </c>
      <c r="AX215" s="239">
        <v>-14816</v>
      </c>
      <c r="AY215" s="239">
        <v>0</v>
      </c>
      <c r="AZ215" s="239">
        <v>-74080</v>
      </c>
      <c r="BA215" s="239">
        <v>-3363660</v>
      </c>
      <c r="BB215" s="239">
        <v>-2018197</v>
      </c>
      <c r="BC215" s="239">
        <v>-1345465</v>
      </c>
      <c r="BD215" s="239">
        <v>0</v>
      </c>
      <c r="BE215" s="239">
        <v>-6727322</v>
      </c>
      <c r="BF215" s="239">
        <v>1352061</v>
      </c>
      <c r="BG215" s="239">
        <v>811236</v>
      </c>
      <c r="BH215" s="239">
        <v>540824</v>
      </c>
      <c r="BI215" s="239">
        <v>0</v>
      </c>
      <c r="BJ215" s="239">
        <v>2704121</v>
      </c>
      <c r="BK215" s="239">
        <v>-2909456</v>
      </c>
      <c r="BL215" s="239">
        <v>-1745674</v>
      </c>
      <c r="BM215" s="239">
        <v>-1163782</v>
      </c>
      <c r="BN215" s="239">
        <v>0</v>
      </c>
      <c r="BO215" s="239">
        <v>-5818912</v>
      </c>
      <c r="BP215" s="239">
        <v>-4921055</v>
      </c>
      <c r="BQ215" s="239">
        <v>-2952635</v>
      </c>
      <c r="BR215" s="239">
        <v>-1968423</v>
      </c>
      <c r="BS215" s="239">
        <v>0</v>
      </c>
      <c r="BT215" s="239">
        <v>-9842113</v>
      </c>
      <c r="BU215" s="239">
        <v>-3958500</v>
      </c>
      <c r="BV215" s="239">
        <v>-2375100</v>
      </c>
      <c r="BW215" s="239">
        <v>-1583400</v>
      </c>
      <c r="BX215" s="239">
        <v>0</v>
      </c>
      <c r="BY215" s="239">
        <v>-7917000</v>
      </c>
      <c r="BZ215" s="239">
        <v>-1721469</v>
      </c>
      <c r="CA215" s="239">
        <v>-1032881</v>
      </c>
      <c r="CB215" s="239">
        <v>-688588</v>
      </c>
      <c r="CC215" s="239">
        <v>0</v>
      </c>
      <c r="CD215" s="239">
        <v>-3442938</v>
      </c>
      <c r="CE215" s="239">
        <v>-2237031</v>
      </c>
      <c r="CF215" s="239">
        <v>-1342219</v>
      </c>
      <c r="CG215" s="239">
        <v>-894812</v>
      </c>
      <c r="CH215" s="239">
        <v>0</v>
      </c>
      <c r="CI215" s="239">
        <v>-4474062</v>
      </c>
      <c r="CJ215" s="239">
        <v>40804219</v>
      </c>
      <c r="CK215" s="239">
        <v>24482531</v>
      </c>
      <c r="CL215" s="239">
        <v>16321688</v>
      </c>
      <c r="CM215" s="239">
        <v>0</v>
      </c>
      <c r="CN215" s="239">
        <v>81608438</v>
      </c>
      <c r="CO215" s="239">
        <v>38925329</v>
      </c>
      <c r="CP215" s="239">
        <v>23355197</v>
      </c>
      <c r="CQ215" s="239">
        <v>15570131</v>
      </c>
      <c r="CR215" s="239">
        <v>0</v>
      </c>
      <c r="CS215" s="239">
        <v>77850657</v>
      </c>
      <c r="CT215" s="239">
        <v>-1878890</v>
      </c>
      <c r="CU215" s="239">
        <v>-1127334</v>
      </c>
      <c r="CV215" s="239">
        <v>-751557</v>
      </c>
      <c r="CW215" s="239">
        <v>0</v>
      </c>
      <c r="CX215" s="239">
        <v>-3757781</v>
      </c>
      <c r="CY215" s="239">
        <v>-4115921</v>
      </c>
      <c r="CZ215" s="239">
        <v>-2469553</v>
      </c>
      <c r="DA215" s="239">
        <v>-1646369</v>
      </c>
      <c r="DB215" s="239">
        <v>0</v>
      </c>
      <c r="DC215" s="239">
        <v>-8231843</v>
      </c>
      <c r="DD215" s="214">
        <v>0.5</v>
      </c>
      <c r="DE215" s="214">
        <v>0.3</v>
      </c>
      <c r="DF215" s="214">
        <v>0.2</v>
      </c>
      <c r="DG215" s="214">
        <v>0</v>
      </c>
      <c r="DH215" s="214">
        <v>1</v>
      </c>
      <c r="DI215" s="214" t="s">
        <v>1295</v>
      </c>
    </row>
    <row r="216" spans="2:113" s="214" customFormat="1" x14ac:dyDescent="0.2">
      <c r="B216" s="610" t="s">
        <v>515</v>
      </c>
      <c r="C216" s="610" t="s">
        <v>514</v>
      </c>
      <c r="D216" s="239">
        <v>5950895</v>
      </c>
      <c r="E216" s="239">
        <v>4760716</v>
      </c>
      <c r="F216" s="239">
        <v>1071161</v>
      </c>
      <c r="G216" s="239">
        <v>119018</v>
      </c>
      <c r="H216" s="239">
        <v>11901790</v>
      </c>
      <c r="I216" s="239">
        <v>0</v>
      </c>
      <c r="J216" s="239">
        <v>0</v>
      </c>
      <c r="K216" s="239">
        <v>5950895</v>
      </c>
      <c r="L216" s="239">
        <v>96555</v>
      </c>
      <c r="M216" s="239">
        <v>96555</v>
      </c>
      <c r="N216" s="239">
        <v>0</v>
      </c>
      <c r="O216" s="239">
        <v>0</v>
      </c>
      <c r="P216" s="239">
        <v>0</v>
      </c>
      <c r="Q216" s="239">
        <v>0</v>
      </c>
      <c r="R216" s="239">
        <v>0</v>
      </c>
      <c r="S216" s="239">
        <v>0</v>
      </c>
      <c r="T216" s="239">
        <v>0</v>
      </c>
      <c r="U216" s="239">
        <v>0</v>
      </c>
      <c r="V216" s="239">
        <v>0</v>
      </c>
      <c r="W216" s="239">
        <v>287541</v>
      </c>
      <c r="X216" s="239">
        <v>230032</v>
      </c>
      <c r="Y216" s="239">
        <v>51757</v>
      </c>
      <c r="Z216" s="239">
        <v>5751</v>
      </c>
      <c r="AA216" s="239">
        <v>575081</v>
      </c>
      <c r="AB216" s="239">
        <v>-50333</v>
      </c>
      <c r="AC216" s="239">
        <v>-40267</v>
      </c>
      <c r="AD216" s="239">
        <v>-9060</v>
      </c>
      <c r="AE216" s="239">
        <v>-1007</v>
      </c>
      <c r="AF216" s="239">
        <v>-100667</v>
      </c>
      <c r="AG216" s="239">
        <v>-119851</v>
      </c>
      <c r="AH216" s="239">
        <v>-95880</v>
      </c>
      <c r="AI216" s="239">
        <v>-21573</v>
      </c>
      <c r="AJ216" s="239">
        <v>-2397</v>
      </c>
      <c r="AK216" s="239">
        <v>-239701</v>
      </c>
      <c r="AL216" s="239">
        <v>130312</v>
      </c>
      <c r="AM216" s="239">
        <v>104250</v>
      </c>
      <c r="AN216" s="239">
        <v>23456</v>
      </c>
      <c r="AO216" s="239">
        <v>2606</v>
      </c>
      <c r="AP216" s="239">
        <v>260624</v>
      </c>
      <c r="AQ216" s="239">
        <v>-98359</v>
      </c>
      <c r="AR216" s="239">
        <v>-78686</v>
      </c>
      <c r="AS216" s="239">
        <v>-17704</v>
      </c>
      <c r="AT216" s="239">
        <v>-1967</v>
      </c>
      <c r="AU216" s="239">
        <v>-196716</v>
      </c>
      <c r="AV216" s="239">
        <v>-87898</v>
      </c>
      <c r="AW216" s="239">
        <v>-70316</v>
      </c>
      <c r="AX216" s="239">
        <v>-15821</v>
      </c>
      <c r="AY216" s="239">
        <v>-1758</v>
      </c>
      <c r="AZ216" s="239">
        <v>-175793</v>
      </c>
      <c r="BA216" s="239">
        <v>-322750</v>
      </c>
      <c r="BB216" s="239">
        <v>-258200</v>
      </c>
      <c r="BC216" s="239">
        <v>-58095</v>
      </c>
      <c r="BD216" s="239">
        <v>-6455</v>
      </c>
      <c r="BE216" s="239">
        <v>-645500</v>
      </c>
      <c r="BF216" s="239">
        <v>254989</v>
      </c>
      <c r="BG216" s="239">
        <v>203992</v>
      </c>
      <c r="BH216" s="239">
        <v>45898</v>
      </c>
      <c r="BI216" s="239">
        <v>5100</v>
      </c>
      <c r="BJ216" s="239">
        <v>509979</v>
      </c>
      <c r="BK216" s="239">
        <v>-335357</v>
      </c>
      <c r="BL216" s="239">
        <v>-268286</v>
      </c>
      <c r="BM216" s="239">
        <v>-60364</v>
      </c>
      <c r="BN216" s="239">
        <v>-6707</v>
      </c>
      <c r="BO216" s="239">
        <v>-670714</v>
      </c>
      <c r="BP216" s="239">
        <v>-403118</v>
      </c>
      <c r="BQ216" s="239">
        <v>-322494</v>
      </c>
      <c r="BR216" s="239">
        <v>-72561</v>
      </c>
      <c r="BS216" s="239">
        <v>-8062</v>
      </c>
      <c r="BT216" s="239">
        <v>-806235</v>
      </c>
      <c r="BU216" s="239">
        <v>-2288080</v>
      </c>
      <c r="BV216" s="239">
        <v>-1830465</v>
      </c>
      <c r="BW216" s="239">
        <v>-411855</v>
      </c>
      <c r="BX216" s="239">
        <v>-45762</v>
      </c>
      <c r="BY216" s="239">
        <v>-4576162</v>
      </c>
      <c r="BZ216" s="239">
        <v>-1887681</v>
      </c>
      <c r="CA216" s="239">
        <v>-1510146</v>
      </c>
      <c r="CB216" s="239">
        <v>-339783</v>
      </c>
      <c r="CC216" s="239">
        <v>-37754</v>
      </c>
      <c r="CD216" s="239">
        <v>-3775364</v>
      </c>
      <c r="CE216" s="239">
        <v>-400399</v>
      </c>
      <c r="CF216" s="239">
        <v>-320319</v>
      </c>
      <c r="CG216" s="239">
        <v>-72072</v>
      </c>
      <c r="CH216" s="239">
        <v>-8008</v>
      </c>
      <c r="CI216" s="239">
        <v>-800798</v>
      </c>
      <c r="CJ216" s="239">
        <v>6162853</v>
      </c>
      <c r="CK216" s="239">
        <v>4930282</v>
      </c>
      <c r="CL216" s="239">
        <v>1109314</v>
      </c>
      <c r="CM216" s="239">
        <v>123257</v>
      </c>
      <c r="CN216" s="239">
        <v>12325706</v>
      </c>
      <c r="CO216" s="239">
        <v>5950895</v>
      </c>
      <c r="CP216" s="239">
        <v>4760716</v>
      </c>
      <c r="CQ216" s="239">
        <v>1071161</v>
      </c>
      <c r="CR216" s="239">
        <v>119018</v>
      </c>
      <c r="CS216" s="239">
        <v>11901790</v>
      </c>
      <c r="CT216" s="239">
        <v>-211958</v>
      </c>
      <c r="CU216" s="239">
        <v>-169566</v>
      </c>
      <c r="CV216" s="239">
        <v>-38153</v>
      </c>
      <c r="CW216" s="239">
        <v>-4239</v>
      </c>
      <c r="CX216" s="239">
        <v>-423916</v>
      </c>
      <c r="CY216" s="239">
        <v>-612357</v>
      </c>
      <c r="CZ216" s="239">
        <v>-489885</v>
      </c>
      <c r="DA216" s="239">
        <v>-110225</v>
      </c>
      <c r="DB216" s="239">
        <v>-12247</v>
      </c>
      <c r="DC216" s="239">
        <v>-1224714</v>
      </c>
      <c r="DD216" s="214">
        <v>0.5</v>
      </c>
      <c r="DE216" s="214">
        <v>0.4</v>
      </c>
      <c r="DF216" s="214">
        <v>0.09</v>
      </c>
      <c r="DG216" s="214">
        <v>0.01</v>
      </c>
      <c r="DH216" s="214">
        <v>1</v>
      </c>
      <c r="DI216" s="214" t="s">
        <v>1294</v>
      </c>
    </row>
    <row r="217" spans="2:113" s="214" customFormat="1" x14ac:dyDescent="0.2">
      <c r="B217" s="610" t="s">
        <v>517</v>
      </c>
      <c r="C217" s="610" t="s">
        <v>516</v>
      </c>
      <c r="D217" s="239">
        <v>31654188</v>
      </c>
      <c r="E217" s="239">
        <v>31021105</v>
      </c>
      <c r="F217" s="239">
        <v>0</v>
      </c>
      <c r="G217" s="239">
        <v>633084</v>
      </c>
      <c r="H217" s="239">
        <v>63308377</v>
      </c>
      <c r="I217" s="239">
        <v>0</v>
      </c>
      <c r="J217" s="239">
        <v>0</v>
      </c>
      <c r="K217" s="239">
        <v>31654188</v>
      </c>
      <c r="L217" s="239">
        <v>285653</v>
      </c>
      <c r="M217" s="239">
        <v>285653</v>
      </c>
      <c r="N217" s="239">
        <v>0</v>
      </c>
      <c r="O217" s="239">
        <v>0</v>
      </c>
      <c r="P217" s="239">
        <v>0</v>
      </c>
      <c r="Q217" s="239">
        <v>0</v>
      </c>
      <c r="R217" s="239">
        <v>0</v>
      </c>
      <c r="S217" s="239">
        <v>0</v>
      </c>
      <c r="T217" s="239">
        <v>0</v>
      </c>
      <c r="U217" s="239">
        <v>0</v>
      </c>
      <c r="V217" s="239">
        <v>0</v>
      </c>
      <c r="W217" s="239">
        <v>1045368</v>
      </c>
      <c r="X217" s="239">
        <v>1024461</v>
      </c>
      <c r="Y217" s="239">
        <v>0</v>
      </c>
      <c r="Z217" s="239">
        <v>20907</v>
      </c>
      <c r="AA217" s="239">
        <v>2090736</v>
      </c>
      <c r="AB217" s="239">
        <v>-347433</v>
      </c>
      <c r="AC217" s="239">
        <v>-340485</v>
      </c>
      <c r="AD217" s="239">
        <v>0</v>
      </c>
      <c r="AE217" s="239">
        <v>-6949</v>
      </c>
      <c r="AF217" s="239">
        <v>-694867</v>
      </c>
      <c r="AG217" s="239">
        <v>-793480</v>
      </c>
      <c r="AH217" s="239">
        <v>-777609</v>
      </c>
      <c r="AI217" s="239">
        <v>0</v>
      </c>
      <c r="AJ217" s="239">
        <v>-15869</v>
      </c>
      <c r="AK217" s="239">
        <v>-1586958</v>
      </c>
      <c r="AL217" s="239">
        <v>635694</v>
      </c>
      <c r="AM217" s="239">
        <v>622981</v>
      </c>
      <c r="AN217" s="239">
        <v>0</v>
      </c>
      <c r="AO217" s="239">
        <v>12714</v>
      </c>
      <c r="AP217" s="239">
        <v>1271389</v>
      </c>
      <c r="AQ217" s="239">
        <v>-287390</v>
      </c>
      <c r="AR217" s="239">
        <v>-281643</v>
      </c>
      <c r="AS217" s="239">
        <v>0</v>
      </c>
      <c r="AT217" s="239">
        <v>-5748</v>
      </c>
      <c r="AU217" s="239">
        <v>-574781</v>
      </c>
      <c r="AV217" s="239">
        <v>-445176</v>
      </c>
      <c r="AW217" s="239">
        <v>-436271</v>
      </c>
      <c r="AX217" s="239">
        <v>0</v>
      </c>
      <c r="AY217" s="239">
        <v>-8903</v>
      </c>
      <c r="AZ217" s="239">
        <v>-890350</v>
      </c>
      <c r="BA217" s="239">
        <v>-3594033</v>
      </c>
      <c r="BB217" s="239">
        <v>-3522153</v>
      </c>
      <c r="BC217" s="239">
        <v>0</v>
      </c>
      <c r="BD217" s="239">
        <v>-71880</v>
      </c>
      <c r="BE217" s="239">
        <v>-7188066</v>
      </c>
      <c r="BF217" s="239">
        <v>680676</v>
      </c>
      <c r="BG217" s="239">
        <v>667062</v>
      </c>
      <c r="BH217" s="239">
        <v>0</v>
      </c>
      <c r="BI217" s="239">
        <v>13614</v>
      </c>
      <c r="BJ217" s="239">
        <v>1361352</v>
      </c>
      <c r="BK217" s="239">
        <v>-1551456</v>
      </c>
      <c r="BL217" s="239">
        <v>-1520426</v>
      </c>
      <c r="BM217" s="239">
        <v>0</v>
      </c>
      <c r="BN217" s="239">
        <v>-31029</v>
      </c>
      <c r="BO217" s="239">
        <v>-3102911</v>
      </c>
      <c r="BP217" s="239">
        <v>-4464813</v>
      </c>
      <c r="BQ217" s="239">
        <v>-4375517</v>
      </c>
      <c r="BR217" s="239">
        <v>0</v>
      </c>
      <c r="BS217" s="239">
        <v>-89295</v>
      </c>
      <c r="BT217" s="239">
        <v>-8929625</v>
      </c>
      <c r="BU217" s="239">
        <v>-2925320</v>
      </c>
      <c r="BV217" s="239">
        <v>-2866813</v>
      </c>
      <c r="BW217" s="239">
        <v>0</v>
      </c>
      <c r="BX217" s="239">
        <v>-58506</v>
      </c>
      <c r="BY217" s="239">
        <v>-5850639</v>
      </c>
      <c r="BZ217" s="239">
        <v>-1117000</v>
      </c>
      <c r="CA217" s="239">
        <v>-1094660</v>
      </c>
      <c r="CB217" s="239">
        <v>0</v>
      </c>
      <c r="CC217" s="239">
        <v>-22340</v>
      </c>
      <c r="CD217" s="239">
        <v>-2234000</v>
      </c>
      <c r="CE217" s="239">
        <v>-1808320</v>
      </c>
      <c r="CF217" s="239">
        <v>-1772153</v>
      </c>
      <c r="CG217" s="239">
        <v>0</v>
      </c>
      <c r="CH217" s="239">
        <v>-36166</v>
      </c>
      <c r="CI217" s="239">
        <v>-3616639</v>
      </c>
      <c r="CJ217" s="239">
        <v>30713697</v>
      </c>
      <c r="CK217" s="239">
        <v>30099424</v>
      </c>
      <c r="CL217" s="239">
        <v>0</v>
      </c>
      <c r="CM217" s="239">
        <v>614274</v>
      </c>
      <c r="CN217" s="239">
        <v>61427395</v>
      </c>
      <c r="CO217" s="239">
        <v>31654188</v>
      </c>
      <c r="CP217" s="239">
        <v>31021105</v>
      </c>
      <c r="CQ217" s="239">
        <v>0</v>
      </c>
      <c r="CR217" s="239">
        <v>633084</v>
      </c>
      <c r="CS217" s="239">
        <v>63308377</v>
      </c>
      <c r="CT217" s="239">
        <v>940491</v>
      </c>
      <c r="CU217" s="239">
        <v>921681</v>
      </c>
      <c r="CV217" s="239">
        <v>0</v>
      </c>
      <c r="CW217" s="239">
        <v>18810</v>
      </c>
      <c r="CX217" s="239">
        <v>1880982</v>
      </c>
      <c r="CY217" s="239">
        <v>-867829</v>
      </c>
      <c r="CZ217" s="239">
        <v>-850472</v>
      </c>
      <c r="DA217" s="239">
        <v>0</v>
      </c>
      <c r="DB217" s="239">
        <v>-17356</v>
      </c>
      <c r="DC217" s="239">
        <v>-1735657</v>
      </c>
      <c r="DD217" s="214">
        <v>0.5</v>
      </c>
      <c r="DE217" s="214">
        <v>0.49</v>
      </c>
      <c r="DF217" s="214">
        <v>0</v>
      </c>
      <c r="DG217" s="214">
        <v>0.01</v>
      </c>
      <c r="DH217" s="214">
        <v>1</v>
      </c>
      <c r="DI217" s="214" t="s">
        <v>1296</v>
      </c>
    </row>
    <row r="218" spans="2:113" s="214" customFormat="1" x14ac:dyDescent="0.2">
      <c r="B218" s="610" t="s">
        <v>519</v>
      </c>
      <c r="C218" s="610" t="s">
        <v>518</v>
      </c>
      <c r="D218" s="239">
        <v>7476702</v>
      </c>
      <c r="E218" s="239">
        <v>5981362</v>
      </c>
      <c r="F218" s="239">
        <v>1345806</v>
      </c>
      <c r="G218" s="239">
        <v>149534</v>
      </c>
      <c r="H218" s="239">
        <v>14953404</v>
      </c>
      <c r="I218" s="239">
        <v>0</v>
      </c>
      <c r="J218" s="239">
        <v>0</v>
      </c>
      <c r="K218" s="239">
        <v>7476702</v>
      </c>
      <c r="L218" s="239">
        <v>85235</v>
      </c>
      <c r="M218" s="239">
        <v>85235</v>
      </c>
      <c r="N218" s="239">
        <v>0</v>
      </c>
      <c r="O218" s="239">
        <v>0</v>
      </c>
      <c r="P218" s="239">
        <v>0</v>
      </c>
      <c r="Q218" s="239">
        <v>0</v>
      </c>
      <c r="R218" s="239">
        <v>0</v>
      </c>
      <c r="S218" s="239">
        <v>0</v>
      </c>
      <c r="T218" s="239">
        <v>0</v>
      </c>
      <c r="U218" s="239">
        <v>0</v>
      </c>
      <c r="V218" s="239">
        <v>0</v>
      </c>
      <c r="W218" s="239">
        <v>145270</v>
      </c>
      <c r="X218" s="239">
        <v>116216</v>
      </c>
      <c r="Y218" s="239">
        <v>26149</v>
      </c>
      <c r="Z218" s="239">
        <v>2905</v>
      </c>
      <c r="AA218" s="239">
        <v>290540</v>
      </c>
      <c r="AB218" s="239">
        <v>-146124</v>
      </c>
      <c r="AC218" s="239">
        <v>-116899</v>
      </c>
      <c r="AD218" s="239">
        <v>-26302</v>
      </c>
      <c r="AE218" s="239">
        <v>-2922</v>
      </c>
      <c r="AF218" s="239">
        <v>-292247</v>
      </c>
      <c r="AG218" s="239">
        <v>-124986</v>
      </c>
      <c r="AH218" s="239">
        <v>-99990</v>
      </c>
      <c r="AI218" s="239">
        <v>-22499</v>
      </c>
      <c r="AJ218" s="239">
        <v>-2500</v>
      </c>
      <c r="AK218" s="239">
        <v>-249975</v>
      </c>
      <c r="AL218" s="239">
        <v>0</v>
      </c>
      <c r="AM218" s="239">
        <v>0</v>
      </c>
      <c r="AN218" s="239">
        <v>0</v>
      </c>
      <c r="AO218" s="239">
        <v>0</v>
      </c>
      <c r="AP218" s="239">
        <v>0</v>
      </c>
      <c r="AQ218" s="239">
        <v>56633</v>
      </c>
      <c r="AR218" s="239">
        <v>45306</v>
      </c>
      <c r="AS218" s="239">
        <v>10194</v>
      </c>
      <c r="AT218" s="239">
        <v>1133</v>
      </c>
      <c r="AU218" s="239">
        <v>113266</v>
      </c>
      <c r="AV218" s="239">
        <v>-68353</v>
      </c>
      <c r="AW218" s="239">
        <v>-54684</v>
      </c>
      <c r="AX218" s="239">
        <v>-12305</v>
      </c>
      <c r="AY218" s="239">
        <v>-1367</v>
      </c>
      <c r="AZ218" s="239">
        <v>-136709</v>
      </c>
      <c r="BA218" s="239">
        <v>-111567</v>
      </c>
      <c r="BB218" s="239">
        <v>-89253</v>
      </c>
      <c r="BC218" s="239">
        <v>-20082</v>
      </c>
      <c r="BD218" s="239">
        <v>-2232</v>
      </c>
      <c r="BE218" s="239">
        <v>-223134</v>
      </c>
      <c r="BF218" s="239">
        <v>142210</v>
      </c>
      <c r="BG218" s="239">
        <v>113768</v>
      </c>
      <c r="BH218" s="239">
        <v>25598</v>
      </c>
      <c r="BI218" s="239">
        <v>2844</v>
      </c>
      <c r="BJ218" s="239">
        <v>284420</v>
      </c>
      <c r="BK218" s="239">
        <v>-190104</v>
      </c>
      <c r="BL218" s="239">
        <v>-152084</v>
      </c>
      <c r="BM218" s="239">
        <v>-34219</v>
      </c>
      <c r="BN218" s="239">
        <v>-3802</v>
      </c>
      <c r="BO218" s="239">
        <v>-380209</v>
      </c>
      <c r="BP218" s="239">
        <v>-159461</v>
      </c>
      <c r="BQ218" s="239">
        <v>-127569</v>
      </c>
      <c r="BR218" s="239">
        <v>-28703</v>
      </c>
      <c r="BS218" s="239">
        <v>-3190</v>
      </c>
      <c r="BT218" s="239">
        <v>-318923</v>
      </c>
      <c r="BU218" s="239">
        <v>-963211</v>
      </c>
      <c r="BV218" s="239">
        <v>-770568</v>
      </c>
      <c r="BW218" s="239">
        <v>-173378</v>
      </c>
      <c r="BX218" s="239">
        <v>-19264</v>
      </c>
      <c r="BY218" s="239">
        <v>-1926421</v>
      </c>
      <c r="BZ218" s="239">
        <v>-776991</v>
      </c>
      <c r="CA218" s="239">
        <v>-621593</v>
      </c>
      <c r="CB218" s="239">
        <v>-139858</v>
      </c>
      <c r="CC218" s="239">
        <v>-15540</v>
      </c>
      <c r="CD218" s="239">
        <v>-1553982</v>
      </c>
      <c r="CE218" s="239">
        <v>-186220</v>
      </c>
      <c r="CF218" s="239">
        <v>-148975</v>
      </c>
      <c r="CG218" s="239">
        <v>-33520</v>
      </c>
      <c r="CH218" s="239">
        <v>-3724</v>
      </c>
      <c r="CI218" s="239">
        <v>-372439</v>
      </c>
      <c r="CJ218" s="239">
        <v>8134236</v>
      </c>
      <c r="CK218" s="239">
        <v>6507390</v>
      </c>
      <c r="CL218" s="239">
        <v>1464163</v>
      </c>
      <c r="CM218" s="239">
        <v>162685</v>
      </c>
      <c r="CN218" s="239">
        <v>16268474</v>
      </c>
      <c r="CO218" s="239">
        <v>7476702</v>
      </c>
      <c r="CP218" s="239">
        <v>5981362</v>
      </c>
      <c r="CQ218" s="239">
        <v>1345806</v>
      </c>
      <c r="CR218" s="239">
        <v>149534</v>
      </c>
      <c r="CS218" s="239">
        <v>14953404</v>
      </c>
      <c r="CT218" s="239">
        <v>-657534</v>
      </c>
      <c r="CU218" s="239">
        <v>-526028</v>
      </c>
      <c r="CV218" s="239">
        <v>-118357</v>
      </c>
      <c r="CW218" s="239">
        <v>-13151</v>
      </c>
      <c r="CX218" s="239">
        <v>-1315070</v>
      </c>
      <c r="CY218" s="239">
        <v>-843754</v>
      </c>
      <c r="CZ218" s="239">
        <v>-675003</v>
      </c>
      <c r="DA218" s="239">
        <v>-151877</v>
      </c>
      <c r="DB218" s="239">
        <v>-16875</v>
      </c>
      <c r="DC218" s="239">
        <v>-1687509</v>
      </c>
      <c r="DD218" s="214">
        <v>0.5</v>
      </c>
      <c r="DE218" s="214">
        <v>0.4</v>
      </c>
      <c r="DF218" s="214">
        <v>0.09</v>
      </c>
      <c r="DG218" s="214">
        <v>0.01</v>
      </c>
      <c r="DH218" s="214">
        <v>1</v>
      </c>
      <c r="DI218" s="214" t="s">
        <v>1294</v>
      </c>
    </row>
    <row r="219" spans="2:113" s="214" customFormat="1" x14ac:dyDescent="0.2">
      <c r="B219" s="610" t="s">
        <v>521</v>
      </c>
      <c r="C219" s="610" t="s">
        <v>520</v>
      </c>
      <c r="D219" s="239">
        <v>5767213</v>
      </c>
      <c r="E219" s="239">
        <v>4613770</v>
      </c>
      <c r="F219" s="239">
        <v>1038098</v>
      </c>
      <c r="G219" s="239">
        <v>115344</v>
      </c>
      <c r="H219" s="239">
        <v>11534425</v>
      </c>
      <c r="I219" s="239">
        <v>0</v>
      </c>
      <c r="J219" s="239">
        <v>0</v>
      </c>
      <c r="K219" s="239">
        <v>5767213</v>
      </c>
      <c r="L219" s="239">
        <v>99985</v>
      </c>
      <c r="M219" s="239">
        <v>99985</v>
      </c>
      <c r="N219" s="239">
        <v>0</v>
      </c>
      <c r="O219" s="239">
        <v>0</v>
      </c>
      <c r="P219" s="239">
        <v>0</v>
      </c>
      <c r="Q219" s="239">
        <v>0</v>
      </c>
      <c r="R219" s="239">
        <v>0</v>
      </c>
      <c r="S219" s="239">
        <v>0</v>
      </c>
      <c r="T219" s="239">
        <v>0</v>
      </c>
      <c r="U219" s="239">
        <v>0</v>
      </c>
      <c r="V219" s="239">
        <v>0</v>
      </c>
      <c r="W219" s="239">
        <v>538136</v>
      </c>
      <c r="X219" s="239">
        <v>430508</v>
      </c>
      <c r="Y219" s="239">
        <v>96864</v>
      </c>
      <c r="Z219" s="239">
        <v>10763</v>
      </c>
      <c r="AA219" s="239">
        <v>1076271</v>
      </c>
      <c r="AB219" s="239">
        <v>-43</v>
      </c>
      <c r="AC219" s="239">
        <v>-34</v>
      </c>
      <c r="AD219" s="239">
        <v>-8</v>
      </c>
      <c r="AE219" s="239">
        <v>-1</v>
      </c>
      <c r="AF219" s="239">
        <v>-86</v>
      </c>
      <c r="AG219" s="239">
        <v>-412302</v>
      </c>
      <c r="AH219" s="239">
        <v>-329843</v>
      </c>
      <c r="AI219" s="239">
        <v>-74215</v>
      </c>
      <c r="AJ219" s="239">
        <v>-8246</v>
      </c>
      <c r="AK219" s="239">
        <v>-824606</v>
      </c>
      <c r="AL219" s="239">
        <v>41872</v>
      </c>
      <c r="AM219" s="239">
        <v>33497</v>
      </c>
      <c r="AN219" s="239">
        <v>7537</v>
      </c>
      <c r="AO219" s="239">
        <v>837</v>
      </c>
      <c r="AP219" s="239">
        <v>83743</v>
      </c>
      <c r="AQ219" s="239">
        <v>-164261</v>
      </c>
      <c r="AR219" s="239">
        <v>-131409</v>
      </c>
      <c r="AS219" s="239">
        <v>-29567</v>
      </c>
      <c r="AT219" s="239">
        <v>-3285</v>
      </c>
      <c r="AU219" s="239">
        <v>-328522</v>
      </c>
      <c r="AV219" s="239">
        <v>-534691</v>
      </c>
      <c r="AW219" s="239">
        <v>-427755</v>
      </c>
      <c r="AX219" s="239">
        <v>-96245</v>
      </c>
      <c r="AY219" s="239">
        <v>-10694</v>
      </c>
      <c r="AZ219" s="239">
        <v>-1069385</v>
      </c>
      <c r="BA219" s="239">
        <v>-507110</v>
      </c>
      <c r="BB219" s="239">
        <v>-405688</v>
      </c>
      <c r="BC219" s="239">
        <v>-91279</v>
      </c>
      <c r="BD219" s="239">
        <v>-10141</v>
      </c>
      <c r="BE219" s="239">
        <v>-1014218</v>
      </c>
      <c r="BF219" s="239">
        <v>0</v>
      </c>
      <c r="BG219" s="239">
        <v>0</v>
      </c>
      <c r="BH219" s="239">
        <v>0</v>
      </c>
      <c r="BI219" s="239">
        <v>0</v>
      </c>
      <c r="BJ219" s="239">
        <v>0</v>
      </c>
      <c r="BK219" s="239">
        <v>-645478</v>
      </c>
      <c r="BL219" s="239">
        <v>-516382</v>
      </c>
      <c r="BM219" s="239">
        <v>-116186</v>
      </c>
      <c r="BN219" s="239">
        <v>-12910</v>
      </c>
      <c r="BO219" s="239">
        <v>-1290956</v>
      </c>
      <c r="BP219" s="239">
        <v>-1152588</v>
      </c>
      <c r="BQ219" s="239">
        <v>-922070</v>
      </c>
      <c r="BR219" s="239">
        <v>-207465</v>
      </c>
      <c r="BS219" s="239">
        <v>-23051</v>
      </c>
      <c r="BT219" s="239">
        <v>-2305174</v>
      </c>
      <c r="BU219" s="239">
        <v>52553</v>
      </c>
      <c r="BV219" s="239">
        <v>42043</v>
      </c>
      <c r="BW219" s="239">
        <v>9460</v>
      </c>
      <c r="BX219" s="239">
        <v>1051</v>
      </c>
      <c r="BY219" s="239">
        <v>105107</v>
      </c>
      <c r="BZ219" s="239">
        <v>273478</v>
      </c>
      <c r="CA219" s="239">
        <v>218783</v>
      </c>
      <c r="CB219" s="239">
        <v>49226</v>
      </c>
      <c r="CC219" s="239">
        <v>5470</v>
      </c>
      <c r="CD219" s="239">
        <v>546957</v>
      </c>
      <c r="CE219" s="239">
        <v>-220925</v>
      </c>
      <c r="CF219" s="239">
        <v>-176740</v>
      </c>
      <c r="CG219" s="239">
        <v>-39766</v>
      </c>
      <c r="CH219" s="239">
        <v>-4419</v>
      </c>
      <c r="CI219" s="239">
        <v>-441850</v>
      </c>
      <c r="CJ219" s="239">
        <v>6891026</v>
      </c>
      <c r="CK219" s="239">
        <v>5512821</v>
      </c>
      <c r="CL219" s="239">
        <v>1240385</v>
      </c>
      <c r="CM219" s="239">
        <v>137821</v>
      </c>
      <c r="CN219" s="239">
        <v>13782053</v>
      </c>
      <c r="CO219" s="239">
        <v>5767213</v>
      </c>
      <c r="CP219" s="239">
        <v>4613770</v>
      </c>
      <c r="CQ219" s="239">
        <v>1038098</v>
      </c>
      <c r="CR219" s="239">
        <v>115344</v>
      </c>
      <c r="CS219" s="239">
        <v>11534425</v>
      </c>
      <c r="CT219" s="239">
        <v>-1123813</v>
      </c>
      <c r="CU219" s="239">
        <v>-899051</v>
      </c>
      <c r="CV219" s="239">
        <v>-202287</v>
      </c>
      <c r="CW219" s="239">
        <v>-22477</v>
      </c>
      <c r="CX219" s="239">
        <v>-2247628</v>
      </c>
      <c r="CY219" s="239">
        <v>-1344738</v>
      </c>
      <c r="CZ219" s="239">
        <v>-1075791</v>
      </c>
      <c r="DA219" s="239">
        <v>-242053</v>
      </c>
      <c r="DB219" s="239">
        <v>-26896</v>
      </c>
      <c r="DC219" s="239">
        <v>-2689478</v>
      </c>
      <c r="DD219" s="214">
        <v>0.5</v>
      </c>
      <c r="DE219" s="214">
        <v>0.4</v>
      </c>
      <c r="DF219" s="214">
        <v>0.09</v>
      </c>
      <c r="DG219" s="214">
        <v>0.01</v>
      </c>
      <c r="DH219" s="214">
        <v>1</v>
      </c>
      <c r="DI219" s="214" t="s">
        <v>1294</v>
      </c>
    </row>
    <row r="220" spans="2:113" s="214" customFormat="1" x14ac:dyDescent="0.2">
      <c r="B220" s="610" t="s">
        <v>523</v>
      </c>
      <c r="C220" s="610" t="s">
        <v>522</v>
      </c>
      <c r="D220" s="239">
        <v>8055030</v>
      </c>
      <c r="E220" s="239">
        <v>6444024</v>
      </c>
      <c r="F220" s="239">
        <v>1449905</v>
      </c>
      <c r="G220" s="239">
        <v>161101</v>
      </c>
      <c r="H220" s="239">
        <v>16110060</v>
      </c>
      <c r="I220" s="239">
        <v>0</v>
      </c>
      <c r="J220" s="239">
        <v>0</v>
      </c>
      <c r="K220" s="239">
        <v>8055030</v>
      </c>
      <c r="L220" s="239">
        <v>146945</v>
      </c>
      <c r="M220" s="239">
        <v>146945</v>
      </c>
      <c r="N220" s="239">
        <v>0</v>
      </c>
      <c r="O220" s="239">
        <v>0</v>
      </c>
      <c r="P220" s="239">
        <v>0</v>
      </c>
      <c r="Q220" s="239">
        <v>0</v>
      </c>
      <c r="R220" s="239">
        <v>0</v>
      </c>
      <c r="S220" s="239">
        <v>0</v>
      </c>
      <c r="T220" s="239">
        <v>0</v>
      </c>
      <c r="U220" s="239">
        <v>0</v>
      </c>
      <c r="V220" s="239">
        <v>0</v>
      </c>
      <c r="W220" s="239">
        <v>339870</v>
      </c>
      <c r="X220" s="239">
        <v>271895</v>
      </c>
      <c r="Y220" s="239">
        <v>61176</v>
      </c>
      <c r="Z220" s="239">
        <v>6797</v>
      </c>
      <c r="AA220" s="239">
        <v>679738</v>
      </c>
      <c r="AB220" s="239">
        <v>-309574</v>
      </c>
      <c r="AC220" s="239">
        <v>-247659</v>
      </c>
      <c r="AD220" s="239">
        <v>-55723</v>
      </c>
      <c r="AE220" s="239">
        <v>-6191</v>
      </c>
      <c r="AF220" s="239">
        <v>-619147</v>
      </c>
      <c r="AG220" s="239">
        <v>-247482.39</v>
      </c>
      <c r="AH220" s="239">
        <v>-197987</v>
      </c>
      <c r="AI220" s="239">
        <v>-44548</v>
      </c>
      <c r="AJ220" s="239">
        <v>-4950</v>
      </c>
      <c r="AK220" s="239">
        <v>-494967.39</v>
      </c>
      <c r="AL220" s="239">
        <v>0</v>
      </c>
      <c r="AM220" s="239">
        <v>0</v>
      </c>
      <c r="AN220" s="239">
        <v>0</v>
      </c>
      <c r="AO220" s="239">
        <v>0</v>
      </c>
      <c r="AP220" s="239">
        <v>0</v>
      </c>
      <c r="AQ220" s="239">
        <v>13934</v>
      </c>
      <c r="AR220" s="239">
        <v>11147</v>
      </c>
      <c r="AS220" s="239">
        <v>2508</v>
      </c>
      <c r="AT220" s="239">
        <v>279</v>
      </c>
      <c r="AU220" s="239">
        <v>27868</v>
      </c>
      <c r="AV220" s="239">
        <v>-233548.39</v>
      </c>
      <c r="AW220" s="239">
        <v>-186840</v>
      </c>
      <c r="AX220" s="239">
        <v>-42040</v>
      </c>
      <c r="AY220" s="239">
        <v>-4671</v>
      </c>
      <c r="AZ220" s="239">
        <v>-467099.39</v>
      </c>
      <c r="BA220" s="239">
        <v>-473995</v>
      </c>
      <c r="BB220" s="239">
        <v>-379196</v>
      </c>
      <c r="BC220" s="239">
        <v>-85319</v>
      </c>
      <c r="BD220" s="239">
        <v>-9480</v>
      </c>
      <c r="BE220" s="239">
        <v>-947990</v>
      </c>
      <c r="BF220" s="239">
        <v>66535</v>
      </c>
      <c r="BG220" s="239">
        <v>53228</v>
      </c>
      <c r="BH220" s="239">
        <v>11976</v>
      </c>
      <c r="BI220" s="239">
        <v>1331</v>
      </c>
      <c r="BJ220" s="239">
        <v>133070</v>
      </c>
      <c r="BK220" s="239">
        <v>-427846</v>
      </c>
      <c r="BL220" s="239">
        <v>-342276</v>
      </c>
      <c r="BM220" s="239">
        <v>-77012</v>
      </c>
      <c r="BN220" s="239">
        <v>-8557</v>
      </c>
      <c r="BO220" s="239">
        <v>-855691</v>
      </c>
      <c r="BP220" s="239">
        <v>-835306</v>
      </c>
      <c r="BQ220" s="239">
        <v>-668244</v>
      </c>
      <c r="BR220" s="239">
        <v>-150355</v>
      </c>
      <c r="BS220" s="239">
        <v>-16706</v>
      </c>
      <c r="BT220" s="239">
        <v>-1670611</v>
      </c>
      <c r="BU220" s="239">
        <v>70512</v>
      </c>
      <c r="BV220" s="239">
        <v>56410</v>
      </c>
      <c r="BW220" s="239">
        <v>12692</v>
      </c>
      <c r="BX220" s="239">
        <v>1410</v>
      </c>
      <c r="BY220" s="239">
        <v>141024</v>
      </c>
      <c r="BZ220" s="239">
        <v>156246</v>
      </c>
      <c r="CA220" s="239">
        <v>124997</v>
      </c>
      <c r="CB220" s="239">
        <v>28124</v>
      </c>
      <c r="CC220" s="239">
        <v>3125</v>
      </c>
      <c r="CD220" s="239">
        <v>312492</v>
      </c>
      <c r="CE220" s="239">
        <v>-85734</v>
      </c>
      <c r="CF220" s="239">
        <v>-68587</v>
      </c>
      <c r="CG220" s="239">
        <v>-15432</v>
      </c>
      <c r="CH220" s="239">
        <v>-1715</v>
      </c>
      <c r="CI220" s="239">
        <v>-171468</v>
      </c>
      <c r="CJ220" s="239">
        <v>8388824</v>
      </c>
      <c r="CK220" s="239">
        <v>6711059</v>
      </c>
      <c r="CL220" s="239">
        <v>1509988</v>
      </c>
      <c r="CM220" s="239">
        <v>167776</v>
      </c>
      <c r="CN220" s="239">
        <v>16777647</v>
      </c>
      <c r="CO220" s="239">
        <v>8055030</v>
      </c>
      <c r="CP220" s="239">
        <v>6444024</v>
      </c>
      <c r="CQ220" s="239">
        <v>1449905</v>
      </c>
      <c r="CR220" s="239">
        <v>161101</v>
      </c>
      <c r="CS220" s="239">
        <v>16110060</v>
      </c>
      <c r="CT220" s="239">
        <v>-333794</v>
      </c>
      <c r="CU220" s="239">
        <v>-267035</v>
      </c>
      <c r="CV220" s="239">
        <v>-60083</v>
      </c>
      <c r="CW220" s="239">
        <v>-6675</v>
      </c>
      <c r="CX220" s="239">
        <v>-667587</v>
      </c>
      <c r="CY220" s="239">
        <v>-419528</v>
      </c>
      <c r="CZ220" s="239">
        <v>-335622</v>
      </c>
      <c r="DA220" s="239">
        <v>-75515</v>
      </c>
      <c r="DB220" s="239">
        <v>-8390</v>
      </c>
      <c r="DC220" s="239">
        <v>-839055</v>
      </c>
      <c r="DD220" s="214">
        <v>0.5</v>
      </c>
      <c r="DE220" s="214">
        <v>0.4</v>
      </c>
      <c r="DF220" s="214">
        <v>0.09</v>
      </c>
      <c r="DG220" s="214">
        <v>0.01</v>
      </c>
      <c r="DH220" s="214">
        <v>1</v>
      </c>
      <c r="DI220" s="214" t="s">
        <v>1294</v>
      </c>
    </row>
    <row r="221" spans="2:113" s="214" customFormat="1" x14ac:dyDescent="0.2">
      <c r="B221" s="610" t="s">
        <v>525</v>
      </c>
      <c r="C221" s="610" t="s">
        <v>524</v>
      </c>
      <c r="D221" s="239">
        <v>36425524</v>
      </c>
      <c r="E221" s="239">
        <v>35697014</v>
      </c>
      <c r="F221" s="239">
        <v>0</v>
      </c>
      <c r="G221" s="239">
        <v>728510</v>
      </c>
      <c r="H221" s="239">
        <v>72851048</v>
      </c>
      <c r="I221" s="239">
        <v>357450.8979166667</v>
      </c>
      <c r="J221" s="239">
        <v>357450.8979166667</v>
      </c>
      <c r="K221" s="239">
        <v>36068073.102083333</v>
      </c>
      <c r="L221" s="239">
        <v>311612</v>
      </c>
      <c r="M221" s="239">
        <v>311612</v>
      </c>
      <c r="N221" s="239">
        <v>0</v>
      </c>
      <c r="O221" s="239">
        <v>0</v>
      </c>
      <c r="P221" s="239">
        <v>162039</v>
      </c>
      <c r="Q221" s="239">
        <v>0</v>
      </c>
      <c r="R221" s="239">
        <v>162039</v>
      </c>
      <c r="S221" s="239">
        <v>357450.8979166667</v>
      </c>
      <c r="T221" s="239">
        <v>0</v>
      </c>
      <c r="U221" s="239">
        <v>0</v>
      </c>
      <c r="V221" s="239">
        <v>357450.8979166667</v>
      </c>
      <c r="W221" s="239">
        <v>1413701</v>
      </c>
      <c r="X221" s="239">
        <v>1385426</v>
      </c>
      <c r="Y221" s="239">
        <v>0</v>
      </c>
      <c r="Z221" s="239">
        <v>28274</v>
      </c>
      <c r="AA221" s="239">
        <v>2827401</v>
      </c>
      <c r="AB221" s="239">
        <v>-94834</v>
      </c>
      <c r="AC221" s="239">
        <v>-92938</v>
      </c>
      <c r="AD221" s="239">
        <v>0</v>
      </c>
      <c r="AE221" s="239">
        <v>-1897</v>
      </c>
      <c r="AF221" s="239">
        <v>-189669</v>
      </c>
      <c r="AG221" s="239">
        <v>-241478</v>
      </c>
      <c r="AH221" s="239">
        <v>-236649</v>
      </c>
      <c r="AI221" s="239">
        <v>0</v>
      </c>
      <c r="AJ221" s="239">
        <v>-4830</v>
      </c>
      <c r="AK221" s="239">
        <v>-482957</v>
      </c>
      <c r="AL221" s="239">
        <v>217895</v>
      </c>
      <c r="AM221" s="239">
        <v>213538</v>
      </c>
      <c r="AN221" s="239">
        <v>0</v>
      </c>
      <c r="AO221" s="239">
        <v>4358</v>
      </c>
      <c r="AP221" s="239">
        <v>435791</v>
      </c>
      <c r="AQ221" s="239">
        <v>-252214</v>
      </c>
      <c r="AR221" s="239">
        <v>-247169</v>
      </c>
      <c r="AS221" s="239">
        <v>0</v>
      </c>
      <c r="AT221" s="239">
        <v>-5044</v>
      </c>
      <c r="AU221" s="239">
        <v>-504427</v>
      </c>
      <c r="AV221" s="239">
        <v>-275797</v>
      </c>
      <c r="AW221" s="239">
        <v>-270280</v>
      </c>
      <c r="AX221" s="239">
        <v>0</v>
      </c>
      <c r="AY221" s="239">
        <v>-5516</v>
      </c>
      <c r="AZ221" s="239">
        <v>-551593</v>
      </c>
      <c r="BA221" s="239">
        <v>-3952653</v>
      </c>
      <c r="BB221" s="239">
        <v>-3873599</v>
      </c>
      <c r="BC221" s="239">
        <v>0</v>
      </c>
      <c r="BD221" s="239">
        <v>-79054</v>
      </c>
      <c r="BE221" s="239">
        <v>-7905306</v>
      </c>
      <c r="BF221" s="239">
        <v>1435615</v>
      </c>
      <c r="BG221" s="239">
        <v>1406902</v>
      </c>
      <c r="BH221" s="239">
        <v>0</v>
      </c>
      <c r="BI221" s="239">
        <v>28712</v>
      </c>
      <c r="BJ221" s="239">
        <v>2871229</v>
      </c>
      <c r="BK221" s="239">
        <v>-2667624</v>
      </c>
      <c r="BL221" s="239">
        <v>-2614273</v>
      </c>
      <c r="BM221" s="239">
        <v>0</v>
      </c>
      <c r="BN221" s="239">
        <v>-53353</v>
      </c>
      <c r="BO221" s="239">
        <v>-5335250</v>
      </c>
      <c r="BP221" s="239">
        <v>-5184662</v>
      </c>
      <c r="BQ221" s="239">
        <v>-5080970</v>
      </c>
      <c r="BR221" s="239">
        <v>0</v>
      </c>
      <c r="BS221" s="239">
        <v>-103695</v>
      </c>
      <c r="BT221" s="239">
        <v>-10369327</v>
      </c>
      <c r="BU221" s="239">
        <v>-2451809</v>
      </c>
      <c r="BV221" s="239">
        <v>-2402773</v>
      </c>
      <c r="BW221" s="239">
        <v>0</v>
      </c>
      <c r="BX221" s="239">
        <v>-49036</v>
      </c>
      <c r="BY221" s="239">
        <v>-4903618</v>
      </c>
      <c r="BZ221" s="239">
        <v>-2012711</v>
      </c>
      <c r="CA221" s="239">
        <v>-1972457</v>
      </c>
      <c r="CB221" s="239">
        <v>0</v>
      </c>
      <c r="CC221" s="239">
        <v>-40254</v>
      </c>
      <c r="CD221" s="239">
        <v>-4025422</v>
      </c>
      <c r="CE221" s="239">
        <v>-439098</v>
      </c>
      <c r="CF221" s="239">
        <v>-430316</v>
      </c>
      <c r="CG221" s="239">
        <v>0</v>
      </c>
      <c r="CH221" s="239">
        <v>-8782</v>
      </c>
      <c r="CI221" s="239">
        <v>-878196</v>
      </c>
      <c r="CJ221" s="239">
        <v>36949726</v>
      </c>
      <c r="CK221" s="239">
        <v>36210731</v>
      </c>
      <c r="CL221" s="239">
        <v>0</v>
      </c>
      <c r="CM221" s="239">
        <v>738995</v>
      </c>
      <c r="CN221" s="239">
        <v>73899452</v>
      </c>
      <c r="CO221" s="239">
        <v>36425524</v>
      </c>
      <c r="CP221" s="239">
        <v>35697014</v>
      </c>
      <c r="CQ221" s="239">
        <v>0</v>
      </c>
      <c r="CR221" s="239">
        <v>728510</v>
      </c>
      <c r="CS221" s="239">
        <v>72851048</v>
      </c>
      <c r="CT221" s="239">
        <v>-524202</v>
      </c>
      <c r="CU221" s="239">
        <v>-513717</v>
      </c>
      <c r="CV221" s="239">
        <v>0</v>
      </c>
      <c r="CW221" s="239">
        <v>-10485</v>
      </c>
      <c r="CX221" s="239">
        <v>-1048404</v>
      </c>
      <c r="CY221" s="239">
        <v>-963300</v>
      </c>
      <c r="CZ221" s="239">
        <v>-944033</v>
      </c>
      <c r="DA221" s="239">
        <v>0</v>
      </c>
      <c r="DB221" s="239">
        <v>-19267</v>
      </c>
      <c r="DC221" s="239">
        <v>-1926600</v>
      </c>
      <c r="DD221" s="214">
        <v>0.5</v>
      </c>
      <c r="DE221" s="214">
        <v>0.49</v>
      </c>
      <c r="DF221" s="214">
        <v>0</v>
      </c>
      <c r="DG221" s="214">
        <v>0.01</v>
      </c>
      <c r="DH221" s="214">
        <v>1</v>
      </c>
      <c r="DI221" s="214" t="s">
        <v>1296</v>
      </c>
    </row>
    <row r="222" spans="2:113" s="214" customFormat="1" x14ac:dyDescent="0.2">
      <c r="B222" s="610" t="s">
        <v>527</v>
      </c>
      <c r="C222" s="610" t="s">
        <v>526</v>
      </c>
      <c r="D222" s="239">
        <v>21674937</v>
      </c>
      <c r="E222" s="239">
        <v>17339949</v>
      </c>
      <c r="F222" s="239">
        <v>4334987</v>
      </c>
      <c r="G222" s="239">
        <v>0</v>
      </c>
      <c r="H222" s="239">
        <v>43349873</v>
      </c>
      <c r="I222" s="239">
        <v>0</v>
      </c>
      <c r="J222" s="239">
        <v>0</v>
      </c>
      <c r="K222" s="239">
        <v>21674937</v>
      </c>
      <c r="L222" s="239">
        <v>137030</v>
      </c>
      <c r="M222" s="239">
        <v>137030</v>
      </c>
      <c r="N222" s="239">
        <v>0</v>
      </c>
      <c r="O222" s="239">
        <v>0</v>
      </c>
      <c r="P222" s="239">
        <v>0</v>
      </c>
      <c r="Q222" s="239">
        <v>0</v>
      </c>
      <c r="R222" s="239">
        <v>0</v>
      </c>
      <c r="S222" s="239">
        <v>0</v>
      </c>
      <c r="T222" s="239">
        <v>0</v>
      </c>
      <c r="U222" s="239">
        <v>0</v>
      </c>
      <c r="V222" s="239">
        <v>0</v>
      </c>
      <c r="W222" s="239">
        <v>792183</v>
      </c>
      <c r="X222" s="239">
        <v>633747</v>
      </c>
      <c r="Y222" s="239">
        <v>158437</v>
      </c>
      <c r="Z222" s="239">
        <v>0</v>
      </c>
      <c r="AA222" s="239">
        <v>1584367</v>
      </c>
      <c r="AB222" s="239">
        <v>-320647</v>
      </c>
      <c r="AC222" s="239">
        <v>-256517</v>
      </c>
      <c r="AD222" s="239">
        <v>-64129</v>
      </c>
      <c r="AE222" s="239">
        <v>0</v>
      </c>
      <c r="AF222" s="239">
        <v>-641293</v>
      </c>
      <c r="AG222" s="239">
        <v>-118556</v>
      </c>
      <c r="AH222" s="239">
        <v>-94846</v>
      </c>
      <c r="AI222" s="239">
        <v>-23711</v>
      </c>
      <c r="AJ222" s="239">
        <v>0</v>
      </c>
      <c r="AK222" s="239">
        <v>-237113</v>
      </c>
      <c r="AL222" s="239">
        <v>117789</v>
      </c>
      <c r="AM222" s="239">
        <v>94232</v>
      </c>
      <c r="AN222" s="239">
        <v>23558</v>
      </c>
      <c r="AO222" s="239">
        <v>0</v>
      </c>
      <c r="AP222" s="239">
        <v>235579</v>
      </c>
      <c r="AQ222" s="239">
        <v>-113822</v>
      </c>
      <c r="AR222" s="239">
        <v>-91058</v>
      </c>
      <c r="AS222" s="239">
        <v>-22764</v>
      </c>
      <c r="AT222" s="239">
        <v>0</v>
      </c>
      <c r="AU222" s="239">
        <v>-227644</v>
      </c>
      <c r="AV222" s="239">
        <v>-114589</v>
      </c>
      <c r="AW222" s="239">
        <v>-91672</v>
      </c>
      <c r="AX222" s="239">
        <v>-22917</v>
      </c>
      <c r="AY222" s="239">
        <v>0</v>
      </c>
      <c r="AZ222" s="239">
        <v>-229178</v>
      </c>
      <c r="BA222" s="239">
        <v>-1100711</v>
      </c>
      <c r="BB222" s="239">
        <v>-880569</v>
      </c>
      <c r="BC222" s="239">
        <v>-220142</v>
      </c>
      <c r="BD222" s="239">
        <v>0</v>
      </c>
      <c r="BE222" s="239">
        <v>-2201422</v>
      </c>
      <c r="BF222" s="239">
        <v>985262</v>
      </c>
      <c r="BG222" s="239">
        <v>788209</v>
      </c>
      <c r="BH222" s="239">
        <v>197052</v>
      </c>
      <c r="BI222" s="239">
        <v>0</v>
      </c>
      <c r="BJ222" s="239">
        <v>1970523</v>
      </c>
      <c r="BK222" s="239">
        <v>-1676721</v>
      </c>
      <c r="BL222" s="239">
        <v>-1341376</v>
      </c>
      <c r="BM222" s="239">
        <v>-335344</v>
      </c>
      <c r="BN222" s="239">
        <v>0</v>
      </c>
      <c r="BO222" s="239">
        <v>-3353441</v>
      </c>
      <c r="BP222" s="239">
        <v>-1792170</v>
      </c>
      <c r="BQ222" s="239">
        <v>-1433736</v>
      </c>
      <c r="BR222" s="239">
        <v>-358434</v>
      </c>
      <c r="BS222" s="239">
        <v>0</v>
      </c>
      <c r="BT222" s="239">
        <v>-3584340</v>
      </c>
      <c r="BU222" s="239">
        <v>-308514</v>
      </c>
      <c r="BV222" s="239">
        <v>-246811</v>
      </c>
      <c r="BW222" s="239">
        <v>-61703</v>
      </c>
      <c r="BX222" s="239">
        <v>0</v>
      </c>
      <c r="BY222" s="239">
        <v>-617028</v>
      </c>
      <c r="BZ222" s="239">
        <v>104417</v>
      </c>
      <c r="CA222" s="239">
        <v>83534</v>
      </c>
      <c r="CB222" s="239">
        <v>20883</v>
      </c>
      <c r="CC222" s="239">
        <v>0</v>
      </c>
      <c r="CD222" s="239">
        <v>208834</v>
      </c>
      <c r="CE222" s="239">
        <v>-412931</v>
      </c>
      <c r="CF222" s="239">
        <v>-330345</v>
      </c>
      <c r="CG222" s="239">
        <v>-82586</v>
      </c>
      <c r="CH222" s="239">
        <v>0</v>
      </c>
      <c r="CI222" s="239">
        <v>-825862</v>
      </c>
      <c r="CJ222" s="239">
        <v>23192984</v>
      </c>
      <c r="CK222" s="239">
        <v>18554388</v>
      </c>
      <c r="CL222" s="239">
        <v>4638597</v>
      </c>
      <c r="CM222" s="239">
        <v>0</v>
      </c>
      <c r="CN222" s="239">
        <v>46385969</v>
      </c>
      <c r="CO222" s="239">
        <v>21674937</v>
      </c>
      <c r="CP222" s="239">
        <v>17339949</v>
      </c>
      <c r="CQ222" s="239">
        <v>4334987</v>
      </c>
      <c r="CR222" s="239">
        <v>0</v>
      </c>
      <c r="CS222" s="239">
        <v>43349873</v>
      </c>
      <c r="CT222" s="239">
        <v>-1518047</v>
      </c>
      <c r="CU222" s="239">
        <v>-1214439</v>
      </c>
      <c r="CV222" s="239">
        <v>-303610</v>
      </c>
      <c r="CW222" s="239">
        <v>0</v>
      </c>
      <c r="CX222" s="239">
        <v>-3036096</v>
      </c>
      <c r="CY222" s="239">
        <v>-1930978</v>
      </c>
      <c r="CZ222" s="239">
        <v>-1544784</v>
      </c>
      <c r="DA222" s="239">
        <v>-386196</v>
      </c>
      <c r="DB222" s="239">
        <v>0</v>
      </c>
      <c r="DC222" s="239">
        <v>-3861958</v>
      </c>
      <c r="DD222" s="214">
        <v>0.5</v>
      </c>
      <c r="DE222" s="214">
        <v>0.4</v>
      </c>
      <c r="DF222" s="214">
        <v>0.1</v>
      </c>
      <c r="DG222" s="214">
        <v>0</v>
      </c>
      <c r="DH222" s="214">
        <v>1</v>
      </c>
      <c r="DI222" s="214" t="s">
        <v>1294</v>
      </c>
    </row>
    <row r="223" spans="2:113" s="214" customFormat="1" x14ac:dyDescent="0.2">
      <c r="B223" s="610" t="s">
        <v>529</v>
      </c>
      <c r="C223" s="610" t="s">
        <v>528</v>
      </c>
      <c r="D223" s="239">
        <v>22181677.219999999</v>
      </c>
      <c r="E223" s="239">
        <v>17745342</v>
      </c>
      <c r="F223" s="239">
        <v>4436336</v>
      </c>
      <c r="G223" s="239">
        <v>0</v>
      </c>
      <c r="H223" s="239">
        <v>44363355.219999999</v>
      </c>
      <c r="I223" s="239">
        <v>0</v>
      </c>
      <c r="J223" s="239">
        <v>0</v>
      </c>
      <c r="K223" s="239">
        <v>22181677.219999999</v>
      </c>
      <c r="L223" s="239">
        <v>126689</v>
      </c>
      <c r="M223" s="239">
        <v>126689</v>
      </c>
      <c r="N223" s="239">
        <v>0</v>
      </c>
      <c r="O223" s="239">
        <v>0</v>
      </c>
      <c r="P223" s="239">
        <v>0</v>
      </c>
      <c r="Q223" s="239">
        <v>0</v>
      </c>
      <c r="R223" s="239">
        <v>0</v>
      </c>
      <c r="S223" s="239">
        <v>0</v>
      </c>
      <c r="T223" s="239">
        <v>0</v>
      </c>
      <c r="U223" s="239">
        <v>0</v>
      </c>
      <c r="V223" s="239">
        <v>0</v>
      </c>
      <c r="W223" s="239">
        <v>455762</v>
      </c>
      <c r="X223" s="239">
        <v>364610</v>
      </c>
      <c r="Y223" s="239">
        <v>91152</v>
      </c>
      <c r="Z223" s="239">
        <v>0</v>
      </c>
      <c r="AA223" s="239">
        <v>911524</v>
      </c>
      <c r="AB223" s="239">
        <v>-249217</v>
      </c>
      <c r="AC223" s="239">
        <v>-199373</v>
      </c>
      <c r="AD223" s="239">
        <v>-49843</v>
      </c>
      <c r="AE223" s="239">
        <v>0</v>
      </c>
      <c r="AF223" s="239">
        <v>-498433</v>
      </c>
      <c r="AG223" s="239">
        <v>-484300</v>
      </c>
      <c r="AH223" s="239">
        <v>-387440</v>
      </c>
      <c r="AI223" s="239">
        <v>-96860</v>
      </c>
      <c r="AJ223" s="239">
        <v>0</v>
      </c>
      <c r="AK223" s="239">
        <v>-968600</v>
      </c>
      <c r="AL223" s="239">
        <v>0</v>
      </c>
      <c r="AM223" s="239">
        <v>0</v>
      </c>
      <c r="AN223" s="239">
        <v>0</v>
      </c>
      <c r="AO223" s="239">
        <v>0</v>
      </c>
      <c r="AP223" s="239">
        <v>0</v>
      </c>
      <c r="AQ223" s="239">
        <v>169650</v>
      </c>
      <c r="AR223" s="239">
        <v>135720</v>
      </c>
      <c r="AS223" s="239">
        <v>33930</v>
      </c>
      <c r="AT223" s="239">
        <v>0</v>
      </c>
      <c r="AU223" s="239">
        <v>339300</v>
      </c>
      <c r="AV223" s="239">
        <v>-314650</v>
      </c>
      <c r="AW223" s="239">
        <v>-251720</v>
      </c>
      <c r="AX223" s="239">
        <v>-62930</v>
      </c>
      <c r="AY223" s="239">
        <v>0</v>
      </c>
      <c r="AZ223" s="239">
        <v>-629300</v>
      </c>
      <c r="BA223" s="239">
        <v>-2127003</v>
      </c>
      <c r="BB223" s="239">
        <v>-1701604</v>
      </c>
      <c r="BC223" s="239">
        <v>-425401</v>
      </c>
      <c r="BD223" s="239">
        <v>0</v>
      </c>
      <c r="BE223" s="239">
        <v>-4254008</v>
      </c>
      <c r="BF223" s="239">
        <v>0</v>
      </c>
      <c r="BG223" s="239">
        <v>0</v>
      </c>
      <c r="BH223" s="239">
        <v>0</v>
      </c>
      <c r="BI223" s="239">
        <v>0</v>
      </c>
      <c r="BJ223" s="239">
        <v>0</v>
      </c>
      <c r="BK223" s="239">
        <v>-784146.06</v>
      </c>
      <c r="BL223" s="239">
        <v>-627317</v>
      </c>
      <c r="BM223" s="239">
        <v>-156829</v>
      </c>
      <c r="BN223" s="239">
        <v>0</v>
      </c>
      <c r="BO223" s="239">
        <v>-1568292.06</v>
      </c>
      <c r="BP223" s="239">
        <v>-2911149.06</v>
      </c>
      <c r="BQ223" s="239">
        <v>-2328921</v>
      </c>
      <c r="BR223" s="239">
        <v>-582230</v>
      </c>
      <c r="BS223" s="239">
        <v>0</v>
      </c>
      <c r="BT223" s="239">
        <v>-5822300.0600000005</v>
      </c>
      <c r="BU223" s="239">
        <v>-2808000</v>
      </c>
      <c r="BV223" s="239">
        <v>-2246400</v>
      </c>
      <c r="BW223" s="239">
        <v>-561600</v>
      </c>
      <c r="BX223" s="239">
        <v>0</v>
      </c>
      <c r="BY223" s="239">
        <v>-5616000</v>
      </c>
      <c r="BZ223" s="239">
        <v>-1337113</v>
      </c>
      <c r="CA223" s="239">
        <v>-1069691</v>
      </c>
      <c r="CB223" s="239">
        <v>-267423</v>
      </c>
      <c r="CC223" s="239">
        <v>0</v>
      </c>
      <c r="CD223" s="239">
        <v>-2674227</v>
      </c>
      <c r="CE223" s="239">
        <v>-1470887</v>
      </c>
      <c r="CF223" s="239">
        <v>-1176709</v>
      </c>
      <c r="CG223" s="239">
        <v>-294177</v>
      </c>
      <c r="CH223" s="239">
        <v>0</v>
      </c>
      <c r="CI223" s="239">
        <v>-2941773</v>
      </c>
      <c r="CJ223" s="239">
        <v>22372642</v>
      </c>
      <c r="CK223" s="239">
        <v>17898114</v>
      </c>
      <c r="CL223" s="239">
        <v>4474528</v>
      </c>
      <c r="CM223" s="239">
        <v>0</v>
      </c>
      <c r="CN223" s="239">
        <v>44745284</v>
      </c>
      <c r="CO223" s="239">
        <v>22181677.219999999</v>
      </c>
      <c r="CP223" s="239">
        <v>17745342</v>
      </c>
      <c r="CQ223" s="239">
        <v>4436336</v>
      </c>
      <c r="CR223" s="239">
        <v>0</v>
      </c>
      <c r="CS223" s="239">
        <v>44363355.219999999</v>
      </c>
      <c r="CT223" s="239">
        <v>-190964.78000000119</v>
      </c>
      <c r="CU223" s="239">
        <v>-152772</v>
      </c>
      <c r="CV223" s="239">
        <v>-38192</v>
      </c>
      <c r="CW223" s="239">
        <v>0</v>
      </c>
      <c r="CX223" s="239">
        <v>-381928.78000000119</v>
      </c>
      <c r="CY223" s="239">
        <v>-1661851.7800000012</v>
      </c>
      <c r="CZ223" s="239">
        <v>-1329481</v>
      </c>
      <c r="DA223" s="239">
        <v>-332369</v>
      </c>
      <c r="DB223" s="239">
        <v>0</v>
      </c>
      <c r="DC223" s="239">
        <v>-3323701.7800000012</v>
      </c>
      <c r="DD223" s="214">
        <v>0.5</v>
      </c>
      <c r="DE223" s="214">
        <v>0.4</v>
      </c>
      <c r="DF223" s="214">
        <v>0.1</v>
      </c>
      <c r="DG223" s="214">
        <v>0</v>
      </c>
      <c r="DH223" s="214">
        <v>1</v>
      </c>
      <c r="DI223" s="214" t="s">
        <v>1294</v>
      </c>
    </row>
    <row r="224" spans="2:113" s="214" customFormat="1" x14ac:dyDescent="0.2">
      <c r="B224" s="610" t="s">
        <v>531</v>
      </c>
      <c r="C224" s="610" t="s">
        <v>530</v>
      </c>
      <c r="D224" s="239">
        <v>13476908</v>
      </c>
      <c r="E224" s="239">
        <v>10781527</v>
      </c>
      <c r="F224" s="239">
        <v>2425844</v>
      </c>
      <c r="G224" s="239">
        <v>269538</v>
      </c>
      <c r="H224" s="239">
        <v>26953817</v>
      </c>
      <c r="I224" s="239">
        <v>0</v>
      </c>
      <c r="J224" s="239">
        <v>0</v>
      </c>
      <c r="K224" s="239">
        <v>13476908</v>
      </c>
      <c r="L224" s="239">
        <v>109293</v>
      </c>
      <c r="M224" s="239">
        <v>109293</v>
      </c>
      <c r="N224" s="239">
        <v>0</v>
      </c>
      <c r="O224" s="239">
        <v>0</v>
      </c>
      <c r="P224" s="239">
        <v>62504</v>
      </c>
      <c r="Q224" s="239">
        <v>0</v>
      </c>
      <c r="R224" s="239">
        <v>62504</v>
      </c>
      <c r="S224" s="239">
        <v>0</v>
      </c>
      <c r="T224" s="239">
        <v>0</v>
      </c>
      <c r="U224" s="239">
        <v>0</v>
      </c>
      <c r="V224" s="239">
        <v>0</v>
      </c>
      <c r="W224" s="239">
        <v>418166</v>
      </c>
      <c r="X224" s="239">
        <v>334532</v>
      </c>
      <c r="Y224" s="239">
        <v>75270</v>
      </c>
      <c r="Z224" s="239">
        <v>8363</v>
      </c>
      <c r="AA224" s="239">
        <v>836331</v>
      </c>
      <c r="AB224" s="239">
        <v>-134257</v>
      </c>
      <c r="AC224" s="239">
        <v>-107406</v>
      </c>
      <c r="AD224" s="239">
        <v>-24166</v>
      </c>
      <c r="AE224" s="239">
        <v>-2685</v>
      </c>
      <c r="AF224" s="239">
        <v>-268514</v>
      </c>
      <c r="AG224" s="239">
        <v>-280950</v>
      </c>
      <c r="AH224" s="239">
        <v>-224760</v>
      </c>
      <c r="AI224" s="239">
        <v>-50571</v>
      </c>
      <c r="AJ224" s="239">
        <v>-5619</v>
      </c>
      <c r="AK224" s="239">
        <v>-561900</v>
      </c>
      <c r="AL224" s="239">
        <v>11499</v>
      </c>
      <c r="AM224" s="239">
        <v>9199</v>
      </c>
      <c r="AN224" s="239">
        <v>2070</v>
      </c>
      <c r="AO224" s="239">
        <v>230</v>
      </c>
      <c r="AP224" s="239">
        <v>22998</v>
      </c>
      <c r="AQ224" s="239">
        <v>-15449</v>
      </c>
      <c r="AR224" s="239">
        <v>-12359</v>
      </c>
      <c r="AS224" s="239">
        <v>-2781</v>
      </c>
      <c r="AT224" s="239">
        <v>-309</v>
      </c>
      <c r="AU224" s="239">
        <v>-30898</v>
      </c>
      <c r="AV224" s="239">
        <v>-284900</v>
      </c>
      <c r="AW224" s="239">
        <v>-227920</v>
      </c>
      <c r="AX224" s="239">
        <v>-51282</v>
      </c>
      <c r="AY224" s="239">
        <v>-5698</v>
      </c>
      <c r="AZ224" s="239">
        <v>-569800</v>
      </c>
      <c r="BA224" s="239">
        <v>-1050208</v>
      </c>
      <c r="BB224" s="239">
        <v>-840167</v>
      </c>
      <c r="BC224" s="239">
        <v>-189038</v>
      </c>
      <c r="BD224" s="239">
        <v>-21004</v>
      </c>
      <c r="BE224" s="239">
        <v>-2100417</v>
      </c>
      <c r="BF224" s="239">
        <v>415342</v>
      </c>
      <c r="BG224" s="239">
        <v>332273</v>
      </c>
      <c r="BH224" s="239">
        <v>74761</v>
      </c>
      <c r="BI224" s="239">
        <v>8307</v>
      </c>
      <c r="BJ224" s="239">
        <v>830683</v>
      </c>
      <c r="BK224" s="239">
        <v>-599014</v>
      </c>
      <c r="BL224" s="239">
        <v>-479212</v>
      </c>
      <c r="BM224" s="239">
        <v>-107823</v>
      </c>
      <c r="BN224" s="239">
        <v>-11980</v>
      </c>
      <c r="BO224" s="239">
        <v>-1198029</v>
      </c>
      <c r="BP224" s="239">
        <v>-1233880</v>
      </c>
      <c r="BQ224" s="239">
        <v>-987106</v>
      </c>
      <c r="BR224" s="239">
        <v>-222100</v>
      </c>
      <c r="BS224" s="239">
        <v>-24677</v>
      </c>
      <c r="BT224" s="239">
        <v>-2467763</v>
      </c>
      <c r="BU224" s="239">
        <v>-1082106</v>
      </c>
      <c r="BV224" s="239">
        <v>-865684</v>
      </c>
      <c r="BW224" s="239">
        <v>-194779</v>
      </c>
      <c r="BX224" s="239">
        <v>-21642</v>
      </c>
      <c r="BY224" s="239">
        <v>-2164211</v>
      </c>
      <c r="BZ224" s="239">
        <v>-622319</v>
      </c>
      <c r="CA224" s="239">
        <v>-497854</v>
      </c>
      <c r="CB224" s="239">
        <v>-112017</v>
      </c>
      <c r="CC224" s="239">
        <v>-12446</v>
      </c>
      <c r="CD224" s="239">
        <v>-1244636</v>
      </c>
      <c r="CE224" s="239">
        <v>-459787</v>
      </c>
      <c r="CF224" s="239">
        <v>-367830</v>
      </c>
      <c r="CG224" s="239">
        <v>-82762</v>
      </c>
      <c r="CH224" s="239">
        <v>-9196</v>
      </c>
      <c r="CI224" s="239">
        <v>-919575</v>
      </c>
      <c r="CJ224" s="239">
        <v>13319997</v>
      </c>
      <c r="CK224" s="239">
        <v>10655997</v>
      </c>
      <c r="CL224" s="239">
        <v>2397599</v>
      </c>
      <c r="CM224" s="239">
        <v>266400</v>
      </c>
      <c r="CN224" s="239">
        <v>26639993</v>
      </c>
      <c r="CO224" s="239">
        <v>13476908</v>
      </c>
      <c r="CP224" s="239">
        <v>10781527</v>
      </c>
      <c r="CQ224" s="239">
        <v>2425844</v>
      </c>
      <c r="CR224" s="239">
        <v>269538</v>
      </c>
      <c r="CS224" s="239">
        <v>26953817</v>
      </c>
      <c r="CT224" s="239">
        <v>156911</v>
      </c>
      <c r="CU224" s="239">
        <v>125530</v>
      </c>
      <c r="CV224" s="239">
        <v>28245</v>
      </c>
      <c r="CW224" s="239">
        <v>3138</v>
      </c>
      <c r="CX224" s="239">
        <v>313824</v>
      </c>
      <c r="CY224" s="239">
        <v>-302876</v>
      </c>
      <c r="CZ224" s="239">
        <v>-242300</v>
      </c>
      <c r="DA224" s="239">
        <v>-54517</v>
      </c>
      <c r="DB224" s="239">
        <v>-6058</v>
      </c>
      <c r="DC224" s="239">
        <v>-605751</v>
      </c>
      <c r="DD224" s="214">
        <v>0.5</v>
      </c>
      <c r="DE224" s="214">
        <v>0.4</v>
      </c>
      <c r="DF224" s="214">
        <v>0.09</v>
      </c>
      <c r="DG224" s="214">
        <v>0.01</v>
      </c>
      <c r="DH224" s="214">
        <v>1</v>
      </c>
      <c r="DI224" s="214" t="s">
        <v>1294</v>
      </c>
    </row>
    <row r="225" spans="2:113" s="214" customFormat="1" x14ac:dyDescent="0.2">
      <c r="B225" s="610" t="s">
        <v>533</v>
      </c>
      <c r="C225" s="610" t="s">
        <v>532</v>
      </c>
      <c r="D225" s="239">
        <v>21993859</v>
      </c>
      <c r="E225" s="239">
        <v>17595086</v>
      </c>
      <c r="F225" s="239">
        <v>3958894</v>
      </c>
      <c r="G225" s="239">
        <v>439877</v>
      </c>
      <c r="H225" s="239">
        <v>43987716</v>
      </c>
      <c r="I225" s="239">
        <v>0</v>
      </c>
      <c r="J225" s="239">
        <v>0</v>
      </c>
      <c r="K225" s="239">
        <v>21993859</v>
      </c>
      <c r="L225" s="239">
        <v>123644</v>
      </c>
      <c r="M225" s="239">
        <v>123644</v>
      </c>
      <c r="N225" s="239">
        <v>0</v>
      </c>
      <c r="O225" s="239">
        <v>0</v>
      </c>
      <c r="P225" s="239">
        <v>0</v>
      </c>
      <c r="Q225" s="239">
        <v>0</v>
      </c>
      <c r="R225" s="239">
        <v>0</v>
      </c>
      <c r="S225" s="239">
        <v>0</v>
      </c>
      <c r="T225" s="239">
        <v>0</v>
      </c>
      <c r="U225" s="239">
        <v>0</v>
      </c>
      <c r="V225" s="239">
        <v>0</v>
      </c>
      <c r="W225" s="239">
        <v>911454</v>
      </c>
      <c r="X225" s="239">
        <v>729164</v>
      </c>
      <c r="Y225" s="239">
        <v>164062</v>
      </c>
      <c r="Z225" s="239">
        <v>18229</v>
      </c>
      <c r="AA225" s="239">
        <v>1822909</v>
      </c>
      <c r="AB225" s="239">
        <v>-528908</v>
      </c>
      <c r="AC225" s="239">
        <v>-423126</v>
      </c>
      <c r="AD225" s="239">
        <v>-95203</v>
      </c>
      <c r="AE225" s="239">
        <v>-10578</v>
      </c>
      <c r="AF225" s="239">
        <v>-1057815</v>
      </c>
      <c r="AG225" s="239">
        <v>-276565.73</v>
      </c>
      <c r="AH225" s="239">
        <v>-221253</v>
      </c>
      <c r="AI225" s="239">
        <v>-49783</v>
      </c>
      <c r="AJ225" s="239">
        <v>-5532</v>
      </c>
      <c r="AK225" s="239">
        <v>-553133.73</v>
      </c>
      <c r="AL225" s="239">
        <v>62475</v>
      </c>
      <c r="AM225" s="239">
        <v>49980</v>
      </c>
      <c r="AN225" s="239">
        <v>11245</v>
      </c>
      <c r="AO225" s="239">
        <v>1249</v>
      </c>
      <c r="AP225" s="239">
        <v>124949</v>
      </c>
      <c r="AQ225" s="239">
        <v>-167735</v>
      </c>
      <c r="AR225" s="239">
        <v>-134188</v>
      </c>
      <c r="AS225" s="239">
        <v>-30192</v>
      </c>
      <c r="AT225" s="239">
        <v>-3355</v>
      </c>
      <c r="AU225" s="239">
        <v>-335470</v>
      </c>
      <c r="AV225" s="239">
        <v>-381825.73</v>
      </c>
      <c r="AW225" s="239">
        <v>-305461</v>
      </c>
      <c r="AX225" s="239">
        <v>-68730</v>
      </c>
      <c r="AY225" s="239">
        <v>-7638</v>
      </c>
      <c r="AZ225" s="239">
        <v>-763654.73</v>
      </c>
      <c r="BA225" s="239">
        <v>-2201693</v>
      </c>
      <c r="BB225" s="239">
        <v>-1761356</v>
      </c>
      <c r="BC225" s="239">
        <v>-396305</v>
      </c>
      <c r="BD225" s="239">
        <v>-44035</v>
      </c>
      <c r="BE225" s="239">
        <v>-4403389</v>
      </c>
      <c r="BF225" s="239">
        <v>202529</v>
      </c>
      <c r="BG225" s="239">
        <v>162023</v>
      </c>
      <c r="BH225" s="239">
        <v>36455</v>
      </c>
      <c r="BI225" s="239">
        <v>4051</v>
      </c>
      <c r="BJ225" s="239">
        <v>405058</v>
      </c>
      <c r="BK225" s="239">
        <v>-997349</v>
      </c>
      <c r="BL225" s="239">
        <v>-797880</v>
      </c>
      <c r="BM225" s="239">
        <v>-179523</v>
      </c>
      <c r="BN225" s="239">
        <v>-19947</v>
      </c>
      <c r="BO225" s="239">
        <v>-1994699</v>
      </c>
      <c r="BP225" s="239">
        <v>-2996513</v>
      </c>
      <c r="BQ225" s="239">
        <v>-2397213</v>
      </c>
      <c r="BR225" s="239">
        <v>-539373</v>
      </c>
      <c r="BS225" s="239">
        <v>-59931</v>
      </c>
      <c r="BT225" s="239">
        <v>-5993030</v>
      </c>
      <c r="BU225" s="239">
        <v>5792181</v>
      </c>
      <c r="BV225" s="239">
        <v>4633745</v>
      </c>
      <c r="BW225" s="239">
        <v>1042593</v>
      </c>
      <c r="BX225" s="239">
        <v>115844</v>
      </c>
      <c r="BY225" s="239">
        <v>11584363</v>
      </c>
      <c r="BZ225" s="239">
        <v>5442764</v>
      </c>
      <c r="CA225" s="239">
        <v>4354210</v>
      </c>
      <c r="CB225" s="239">
        <v>979697</v>
      </c>
      <c r="CC225" s="239">
        <v>108855</v>
      </c>
      <c r="CD225" s="239">
        <v>10885526</v>
      </c>
      <c r="CE225" s="239">
        <v>349417</v>
      </c>
      <c r="CF225" s="239">
        <v>279535</v>
      </c>
      <c r="CG225" s="239">
        <v>62896</v>
      </c>
      <c r="CH225" s="239">
        <v>6989</v>
      </c>
      <c r="CI225" s="239">
        <v>698837</v>
      </c>
      <c r="CJ225" s="239">
        <v>23275415</v>
      </c>
      <c r="CK225" s="239">
        <v>18620332</v>
      </c>
      <c r="CL225" s="239">
        <v>4189575</v>
      </c>
      <c r="CM225" s="239">
        <v>465508</v>
      </c>
      <c r="CN225" s="239">
        <v>46550830</v>
      </c>
      <c r="CO225" s="239">
        <v>21993859</v>
      </c>
      <c r="CP225" s="239">
        <v>17595086</v>
      </c>
      <c r="CQ225" s="239">
        <v>3958894</v>
      </c>
      <c r="CR225" s="239">
        <v>439877</v>
      </c>
      <c r="CS225" s="239">
        <v>43987716</v>
      </c>
      <c r="CT225" s="239">
        <v>-1281556</v>
      </c>
      <c r="CU225" s="239">
        <v>-1025246</v>
      </c>
      <c r="CV225" s="239">
        <v>-230681</v>
      </c>
      <c r="CW225" s="239">
        <v>-25631</v>
      </c>
      <c r="CX225" s="239">
        <v>-2563114</v>
      </c>
      <c r="CY225" s="239">
        <v>-932139</v>
      </c>
      <c r="CZ225" s="239">
        <v>-745711</v>
      </c>
      <c r="DA225" s="239">
        <v>-167785</v>
      </c>
      <c r="DB225" s="239">
        <v>-18642</v>
      </c>
      <c r="DC225" s="239">
        <v>-1864277</v>
      </c>
      <c r="DD225" s="214">
        <v>0.5</v>
      </c>
      <c r="DE225" s="214">
        <v>0.4</v>
      </c>
      <c r="DF225" s="214">
        <v>0.09</v>
      </c>
      <c r="DG225" s="214">
        <v>0.01</v>
      </c>
      <c r="DH225" s="214">
        <v>1</v>
      </c>
      <c r="DI225" s="214" t="s">
        <v>1294</v>
      </c>
    </row>
    <row r="226" spans="2:113" s="214" customFormat="1" x14ac:dyDescent="0.2">
      <c r="B226" s="610" t="s">
        <v>535</v>
      </c>
      <c r="C226" s="610" t="s">
        <v>534</v>
      </c>
      <c r="D226" s="239">
        <v>5148254</v>
      </c>
      <c r="E226" s="239">
        <v>5045289</v>
      </c>
      <c r="F226" s="239">
        <v>0</v>
      </c>
      <c r="G226" s="239">
        <v>102965</v>
      </c>
      <c r="H226" s="239">
        <v>10296508</v>
      </c>
      <c r="I226" s="239">
        <v>0</v>
      </c>
      <c r="J226" s="239">
        <v>0</v>
      </c>
      <c r="K226" s="239">
        <v>5148254</v>
      </c>
      <c r="L226" s="239">
        <v>54620</v>
      </c>
      <c r="M226" s="239">
        <v>54620</v>
      </c>
      <c r="N226" s="239">
        <v>0</v>
      </c>
      <c r="O226" s="239">
        <v>0</v>
      </c>
      <c r="P226" s="239">
        <v>35619</v>
      </c>
      <c r="Q226" s="239">
        <v>0</v>
      </c>
      <c r="R226" s="239">
        <v>35619</v>
      </c>
      <c r="S226" s="239">
        <v>0</v>
      </c>
      <c r="T226" s="239">
        <v>0</v>
      </c>
      <c r="U226" s="239">
        <v>0</v>
      </c>
      <c r="V226" s="239">
        <v>0</v>
      </c>
      <c r="W226" s="239">
        <v>61634</v>
      </c>
      <c r="X226" s="239">
        <v>60401</v>
      </c>
      <c r="Y226" s="239">
        <v>0</v>
      </c>
      <c r="Z226" s="239">
        <v>1233</v>
      </c>
      <c r="AA226" s="239">
        <v>123268</v>
      </c>
      <c r="AB226" s="239">
        <v>-62316</v>
      </c>
      <c r="AC226" s="239">
        <v>-61070</v>
      </c>
      <c r="AD226" s="239">
        <v>0</v>
      </c>
      <c r="AE226" s="239">
        <v>-1246</v>
      </c>
      <c r="AF226" s="239">
        <v>-124632</v>
      </c>
      <c r="AG226" s="239">
        <v>-54704</v>
      </c>
      <c r="AH226" s="239">
        <v>-53611</v>
      </c>
      <c r="AI226" s="239">
        <v>0</v>
      </c>
      <c r="AJ226" s="239">
        <v>-1094</v>
      </c>
      <c r="AK226" s="239">
        <v>-109409</v>
      </c>
      <c r="AL226" s="239">
        <v>18144</v>
      </c>
      <c r="AM226" s="239">
        <v>17781</v>
      </c>
      <c r="AN226" s="239">
        <v>0</v>
      </c>
      <c r="AO226" s="239">
        <v>363</v>
      </c>
      <c r="AP226" s="239">
        <v>36288</v>
      </c>
      <c r="AQ226" s="239">
        <v>2437</v>
      </c>
      <c r="AR226" s="239">
        <v>2389</v>
      </c>
      <c r="AS226" s="239">
        <v>0</v>
      </c>
      <c r="AT226" s="239">
        <v>49</v>
      </c>
      <c r="AU226" s="239">
        <v>4875</v>
      </c>
      <c r="AV226" s="239">
        <v>-34123</v>
      </c>
      <c r="AW226" s="239">
        <v>-33441</v>
      </c>
      <c r="AX226" s="239">
        <v>0</v>
      </c>
      <c r="AY226" s="239">
        <v>-682</v>
      </c>
      <c r="AZ226" s="239">
        <v>-68246</v>
      </c>
      <c r="BA226" s="239">
        <v>-291771.40000000002</v>
      </c>
      <c r="BB226" s="239">
        <v>-285935</v>
      </c>
      <c r="BC226" s="239">
        <v>0</v>
      </c>
      <c r="BD226" s="239">
        <v>-5835</v>
      </c>
      <c r="BE226" s="239">
        <v>-583541.4</v>
      </c>
      <c r="BF226" s="239">
        <v>39283</v>
      </c>
      <c r="BG226" s="239">
        <v>38497</v>
      </c>
      <c r="BH226" s="239">
        <v>0</v>
      </c>
      <c r="BI226" s="239">
        <v>786</v>
      </c>
      <c r="BJ226" s="239">
        <v>78566</v>
      </c>
      <c r="BK226" s="239">
        <v>0</v>
      </c>
      <c r="BL226" s="239">
        <v>0</v>
      </c>
      <c r="BM226" s="239">
        <v>0</v>
      </c>
      <c r="BN226" s="239">
        <v>0</v>
      </c>
      <c r="BO226" s="239">
        <v>0</v>
      </c>
      <c r="BP226" s="239">
        <v>-252488.40000000002</v>
      </c>
      <c r="BQ226" s="239">
        <v>-247438</v>
      </c>
      <c r="BR226" s="239">
        <v>0</v>
      </c>
      <c r="BS226" s="239">
        <v>-5049</v>
      </c>
      <c r="BT226" s="239">
        <v>-504975.4</v>
      </c>
      <c r="BU226" s="239">
        <v>-253085</v>
      </c>
      <c r="BV226" s="239">
        <v>-248023</v>
      </c>
      <c r="BW226" s="239">
        <v>0</v>
      </c>
      <c r="BX226" s="239">
        <v>-5062</v>
      </c>
      <c r="BY226" s="239">
        <v>-506170</v>
      </c>
      <c r="BZ226" s="239">
        <v>-300865</v>
      </c>
      <c r="CA226" s="239">
        <v>-294847</v>
      </c>
      <c r="CB226" s="239">
        <v>0</v>
      </c>
      <c r="CC226" s="239">
        <v>-6017</v>
      </c>
      <c r="CD226" s="239">
        <v>-601729</v>
      </c>
      <c r="CE226" s="239">
        <v>47780</v>
      </c>
      <c r="CF226" s="239">
        <v>46824</v>
      </c>
      <c r="CG226" s="239">
        <v>0</v>
      </c>
      <c r="CH226" s="239">
        <v>955</v>
      </c>
      <c r="CI226" s="239">
        <v>95559</v>
      </c>
      <c r="CJ226" s="239">
        <v>5126959</v>
      </c>
      <c r="CK226" s="239">
        <v>5024419</v>
      </c>
      <c r="CL226" s="239">
        <v>0</v>
      </c>
      <c r="CM226" s="239">
        <v>102539</v>
      </c>
      <c r="CN226" s="239">
        <v>10253917</v>
      </c>
      <c r="CO226" s="239">
        <v>5148254</v>
      </c>
      <c r="CP226" s="239">
        <v>5045289</v>
      </c>
      <c r="CQ226" s="239">
        <v>0</v>
      </c>
      <c r="CR226" s="239">
        <v>102965</v>
      </c>
      <c r="CS226" s="239">
        <v>10296508</v>
      </c>
      <c r="CT226" s="239">
        <v>21295</v>
      </c>
      <c r="CU226" s="239">
        <v>20870</v>
      </c>
      <c r="CV226" s="239">
        <v>0</v>
      </c>
      <c r="CW226" s="239">
        <v>426</v>
      </c>
      <c r="CX226" s="239">
        <v>42591</v>
      </c>
      <c r="CY226" s="239">
        <v>69075</v>
      </c>
      <c r="CZ226" s="239">
        <v>67694</v>
      </c>
      <c r="DA226" s="239">
        <v>0</v>
      </c>
      <c r="DB226" s="239">
        <v>1381</v>
      </c>
      <c r="DC226" s="239">
        <v>138150</v>
      </c>
      <c r="DD226" s="214">
        <v>0.5</v>
      </c>
      <c r="DE226" s="214">
        <v>0.49</v>
      </c>
      <c r="DF226" s="214">
        <v>0</v>
      </c>
      <c r="DG226" s="214">
        <v>0.01</v>
      </c>
      <c r="DH226" s="214">
        <v>1</v>
      </c>
      <c r="DI226" s="214" t="s">
        <v>748</v>
      </c>
    </row>
    <row r="227" spans="2:113" s="214" customFormat="1" x14ac:dyDescent="0.2">
      <c r="B227" s="610" t="s">
        <v>537</v>
      </c>
      <c r="C227" s="610" t="s">
        <v>536</v>
      </c>
      <c r="D227" s="239">
        <v>8007015</v>
      </c>
      <c r="E227" s="239">
        <v>6405612</v>
      </c>
      <c r="F227" s="239">
        <v>1441263</v>
      </c>
      <c r="G227" s="239">
        <v>160140</v>
      </c>
      <c r="H227" s="239">
        <v>16014030</v>
      </c>
      <c r="I227" s="239">
        <v>0</v>
      </c>
      <c r="J227" s="239">
        <v>0</v>
      </c>
      <c r="K227" s="239">
        <v>8007015</v>
      </c>
      <c r="L227" s="239">
        <v>111400</v>
      </c>
      <c r="M227" s="239">
        <v>111400</v>
      </c>
      <c r="N227" s="239">
        <v>0</v>
      </c>
      <c r="O227" s="239">
        <v>0</v>
      </c>
      <c r="P227" s="239">
        <v>5711</v>
      </c>
      <c r="Q227" s="239">
        <v>0</v>
      </c>
      <c r="R227" s="239">
        <v>5711</v>
      </c>
      <c r="S227" s="239">
        <v>0</v>
      </c>
      <c r="T227" s="239">
        <v>0</v>
      </c>
      <c r="U227" s="239">
        <v>0</v>
      </c>
      <c r="V227" s="239">
        <v>0</v>
      </c>
      <c r="W227" s="239">
        <v>84181</v>
      </c>
      <c r="X227" s="239">
        <v>67345</v>
      </c>
      <c r="Y227" s="239">
        <v>15153</v>
      </c>
      <c r="Z227" s="239">
        <v>1684</v>
      </c>
      <c r="AA227" s="239">
        <v>168363</v>
      </c>
      <c r="AB227" s="239">
        <v>-129917</v>
      </c>
      <c r="AC227" s="239">
        <v>-103934</v>
      </c>
      <c r="AD227" s="239">
        <v>-23385</v>
      </c>
      <c r="AE227" s="239">
        <v>-2598</v>
      </c>
      <c r="AF227" s="239">
        <v>-259834</v>
      </c>
      <c r="AG227" s="239">
        <v>-65000</v>
      </c>
      <c r="AH227" s="239">
        <v>-52000</v>
      </c>
      <c r="AI227" s="239">
        <v>-11700</v>
      </c>
      <c r="AJ227" s="239">
        <v>-1300</v>
      </c>
      <c r="AK227" s="239">
        <v>-130000</v>
      </c>
      <c r="AL227" s="239">
        <v>39443</v>
      </c>
      <c r="AM227" s="239">
        <v>31554</v>
      </c>
      <c r="AN227" s="239">
        <v>7100</v>
      </c>
      <c r="AO227" s="239">
        <v>789</v>
      </c>
      <c r="AP227" s="239">
        <v>78886</v>
      </c>
      <c r="AQ227" s="239">
        <v>-24443</v>
      </c>
      <c r="AR227" s="239">
        <v>-19554</v>
      </c>
      <c r="AS227" s="239">
        <v>-4400</v>
      </c>
      <c r="AT227" s="239">
        <v>-489</v>
      </c>
      <c r="AU227" s="239">
        <v>-48886</v>
      </c>
      <c r="AV227" s="239">
        <v>-50000</v>
      </c>
      <c r="AW227" s="239">
        <v>-40000</v>
      </c>
      <c r="AX227" s="239">
        <v>-9000</v>
      </c>
      <c r="AY227" s="239">
        <v>-1000</v>
      </c>
      <c r="AZ227" s="239">
        <v>-100000</v>
      </c>
      <c r="BA227" s="239">
        <v>-695000</v>
      </c>
      <c r="BB227" s="239">
        <v>-556000</v>
      </c>
      <c r="BC227" s="239">
        <v>-125100</v>
      </c>
      <c r="BD227" s="239">
        <v>-13900</v>
      </c>
      <c r="BE227" s="239">
        <v>-1390000</v>
      </c>
      <c r="BF227" s="239">
        <v>408427</v>
      </c>
      <c r="BG227" s="239">
        <v>326742</v>
      </c>
      <c r="BH227" s="239">
        <v>73517</v>
      </c>
      <c r="BI227" s="239">
        <v>8169</v>
      </c>
      <c r="BJ227" s="239">
        <v>816855</v>
      </c>
      <c r="BK227" s="239">
        <v>-516927</v>
      </c>
      <c r="BL227" s="239">
        <v>-413542</v>
      </c>
      <c r="BM227" s="239">
        <v>-93047</v>
      </c>
      <c r="BN227" s="239">
        <v>-10339</v>
      </c>
      <c r="BO227" s="239">
        <v>-1033855</v>
      </c>
      <c r="BP227" s="239">
        <v>-803500</v>
      </c>
      <c r="BQ227" s="239">
        <v>-642800</v>
      </c>
      <c r="BR227" s="239">
        <v>-144630</v>
      </c>
      <c r="BS227" s="239">
        <v>-16070</v>
      </c>
      <c r="BT227" s="239">
        <v>-1607000</v>
      </c>
      <c r="BU227" s="239">
        <v>-719144</v>
      </c>
      <c r="BV227" s="239">
        <v>-575315</v>
      </c>
      <c r="BW227" s="239">
        <v>-129446</v>
      </c>
      <c r="BX227" s="239">
        <v>-14383</v>
      </c>
      <c r="BY227" s="239">
        <v>-1438288</v>
      </c>
      <c r="BZ227" s="239">
        <v>-900261</v>
      </c>
      <c r="CA227" s="239">
        <v>-720208</v>
      </c>
      <c r="CB227" s="239">
        <v>-162047</v>
      </c>
      <c r="CC227" s="239">
        <v>-18005</v>
      </c>
      <c r="CD227" s="239">
        <v>-1800521</v>
      </c>
      <c r="CE227" s="239">
        <v>181117</v>
      </c>
      <c r="CF227" s="239">
        <v>144893</v>
      </c>
      <c r="CG227" s="239">
        <v>32601</v>
      </c>
      <c r="CH227" s="239">
        <v>3622</v>
      </c>
      <c r="CI227" s="239">
        <v>362233</v>
      </c>
      <c r="CJ227" s="239">
        <v>8196051</v>
      </c>
      <c r="CK227" s="239">
        <v>6556840</v>
      </c>
      <c r="CL227" s="239">
        <v>1475289</v>
      </c>
      <c r="CM227" s="239">
        <v>163921</v>
      </c>
      <c r="CN227" s="239">
        <v>16392101</v>
      </c>
      <c r="CO227" s="239">
        <v>8007015</v>
      </c>
      <c r="CP227" s="239">
        <v>6405612</v>
      </c>
      <c r="CQ227" s="239">
        <v>1441263</v>
      </c>
      <c r="CR227" s="239">
        <v>160140</v>
      </c>
      <c r="CS227" s="239">
        <v>16014030</v>
      </c>
      <c r="CT227" s="239">
        <v>-189036</v>
      </c>
      <c r="CU227" s="239">
        <v>-151228</v>
      </c>
      <c r="CV227" s="239">
        <v>-34026</v>
      </c>
      <c r="CW227" s="239">
        <v>-3781</v>
      </c>
      <c r="CX227" s="239">
        <v>-378071</v>
      </c>
      <c r="CY227" s="239">
        <v>-7919</v>
      </c>
      <c r="CZ227" s="239">
        <v>-6335</v>
      </c>
      <c r="DA227" s="239">
        <v>-1425</v>
      </c>
      <c r="DB227" s="239">
        <v>-159</v>
      </c>
      <c r="DC227" s="239">
        <v>-15838</v>
      </c>
      <c r="DD227" s="214">
        <v>0.5</v>
      </c>
      <c r="DE227" s="214">
        <v>0.4</v>
      </c>
      <c r="DF227" s="214">
        <v>0.09</v>
      </c>
      <c r="DG227" s="214">
        <v>0.01</v>
      </c>
      <c r="DH227" s="214">
        <v>1</v>
      </c>
      <c r="DI227" s="214" t="s">
        <v>1294</v>
      </c>
    </row>
    <row r="228" spans="2:113" s="214" customFormat="1" x14ac:dyDescent="0.2">
      <c r="B228" s="610" t="s">
        <v>539</v>
      </c>
      <c r="C228" s="610" t="s">
        <v>538</v>
      </c>
      <c r="D228" s="239">
        <v>44611701</v>
      </c>
      <c r="E228" s="239">
        <v>43719466</v>
      </c>
      <c r="F228" s="239">
        <v>0</v>
      </c>
      <c r="G228" s="239">
        <v>892234</v>
      </c>
      <c r="H228" s="239">
        <v>89223401</v>
      </c>
      <c r="I228" s="239">
        <v>0</v>
      </c>
      <c r="J228" s="239">
        <v>0</v>
      </c>
      <c r="K228" s="239">
        <v>44611701</v>
      </c>
      <c r="L228" s="239">
        <v>445996</v>
      </c>
      <c r="M228" s="239">
        <v>445996</v>
      </c>
      <c r="N228" s="239">
        <v>0</v>
      </c>
      <c r="O228" s="239">
        <v>0</v>
      </c>
      <c r="P228" s="239">
        <v>0</v>
      </c>
      <c r="Q228" s="239">
        <v>0</v>
      </c>
      <c r="R228" s="239">
        <v>0</v>
      </c>
      <c r="S228" s="239">
        <v>0</v>
      </c>
      <c r="T228" s="239">
        <v>0</v>
      </c>
      <c r="U228" s="239">
        <v>0</v>
      </c>
      <c r="V228" s="239">
        <v>0</v>
      </c>
      <c r="W228" s="239">
        <v>14285641</v>
      </c>
      <c r="X228" s="239">
        <v>13999928</v>
      </c>
      <c r="Y228" s="239">
        <v>0</v>
      </c>
      <c r="Z228" s="239">
        <v>285713</v>
      </c>
      <c r="AA228" s="239">
        <v>28571282</v>
      </c>
      <c r="AB228" s="239">
        <v>-2420477</v>
      </c>
      <c r="AC228" s="239">
        <v>-2372067</v>
      </c>
      <c r="AD228" s="239">
        <v>0</v>
      </c>
      <c r="AE228" s="239">
        <v>-48410</v>
      </c>
      <c r="AF228" s="239">
        <v>-4840954</v>
      </c>
      <c r="AG228" s="239">
        <v>-6565360</v>
      </c>
      <c r="AH228" s="239">
        <v>-6434055</v>
      </c>
      <c r="AI228" s="239">
        <v>0</v>
      </c>
      <c r="AJ228" s="239">
        <v>-131308</v>
      </c>
      <c r="AK228" s="239">
        <v>-13130723</v>
      </c>
      <c r="AL228" s="239">
        <v>992458</v>
      </c>
      <c r="AM228" s="239">
        <v>972608</v>
      </c>
      <c r="AN228" s="239">
        <v>0</v>
      </c>
      <c r="AO228" s="239">
        <v>19849</v>
      </c>
      <c r="AP228" s="239">
        <v>1984915</v>
      </c>
      <c r="AQ228" s="239">
        <v>-2244586</v>
      </c>
      <c r="AR228" s="239">
        <v>-2199695</v>
      </c>
      <c r="AS228" s="239">
        <v>0</v>
      </c>
      <c r="AT228" s="239">
        <v>-44892</v>
      </c>
      <c r="AU228" s="239">
        <v>-4489173</v>
      </c>
      <c r="AV228" s="239">
        <v>-7817488</v>
      </c>
      <c r="AW228" s="239">
        <v>-7661142</v>
      </c>
      <c r="AX228" s="239">
        <v>0</v>
      </c>
      <c r="AY228" s="239">
        <v>-156351</v>
      </c>
      <c r="AZ228" s="239">
        <v>-15634981</v>
      </c>
      <c r="BA228" s="239">
        <v>-5112886</v>
      </c>
      <c r="BB228" s="239">
        <v>-5010631</v>
      </c>
      <c r="BC228" s="239">
        <v>0</v>
      </c>
      <c r="BD228" s="239">
        <v>-102258</v>
      </c>
      <c r="BE228" s="239">
        <v>-10225775</v>
      </c>
      <c r="BF228" s="239">
        <v>2544933</v>
      </c>
      <c r="BG228" s="239">
        <v>2494034</v>
      </c>
      <c r="BH228" s="239">
        <v>0</v>
      </c>
      <c r="BI228" s="239">
        <v>50899</v>
      </c>
      <c r="BJ228" s="239">
        <v>5089866</v>
      </c>
      <c r="BK228" s="239">
        <v>-4257769</v>
      </c>
      <c r="BL228" s="239">
        <v>-4172613</v>
      </c>
      <c r="BM228" s="239">
        <v>0</v>
      </c>
      <c r="BN228" s="239">
        <v>-85155</v>
      </c>
      <c r="BO228" s="239">
        <v>-8515537</v>
      </c>
      <c r="BP228" s="239">
        <v>-6825722</v>
      </c>
      <c r="BQ228" s="239">
        <v>-6689210</v>
      </c>
      <c r="BR228" s="239">
        <v>0</v>
      </c>
      <c r="BS228" s="239">
        <v>-136514</v>
      </c>
      <c r="BT228" s="239">
        <v>-13651446</v>
      </c>
      <c r="BU228" s="239">
        <v>-1050001</v>
      </c>
      <c r="BV228" s="239">
        <v>-1029000</v>
      </c>
      <c r="BW228" s="239">
        <v>0</v>
      </c>
      <c r="BX228" s="239">
        <v>-21000</v>
      </c>
      <c r="BY228" s="239">
        <v>-2100001</v>
      </c>
      <c r="BZ228" s="239">
        <v>-1000500</v>
      </c>
      <c r="CA228" s="239">
        <v>-980490</v>
      </c>
      <c r="CB228" s="239">
        <v>0</v>
      </c>
      <c r="CC228" s="239">
        <v>-20010</v>
      </c>
      <c r="CD228" s="239">
        <v>-2001000</v>
      </c>
      <c r="CE228" s="239">
        <v>-49501</v>
      </c>
      <c r="CF228" s="239">
        <v>-48510</v>
      </c>
      <c r="CG228" s="239">
        <v>0</v>
      </c>
      <c r="CH228" s="239">
        <v>-990</v>
      </c>
      <c r="CI228" s="239">
        <v>-99001</v>
      </c>
      <c r="CJ228" s="239">
        <v>47869883</v>
      </c>
      <c r="CK228" s="239">
        <v>46912485</v>
      </c>
      <c r="CL228" s="239">
        <v>0</v>
      </c>
      <c r="CM228" s="239">
        <v>957398</v>
      </c>
      <c r="CN228" s="239">
        <v>95739766</v>
      </c>
      <c r="CO228" s="239">
        <v>44611701</v>
      </c>
      <c r="CP228" s="239">
        <v>43719466</v>
      </c>
      <c r="CQ228" s="239">
        <v>0</v>
      </c>
      <c r="CR228" s="239">
        <v>892234</v>
      </c>
      <c r="CS228" s="239">
        <v>89223401</v>
      </c>
      <c r="CT228" s="239">
        <v>-3258182</v>
      </c>
      <c r="CU228" s="239">
        <v>-3193019</v>
      </c>
      <c r="CV228" s="239">
        <v>0</v>
      </c>
      <c r="CW228" s="239">
        <v>-65164</v>
      </c>
      <c r="CX228" s="239">
        <v>-6516365</v>
      </c>
      <c r="CY228" s="239">
        <v>-3307683</v>
      </c>
      <c r="CZ228" s="239">
        <v>-3241529</v>
      </c>
      <c r="DA228" s="239">
        <v>0</v>
      </c>
      <c r="DB228" s="239">
        <v>-66154</v>
      </c>
      <c r="DC228" s="239">
        <v>-6615366</v>
      </c>
      <c r="DD228" s="214">
        <v>0.5</v>
      </c>
      <c r="DE228" s="214">
        <v>0.49</v>
      </c>
      <c r="DF228" s="214">
        <v>0</v>
      </c>
      <c r="DG228" s="214">
        <v>0.01</v>
      </c>
      <c r="DH228" s="214">
        <v>1</v>
      </c>
      <c r="DI228" s="214" t="s">
        <v>1296</v>
      </c>
    </row>
    <row r="229" spans="2:113" s="214" customFormat="1" x14ac:dyDescent="0.2">
      <c r="B229" s="610" t="s">
        <v>541</v>
      </c>
      <c r="C229" s="610" t="s">
        <v>540</v>
      </c>
      <c r="D229" s="239">
        <v>49755146</v>
      </c>
      <c r="E229" s="239">
        <v>48760044</v>
      </c>
      <c r="F229" s="239">
        <v>0</v>
      </c>
      <c r="G229" s="239">
        <v>995103</v>
      </c>
      <c r="H229" s="239">
        <v>99510293</v>
      </c>
      <c r="I229" s="239">
        <v>0</v>
      </c>
      <c r="J229" s="239">
        <v>0</v>
      </c>
      <c r="K229" s="239">
        <v>49755146</v>
      </c>
      <c r="L229" s="239">
        <v>451968</v>
      </c>
      <c r="M229" s="239">
        <v>451968</v>
      </c>
      <c r="N229" s="239">
        <v>0</v>
      </c>
      <c r="O229" s="239">
        <v>0</v>
      </c>
      <c r="P229" s="239">
        <v>0</v>
      </c>
      <c r="Q229" s="239">
        <v>0</v>
      </c>
      <c r="R229" s="239">
        <v>0</v>
      </c>
      <c r="S229" s="239">
        <v>0</v>
      </c>
      <c r="T229" s="239">
        <v>0</v>
      </c>
      <c r="U229" s="239">
        <v>0</v>
      </c>
      <c r="V229" s="239">
        <v>0</v>
      </c>
      <c r="W229" s="239">
        <v>2748023</v>
      </c>
      <c r="X229" s="239">
        <v>2693062</v>
      </c>
      <c r="Y229" s="239">
        <v>0</v>
      </c>
      <c r="Z229" s="239">
        <v>54960</v>
      </c>
      <c r="AA229" s="239">
        <v>5496045</v>
      </c>
      <c r="AB229" s="239">
        <v>-240822</v>
      </c>
      <c r="AC229" s="239">
        <v>-236006</v>
      </c>
      <c r="AD229" s="239">
        <v>0</v>
      </c>
      <c r="AE229" s="239">
        <v>-4816</v>
      </c>
      <c r="AF229" s="239">
        <v>-481644</v>
      </c>
      <c r="AG229" s="239">
        <v>-774532</v>
      </c>
      <c r="AH229" s="239">
        <v>-759041</v>
      </c>
      <c r="AI229" s="239">
        <v>0</v>
      </c>
      <c r="AJ229" s="239">
        <v>-15490</v>
      </c>
      <c r="AK229" s="239">
        <v>-1549063</v>
      </c>
      <c r="AL229" s="239">
        <v>1130303</v>
      </c>
      <c r="AM229" s="239">
        <v>1107696</v>
      </c>
      <c r="AN229" s="239">
        <v>0</v>
      </c>
      <c r="AO229" s="239">
        <v>22606</v>
      </c>
      <c r="AP229" s="239">
        <v>2260605</v>
      </c>
      <c r="AQ229" s="239">
        <v>-1106644</v>
      </c>
      <c r="AR229" s="239">
        <v>-1084512</v>
      </c>
      <c r="AS229" s="239">
        <v>0</v>
      </c>
      <c r="AT229" s="239">
        <v>-22133</v>
      </c>
      <c r="AU229" s="239">
        <v>-2213289</v>
      </c>
      <c r="AV229" s="239">
        <v>-750873</v>
      </c>
      <c r="AW229" s="239">
        <v>-735857</v>
      </c>
      <c r="AX229" s="239">
        <v>0</v>
      </c>
      <c r="AY229" s="239">
        <v>-15017</v>
      </c>
      <c r="AZ229" s="239">
        <v>-1501747</v>
      </c>
      <c r="BA229" s="239">
        <v>-860957</v>
      </c>
      <c r="BB229" s="239">
        <v>-843737</v>
      </c>
      <c r="BC229" s="239">
        <v>0</v>
      </c>
      <c r="BD229" s="239">
        <v>-17219</v>
      </c>
      <c r="BE229" s="239">
        <v>-1721913</v>
      </c>
      <c r="BF229" s="239">
        <v>0</v>
      </c>
      <c r="BG229" s="239">
        <v>0</v>
      </c>
      <c r="BH229" s="239">
        <v>0</v>
      </c>
      <c r="BI229" s="239">
        <v>0</v>
      </c>
      <c r="BJ229" s="239">
        <v>0</v>
      </c>
      <c r="BK229" s="239">
        <v>-214034</v>
      </c>
      <c r="BL229" s="239">
        <v>-209753</v>
      </c>
      <c r="BM229" s="239">
        <v>0</v>
      </c>
      <c r="BN229" s="239">
        <v>-4281</v>
      </c>
      <c r="BO229" s="239">
        <v>-428068</v>
      </c>
      <c r="BP229" s="239">
        <v>-1074991</v>
      </c>
      <c r="BQ229" s="239">
        <v>-1053490</v>
      </c>
      <c r="BR229" s="239">
        <v>0</v>
      </c>
      <c r="BS229" s="239">
        <v>-21500</v>
      </c>
      <c r="BT229" s="239">
        <v>-2149981</v>
      </c>
      <c r="BU229" s="239">
        <v>-2438751</v>
      </c>
      <c r="BV229" s="239">
        <v>-2389976</v>
      </c>
      <c r="BW229" s="239">
        <v>0</v>
      </c>
      <c r="BX229" s="239">
        <v>-48775</v>
      </c>
      <c r="BY229" s="239">
        <v>-4877502</v>
      </c>
      <c r="BZ229" s="239">
        <v>-434838</v>
      </c>
      <c r="CA229" s="239">
        <v>-426141</v>
      </c>
      <c r="CB229" s="239">
        <v>0</v>
      </c>
      <c r="CC229" s="239">
        <v>-8697</v>
      </c>
      <c r="CD229" s="239">
        <v>-869676</v>
      </c>
      <c r="CE229" s="239">
        <v>-2003913</v>
      </c>
      <c r="CF229" s="239">
        <v>-1963835</v>
      </c>
      <c r="CG229" s="239">
        <v>0</v>
      </c>
      <c r="CH229" s="239">
        <v>-40078</v>
      </c>
      <c r="CI229" s="239">
        <v>-4007826</v>
      </c>
      <c r="CJ229" s="239">
        <v>51429340</v>
      </c>
      <c r="CK229" s="239">
        <v>50400753</v>
      </c>
      <c r="CL229" s="239">
        <v>0</v>
      </c>
      <c r="CM229" s="239">
        <v>1028587</v>
      </c>
      <c r="CN229" s="239">
        <v>102858680</v>
      </c>
      <c r="CO229" s="239">
        <v>49755146</v>
      </c>
      <c r="CP229" s="239">
        <v>48760044</v>
      </c>
      <c r="CQ229" s="239">
        <v>0</v>
      </c>
      <c r="CR229" s="239">
        <v>995103</v>
      </c>
      <c r="CS229" s="239">
        <v>99510293</v>
      </c>
      <c r="CT229" s="239">
        <v>-1674194</v>
      </c>
      <c r="CU229" s="239">
        <v>-1640709</v>
      </c>
      <c r="CV229" s="239">
        <v>0</v>
      </c>
      <c r="CW229" s="239">
        <v>-33484</v>
      </c>
      <c r="CX229" s="239">
        <v>-3348387</v>
      </c>
      <c r="CY229" s="239">
        <v>-3678107</v>
      </c>
      <c r="CZ229" s="239">
        <v>-3604544</v>
      </c>
      <c r="DA229" s="239">
        <v>0</v>
      </c>
      <c r="DB229" s="239">
        <v>-73562</v>
      </c>
      <c r="DC229" s="239">
        <v>-7356213</v>
      </c>
      <c r="DD229" s="214">
        <v>0.5</v>
      </c>
      <c r="DE229" s="214">
        <v>0.49</v>
      </c>
      <c r="DF229" s="214">
        <v>0</v>
      </c>
      <c r="DG229" s="214">
        <v>0.01</v>
      </c>
      <c r="DH229" s="214">
        <v>1</v>
      </c>
      <c r="DI229" s="214" t="s">
        <v>1296</v>
      </c>
    </row>
    <row r="230" spans="2:113" s="214" customFormat="1" x14ac:dyDescent="0.2">
      <c r="B230" s="610" t="s">
        <v>543</v>
      </c>
      <c r="C230" s="610" t="s">
        <v>542</v>
      </c>
      <c r="D230" s="239">
        <v>16173524</v>
      </c>
      <c r="E230" s="239">
        <v>12938818</v>
      </c>
      <c r="F230" s="239">
        <v>2911234</v>
      </c>
      <c r="G230" s="239">
        <v>323470</v>
      </c>
      <c r="H230" s="239">
        <v>32347046</v>
      </c>
      <c r="I230" s="239">
        <v>0</v>
      </c>
      <c r="J230" s="239">
        <v>0</v>
      </c>
      <c r="K230" s="239">
        <v>16173524</v>
      </c>
      <c r="L230" s="239">
        <v>254871</v>
      </c>
      <c r="M230" s="239">
        <v>254871</v>
      </c>
      <c r="N230" s="239">
        <v>0</v>
      </c>
      <c r="O230" s="239">
        <v>0</v>
      </c>
      <c r="P230" s="239">
        <v>0</v>
      </c>
      <c r="Q230" s="239">
        <v>0</v>
      </c>
      <c r="R230" s="239">
        <v>0</v>
      </c>
      <c r="S230" s="239">
        <v>0</v>
      </c>
      <c r="T230" s="239">
        <v>0</v>
      </c>
      <c r="U230" s="239">
        <v>0</v>
      </c>
      <c r="V230" s="239">
        <v>0</v>
      </c>
      <c r="W230" s="239">
        <v>758953</v>
      </c>
      <c r="X230" s="239">
        <v>607162</v>
      </c>
      <c r="Y230" s="239">
        <v>136612</v>
      </c>
      <c r="Z230" s="239">
        <v>15179</v>
      </c>
      <c r="AA230" s="239">
        <v>1517906</v>
      </c>
      <c r="AB230" s="239">
        <v>-416731</v>
      </c>
      <c r="AC230" s="239">
        <v>-333385</v>
      </c>
      <c r="AD230" s="239">
        <v>-75012</v>
      </c>
      <c r="AE230" s="239">
        <v>-8335</v>
      </c>
      <c r="AF230" s="239">
        <v>-833463</v>
      </c>
      <c r="AG230" s="239">
        <v>-349878</v>
      </c>
      <c r="AH230" s="239">
        <v>-279903</v>
      </c>
      <c r="AI230" s="239">
        <v>-62978</v>
      </c>
      <c r="AJ230" s="239">
        <v>-6997</v>
      </c>
      <c r="AK230" s="239">
        <v>-699756</v>
      </c>
      <c r="AL230" s="239">
        <v>113191</v>
      </c>
      <c r="AM230" s="239">
        <v>90553</v>
      </c>
      <c r="AN230" s="239">
        <v>20374</v>
      </c>
      <c r="AO230" s="239">
        <v>2264</v>
      </c>
      <c r="AP230" s="239">
        <v>226382</v>
      </c>
      <c r="AQ230" s="239">
        <v>-131883</v>
      </c>
      <c r="AR230" s="239">
        <v>-105506</v>
      </c>
      <c r="AS230" s="239">
        <v>-23739</v>
      </c>
      <c r="AT230" s="239">
        <v>-2638</v>
      </c>
      <c r="AU230" s="239">
        <v>-263766</v>
      </c>
      <c r="AV230" s="239">
        <v>-368570</v>
      </c>
      <c r="AW230" s="239">
        <v>-294856</v>
      </c>
      <c r="AX230" s="239">
        <v>-66343</v>
      </c>
      <c r="AY230" s="239">
        <v>-7371</v>
      </c>
      <c r="AZ230" s="239">
        <v>-737140</v>
      </c>
      <c r="BA230" s="239">
        <v>-1640243</v>
      </c>
      <c r="BB230" s="239">
        <v>-1312197</v>
      </c>
      <c r="BC230" s="239">
        <v>-295244</v>
      </c>
      <c r="BD230" s="239">
        <v>-32806</v>
      </c>
      <c r="BE230" s="239">
        <v>-3280490</v>
      </c>
      <c r="BF230" s="239">
        <v>495530</v>
      </c>
      <c r="BG230" s="239">
        <v>396425</v>
      </c>
      <c r="BH230" s="239">
        <v>89196</v>
      </c>
      <c r="BI230" s="239">
        <v>9911</v>
      </c>
      <c r="BJ230" s="239">
        <v>991062</v>
      </c>
      <c r="BK230" s="239">
        <v>-738646</v>
      </c>
      <c r="BL230" s="239">
        <v>-590916</v>
      </c>
      <c r="BM230" s="239">
        <v>-132956</v>
      </c>
      <c r="BN230" s="239">
        <v>-14773</v>
      </c>
      <c r="BO230" s="239">
        <v>-1477291</v>
      </c>
      <c r="BP230" s="239">
        <v>-1883359</v>
      </c>
      <c r="BQ230" s="239">
        <v>-1506688</v>
      </c>
      <c r="BR230" s="239">
        <v>-339004</v>
      </c>
      <c r="BS230" s="239">
        <v>-37668</v>
      </c>
      <c r="BT230" s="239">
        <v>-3766719</v>
      </c>
      <c r="BU230" s="239">
        <v>-1574763</v>
      </c>
      <c r="BV230" s="239">
        <v>-1259810</v>
      </c>
      <c r="BW230" s="239">
        <v>-283457</v>
      </c>
      <c r="BX230" s="239">
        <v>-31495</v>
      </c>
      <c r="BY230" s="239">
        <v>-3149525</v>
      </c>
      <c r="BZ230" s="239">
        <v>-1614704</v>
      </c>
      <c r="CA230" s="239">
        <v>-1291764</v>
      </c>
      <c r="CB230" s="239">
        <v>-290647</v>
      </c>
      <c r="CC230" s="239">
        <v>-32294</v>
      </c>
      <c r="CD230" s="239">
        <v>-3229409</v>
      </c>
      <c r="CE230" s="239">
        <v>39941</v>
      </c>
      <c r="CF230" s="239">
        <v>31954</v>
      </c>
      <c r="CG230" s="239">
        <v>7190</v>
      </c>
      <c r="CH230" s="239">
        <v>799</v>
      </c>
      <c r="CI230" s="239">
        <v>79884</v>
      </c>
      <c r="CJ230" s="239">
        <v>16273222</v>
      </c>
      <c r="CK230" s="239">
        <v>13018577</v>
      </c>
      <c r="CL230" s="239">
        <v>2929180</v>
      </c>
      <c r="CM230" s="239">
        <v>325464</v>
      </c>
      <c r="CN230" s="239">
        <v>32546443</v>
      </c>
      <c r="CO230" s="239">
        <v>16173524</v>
      </c>
      <c r="CP230" s="239">
        <v>12938818</v>
      </c>
      <c r="CQ230" s="239">
        <v>2911234</v>
      </c>
      <c r="CR230" s="239">
        <v>323470</v>
      </c>
      <c r="CS230" s="239">
        <v>32347046</v>
      </c>
      <c r="CT230" s="239">
        <v>-99698</v>
      </c>
      <c r="CU230" s="239">
        <v>-79759</v>
      </c>
      <c r="CV230" s="239">
        <v>-17946</v>
      </c>
      <c r="CW230" s="239">
        <v>-1994</v>
      </c>
      <c r="CX230" s="239">
        <v>-199397</v>
      </c>
      <c r="CY230" s="239">
        <v>-59757</v>
      </c>
      <c r="CZ230" s="239">
        <v>-47805</v>
      </c>
      <c r="DA230" s="239">
        <v>-10756</v>
      </c>
      <c r="DB230" s="239">
        <v>-1195</v>
      </c>
      <c r="DC230" s="239">
        <v>-119513</v>
      </c>
      <c r="DD230" s="214">
        <v>0.5</v>
      </c>
      <c r="DE230" s="214">
        <v>0.4</v>
      </c>
      <c r="DF230" s="214">
        <v>0.09</v>
      </c>
      <c r="DG230" s="214">
        <v>0.01</v>
      </c>
      <c r="DH230" s="214">
        <v>1</v>
      </c>
      <c r="DI230" s="214" t="s">
        <v>1294</v>
      </c>
    </row>
    <row r="231" spans="2:113" s="214" customFormat="1" x14ac:dyDescent="0.2">
      <c r="B231" s="610" t="s">
        <v>545</v>
      </c>
      <c r="C231" s="610" t="s">
        <v>544</v>
      </c>
      <c r="D231" s="239">
        <v>18299231</v>
      </c>
      <c r="E231" s="239">
        <v>14639384</v>
      </c>
      <c r="F231" s="239">
        <v>3293861</v>
      </c>
      <c r="G231" s="239">
        <v>365985</v>
      </c>
      <c r="H231" s="239">
        <v>36598461</v>
      </c>
      <c r="I231" s="239">
        <v>0</v>
      </c>
      <c r="J231" s="239">
        <v>0</v>
      </c>
      <c r="K231" s="239">
        <v>18299231</v>
      </c>
      <c r="L231" s="239">
        <v>162577</v>
      </c>
      <c r="M231" s="239">
        <v>162577</v>
      </c>
      <c r="N231" s="239">
        <v>0</v>
      </c>
      <c r="O231" s="239">
        <v>0</v>
      </c>
      <c r="P231" s="239">
        <v>154030</v>
      </c>
      <c r="Q231" s="239">
        <v>0</v>
      </c>
      <c r="R231" s="239">
        <v>154030</v>
      </c>
      <c r="S231" s="239">
        <v>0</v>
      </c>
      <c r="T231" s="239">
        <v>0</v>
      </c>
      <c r="U231" s="239">
        <v>0</v>
      </c>
      <c r="V231" s="239">
        <v>0</v>
      </c>
      <c r="W231" s="239">
        <v>658023</v>
      </c>
      <c r="X231" s="239">
        <v>526418</v>
      </c>
      <c r="Y231" s="239">
        <v>118444</v>
      </c>
      <c r="Z231" s="239">
        <v>13160</v>
      </c>
      <c r="AA231" s="239">
        <v>1316045</v>
      </c>
      <c r="AB231" s="239">
        <v>-524890</v>
      </c>
      <c r="AC231" s="239">
        <v>-419912</v>
      </c>
      <c r="AD231" s="239">
        <v>-94480</v>
      </c>
      <c r="AE231" s="239">
        <v>-10498</v>
      </c>
      <c r="AF231" s="239">
        <v>-1049780</v>
      </c>
      <c r="AG231" s="239">
        <v>-372344</v>
      </c>
      <c r="AH231" s="239">
        <v>-297876</v>
      </c>
      <c r="AI231" s="239">
        <v>-67021</v>
      </c>
      <c r="AJ231" s="239">
        <v>-7447</v>
      </c>
      <c r="AK231" s="239">
        <v>-744688</v>
      </c>
      <c r="AL231" s="239">
        <v>88062</v>
      </c>
      <c r="AM231" s="239">
        <v>70450</v>
      </c>
      <c r="AN231" s="239">
        <v>15851</v>
      </c>
      <c r="AO231" s="239">
        <v>1761</v>
      </c>
      <c r="AP231" s="239">
        <v>176124</v>
      </c>
      <c r="AQ231" s="239">
        <v>151824</v>
      </c>
      <c r="AR231" s="239">
        <v>121459</v>
      </c>
      <c r="AS231" s="239">
        <v>27328</v>
      </c>
      <c r="AT231" s="239">
        <v>3036</v>
      </c>
      <c r="AU231" s="239">
        <v>303647</v>
      </c>
      <c r="AV231" s="239">
        <v>-132458</v>
      </c>
      <c r="AW231" s="239">
        <v>-105967</v>
      </c>
      <c r="AX231" s="239">
        <v>-23842</v>
      </c>
      <c r="AY231" s="239">
        <v>-2650</v>
      </c>
      <c r="AZ231" s="239">
        <v>-264917</v>
      </c>
      <c r="BA231" s="239">
        <v>-2114249</v>
      </c>
      <c r="BB231" s="239">
        <v>-1691400</v>
      </c>
      <c r="BC231" s="239">
        <v>-380565</v>
      </c>
      <c r="BD231" s="239">
        <v>-42285</v>
      </c>
      <c r="BE231" s="239">
        <v>-4228499</v>
      </c>
      <c r="BF231" s="239">
        <v>631252</v>
      </c>
      <c r="BG231" s="239">
        <v>505002</v>
      </c>
      <c r="BH231" s="239">
        <v>113625</v>
      </c>
      <c r="BI231" s="239">
        <v>12625</v>
      </c>
      <c r="BJ231" s="239">
        <v>1262504</v>
      </c>
      <c r="BK231" s="239">
        <v>-695737</v>
      </c>
      <c r="BL231" s="239">
        <v>-556590</v>
      </c>
      <c r="BM231" s="239">
        <v>-125233</v>
      </c>
      <c r="BN231" s="239">
        <v>-13915</v>
      </c>
      <c r="BO231" s="239">
        <v>-1391475</v>
      </c>
      <c r="BP231" s="239">
        <v>-2178734</v>
      </c>
      <c r="BQ231" s="239">
        <v>-1742988</v>
      </c>
      <c r="BR231" s="239">
        <v>-392173</v>
      </c>
      <c r="BS231" s="239">
        <v>-43575</v>
      </c>
      <c r="BT231" s="239">
        <v>-4357470</v>
      </c>
      <c r="BU231" s="239">
        <v>-301103</v>
      </c>
      <c r="BV231" s="239">
        <v>-240883</v>
      </c>
      <c r="BW231" s="239">
        <v>-54199</v>
      </c>
      <c r="BX231" s="239">
        <v>-6022</v>
      </c>
      <c r="BY231" s="239">
        <v>-602207</v>
      </c>
      <c r="BZ231" s="239">
        <v>55288</v>
      </c>
      <c r="CA231" s="239">
        <v>44231</v>
      </c>
      <c r="CB231" s="239">
        <v>9952</v>
      </c>
      <c r="CC231" s="239">
        <v>1106</v>
      </c>
      <c r="CD231" s="239">
        <v>110577</v>
      </c>
      <c r="CE231" s="239">
        <v>-356391</v>
      </c>
      <c r="CF231" s="239">
        <v>-285114</v>
      </c>
      <c r="CG231" s="239">
        <v>-64151</v>
      </c>
      <c r="CH231" s="239">
        <v>-7128</v>
      </c>
      <c r="CI231" s="239">
        <v>-712784</v>
      </c>
      <c r="CJ231" s="239">
        <v>18324849</v>
      </c>
      <c r="CK231" s="239">
        <v>14659880</v>
      </c>
      <c r="CL231" s="239">
        <v>3298473</v>
      </c>
      <c r="CM231" s="239">
        <v>366497</v>
      </c>
      <c r="CN231" s="239">
        <v>36649699</v>
      </c>
      <c r="CO231" s="239">
        <v>18299231</v>
      </c>
      <c r="CP231" s="239">
        <v>14639384</v>
      </c>
      <c r="CQ231" s="239">
        <v>3293861</v>
      </c>
      <c r="CR231" s="239">
        <v>365985</v>
      </c>
      <c r="CS231" s="239">
        <v>36598461</v>
      </c>
      <c r="CT231" s="239">
        <v>-25618</v>
      </c>
      <c r="CU231" s="239">
        <v>-20496</v>
      </c>
      <c r="CV231" s="239">
        <v>-4612</v>
      </c>
      <c r="CW231" s="239">
        <v>-512</v>
      </c>
      <c r="CX231" s="239">
        <v>-51238</v>
      </c>
      <c r="CY231" s="239">
        <v>-382009</v>
      </c>
      <c r="CZ231" s="239">
        <v>-305610</v>
      </c>
      <c r="DA231" s="239">
        <v>-68763</v>
      </c>
      <c r="DB231" s="239">
        <v>-7640</v>
      </c>
      <c r="DC231" s="239">
        <v>-764022</v>
      </c>
      <c r="DD231" s="214">
        <v>0.5</v>
      </c>
      <c r="DE231" s="214">
        <v>0.4</v>
      </c>
      <c r="DF231" s="214">
        <v>0.09</v>
      </c>
      <c r="DG231" s="214">
        <v>0.01</v>
      </c>
      <c r="DH231" s="214">
        <v>1</v>
      </c>
      <c r="DI231" s="214" t="s">
        <v>1294</v>
      </c>
    </row>
    <row r="232" spans="2:113" s="214" customFormat="1" x14ac:dyDescent="0.2">
      <c r="B232" s="610" t="s">
        <v>547</v>
      </c>
      <c r="C232" s="610" t="s">
        <v>546</v>
      </c>
      <c r="D232" s="239">
        <v>32216429</v>
      </c>
      <c r="E232" s="239">
        <v>31572101</v>
      </c>
      <c r="F232" s="239">
        <v>0</v>
      </c>
      <c r="G232" s="239">
        <v>644329</v>
      </c>
      <c r="H232" s="239">
        <v>64432859</v>
      </c>
      <c r="I232" s="239">
        <v>0</v>
      </c>
      <c r="J232" s="239">
        <v>0</v>
      </c>
      <c r="K232" s="239">
        <v>32216429</v>
      </c>
      <c r="L232" s="239">
        <v>326802</v>
      </c>
      <c r="M232" s="239">
        <v>326802</v>
      </c>
      <c r="N232" s="239">
        <v>0</v>
      </c>
      <c r="O232" s="239">
        <v>0</v>
      </c>
      <c r="P232" s="239">
        <v>0</v>
      </c>
      <c r="Q232" s="239">
        <v>0</v>
      </c>
      <c r="R232" s="239">
        <v>0</v>
      </c>
      <c r="S232" s="239">
        <v>0</v>
      </c>
      <c r="T232" s="239">
        <v>0</v>
      </c>
      <c r="U232" s="239">
        <v>0</v>
      </c>
      <c r="V232" s="239">
        <v>0</v>
      </c>
      <c r="W232" s="239">
        <v>1236232</v>
      </c>
      <c r="X232" s="239">
        <v>1211508</v>
      </c>
      <c r="Y232" s="239">
        <v>0</v>
      </c>
      <c r="Z232" s="239">
        <v>24725</v>
      </c>
      <c r="AA232" s="239">
        <v>2472465</v>
      </c>
      <c r="AB232" s="239">
        <v>-569085</v>
      </c>
      <c r="AC232" s="239">
        <v>-557703</v>
      </c>
      <c r="AD232" s="239">
        <v>0</v>
      </c>
      <c r="AE232" s="239">
        <v>-11382</v>
      </c>
      <c r="AF232" s="239">
        <v>-1138170</v>
      </c>
      <c r="AG232" s="239">
        <v>-779550</v>
      </c>
      <c r="AH232" s="239">
        <v>-763959</v>
      </c>
      <c r="AI232" s="239">
        <v>0</v>
      </c>
      <c r="AJ232" s="239">
        <v>-15591</v>
      </c>
      <c r="AK232" s="239">
        <v>-1559100</v>
      </c>
      <c r="AL232" s="239">
        <v>779550</v>
      </c>
      <c r="AM232" s="239">
        <v>763959</v>
      </c>
      <c r="AN232" s="239">
        <v>0</v>
      </c>
      <c r="AO232" s="239">
        <v>15591</v>
      </c>
      <c r="AP232" s="239">
        <v>1559100</v>
      </c>
      <c r="AQ232" s="239">
        <v>-435050</v>
      </c>
      <c r="AR232" s="239">
        <v>-426349</v>
      </c>
      <c r="AS232" s="239">
        <v>0</v>
      </c>
      <c r="AT232" s="239">
        <v>-8701</v>
      </c>
      <c r="AU232" s="239">
        <v>-870100</v>
      </c>
      <c r="AV232" s="239">
        <v>-435050</v>
      </c>
      <c r="AW232" s="239">
        <v>-426349</v>
      </c>
      <c r="AX232" s="239">
        <v>0</v>
      </c>
      <c r="AY232" s="239">
        <v>-8701</v>
      </c>
      <c r="AZ232" s="239">
        <v>-870100</v>
      </c>
      <c r="BA232" s="239">
        <v>-5063300</v>
      </c>
      <c r="BB232" s="239">
        <v>-4962034</v>
      </c>
      <c r="BC232" s="239">
        <v>0</v>
      </c>
      <c r="BD232" s="239">
        <v>-101266</v>
      </c>
      <c r="BE232" s="239">
        <v>-10126600</v>
      </c>
      <c r="BF232" s="239">
        <v>314781</v>
      </c>
      <c r="BG232" s="239">
        <v>308486</v>
      </c>
      <c r="BH232" s="239">
        <v>0</v>
      </c>
      <c r="BI232" s="239">
        <v>6296</v>
      </c>
      <c r="BJ232" s="239">
        <v>629563</v>
      </c>
      <c r="BK232" s="239">
        <v>-3215431</v>
      </c>
      <c r="BL232" s="239">
        <v>-3151123</v>
      </c>
      <c r="BM232" s="239">
        <v>0</v>
      </c>
      <c r="BN232" s="239">
        <v>-64309</v>
      </c>
      <c r="BO232" s="239">
        <v>-6430863</v>
      </c>
      <c r="BP232" s="239">
        <v>-7963950</v>
      </c>
      <c r="BQ232" s="239">
        <v>-7804671</v>
      </c>
      <c r="BR232" s="239">
        <v>0</v>
      </c>
      <c r="BS232" s="239">
        <v>-159279</v>
      </c>
      <c r="BT232" s="239">
        <v>-15927900</v>
      </c>
      <c r="BU232" s="239">
        <v>2869916</v>
      </c>
      <c r="BV232" s="239">
        <v>2812517</v>
      </c>
      <c r="BW232" s="239">
        <v>0</v>
      </c>
      <c r="BX232" s="239">
        <v>57398</v>
      </c>
      <c r="BY232" s="239">
        <v>5739831</v>
      </c>
      <c r="BZ232" s="239">
        <v>2082536</v>
      </c>
      <c r="CA232" s="239">
        <v>2040886</v>
      </c>
      <c r="CB232" s="239">
        <v>0</v>
      </c>
      <c r="CC232" s="239">
        <v>41651</v>
      </c>
      <c r="CD232" s="239">
        <v>4165073</v>
      </c>
      <c r="CE232" s="239">
        <v>787380</v>
      </c>
      <c r="CF232" s="239">
        <v>771631</v>
      </c>
      <c r="CG232" s="239">
        <v>0</v>
      </c>
      <c r="CH232" s="239">
        <v>15747</v>
      </c>
      <c r="CI232" s="239">
        <v>1574758</v>
      </c>
      <c r="CJ232" s="239">
        <v>32790230</v>
      </c>
      <c r="CK232" s="239">
        <v>32134426</v>
      </c>
      <c r="CL232" s="239">
        <v>0</v>
      </c>
      <c r="CM232" s="239">
        <v>655805</v>
      </c>
      <c r="CN232" s="239">
        <v>65580461</v>
      </c>
      <c r="CO232" s="239">
        <v>32216429</v>
      </c>
      <c r="CP232" s="239">
        <v>31572101</v>
      </c>
      <c r="CQ232" s="239">
        <v>0</v>
      </c>
      <c r="CR232" s="239">
        <v>644329</v>
      </c>
      <c r="CS232" s="239">
        <v>64432859</v>
      </c>
      <c r="CT232" s="239">
        <v>-573801</v>
      </c>
      <c r="CU232" s="239">
        <v>-562325</v>
      </c>
      <c r="CV232" s="239">
        <v>0</v>
      </c>
      <c r="CW232" s="239">
        <v>-11476</v>
      </c>
      <c r="CX232" s="239">
        <v>-1147602</v>
      </c>
      <c r="CY232" s="239">
        <v>213579</v>
      </c>
      <c r="CZ232" s="239">
        <v>209306</v>
      </c>
      <c r="DA232" s="239">
        <v>0</v>
      </c>
      <c r="DB232" s="239">
        <v>4271</v>
      </c>
      <c r="DC232" s="239">
        <v>427156</v>
      </c>
      <c r="DD232" s="214">
        <v>0.5</v>
      </c>
      <c r="DE232" s="214">
        <v>0.49</v>
      </c>
      <c r="DF232" s="214">
        <v>0</v>
      </c>
      <c r="DG232" s="214">
        <v>0.01</v>
      </c>
      <c r="DH232" s="214">
        <v>1</v>
      </c>
      <c r="DI232" s="214" t="s">
        <v>1296</v>
      </c>
    </row>
    <row r="233" spans="2:113" s="214" customFormat="1" x14ac:dyDescent="0.2">
      <c r="B233" s="610" t="s">
        <v>549</v>
      </c>
      <c r="C233" s="610" t="s">
        <v>548</v>
      </c>
      <c r="D233" s="239">
        <v>17914655</v>
      </c>
      <c r="E233" s="239">
        <v>14331724</v>
      </c>
      <c r="F233" s="239">
        <v>3224638</v>
      </c>
      <c r="G233" s="239">
        <v>358293</v>
      </c>
      <c r="H233" s="239">
        <v>35829310</v>
      </c>
      <c r="I233" s="239">
        <v>0</v>
      </c>
      <c r="J233" s="239">
        <v>0</v>
      </c>
      <c r="K233" s="239">
        <v>17914655</v>
      </c>
      <c r="L233" s="239">
        <v>117679</v>
      </c>
      <c r="M233" s="239">
        <v>117679</v>
      </c>
      <c r="N233" s="239">
        <v>0</v>
      </c>
      <c r="O233" s="239">
        <v>0</v>
      </c>
      <c r="P233" s="239">
        <v>5367070</v>
      </c>
      <c r="Q233" s="239">
        <v>0</v>
      </c>
      <c r="R233" s="239">
        <v>5367070</v>
      </c>
      <c r="S233" s="239">
        <v>0</v>
      </c>
      <c r="T233" s="239">
        <v>0</v>
      </c>
      <c r="U233" s="239">
        <v>0</v>
      </c>
      <c r="V233" s="239">
        <v>0</v>
      </c>
      <c r="W233" s="239">
        <v>679952</v>
      </c>
      <c r="X233" s="239">
        <v>543961</v>
      </c>
      <c r="Y233" s="239">
        <v>122391</v>
      </c>
      <c r="Z233" s="239">
        <v>13599</v>
      </c>
      <c r="AA233" s="239">
        <v>1359903</v>
      </c>
      <c r="AB233" s="239">
        <v>-155802</v>
      </c>
      <c r="AC233" s="239">
        <v>-124641</v>
      </c>
      <c r="AD233" s="239">
        <v>-28044</v>
      </c>
      <c r="AE233" s="239">
        <v>-3116</v>
      </c>
      <c r="AF233" s="239">
        <v>-311603</v>
      </c>
      <c r="AG233" s="239">
        <v>-348415</v>
      </c>
      <c r="AH233" s="239">
        <v>-278732</v>
      </c>
      <c r="AI233" s="239">
        <v>-62715</v>
      </c>
      <c r="AJ233" s="239">
        <v>-6968</v>
      </c>
      <c r="AK233" s="239">
        <v>-696830</v>
      </c>
      <c r="AL233" s="239">
        <v>242053</v>
      </c>
      <c r="AM233" s="239">
        <v>193642</v>
      </c>
      <c r="AN233" s="239">
        <v>43570</v>
      </c>
      <c r="AO233" s="239">
        <v>4841</v>
      </c>
      <c r="AP233" s="239">
        <v>484106</v>
      </c>
      <c r="AQ233" s="239">
        <v>-164799</v>
      </c>
      <c r="AR233" s="239">
        <v>-131840</v>
      </c>
      <c r="AS233" s="239">
        <v>-29664</v>
      </c>
      <c r="AT233" s="239">
        <v>-3296</v>
      </c>
      <c r="AU233" s="239">
        <v>-329599</v>
      </c>
      <c r="AV233" s="239">
        <v>-271161</v>
      </c>
      <c r="AW233" s="239">
        <v>-216930</v>
      </c>
      <c r="AX233" s="239">
        <v>-48809</v>
      </c>
      <c r="AY233" s="239">
        <v>-5423</v>
      </c>
      <c r="AZ233" s="239">
        <v>-542323</v>
      </c>
      <c r="BA233" s="239">
        <v>-527432</v>
      </c>
      <c r="BB233" s="239">
        <v>-421945</v>
      </c>
      <c r="BC233" s="239">
        <v>-94937</v>
      </c>
      <c r="BD233" s="239">
        <v>-10549</v>
      </c>
      <c r="BE233" s="239">
        <v>-1054863</v>
      </c>
      <c r="BF233" s="239">
        <v>75206</v>
      </c>
      <c r="BG233" s="239">
        <v>60164</v>
      </c>
      <c r="BH233" s="239">
        <v>13537</v>
      </c>
      <c r="BI233" s="239">
        <v>1504</v>
      </c>
      <c r="BJ233" s="239">
        <v>150411</v>
      </c>
      <c r="BK233" s="239">
        <v>-1583236</v>
      </c>
      <c r="BL233" s="239">
        <v>-1266590</v>
      </c>
      <c r="BM233" s="239">
        <v>-284983</v>
      </c>
      <c r="BN233" s="239">
        <v>-31665</v>
      </c>
      <c r="BO233" s="239">
        <v>-3166474</v>
      </c>
      <c r="BP233" s="239">
        <v>-2035462</v>
      </c>
      <c r="BQ233" s="239">
        <v>-1628371</v>
      </c>
      <c r="BR233" s="239">
        <v>-366383</v>
      </c>
      <c r="BS233" s="239">
        <v>-40710</v>
      </c>
      <c r="BT233" s="239">
        <v>-4070926</v>
      </c>
      <c r="BU233" s="239">
        <v>-2018547</v>
      </c>
      <c r="BV233" s="239">
        <v>-1614838</v>
      </c>
      <c r="BW233" s="239">
        <v>-363338</v>
      </c>
      <c r="BX233" s="239">
        <v>-40371</v>
      </c>
      <c r="BY233" s="239">
        <v>-4037094</v>
      </c>
      <c r="BZ233" s="239">
        <v>109656</v>
      </c>
      <c r="CA233" s="239">
        <v>87725</v>
      </c>
      <c r="CB233" s="239">
        <v>19738</v>
      </c>
      <c r="CC233" s="239">
        <v>2193</v>
      </c>
      <c r="CD233" s="239">
        <v>219312</v>
      </c>
      <c r="CE233" s="239">
        <v>-2128203</v>
      </c>
      <c r="CF233" s="239">
        <v>-1702563</v>
      </c>
      <c r="CG233" s="239">
        <v>-383076</v>
      </c>
      <c r="CH233" s="239">
        <v>-42564</v>
      </c>
      <c r="CI233" s="239">
        <v>-4256406</v>
      </c>
      <c r="CJ233" s="239">
        <v>21134024</v>
      </c>
      <c r="CK233" s="239">
        <v>16907220</v>
      </c>
      <c r="CL233" s="239">
        <v>3804125</v>
      </c>
      <c r="CM233" s="239">
        <v>422681</v>
      </c>
      <c r="CN233" s="239">
        <v>42268050</v>
      </c>
      <c r="CO233" s="239">
        <v>17914655</v>
      </c>
      <c r="CP233" s="239">
        <v>14331724</v>
      </c>
      <c r="CQ233" s="239">
        <v>3224638</v>
      </c>
      <c r="CR233" s="239">
        <v>358293</v>
      </c>
      <c r="CS233" s="239">
        <v>35829310</v>
      </c>
      <c r="CT233" s="239">
        <v>-3219369</v>
      </c>
      <c r="CU233" s="239">
        <v>-2575496</v>
      </c>
      <c r="CV233" s="239">
        <v>-579487</v>
      </c>
      <c r="CW233" s="239">
        <v>-64388</v>
      </c>
      <c r="CX233" s="239">
        <v>-6438740</v>
      </c>
      <c r="CY233" s="239">
        <v>-5347572</v>
      </c>
      <c r="CZ233" s="239">
        <v>-4278059</v>
      </c>
      <c r="DA233" s="239">
        <v>-962563</v>
      </c>
      <c r="DB233" s="239">
        <v>-106952</v>
      </c>
      <c r="DC233" s="239">
        <v>-10695146</v>
      </c>
      <c r="DD233" s="214">
        <v>0.5</v>
      </c>
      <c r="DE233" s="214">
        <v>0.4</v>
      </c>
      <c r="DF233" s="214">
        <v>0.09</v>
      </c>
      <c r="DG233" s="214">
        <v>0.01</v>
      </c>
      <c r="DH233" s="214">
        <v>1</v>
      </c>
      <c r="DI233" s="214" t="s">
        <v>1294</v>
      </c>
    </row>
    <row r="234" spans="2:113" s="214" customFormat="1" x14ac:dyDescent="0.2">
      <c r="B234" s="610" t="s">
        <v>551</v>
      </c>
      <c r="C234" s="610" t="s">
        <v>550</v>
      </c>
      <c r="D234" s="239">
        <v>17049703</v>
      </c>
      <c r="E234" s="239">
        <v>13639762</v>
      </c>
      <c r="F234" s="239">
        <v>3068946</v>
      </c>
      <c r="G234" s="239">
        <v>340994</v>
      </c>
      <c r="H234" s="239">
        <v>34099405</v>
      </c>
      <c r="I234" s="239">
        <v>0</v>
      </c>
      <c r="J234" s="239">
        <v>0</v>
      </c>
      <c r="K234" s="239">
        <v>17049703</v>
      </c>
      <c r="L234" s="239">
        <v>167320</v>
      </c>
      <c r="M234" s="239">
        <v>167320</v>
      </c>
      <c r="N234" s="239">
        <v>0</v>
      </c>
      <c r="O234" s="239">
        <v>0</v>
      </c>
      <c r="P234" s="239">
        <v>0</v>
      </c>
      <c r="Q234" s="239">
        <v>0</v>
      </c>
      <c r="R234" s="239">
        <v>0</v>
      </c>
      <c r="S234" s="239">
        <v>0</v>
      </c>
      <c r="T234" s="239">
        <v>0</v>
      </c>
      <c r="U234" s="239">
        <v>0</v>
      </c>
      <c r="V234" s="239">
        <v>0</v>
      </c>
      <c r="W234" s="239">
        <v>944114</v>
      </c>
      <c r="X234" s="239">
        <v>755291</v>
      </c>
      <c r="Y234" s="239">
        <v>169941</v>
      </c>
      <c r="Z234" s="239">
        <v>18882</v>
      </c>
      <c r="AA234" s="239">
        <v>1888228</v>
      </c>
      <c r="AB234" s="239">
        <v>-683424</v>
      </c>
      <c r="AC234" s="239">
        <v>-546739</v>
      </c>
      <c r="AD234" s="239">
        <v>-123016</v>
      </c>
      <c r="AE234" s="239">
        <v>-13668</v>
      </c>
      <c r="AF234" s="239">
        <v>-1366847</v>
      </c>
      <c r="AG234" s="239">
        <v>-451900</v>
      </c>
      <c r="AH234" s="239">
        <v>-361520</v>
      </c>
      <c r="AI234" s="239">
        <v>-81342</v>
      </c>
      <c r="AJ234" s="239">
        <v>-9038</v>
      </c>
      <c r="AK234" s="239">
        <v>-903800</v>
      </c>
      <c r="AL234" s="239">
        <v>77672</v>
      </c>
      <c r="AM234" s="239">
        <v>62137</v>
      </c>
      <c r="AN234" s="239">
        <v>13981</v>
      </c>
      <c r="AO234" s="239">
        <v>1553</v>
      </c>
      <c r="AP234" s="239">
        <v>155343</v>
      </c>
      <c r="AQ234" s="239">
        <v>-31872</v>
      </c>
      <c r="AR234" s="239">
        <v>-25497</v>
      </c>
      <c r="AS234" s="239">
        <v>-5737</v>
      </c>
      <c r="AT234" s="239">
        <v>-637</v>
      </c>
      <c r="AU234" s="239">
        <v>-63743</v>
      </c>
      <c r="AV234" s="239">
        <v>-406100</v>
      </c>
      <c r="AW234" s="239">
        <v>-324880</v>
      </c>
      <c r="AX234" s="239">
        <v>-73098</v>
      </c>
      <c r="AY234" s="239">
        <v>-8122</v>
      </c>
      <c r="AZ234" s="239">
        <v>-812200</v>
      </c>
      <c r="BA234" s="239">
        <v>-2254853</v>
      </c>
      <c r="BB234" s="239">
        <v>-1803882</v>
      </c>
      <c r="BC234" s="239">
        <v>-405874</v>
      </c>
      <c r="BD234" s="239">
        <v>-45097</v>
      </c>
      <c r="BE234" s="239">
        <v>-4509706</v>
      </c>
      <c r="BF234" s="239">
        <v>174235</v>
      </c>
      <c r="BG234" s="239">
        <v>139388</v>
      </c>
      <c r="BH234" s="239">
        <v>31362</v>
      </c>
      <c r="BI234" s="239">
        <v>3485</v>
      </c>
      <c r="BJ234" s="239">
        <v>348470</v>
      </c>
      <c r="BK234" s="239">
        <v>-1089176</v>
      </c>
      <c r="BL234" s="239">
        <v>-871342</v>
      </c>
      <c r="BM234" s="239">
        <v>-196052</v>
      </c>
      <c r="BN234" s="239">
        <v>-21784</v>
      </c>
      <c r="BO234" s="239">
        <v>-2178354</v>
      </c>
      <c r="BP234" s="239">
        <v>-3169794</v>
      </c>
      <c r="BQ234" s="239">
        <v>-2535836</v>
      </c>
      <c r="BR234" s="239">
        <v>-570564</v>
      </c>
      <c r="BS234" s="239">
        <v>-63396</v>
      </c>
      <c r="BT234" s="239">
        <v>-6339590</v>
      </c>
      <c r="BU234" s="239">
        <v>955643</v>
      </c>
      <c r="BV234" s="239">
        <v>764515</v>
      </c>
      <c r="BW234" s="239">
        <v>172016</v>
      </c>
      <c r="BX234" s="239">
        <v>19113</v>
      </c>
      <c r="BY234" s="239">
        <v>1911287</v>
      </c>
      <c r="BZ234" s="239">
        <v>1928907</v>
      </c>
      <c r="CA234" s="239">
        <v>1543125</v>
      </c>
      <c r="CB234" s="239">
        <v>347203</v>
      </c>
      <c r="CC234" s="239">
        <v>38578</v>
      </c>
      <c r="CD234" s="239">
        <v>3857813</v>
      </c>
      <c r="CE234" s="239">
        <v>-973264</v>
      </c>
      <c r="CF234" s="239">
        <v>-778610</v>
      </c>
      <c r="CG234" s="239">
        <v>-175187</v>
      </c>
      <c r="CH234" s="239">
        <v>-19465</v>
      </c>
      <c r="CI234" s="239">
        <v>-1946526</v>
      </c>
      <c r="CJ234" s="239">
        <v>17678417</v>
      </c>
      <c r="CK234" s="239">
        <v>14142734</v>
      </c>
      <c r="CL234" s="239">
        <v>3182115</v>
      </c>
      <c r="CM234" s="239">
        <v>353568</v>
      </c>
      <c r="CN234" s="239">
        <v>35356834</v>
      </c>
      <c r="CO234" s="239">
        <v>17049703</v>
      </c>
      <c r="CP234" s="239">
        <v>13639762</v>
      </c>
      <c r="CQ234" s="239">
        <v>3068946</v>
      </c>
      <c r="CR234" s="239">
        <v>340994</v>
      </c>
      <c r="CS234" s="239">
        <v>34099405</v>
      </c>
      <c r="CT234" s="239">
        <v>-628714</v>
      </c>
      <c r="CU234" s="239">
        <v>-502972</v>
      </c>
      <c r="CV234" s="239">
        <v>-113169</v>
      </c>
      <c r="CW234" s="239">
        <v>-12574</v>
      </c>
      <c r="CX234" s="239">
        <v>-1257429</v>
      </c>
      <c r="CY234" s="239">
        <v>-1601978</v>
      </c>
      <c r="CZ234" s="239">
        <v>-1281582</v>
      </c>
      <c r="DA234" s="239">
        <v>-288356</v>
      </c>
      <c r="DB234" s="239">
        <v>-32039</v>
      </c>
      <c r="DC234" s="239">
        <v>-3203955</v>
      </c>
      <c r="DD234" s="214">
        <v>0.5</v>
      </c>
      <c r="DE234" s="214">
        <v>0.4</v>
      </c>
      <c r="DF234" s="214">
        <v>0.09</v>
      </c>
      <c r="DG234" s="214">
        <v>0.01</v>
      </c>
      <c r="DH234" s="214">
        <v>1</v>
      </c>
      <c r="DI234" s="214" t="s">
        <v>1294</v>
      </c>
    </row>
    <row r="235" spans="2:113" s="214" customFormat="1" x14ac:dyDescent="0.2">
      <c r="B235" s="610" t="s">
        <v>553</v>
      </c>
      <c r="C235" s="610" t="s">
        <v>552</v>
      </c>
      <c r="D235" s="239">
        <v>99335056</v>
      </c>
      <c r="E235" s="239">
        <v>97348354</v>
      </c>
      <c r="F235" s="239">
        <v>0</v>
      </c>
      <c r="G235" s="239">
        <v>1986701</v>
      </c>
      <c r="H235" s="239">
        <v>198670111</v>
      </c>
      <c r="I235" s="239">
        <v>55804.112500000003</v>
      </c>
      <c r="J235" s="239">
        <v>55804.112500000003</v>
      </c>
      <c r="K235" s="239">
        <v>99279251.887500003</v>
      </c>
      <c r="L235" s="239">
        <v>787885</v>
      </c>
      <c r="M235" s="239">
        <v>787885</v>
      </c>
      <c r="N235" s="239">
        <v>839133</v>
      </c>
      <c r="O235" s="239">
        <v>839133</v>
      </c>
      <c r="P235" s="239">
        <v>1314476</v>
      </c>
      <c r="Q235" s="239">
        <v>0</v>
      </c>
      <c r="R235" s="239">
        <v>1314476</v>
      </c>
      <c r="S235" s="239">
        <v>55804.112500000003</v>
      </c>
      <c r="T235" s="239">
        <v>0</v>
      </c>
      <c r="U235" s="239">
        <v>0</v>
      </c>
      <c r="V235" s="239">
        <v>55804.112500000003</v>
      </c>
      <c r="W235" s="239">
        <v>5836294</v>
      </c>
      <c r="X235" s="239">
        <v>5719569</v>
      </c>
      <c r="Y235" s="239">
        <v>0</v>
      </c>
      <c r="Z235" s="239">
        <v>116726</v>
      </c>
      <c r="AA235" s="239">
        <v>11672589</v>
      </c>
      <c r="AB235" s="239">
        <v>-1517095</v>
      </c>
      <c r="AC235" s="239">
        <v>-1486754</v>
      </c>
      <c r="AD235" s="239">
        <v>0</v>
      </c>
      <c r="AE235" s="239">
        <v>-30342</v>
      </c>
      <c r="AF235" s="239">
        <v>-3034191</v>
      </c>
      <c r="AG235" s="239">
        <v>-4078500</v>
      </c>
      <c r="AH235" s="239">
        <v>-3996930</v>
      </c>
      <c r="AI235" s="239">
        <v>0</v>
      </c>
      <c r="AJ235" s="239">
        <v>-81570</v>
      </c>
      <c r="AK235" s="239">
        <v>-8157000</v>
      </c>
      <c r="AL235" s="239">
        <v>1015038</v>
      </c>
      <c r="AM235" s="239">
        <v>994738</v>
      </c>
      <c r="AN235" s="239">
        <v>0</v>
      </c>
      <c r="AO235" s="239">
        <v>20301</v>
      </c>
      <c r="AP235" s="239">
        <v>2030077</v>
      </c>
      <c r="AQ235" s="239">
        <v>-697038</v>
      </c>
      <c r="AR235" s="239">
        <v>-683098</v>
      </c>
      <c r="AS235" s="239">
        <v>0</v>
      </c>
      <c r="AT235" s="239">
        <v>-13941</v>
      </c>
      <c r="AU235" s="239">
        <v>-1394077</v>
      </c>
      <c r="AV235" s="239">
        <v>-3760500</v>
      </c>
      <c r="AW235" s="239">
        <v>-3685290</v>
      </c>
      <c r="AX235" s="239">
        <v>0</v>
      </c>
      <c r="AY235" s="239">
        <v>-75210</v>
      </c>
      <c r="AZ235" s="239">
        <v>-7521000</v>
      </c>
      <c r="BA235" s="239">
        <v>-6850000</v>
      </c>
      <c r="BB235" s="239">
        <v>-6713000</v>
      </c>
      <c r="BC235" s="239">
        <v>0</v>
      </c>
      <c r="BD235" s="239">
        <v>-137000</v>
      </c>
      <c r="BE235" s="239">
        <v>-13700000</v>
      </c>
      <c r="BF235" s="239">
        <v>4399558</v>
      </c>
      <c r="BG235" s="239">
        <v>4311566</v>
      </c>
      <c r="BH235" s="239">
        <v>0</v>
      </c>
      <c r="BI235" s="239">
        <v>87991</v>
      </c>
      <c r="BJ235" s="239">
        <v>8799115</v>
      </c>
      <c r="BK235" s="239">
        <v>-9497661</v>
      </c>
      <c r="BL235" s="239">
        <v>-9307708</v>
      </c>
      <c r="BM235" s="239">
        <v>0</v>
      </c>
      <c r="BN235" s="239">
        <v>-189953</v>
      </c>
      <c r="BO235" s="239">
        <v>-18995322</v>
      </c>
      <c r="BP235" s="239">
        <v>-11948103</v>
      </c>
      <c r="BQ235" s="239">
        <v>-11709142</v>
      </c>
      <c r="BR235" s="239">
        <v>0</v>
      </c>
      <c r="BS235" s="239">
        <v>-238962</v>
      </c>
      <c r="BT235" s="239">
        <v>-23896207</v>
      </c>
      <c r="BU235" s="239">
        <v>168475</v>
      </c>
      <c r="BV235" s="239">
        <v>165106</v>
      </c>
      <c r="BW235" s="239">
        <v>0</v>
      </c>
      <c r="BX235" s="239">
        <v>3370</v>
      </c>
      <c r="BY235" s="239">
        <v>336951</v>
      </c>
      <c r="BZ235" s="239">
        <v>1347000</v>
      </c>
      <c r="CA235" s="239">
        <v>1320060</v>
      </c>
      <c r="CB235" s="239">
        <v>0</v>
      </c>
      <c r="CC235" s="239">
        <v>26940</v>
      </c>
      <c r="CD235" s="239">
        <v>2694000</v>
      </c>
      <c r="CE235" s="239">
        <v>-1178525</v>
      </c>
      <c r="CF235" s="239">
        <v>-1154954</v>
      </c>
      <c r="CG235" s="239">
        <v>0</v>
      </c>
      <c r="CH235" s="239">
        <v>-23570</v>
      </c>
      <c r="CI235" s="239">
        <v>-2357049</v>
      </c>
      <c r="CJ235" s="239">
        <v>106796545</v>
      </c>
      <c r="CK235" s="239">
        <v>104660614</v>
      </c>
      <c r="CL235" s="239">
        <v>0</v>
      </c>
      <c r="CM235" s="239">
        <v>2135931</v>
      </c>
      <c r="CN235" s="239">
        <v>213593090</v>
      </c>
      <c r="CO235" s="239">
        <v>99335056</v>
      </c>
      <c r="CP235" s="239">
        <v>97348354</v>
      </c>
      <c r="CQ235" s="239">
        <v>0</v>
      </c>
      <c r="CR235" s="239">
        <v>1986701</v>
      </c>
      <c r="CS235" s="239">
        <v>198670111</v>
      </c>
      <c r="CT235" s="239">
        <v>-7461489</v>
      </c>
      <c r="CU235" s="239">
        <v>-7312260</v>
      </c>
      <c r="CV235" s="239">
        <v>0</v>
      </c>
      <c r="CW235" s="239">
        <v>-149230</v>
      </c>
      <c r="CX235" s="239">
        <v>-14922979</v>
      </c>
      <c r="CY235" s="239">
        <v>-8640014</v>
      </c>
      <c r="CZ235" s="239">
        <v>-8467214</v>
      </c>
      <c r="DA235" s="239">
        <v>0</v>
      </c>
      <c r="DB235" s="239">
        <v>-172800</v>
      </c>
      <c r="DC235" s="239">
        <v>-17280028</v>
      </c>
      <c r="DD235" s="214">
        <v>0.5</v>
      </c>
      <c r="DE235" s="214">
        <v>0.49</v>
      </c>
      <c r="DF235" s="214">
        <v>0</v>
      </c>
      <c r="DG235" s="214">
        <v>0.01</v>
      </c>
      <c r="DH235" s="214">
        <v>1</v>
      </c>
      <c r="DI235" s="214" t="s">
        <v>1296</v>
      </c>
    </row>
    <row r="236" spans="2:113" s="214" customFormat="1" x14ac:dyDescent="0.2">
      <c r="B236" s="610" t="s">
        <v>555</v>
      </c>
      <c r="C236" s="610" t="s">
        <v>554</v>
      </c>
      <c r="D236" s="239">
        <v>13196430</v>
      </c>
      <c r="E236" s="239">
        <v>10557144</v>
      </c>
      <c r="F236" s="239">
        <v>2375357</v>
      </c>
      <c r="G236" s="239">
        <v>263929</v>
      </c>
      <c r="H236" s="239">
        <v>26392860</v>
      </c>
      <c r="I236" s="239">
        <v>0</v>
      </c>
      <c r="J236" s="239">
        <v>0</v>
      </c>
      <c r="K236" s="239">
        <v>13196430</v>
      </c>
      <c r="L236" s="239">
        <v>151180</v>
      </c>
      <c r="M236" s="239">
        <v>151180</v>
      </c>
      <c r="N236" s="239">
        <v>0</v>
      </c>
      <c r="O236" s="239">
        <v>0</v>
      </c>
      <c r="P236" s="239">
        <v>0</v>
      </c>
      <c r="Q236" s="239">
        <v>0</v>
      </c>
      <c r="R236" s="239">
        <v>0</v>
      </c>
      <c r="S236" s="239">
        <v>0</v>
      </c>
      <c r="T236" s="239">
        <v>0</v>
      </c>
      <c r="U236" s="239">
        <v>0</v>
      </c>
      <c r="V236" s="239">
        <v>0</v>
      </c>
      <c r="W236" s="239">
        <v>373608</v>
      </c>
      <c r="X236" s="239">
        <v>298887</v>
      </c>
      <c r="Y236" s="239">
        <v>67250</v>
      </c>
      <c r="Z236" s="239">
        <v>7472</v>
      </c>
      <c r="AA236" s="239">
        <v>747217</v>
      </c>
      <c r="AB236" s="239">
        <v>-175804</v>
      </c>
      <c r="AC236" s="239">
        <v>-140644</v>
      </c>
      <c r="AD236" s="239">
        <v>-31645</v>
      </c>
      <c r="AE236" s="239">
        <v>-3516</v>
      </c>
      <c r="AF236" s="239">
        <v>-351609</v>
      </c>
      <c r="AG236" s="239">
        <v>-192745</v>
      </c>
      <c r="AH236" s="239">
        <v>-154195</v>
      </c>
      <c r="AI236" s="239">
        <v>-34694</v>
      </c>
      <c r="AJ236" s="239">
        <v>-3854</v>
      </c>
      <c r="AK236" s="239">
        <v>-385488</v>
      </c>
      <c r="AL236" s="239">
        <v>155758</v>
      </c>
      <c r="AM236" s="239">
        <v>124606</v>
      </c>
      <c r="AN236" s="239">
        <v>28036</v>
      </c>
      <c r="AO236" s="239">
        <v>3115</v>
      </c>
      <c r="AP236" s="239">
        <v>311515</v>
      </c>
      <c r="AQ236" s="239">
        <v>-82895</v>
      </c>
      <c r="AR236" s="239">
        <v>-66316</v>
      </c>
      <c r="AS236" s="239">
        <v>-14921</v>
      </c>
      <c r="AT236" s="239">
        <v>-1658</v>
      </c>
      <c r="AU236" s="239">
        <v>-165790</v>
      </c>
      <c r="AV236" s="239">
        <v>-119882</v>
      </c>
      <c r="AW236" s="239">
        <v>-95905</v>
      </c>
      <c r="AX236" s="239">
        <v>-21579</v>
      </c>
      <c r="AY236" s="239">
        <v>-2397</v>
      </c>
      <c r="AZ236" s="239">
        <v>-239763</v>
      </c>
      <c r="BA236" s="239">
        <v>-1304725</v>
      </c>
      <c r="BB236" s="239">
        <v>-1043781</v>
      </c>
      <c r="BC236" s="239">
        <v>-234851</v>
      </c>
      <c r="BD236" s="239">
        <v>-26095</v>
      </c>
      <c r="BE236" s="239">
        <v>-2609452</v>
      </c>
      <c r="BF236" s="239">
        <v>779692</v>
      </c>
      <c r="BG236" s="239">
        <v>623754</v>
      </c>
      <c r="BH236" s="239">
        <v>140345</v>
      </c>
      <c r="BI236" s="239">
        <v>15594</v>
      </c>
      <c r="BJ236" s="239">
        <v>1559385</v>
      </c>
      <c r="BK236" s="239">
        <v>-1071798</v>
      </c>
      <c r="BL236" s="239">
        <v>-857439</v>
      </c>
      <c r="BM236" s="239">
        <v>-192924</v>
      </c>
      <c r="BN236" s="239">
        <v>-21436</v>
      </c>
      <c r="BO236" s="239">
        <v>-2143597</v>
      </c>
      <c r="BP236" s="239">
        <v>-1596831</v>
      </c>
      <c r="BQ236" s="239">
        <v>-1277466</v>
      </c>
      <c r="BR236" s="239">
        <v>-287430</v>
      </c>
      <c r="BS236" s="239">
        <v>-31937</v>
      </c>
      <c r="BT236" s="239">
        <v>-3193664</v>
      </c>
      <c r="BU236" s="239">
        <v>230996</v>
      </c>
      <c r="BV236" s="239">
        <v>184797</v>
      </c>
      <c r="BW236" s="239">
        <v>41579</v>
      </c>
      <c r="BX236" s="239">
        <v>4620</v>
      </c>
      <c r="BY236" s="239">
        <v>461992</v>
      </c>
      <c r="BZ236" s="239">
        <v>0</v>
      </c>
      <c r="CA236" s="239">
        <v>0</v>
      </c>
      <c r="CB236" s="239">
        <v>0</v>
      </c>
      <c r="CC236" s="239">
        <v>0</v>
      </c>
      <c r="CD236" s="239">
        <v>0</v>
      </c>
      <c r="CE236" s="239">
        <v>230996</v>
      </c>
      <c r="CF236" s="239">
        <v>184797</v>
      </c>
      <c r="CG236" s="239">
        <v>41579</v>
      </c>
      <c r="CH236" s="239">
        <v>4620</v>
      </c>
      <c r="CI236" s="239">
        <v>461992</v>
      </c>
      <c r="CJ236" s="239">
        <v>13578933</v>
      </c>
      <c r="CK236" s="239">
        <v>10863147</v>
      </c>
      <c r="CL236" s="239">
        <v>2444208</v>
      </c>
      <c r="CM236" s="239">
        <v>271579</v>
      </c>
      <c r="CN236" s="239">
        <v>27157867</v>
      </c>
      <c r="CO236" s="239">
        <v>13196430</v>
      </c>
      <c r="CP236" s="239">
        <v>10557144</v>
      </c>
      <c r="CQ236" s="239">
        <v>2375357</v>
      </c>
      <c r="CR236" s="239">
        <v>263929</v>
      </c>
      <c r="CS236" s="239">
        <v>26392860</v>
      </c>
      <c r="CT236" s="239">
        <v>-382503</v>
      </c>
      <c r="CU236" s="239">
        <v>-306003</v>
      </c>
      <c r="CV236" s="239">
        <v>-68851</v>
      </c>
      <c r="CW236" s="239">
        <v>-7650</v>
      </c>
      <c r="CX236" s="239">
        <v>-765007</v>
      </c>
      <c r="CY236" s="239">
        <v>-151507</v>
      </c>
      <c r="CZ236" s="239">
        <v>-121206</v>
      </c>
      <c r="DA236" s="239">
        <v>-27272</v>
      </c>
      <c r="DB236" s="239">
        <v>-3030</v>
      </c>
      <c r="DC236" s="239">
        <v>-303015</v>
      </c>
      <c r="DD236" s="214">
        <v>0.5</v>
      </c>
      <c r="DE236" s="214">
        <v>0.4</v>
      </c>
      <c r="DF236" s="214">
        <v>0.09</v>
      </c>
      <c r="DG236" s="214">
        <v>0.01</v>
      </c>
      <c r="DH236" s="214">
        <v>1</v>
      </c>
      <c r="DI236" s="214" t="s">
        <v>1294</v>
      </c>
    </row>
    <row r="237" spans="2:113" s="214" customFormat="1" x14ac:dyDescent="0.2">
      <c r="B237" s="610" t="s">
        <v>557</v>
      </c>
      <c r="C237" s="610" t="s">
        <v>556</v>
      </c>
      <c r="D237" s="239">
        <v>36101641</v>
      </c>
      <c r="E237" s="239">
        <v>35379609</v>
      </c>
      <c r="F237" s="239">
        <v>0</v>
      </c>
      <c r="G237" s="239">
        <v>722033</v>
      </c>
      <c r="H237" s="239">
        <v>72203283</v>
      </c>
      <c r="I237" s="239">
        <v>0</v>
      </c>
      <c r="J237" s="239">
        <v>0</v>
      </c>
      <c r="K237" s="239">
        <v>36101641</v>
      </c>
      <c r="L237" s="239">
        <v>463056</v>
      </c>
      <c r="M237" s="239">
        <v>463056</v>
      </c>
      <c r="N237" s="239">
        <v>0</v>
      </c>
      <c r="O237" s="239">
        <v>0</v>
      </c>
      <c r="P237" s="239">
        <v>1376647</v>
      </c>
      <c r="Q237" s="239">
        <v>0</v>
      </c>
      <c r="R237" s="239">
        <v>1376647</v>
      </c>
      <c r="S237" s="239">
        <v>0</v>
      </c>
      <c r="T237" s="239">
        <v>0</v>
      </c>
      <c r="U237" s="239">
        <v>0</v>
      </c>
      <c r="V237" s="239">
        <v>0</v>
      </c>
      <c r="W237" s="239">
        <v>1636107</v>
      </c>
      <c r="X237" s="239">
        <v>1603385</v>
      </c>
      <c r="Y237" s="239">
        <v>0</v>
      </c>
      <c r="Z237" s="239">
        <v>32722</v>
      </c>
      <c r="AA237" s="239">
        <v>3272214</v>
      </c>
      <c r="AB237" s="239">
        <v>-1090005</v>
      </c>
      <c r="AC237" s="239">
        <v>-1068205</v>
      </c>
      <c r="AD237" s="239">
        <v>0</v>
      </c>
      <c r="AE237" s="239">
        <v>-21800</v>
      </c>
      <c r="AF237" s="239">
        <v>-2180010</v>
      </c>
      <c r="AG237" s="239">
        <v>-744877</v>
      </c>
      <c r="AH237" s="239">
        <v>-729981</v>
      </c>
      <c r="AI237" s="239">
        <v>0</v>
      </c>
      <c r="AJ237" s="239">
        <v>-14897</v>
      </c>
      <c r="AK237" s="239">
        <v>-1489755</v>
      </c>
      <c r="AL237" s="239">
        <v>187345</v>
      </c>
      <c r="AM237" s="239">
        <v>183599</v>
      </c>
      <c r="AN237" s="239">
        <v>0</v>
      </c>
      <c r="AO237" s="239">
        <v>3747</v>
      </c>
      <c r="AP237" s="239">
        <v>374691</v>
      </c>
      <c r="AQ237" s="239">
        <v>-296809</v>
      </c>
      <c r="AR237" s="239">
        <v>-290873</v>
      </c>
      <c r="AS237" s="239">
        <v>0</v>
      </c>
      <c r="AT237" s="239">
        <v>-5936</v>
      </c>
      <c r="AU237" s="239">
        <v>-593618</v>
      </c>
      <c r="AV237" s="239">
        <v>-854341</v>
      </c>
      <c r="AW237" s="239">
        <v>-837255</v>
      </c>
      <c r="AX237" s="239">
        <v>0</v>
      </c>
      <c r="AY237" s="239">
        <v>-17086</v>
      </c>
      <c r="AZ237" s="239">
        <v>-1708682</v>
      </c>
      <c r="BA237" s="239">
        <v>-3866886</v>
      </c>
      <c r="BB237" s="239">
        <v>-3789547</v>
      </c>
      <c r="BC237" s="239">
        <v>0</v>
      </c>
      <c r="BD237" s="239">
        <v>-77338</v>
      </c>
      <c r="BE237" s="239">
        <v>-7733771</v>
      </c>
      <c r="BF237" s="239">
        <v>1129152</v>
      </c>
      <c r="BG237" s="239">
        <v>1106568</v>
      </c>
      <c r="BH237" s="239">
        <v>0</v>
      </c>
      <c r="BI237" s="239">
        <v>22583</v>
      </c>
      <c r="BJ237" s="239">
        <v>2258303</v>
      </c>
      <c r="BK237" s="239">
        <v>-1926127</v>
      </c>
      <c r="BL237" s="239">
        <v>-1887604</v>
      </c>
      <c r="BM237" s="239">
        <v>0</v>
      </c>
      <c r="BN237" s="239">
        <v>-38523</v>
      </c>
      <c r="BO237" s="239">
        <v>-3852254</v>
      </c>
      <c r="BP237" s="239">
        <v>-4663861</v>
      </c>
      <c r="BQ237" s="239">
        <v>-4570583</v>
      </c>
      <c r="BR237" s="239">
        <v>0</v>
      </c>
      <c r="BS237" s="239">
        <v>-93278</v>
      </c>
      <c r="BT237" s="239">
        <v>-9327722</v>
      </c>
      <c r="BU237" s="239">
        <v>-5050421</v>
      </c>
      <c r="BV237" s="239">
        <v>-4949412</v>
      </c>
      <c r="BW237" s="239">
        <v>0</v>
      </c>
      <c r="BX237" s="239">
        <v>-101008</v>
      </c>
      <c r="BY237" s="239">
        <v>-10100841</v>
      </c>
      <c r="BZ237" s="239">
        <v>-953114</v>
      </c>
      <c r="CA237" s="239">
        <v>-934051</v>
      </c>
      <c r="CB237" s="239">
        <v>0</v>
      </c>
      <c r="CC237" s="239">
        <v>-19062</v>
      </c>
      <c r="CD237" s="239">
        <v>-1906227</v>
      </c>
      <c r="CE237" s="239">
        <v>-4097307</v>
      </c>
      <c r="CF237" s="239">
        <v>-4015361</v>
      </c>
      <c r="CG237" s="239">
        <v>0</v>
      </c>
      <c r="CH237" s="239">
        <v>-81946</v>
      </c>
      <c r="CI237" s="239">
        <v>-8194614</v>
      </c>
      <c r="CJ237" s="239">
        <v>39965475</v>
      </c>
      <c r="CK237" s="239">
        <v>39166165</v>
      </c>
      <c r="CL237" s="239">
        <v>0</v>
      </c>
      <c r="CM237" s="239">
        <v>799309</v>
      </c>
      <c r="CN237" s="239">
        <v>79930949</v>
      </c>
      <c r="CO237" s="239">
        <v>36101641</v>
      </c>
      <c r="CP237" s="239">
        <v>35379609</v>
      </c>
      <c r="CQ237" s="239">
        <v>0</v>
      </c>
      <c r="CR237" s="239">
        <v>722033</v>
      </c>
      <c r="CS237" s="239">
        <v>72203283</v>
      </c>
      <c r="CT237" s="239">
        <v>-3863834</v>
      </c>
      <c r="CU237" s="239">
        <v>-3786556</v>
      </c>
      <c r="CV237" s="239">
        <v>0</v>
      </c>
      <c r="CW237" s="239">
        <v>-77276</v>
      </c>
      <c r="CX237" s="239">
        <v>-7727666</v>
      </c>
      <c r="CY237" s="239">
        <v>-7961141</v>
      </c>
      <c r="CZ237" s="239">
        <v>-7801917</v>
      </c>
      <c r="DA237" s="239">
        <v>0</v>
      </c>
      <c r="DB237" s="239">
        <v>-159222</v>
      </c>
      <c r="DC237" s="239">
        <v>-15922280</v>
      </c>
      <c r="DD237" s="214">
        <v>0.5</v>
      </c>
      <c r="DE237" s="214">
        <v>0.49</v>
      </c>
      <c r="DF237" s="214">
        <v>0</v>
      </c>
      <c r="DG237" s="214">
        <v>0.01</v>
      </c>
      <c r="DH237" s="214">
        <v>1</v>
      </c>
      <c r="DI237" s="214" t="s">
        <v>748</v>
      </c>
    </row>
    <row r="238" spans="2:113" s="214" customFormat="1" x14ac:dyDescent="0.2">
      <c r="B238" s="610" t="s">
        <v>559</v>
      </c>
      <c r="C238" s="610" t="s">
        <v>558</v>
      </c>
      <c r="D238" s="239">
        <v>49077311</v>
      </c>
      <c r="E238" s="239">
        <v>48095765</v>
      </c>
      <c r="F238" s="239">
        <v>0</v>
      </c>
      <c r="G238" s="239">
        <v>981546</v>
      </c>
      <c r="H238" s="239">
        <v>98154622</v>
      </c>
      <c r="I238" s="239">
        <v>0</v>
      </c>
      <c r="J238" s="239">
        <v>0</v>
      </c>
      <c r="K238" s="239">
        <v>49077311</v>
      </c>
      <c r="L238" s="239">
        <v>204561</v>
      </c>
      <c r="M238" s="239">
        <v>204561</v>
      </c>
      <c r="N238" s="239">
        <v>0</v>
      </c>
      <c r="O238" s="239">
        <v>0</v>
      </c>
      <c r="P238" s="239">
        <v>0</v>
      </c>
      <c r="Q238" s="239">
        <v>0</v>
      </c>
      <c r="R238" s="239">
        <v>0</v>
      </c>
      <c r="S238" s="239">
        <v>0</v>
      </c>
      <c r="T238" s="239">
        <v>0</v>
      </c>
      <c r="U238" s="239">
        <v>0</v>
      </c>
      <c r="V238" s="239">
        <v>0</v>
      </c>
      <c r="W238" s="239">
        <v>2207106</v>
      </c>
      <c r="X238" s="239">
        <v>2162964</v>
      </c>
      <c r="Y238" s="239">
        <v>0</v>
      </c>
      <c r="Z238" s="239">
        <v>44142</v>
      </c>
      <c r="AA238" s="239">
        <v>4414212</v>
      </c>
      <c r="AB238" s="239">
        <v>-158151</v>
      </c>
      <c r="AC238" s="239">
        <v>-154988</v>
      </c>
      <c r="AD238" s="239">
        <v>0</v>
      </c>
      <c r="AE238" s="239">
        <v>-3163</v>
      </c>
      <c r="AF238" s="239">
        <v>-316302</v>
      </c>
      <c r="AG238" s="239">
        <v>-1530767.9</v>
      </c>
      <c r="AH238" s="239">
        <v>-1500154</v>
      </c>
      <c r="AI238" s="239">
        <v>0</v>
      </c>
      <c r="AJ238" s="239">
        <v>-30615</v>
      </c>
      <c r="AK238" s="239">
        <v>-3061536.9</v>
      </c>
      <c r="AL238" s="239">
        <v>1532474</v>
      </c>
      <c r="AM238" s="239">
        <v>1501824</v>
      </c>
      <c r="AN238" s="239">
        <v>0</v>
      </c>
      <c r="AO238" s="239">
        <v>30649</v>
      </c>
      <c r="AP238" s="239">
        <v>3064947</v>
      </c>
      <c r="AQ238" s="239">
        <v>-1175630</v>
      </c>
      <c r="AR238" s="239">
        <v>-1152117</v>
      </c>
      <c r="AS238" s="239">
        <v>0</v>
      </c>
      <c r="AT238" s="239">
        <v>-23513</v>
      </c>
      <c r="AU238" s="239">
        <v>-2351260</v>
      </c>
      <c r="AV238" s="239">
        <v>-1173923.8999999999</v>
      </c>
      <c r="AW238" s="239">
        <v>-1150447</v>
      </c>
      <c r="AX238" s="239">
        <v>0</v>
      </c>
      <c r="AY238" s="239">
        <v>-23479</v>
      </c>
      <c r="AZ238" s="239">
        <v>-2347849.9</v>
      </c>
      <c r="BA238" s="239">
        <v>-1244296</v>
      </c>
      <c r="BB238" s="239">
        <v>-1219410</v>
      </c>
      <c r="BC238" s="239">
        <v>0</v>
      </c>
      <c r="BD238" s="239">
        <v>-24886</v>
      </c>
      <c r="BE238" s="239">
        <v>-2488592</v>
      </c>
      <c r="BF238" s="239">
        <v>366101</v>
      </c>
      <c r="BG238" s="239">
        <v>358778</v>
      </c>
      <c r="BH238" s="239">
        <v>0</v>
      </c>
      <c r="BI238" s="239">
        <v>7322</v>
      </c>
      <c r="BJ238" s="239">
        <v>732201</v>
      </c>
      <c r="BK238" s="239">
        <v>-59800</v>
      </c>
      <c r="BL238" s="239">
        <v>-58604</v>
      </c>
      <c r="BM238" s="239">
        <v>0</v>
      </c>
      <c r="BN238" s="239">
        <v>-1196</v>
      </c>
      <c r="BO238" s="239">
        <v>-119600</v>
      </c>
      <c r="BP238" s="239">
        <v>-937995</v>
      </c>
      <c r="BQ238" s="239">
        <v>-919236</v>
      </c>
      <c r="BR238" s="239">
        <v>0</v>
      </c>
      <c r="BS238" s="239">
        <v>-18760</v>
      </c>
      <c r="BT238" s="239">
        <v>-1875991</v>
      </c>
      <c r="BU238" s="239">
        <v>313862</v>
      </c>
      <c r="BV238" s="239">
        <v>307585</v>
      </c>
      <c r="BW238" s="239">
        <v>0</v>
      </c>
      <c r="BX238" s="239">
        <v>6277</v>
      </c>
      <c r="BY238" s="239">
        <v>627724</v>
      </c>
      <c r="BZ238" s="239">
        <v>956444</v>
      </c>
      <c r="CA238" s="239">
        <v>937315</v>
      </c>
      <c r="CB238" s="239">
        <v>0</v>
      </c>
      <c r="CC238" s="239">
        <v>19129</v>
      </c>
      <c r="CD238" s="239">
        <v>1912888</v>
      </c>
      <c r="CE238" s="239">
        <v>-642582</v>
      </c>
      <c r="CF238" s="239">
        <v>-629730</v>
      </c>
      <c r="CG238" s="239">
        <v>0</v>
      </c>
      <c r="CH238" s="239">
        <v>-12852</v>
      </c>
      <c r="CI238" s="239">
        <v>-1285164</v>
      </c>
      <c r="CJ238" s="239">
        <v>48796120</v>
      </c>
      <c r="CK238" s="239">
        <v>47820198</v>
      </c>
      <c r="CL238" s="239">
        <v>0</v>
      </c>
      <c r="CM238" s="239">
        <v>975922</v>
      </c>
      <c r="CN238" s="239">
        <v>97592240</v>
      </c>
      <c r="CO238" s="239">
        <v>49077311</v>
      </c>
      <c r="CP238" s="239">
        <v>48095765</v>
      </c>
      <c r="CQ238" s="239">
        <v>0</v>
      </c>
      <c r="CR238" s="239">
        <v>981546</v>
      </c>
      <c r="CS238" s="239">
        <v>98154622</v>
      </c>
      <c r="CT238" s="239">
        <v>281191</v>
      </c>
      <c r="CU238" s="239">
        <v>275567</v>
      </c>
      <c r="CV238" s="239">
        <v>0</v>
      </c>
      <c r="CW238" s="239">
        <v>5624</v>
      </c>
      <c r="CX238" s="239">
        <v>562382</v>
      </c>
      <c r="CY238" s="239">
        <v>-361391</v>
      </c>
      <c r="CZ238" s="239">
        <v>-354163</v>
      </c>
      <c r="DA238" s="239">
        <v>0</v>
      </c>
      <c r="DB238" s="239">
        <v>-7228</v>
      </c>
      <c r="DC238" s="239">
        <v>-722782</v>
      </c>
      <c r="DD238" s="214">
        <v>0.5</v>
      </c>
      <c r="DE238" s="214">
        <v>0.49</v>
      </c>
      <c r="DF238" s="214">
        <v>0</v>
      </c>
      <c r="DG238" s="214">
        <v>0.01</v>
      </c>
      <c r="DH238" s="214">
        <v>1</v>
      </c>
      <c r="DI238" s="214" t="s">
        <v>748</v>
      </c>
    </row>
    <row r="239" spans="2:113" s="214" customFormat="1" x14ac:dyDescent="0.2">
      <c r="B239" s="610" t="s">
        <v>561</v>
      </c>
      <c r="C239" s="610" t="s">
        <v>560</v>
      </c>
      <c r="D239" s="239">
        <v>58745497</v>
      </c>
      <c r="E239" s="239">
        <v>57570587</v>
      </c>
      <c r="F239" s="239">
        <v>0</v>
      </c>
      <c r="G239" s="239">
        <v>1174910</v>
      </c>
      <c r="H239" s="239">
        <v>117490994</v>
      </c>
      <c r="I239" s="239">
        <v>0</v>
      </c>
      <c r="J239" s="239">
        <v>0</v>
      </c>
      <c r="K239" s="239">
        <v>58745497</v>
      </c>
      <c r="L239" s="239">
        <v>247739</v>
      </c>
      <c r="M239" s="239">
        <v>247739</v>
      </c>
      <c r="N239" s="239">
        <v>0</v>
      </c>
      <c r="O239" s="239">
        <v>0</v>
      </c>
      <c r="P239" s="239">
        <v>0</v>
      </c>
      <c r="Q239" s="239">
        <v>0</v>
      </c>
      <c r="R239" s="239">
        <v>0</v>
      </c>
      <c r="S239" s="239">
        <v>0</v>
      </c>
      <c r="T239" s="239">
        <v>0</v>
      </c>
      <c r="U239" s="239">
        <v>0</v>
      </c>
      <c r="V239" s="239">
        <v>0</v>
      </c>
      <c r="W239" s="239">
        <v>3490559</v>
      </c>
      <c r="X239" s="239">
        <v>3420747</v>
      </c>
      <c r="Y239" s="239">
        <v>0</v>
      </c>
      <c r="Z239" s="239">
        <v>69811</v>
      </c>
      <c r="AA239" s="239">
        <v>6981117</v>
      </c>
      <c r="AB239" s="239">
        <v>-1415728</v>
      </c>
      <c r="AC239" s="239">
        <v>-1387414</v>
      </c>
      <c r="AD239" s="239">
        <v>0</v>
      </c>
      <c r="AE239" s="239">
        <v>-28315</v>
      </c>
      <c r="AF239" s="239">
        <v>-2831457</v>
      </c>
      <c r="AG239" s="239">
        <v>-754581</v>
      </c>
      <c r="AH239" s="239">
        <v>-739489</v>
      </c>
      <c r="AI239" s="239">
        <v>0</v>
      </c>
      <c r="AJ239" s="239">
        <v>-15092</v>
      </c>
      <c r="AK239" s="239">
        <v>-1509162</v>
      </c>
      <c r="AL239" s="239">
        <v>123058</v>
      </c>
      <c r="AM239" s="239">
        <v>120597</v>
      </c>
      <c r="AN239" s="239">
        <v>0</v>
      </c>
      <c r="AO239" s="239">
        <v>2461</v>
      </c>
      <c r="AP239" s="239">
        <v>246116</v>
      </c>
      <c r="AQ239" s="239">
        <v>-256854</v>
      </c>
      <c r="AR239" s="239">
        <v>-251717</v>
      </c>
      <c r="AS239" s="239">
        <v>0</v>
      </c>
      <c r="AT239" s="239">
        <v>-5137</v>
      </c>
      <c r="AU239" s="239">
        <v>-513708</v>
      </c>
      <c r="AV239" s="239">
        <v>-888377</v>
      </c>
      <c r="AW239" s="239">
        <v>-870609</v>
      </c>
      <c r="AX239" s="239">
        <v>0</v>
      </c>
      <c r="AY239" s="239">
        <v>-17768</v>
      </c>
      <c r="AZ239" s="239">
        <v>-1776754</v>
      </c>
      <c r="BA239" s="239">
        <v>-4302824</v>
      </c>
      <c r="BB239" s="239">
        <v>-4216769</v>
      </c>
      <c r="BC239" s="239">
        <v>0</v>
      </c>
      <c r="BD239" s="239">
        <v>-86057</v>
      </c>
      <c r="BE239" s="239">
        <v>-8605650</v>
      </c>
      <c r="BF239" s="239">
        <v>482493</v>
      </c>
      <c r="BG239" s="239">
        <v>472844</v>
      </c>
      <c r="BH239" s="239">
        <v>0</v>
      </c>
      <c r="BI239" s="239">
        <v>9650</v>
      </c>
      <c r="BJ239" s="239">
        <v>964987</v>
      </c>
      <c r="BK239" s="239">
        <v>-2143979</v>
      </c>
      <c r="BL239" s="239">
        <v>-2101099</v>
      </c>
      <c r="BM239" s="239">
        <v>0</v>
      </c>
      <c r="BN239" s="239">
        <v>-42880</v>
      </c>
      <c r="BO239" s="239">
        <v>-4287958</v>
      </c>
      <c r="BP239" s="239">
        <v>-5964310</v>
      </c>
      <c r="BQ239" s="239">
        <v>-5845024</v>
      </c>
      <c r="BR239" s="239">
        <v>0</v>
      </c>
      <c r="BS239" s="239">
        <v>-119287</v>
      </c>
      <c r="BT239" s="239">
        <v>-11928621</v>
      </c>
      <c r="BU239" s="239">
        <v>-5501401</v>
      </c>
      <c r="BV239" s="239">
        <v>-5391373</v>
      </c>
      <c r="BW239" s="239">
        <v>0</v>
      </c>
      <c r="BX239" s="239">
        <v>-110028</v>
      </c>
      <c r="BY239" s="239">
        <v>-11002802</v>
      </c>
      <c r="BZ239" s="239">
        <v>-2443110</v>
      </c>
      <c r="CA239" s="239">
        <v>-2394248</v>
      </c>
      <c r="CB239" s="239">
        <v>0</v>
      </c>
      <c r="CC239" s="239">
        <v>-48862</v>
      </c>
      <c r="CD239" s="239">
        <v>-4886220</v>
      </c>
      <c r="CE239" s="239">
        <v>-3058291</v>
      </c>
      <c r="CF239" s="239">
        <v>-2997125</v>
      </c>
      <c r="CG239" s="239">
        <v>0</v>
      </c>
      <c r="CH239" s="239">
        <v>-61166</v>
      </c>
      <c r="CI239" s="239">
        <v>-6116582</v>
      </c>
      <c r="CJ239" s="239">
        <v>58801079</v>
      </c>
      <c r="CK239" s="239">
        <v>57625058</v>
      </c>
      <c r="CL239" s="239">
        <v>0</v>
      </c>
      <c r="CM239" s="239">
        <v>1176022</v>
      </c>
      <c r="CN239" s="239">
        <v>117602159</v>
      </c>
      <c r="CO239" s="239">
        <v>58745497</v>
      </c>
      <c r="CP239" s="239">
        <v>57570587</v>
      </c>
      <c r="CQ239" s="239">
        <v>0</v>
      </c>
      <c r="CR239" s="239">
        <v>1174910</v>
      </c>
      <c r="CS239" s="239">
        <v>117490994</v>
      </c>
      <c r="CT239" s="239">
        <v>-55582</v>
      </c>
      <c r="CU239" s="239">
        <v>-54471</v>
      </c>
      <c r="CV239" s="239">
        <v>0</v>
      </c>
      <c r="CW239" s="239">
        <v>-1112</v>
      </c>
      <c r="CX239" s="239">
        <v>-111165</v>
      </c>
      <c r="CY239" s="239">
        <v>-3113873</v>
      </c>
      <c r="CZ239" s="239">
        <v>-3051596</v>
      </c>
      <c r="DA239" s="239">
        <v>0</v>
      </c>
      <c r="DB239" s="239">
        <v>-62278</v>
      </c>
      <c r="DC239" s="239">
        <v>-6227747</v>
      </c>
      <c r="DD239" s="214">
        <v>0.5</v>
      </c>
      <c r="DE239" s="214">
        <v>0.49</v>
      </c>
      <c r="DF239" s="214">
        <v>0</v>
      </c>
      <c r="DG239" s="214">
        <v>0.01</v>
      </c>
      <c r="DH239" s="214">
        <v>1</v>
      </c>
      <c r="DI239" s="214" t="s">
        <v>1296</v>
      </c>
    </row>
    <row r="240" spans="2:113" s="214" customFormat="1" x14ac:dyDescent="0.2">
      <c r="B240" s="610" t="s">
        <v>563</v>
      </c>
      <c r="C240" s="610" t="s">
        <v>562</v>
      </c>
      <c r="D240" s="239">
        <v>15526447</v>
      </c>
      <c r="E240" s="239">
        <v>12421158</v>
      </c>
      <c r="F240" s="239">
        <v>2794760</v>
      </c>
      <c r="G240" s="239">
        <v>310529</v>
      </c>
      <c r="H240" s="239">
        <v>31052894</v>
      </c>
      <c r="I240" s="239">
        <v>0</v>
      </c>
      <c r="J240" s="239">
        <v>0</v>
      </c>
      <c r="K240" s="239">
        <v>15526447</v>
      </c>
      <c r="L240" s="239">
        <v>97084</v>
      </c>
      <c r="M240" s="239">
        <v>97084</v>
      </c>
      <c r="N240" s="239">
        <v>0</v>
      </c>
      <c r="O240" s="239">
        <v>0</v>
      </c>
      <c r="P240" s="239">
        <v>0</v>
      </c>
      <c r="Q240" s="239">
        <v>0</v>
      </c>
      <c r="R240" s="239">
        <v>0</v>
      </c>
      <c r="S240" s="239">
        <v>0</v>
      </c>
      <c r="T240" s="239">
        <v>0</v>
      </c>
      <c r="U240" s="239">
        <v>0</v>
      </c>
      <c r="V240" s="239">
        <v>0</v>
      </c>
      <c r="W240" s="239">
        <v>652948</v>
      </c>
      <c r="X240" s="239">
        <v>522358</v>
      </c>
      <c r="Y240" s="239">
        <v>117531</v>
      </c>
      <c r="Z240" s="239">
        <v>13059</v>
      </c>
      <c r="AA240" s="239">
        <v>1305896</v>
      </c>
      <c r="AB240" s="239">
        <v>-214892</v>
      </c>
      <c r="AC240" s="239">
        <v>-171914</v>
      </c>
      <c r="AD240" s="239">
        <v>-38681</v>
      </c>
      <c r="AE240" s="239">
        <v>-4298</v>
      </c>
      <c r="AF240" s="239">
        <v>-429785</v>
      </c>
      <c r="AG240" s="239">
        <v>-171500</v>
      </c>
      <c r="AH240" s="239">
        <v>-137200</v>
      </c>
      <c r="AI240" s="239">
        <v>-30870</v>
      </c>
      <c r="AJ240" s="239">
        <v>-3430</v>
      </c>
      <c r="AK240" s="239">
        <v>-343000</v>
      </c>
      <c r="AL240" s="239">
        <v>-39625</v>
      </c>
      <c r="AM240" s="239">
        <v>-31699</v>
      </c>
      <c r="AN240" s="239">
        <v>-7132</v>
      </c>
      <c r="AO240" s="239">
        <v>-792</v>
      </c>
      <c r="AP240" s="239">
        <v>-79248</v>
      </c>
      <c r="AQ240" s="239">
        <v>-46875</v>
      </c>
      <c r="AR240" s="239">
        <v>-37501</v>
      </c>
      <c r="AS240" s="239">
        <v>-8438</v>
      </c>
      <c r="AT240" s="239">
        <v>-938</v>
      </c>
      <c r="AU240" s="239">
        <v>-93752</v>
      </c>
      <c r="AV240" s="239">
        <v>-258000</v>
      </c>
      <c r="AW240" s="239">
        <v>-206400</v>
      </c>
      <c r="AX240" s="239">
        <v>-46440</v>
      </c>
      <c r="AY240" s="239">
        <v>-5160</v>
      </c>
      <c r="AZ240" s="239">
        <v>-516000</v>
      </c>
      <c r="BA240" s="239">
        <v>-2238553</v>
      </c>
      <c r="BB240" s="239">
        <v>-1790842</v>
      </c>
      <c r="BC240" s="239">
        <v>-402939</v>
      </c>
      <c r="BD240" s="239">
        <v>-44770</v>
      </c>
      <c r="BE240" s="239">
        <v>-4477104</v>
      </c>
      <c r="BF240" s="239">
        <v>151772</v>
      </c>
      <c r="BG240" s="239">
        <v>121417</v>
      </c>
      <c r="BH240" s="239">
        <v>27319</v>
      </c>
      <c r="BI240" s="239">
        <v>3035</v>
      </c>
      <c r="BJ240" s="239">
        <v>303543</v>
      </c>
      <c r="BK240" s="239">
        <v>136923</v>
      </c>
      <c r="BL240" s="239">
        <v>109538</v>
      </c>
      <c r="BM240" s="239">
        <v>24646</v>
      </c>
      <c r="BN240" s="239">
        <v>2738</v>
      </c>
      <c r="BO240" s="239">
        <v>273845</v>
      </c>
      <c r="BP240" s="239">
        <v>-1949858</v>
      </c>
      <c r="BQ240" s="239">
        <v>-1559887</v>
      </c>
      <c r="BR240" s="239">
        <v>-350974</v>
      </c>
      <c r="BS240" s="239">
        <v>-38997</v>
      </c>
      <c r="BT240" s="239">
        <v>-3899716</v>
      </c>
      <c r="BU240" s="239">
        <v>231378</v>
      </c>
      <c r="BV240" s="239">
        <v>185103</v>
      </c>
      <c r="BW240" s="239">
        <v>41648</v>
      </c>
      <c r="BX240" s="239">
        <v>4628</v>
      </c>
      <c r="BY240" s="239">
        <v>462757</v>
      </c>
      <c r="BZ240" s="239">
        <v>2120912</v>
      </c>
      <c r="CA240" s="239">
        <v>1696730</v>
      </c>
      <c r="CB240" s="239">
        <v>381764</v>
      </c>
      <c r="CC240" s="239">
        <v>42418</v>
      </c>
      <c r="CD240" s="239">
        <v>4241824</v>
      </c>
      <c r="CE240" s="239">
        <v>-1889534</v>
      </c>
      <c r="CF240" s="239">
        <v>-1511627</v>
      </c>
      <c r="CG240" s="239">
        <v>-340116</v>
      </c>
      <c r="CH240" s="239">
        <v>-37790</v>
      </c>
      <c r="CI240" s="239">
        <v>-3779067</v>
      </c>
      <c r="CJ240" s="239">
        <v>15768629</v>
      </c>
      <c r="CK240" s="239">
        <v>12614904</v>
      </c>
      <c r="CL240" s="239">
        <v>2838353</v>
      </c>
      <c r="CM240" s="239">
        <v>315373</v>
      </c>
      <c r="CN240" s="239">
        <v>31537259</v>
      </c>
      <c r="CO240" s="239">
        <v>15526447</v>
      </c>
      <c r="CP240" s="239">
        <v>12421158</v>
      </c>
      <c r="CQ240" s="239">
        <v>2794760</v>
      </c>
      <c r="CR240" s="239">
        <v>310529</v>
      </c>
      <c r="CS240" s="239">
        <v>31052894</v>
      </c>
      <c r="CT240" s="239">
        <v>-242182</v>
      </c>
      <c r="CU240" s="239">
        <v>-193746</v>
      </c>
      <c r="CV240" s="239">
        <v>-43593</v>
      </c>
      <c r="CW240" s="239">
        <v>-4844</v>
      </c>
      <c r="CX240" s="239">
        <v>-484365</v>
      </c>
      <c r="CY240" s="239">
        <v>-2131716</v>
      </c>
      <c r="CZ240" s="239">
        <v>-1705373</v>
      </c>
      <c r="DA240" s="239">
        <v>-383709</v>
      </c>
      <c r="DB240" s="239">
        <v>-42634</v>
      </c>
      <c r="DC240" s="239">
        <v>-4263432</v>
      </c>
      <c r="DD240" s="214">
        <v>0.5</v>
      </c>
      <c r="DE240" s="214">
        <v>0.4</v>
      </c>
      <c r="DF240" s="214">
        <v>0.09</v>
      </c>
      <c r="DG240" s="214">
        <v>0.01</v>
      </c>
      <c r="DH240" s="214">
        <v>1</v>
      </c>
      <c r="DI240" s="214" t="s">
        <v>1294</v>
      </c>
    </row>
    <row r="241" spans="2:113" s="214" customFormat="1" x14ac:dyDescent="0.2">
      <c r="B241" s="610" t="s">
        <v>565</v>
      </c>
      <c r="C241" s="610" t="s">
        <v>564</v>
      </c>
      <c r="D241" s="239">
        <v>33517011</v>
      </c>
      <c r="E241" s="239">
        <v>26813609</v>
      </c>
      <c r="F241" s="239">
        <v>6033062</v>
      </c>
      <c r="G241" s="239">
        <v>670340</v>
      </c>
      <c r="H241" s="239">
        <v>67034022</v>
      </c>
      <c r="I241" s="239">
        <v>0</v>
      </c>
      <c r="J241" s="239">
        <v>0</v>
      </c>
      <c r="K241" s="239">
        <v>33517011</v>
      </c>
      <c r="L241" s="239">
        <v>221079</v>
      </c>
      <c r="M241" s="239">
        <v>221079</v>
      </c>
      <c r="N241" s="239">
        <v>0</v>
      </c>
      <c r="O241" s="239">
        <v>0</v>
      </c>
      <c r="P241" s="239">
        <v>675017</v>
      </c>
      <c r="Q241" s="239">
        <v>0</v>
      </c>
      <c r="R241" s="239">
        <v>675017</v>
      </c>
      <c r="S241" s="239">
        <v>0</v>
      </c>
      <c r="T241" s="239">
        <v>0</v>
      </c>
      <c r="U241" s="239">
        <v>0</v>
      </c>
      <c r="V241" s="239">
        <v>0</v>
      </c>
      <c r="W241" s="239">
        <v>286924</v>
      </c>
      <c r="X241" s="239">
        <v>229539</v>
      </c>
      <c r="Y241" s="239">
        <v>51646</v>
      </c>
      <c r="Z241" s="239">
        <v>5738</v>
      </c>
      <c r="AA241" s="239">
        <v>573847</v>
      </c>
      <c r="AB241" s="239">
        <v>-318692</v>
      </c>
      <c r="AC241" s="239">
        <v>-254954</v>
      </c>
      <c r="AD241" s="239">
        <v>-57365</v>
      </c>
      <c r="AE241" s="239">
        <v>-6374</v>
      </c>
      <c r="AF241" s="239">
        <v>-637385</v>
      </c>
      <c r="AG241" s="239">
        <v>-38900</v>
      </c>
      <c r="AH241" s="239">
        <v>-31118</v>
      </c>
      <c r="AI241" s="239">
        <v>-7001</v>
      </c>
      <c r="AJ241" s="239">
        <v>-778</v>
      </c>
      <c r="AK241" s="239">
        <v>-77797</v>
      </c>
      <c r="AL241" s="239">
        <v>14069</v>
      </c>
      <c r="AM241" s="239">
        <v>11255</v>
      </c>
      <c r="AN241" s="239">
        <v>2532</v>
      </c>
      <c r="AO241" s="239">
        <v>281</v>
      </c>
      <c r="AP241" s="239">
        <v>28137</v>
      </c>
      <c r="AQ241" s="239">
        <v>-33245</v>
      </c>
      <c r="AR241" s="239">
        <v>-26596</v>
      </c>
      <c r="AS241" s="239">
        <v>-5984</v>
      </c>
      <c r="AT241" s="239">
        <v>-665</v>
      </c>
      <c r="AU241" s="239">
        <v>-66490</v>
      </c>
      <c r="AV241" s="239">
        <v>-58076</v>
      </c>
      <c r="AW241" s="239">
        <v>-46459</v>
      </c>
      <c r="AX241" s="239">
        <v>-10453</v>
      </c>
      <c r="AY241" s="239">
        <v>-1162</v>
      </c>
      <c r="AZ241" s="239">
        <v>-116150</v>
      </c>
      <c r="BA241" s="239">
        <v>-2079273</v>
      </c>
      <c r="BB241" s="239">
        <v>-1663421</v>
      </c>
      <c r="BC241" s="239">
        <v>-374270</v>
      </c>
      <c r="BD241" s="239">
        <v>-41586</v>
      </c>
      <c r="BE241" s="239">
        <v>-4158550</v>
      </c>
      <c r="BF241" s="239">
        <v>1950406</v>
      </c>
      <c r="BG241" s="239">
        <v>1560324</v>
      </c>
      <c r="BH241" s="239">
        <v>351073</v>
      </c>
      <c r="BI241" s="239">
        <v>39008</v>
      </c>
      <c r="BJ241" s="239">
        <v>3900811</v>
      </c>
      <c r="BK241" s="239">
        <v>-3218180</v>
      </c>
      <c r="BL241" s="239">
        <v>-2574545</v>
      </c>
      <c r="BM241" s="239">
        <v>-579273</v>
      </c>
      <c r="BN241" s="239">
        <v>-64364</v>
      </c>
      <c r="BO241" s="239">
        <v>-6436362</v>
      </c>
      <c r="BP241" s="239">
        <v>-3347047</v>
      </c>
      <c r="BQ241" s="239">
        <v>-2677642</v>
      </c>
      <c r="BR241" s="239">
        <v>-602470</v>
      </c>
      <c r="BS241" s="239">
        <v>-66942</v>
      </c>
      <c r="BT241" s="239">
        <v>-6694101</v>
      </c>
      <c r="BU241" s="239">
        <v>-1142211</v>
      </c>
      <c r="BV241" s="239">
        <v>-913768</v>
      </c>
      <c r="BW241" s="239">
        <v>-205598</v>
      </c>
      <c r="BX241" s="239">
        <v>-22844</v>
      </c>
      <c r="BY241" s="239">
        <v>-2284421</v>
      </c>
      <c r="BZ241" s="239">
        <v>-1802480</v>
      </c>
      <c r="CA241" s="239">
        <v>-1441984</v>
      </c>
      <c r="CB241" s="239">
        <v>-324446</v>
      </c>
      <c r="CC241" s="239">
        <v>-36050</v>
      </c>
      <c r="CD241" s="239">
        <v>-3604960</v>
      </c>
      <c r="CE241" s="239">
        <v>660269</v>
      </c>
      <c r="CF241" s="239">
        <v>528216</v>
      </c>
      <c r="CG241" s="239">
        <v>118848</v>
      </c>
      <c r="CH241" s="239">
        <v>13206</v>
      </c>
      <c r="CI241" s="239">
        <v>1320539</v>
      </c>
      <c r="CJ241" s="239">
        <v>34979379</v>
      </c>
      <c r="CK241" s="239">
        <v>27983503</v>
      </c>
      <c r="CL241" s="239">
        <v>6296288</v>
      </c>
      <c r="CM241" s="239">
        <v>699588</v>
      </c>
      <c r="CN241" s="239">
        <v>69958758</v>
      </c>
      <c r="CO241" s="239">
        <v>33517011</v>
      </c>
      <c r="CP241" s="239">
        <v>26813609</v>
      </c>
      <c r="CQ241" s="239">
        <v>6033062</v>
      </c>
      <c r="CR241" s="239">
        <v>670340</v>
      </c>
      <c r="CS241" s="239">
        <v>67034022</v>
      </c>
      <c r="CT241" s="239">
        <v>-1462368</v>
      </c>
      <c r="CU241" s="239">
        <v>-1169894</v>
      </c>
      <c r="CV241" s="239">
        <v>-263226</v>
      </c>
      <c r="CW241" s="239">
        <v>-29248</v>
      </c>
      <c r="CX241" s="239">
        <v>-2924736</v>
      </c>
      <c r="CY241" s="239">
        <v>-802099</v>
      </c>
      <c r="CZ241" s="239">
        <v>-641678</v>
      </c>
      <c r="DA241" s="239">
        <v>-144378</v>
      </c>
      <c r="DB241" s="239">
        <v>-16042</v>
      </c>
      <c r="DC241" s="239">
        <v>-1604197</v>
      </c>
      <c r="DD241" s="214">
        <v>0.5</v>
      </c>
      <c r="DE241" s="214">
        <v>0.4</v>
      </c>
      <c r="DF241" s="214">
        <v>0.09</v>
      </c>
      <c r="DG241" s="214">
        <v>0.01</v>
      </c>
      <c r="DH241" s="214">
        <v>1</v>
      </c>
      <c r="DI241" s="214" t="s">
        <v>1294</v>
      </c>
    </row>
    <row r="242" spans="2:113" s="214" customFormat="1" x14ac:dyDescent="0.2">
      <c r="B242" s="610" t="s">
        <v>567</v>
      </c>
      <c r="C242" s="610" t="s">
        <v>566</v>
      </c>
      <c r="D242" s="239">
        <v>10826875</v>
      </c>
      <c r="E242" s="239">
        <v>8661500</v>
      </c>
      <c r="F242" s="239">
        <v>1948838</v>
      </c>
      <c r="G242" s="239">
        <v>216538</v>
      </c>
      <c r="H242" s="239">
        <v>21653751</v>
      </c>
      <c r="I242" s="239">
        <v>0</v>
      </c>
      <c r="J242" s="239">
        <v>0</v>
      </c>
      <c r="K242" s="239">
        <v>10826875</v>
      </c>
      <c r="L242" s="239">
        <v>91614</v>
      </c>
      <c r="M242" s="239">
        <v>91614</v>
      </c>
      <c r="N242" s="239">
        <v>0</v>
      </c>
      <c r="O242" s="239">
        <v>0</v>
      </c>
      <c r="P242" s="239">
        <v>0</v>
      </c>
      <c r="Q242" s="239">
        <v>0</v>
      </c>
      <c r="R242" s="239">
        <v>0</v>
      </c>
      <c r="S242" s="239">
        <v>0</v>
      </c>
      <c r="T242" s="239">
        <v>0</v>
      </c>
      <c r="U242" s="239">
        <v>0</v>
      </c>
      <c r="V242" s="239">
        <v>0</v>
      </c>
      <c r="W242" s="239">
        <v>844562</v>
      </c>
      <c r="X242" s="239">
        <v>675649</v>
      </c>
      <c r="Y242" s="239">
        <v>152021</v>
      </c>
      <c r="Z242" s="239">
        <v>16891</v>
      </c>
      <c r="AA242" s="239">
        <v>1689123</v>
      </c>
      <c r="AB242" s="239">
        <v>-100235</v>
      </c>
      <c r="AC242" s="239">
        <v>-80188</v>
      </c>
      <c r="AD242" s="239">
        <v>-18042</v>
      </c>
      <c r="AE242" s="239">
        <v>-2005</v>
      </c>
      <c r="AF242" s="239">
        <v>-200470</v>
      </c>
      <c r="AG242" s="239">
        <v>-658946</v>
      </c>
      <c r="AH242" s="239">
        <v>-527158</v>
      </c>
      <c r="AI242" s="239">
        <v>-118611</v>
      </c>
      <c r="AJ242" s="239">
        <v>-13179</v>
      </c>
      <c r="AK242" s="239">
        <v>-1317894</v>
      </c>
      <c r="AL242" s="239">
        <v>127625</v>
      </c>
      <c r="AM242" s="239">
        <v>102100</v>
      </c>
      <c r="AN242" s="239">
        <v>22972</v>
      </c>
      <c r="AO242" s="239">
        <v>2552</v>
      </c>
      <c r="AP242" s="239">
        <v>255249</v>
      </c>
      <c r="AQ242" s="239">
        <v>-45190</v>
      </c>
      <c r="AR242" s="239">
        <v>-36152</v>
      </c>
      <c r="AS242" s="239">
        <v>-8134</v>
      </c>
      <c r="AT242" s="239">
        <v>-904</v>
      </c>
      <c r="AU242" s="239">
        <v>-90380</v>
      </c>
      <c r="AV242" s="239">
        <v>-576511</v>
      </c>
      <c r="AW242" s="239">
        <v>-461210</v>
      </c>
      <c r="AX242" s="239">
        <v>-103773</v>
      </c>
      <c r="AY242" s="239">
        <v>-11531</v>
      </c>
      <c r="AZ242" s="239">
        <v>-1153025</v>
      </c>
      <c r="BA242" s="239">
        <v>-340624</v>
      </c>
      <c r="BB242" s="239">
        <v>-272499</v>
      </c>
      <c r="BC242" s="239">
        <v>-61312</v>
      </c>
      <c r="BD242" s="239">
        <v>-6813</v>
      </c>
      <c r="BE242" s="239">
        <v>-681248</v>
      </c>
      <c r="BF242" s="239">
        <v>94500</v>
      </c>
      <c r="BG242" s="239">
        <v>75600</v>
      </c>
      <c r="BH242" s="239">
        <v>17010</v>
      </c>
      <c r="BI242" s="239">
        <v>1890</v>
      </c>
      <c r="BJ242" s="239">
        <v>189000</v>
      </c>
      <c r="BK242" s="239">
        <v>-838933</v>
      </c>
      <c r="BL242" s="239">
        <v>-671147</v>
      </c>
      <c r="BM242" s="239">
        <v>-151008</v>
      </c>
      <c r="BN242" s="239">
        <v>-16779</v>
      </c>
      <c r="BO242" s="239">
        <v>-1677867</v>
      </c>
      <c r="BP242" s="239">
        <v>-1085057</v>
      </c>
      <c r="BQ242" s="239">
        <v>-868046</v>
      </c>
      <c r="BR242" s="239">
        <v>-195310</v>
      </c>
      <c r="BS242" s="239">
        <v>-21702</v>
      </c>
      <c r="BT242" s="239">
        <v>-2170115</v>
      </c>
      <c r="BU242" s="239">
        <v>323594</v>
      </c>
      <c r="BV242" s="239">
        <v>258875</v>
      </c>
      <c r="BW242" s="239">
        <v>58247</v>
      </c>
      <c r="BX242" s="239">
        <v>6472</v>
      </c>
      <c r="BY242" s="239">
        <v>647188</v>
      </c>
      <c r="BZ242" s="239">
        <v>360380</v>
      </c>
      <c r="CA242" s="239">
        <v>288304</v>
      </c>
      <c r="CB242" s="239">
        <v>64868</v>
      </c>
      <c r="CC242" s="239">
        <v>7208</v>
      </c>
      <c r="CD242" s="239">
        <v>720760</v>
      </c>
      <c r="CE242" s="239">
        <v>-36786</v>
      </c>
      <c r="CF242" s="239">
        <v>-29429</v>
      </c>
      <c r="CG242" s="239">
        <v>-6621</v>
      </c>
      <c r="CH242" s="239">
        <v>-736</v>
      </c>
      <c r="CI242" s="239">
        <v>-73572</v>
      </c>
      <c r="CJ242" s="239">
        <v>10989962</v>
      </c>
      <c r="CK242" s="239">
        <v>8791969</v>
      </c>
      <c r="CL242" s="239">
        <v>1978193</v>
      </c>
      <c r="CM242" s="239">
        <v>219799</v>
      </c>
      <c r="CN242" s="239">
        <v>21979923</v>
      </c>
      <c r="CO242" s="239">
        <v>10826875</v>
      </c>
      <c r="CP242" s="239">
        <v>8661500</v>
      </c>
      <c r="CQ242" s="239">
        <v>1948838</v>
      </c>
      <c r="CR242" s="239">
        <v>216538</v>
      </c>
      <c r="CS242" s="239">
        <v>21653751</v>
      </c>
      <c r="CT242" s="239">
        <v>-163087</v>
      </c>
      <c r="CU242" s="239">
        <v>-130469</v>
      </c>
      <c r="CV242" s="239">
        <v>-29355</v>
      </c>
      <c r="CW242" s="239">
        <v>-3261</v>
      </c>
      <c r="CX242" s="239">
        <v>-326172</v>
      </c>
      <c r="CY242" s="239">
        <v>-199873</v>
      </c>
      <c r="CZ242" s="239">
        <v>-159898</v>
      </c>
      <c r="DA242" s="239">
        <v>-35976</v>
      </c>
      <c r="DB242" s="239">
        <v>-3997</v>
      </c>
      <c r="DC242" s="239">
        <v>-399744</v>
      </c>
      <c r="DD242" s="214">
        <v>0.5</v>
      </c>
      <c r="DE242" s="214">
        <v>0.4</v>
      </c>
      <c r="DF242" s="214">
        <v>0.09</v>
      </c>
      <c r="DG242" s="214">
        <v>0.01</v>
      </c>
      <c r="DH242" s="214">
        <v>1</v>
      </c>
      <c r="DI242" s="214" t="s">
        <v>1294</v>
      </c>
    </row>
    <row r="243" spans="2:113" s="214" customFormat="1" x14ac:dyDescent="0.2">
      <c r="B243" s="610" t="s">
        <v>569</v>
      </c>
      <c r="C243" s="610" t="s">
        <v>568</v>
      </c>
      <c r="D243" s="239">
        <v>66890978</v>
      </c>
      <c r="E243" s="239">
        <v>65553158</v>
      </c>
      <c r="F243" s="239">
        <v>0</v>
      </c>
      <c r="G243" s="239">
        <v>1337820</v>
      </c>
      <c r="H243" s="239">
        <v>133781956</v>
      </c>
      <c r="I243" s="239">
        <v>0</v>
      </c>
      <c r="J243" s="239">
        <v>0</v>
      </c>
      <c r="K243" s="239">
        <v>66890978</v>
      </c>
      <c r="L243" s="239">
        <v>334208</v>
      </c>
      <c r="M243" s="239">
        <v>334208</v>
      </c>
      <c r="N243" s="239">
        <v>4947034</v>
      </c>
      <c r="O243" s="239">
        <v>4947034</v>
      </c>
      <c r="P243" s="239">
        <v>195484</v>
      </c>
      <c r="Q243" s="239">
        <v>0</v>
      </c>
      <c r="R243" s="239">
        <v>195484</v>
      </c>
      <c r="S243" s="239">
        <v>0</v>
      </c>
      <c r="T243" s="239">
        <v>0</v>
      </c>
      <c r="U243" s="239">
        <v>0</v>
      </c>
      <c r="V243" s="239">
        <v>0</v>
      </c>
      <c r="W243" s="239">
        <v>1431022</v>
      </c>
      <c r="X243" s="239">
        <v>1402402</v>
      </c>
      <c r="Y243" s="239">
        <v>0</v>
      </c>
      <c r="Z243" s="239">
        <v>28620</v>
      </c>
      <c r="AA243" s="239">
        <v>2862044</v>
      </c>
      <c r="AB243" s="239">
        <v>-1262351</v>
      </c>
      <c r="AC243" s="239">
        <v>-1237104</v>
      </c>
      <c r="AD243" s="239">
        <v>0</v>
      </c>
      <c r="AE243" s="239">
        <v>-25247</v>
      </c>
      <c r="AF243" s="239">
        <v>-2524702</v>
      </c>
      <c r="AG243" s="239">
        <v>-162114</v>
      </c>
      <c r="AH243" s="239">
        <v>-158872</v>
      </c>
      <c r="AI243" s="239">
        <v>0</v>
      </c>
      <c r="AJ243" s="239">
        <v>-3242</v>
      </c>
      <c r="AK243" s="239">
        <v>-324228</v>
      </c>
      <c r="AL243" s="239">
        <v>168304</v>
      </c>
      <c r="AM243" s="239">
        <v>164938</v>
      </c>
      <c r="AN243" s="239">
        <v>0</v>
      </c>
      <c r="AO243" s="239">
        <v>3366</v>
      </c>
      <c r="AP243" s="239">
        <v>336608</v>
      </c>
      <c r="AQ243" s="239">
        <v>-157750</v>
      </c>
      <c r="AR243" s="239">
        <v>-154595</v>
      </c>
      <c r="AS243" s="239">
        <v>0</v>
      </c>
      <c r="AT243" s="239">
        <v>-3155</v>
      </c>
      <c r="AU243" s="239">
        <v>-315500</v>
      </c>
      <c r="AV243" s="239">
        <v>-151560</v>
      </c>
      <c r="AW243" s="239">
        <v>-148529</v>
      </c>
      <c r="AX243" s="239">
        <v>0</v>
      </c>
      <c r="AY243" s="239">
        <v>-3031</v>
      </c>
      <c r="AZ243" s="239">
        <v>-303120</v>
      </c>
      <c r="BA243" s="239">
        <v>-6948381</v>
      </c>
      <c r="BB243" s="239">
        <v>-6809414</v>
      </c>
      <c r="BC243" s="239">
        <v>0</v>
      </c>
      <c r="BD243" s="239">
        <v>-138968</v>
      </c>
      <c r="BE243" s="239">
        <v>-13896763</v>
      </c>
      <c r="BF243" s="239">
        <v>4225542</v>
      </c>
      <c r="BG243" s="239">
        <v>4141032</v>
      </c>
      <c r="BH243" s="239">
        <v>0</v>
      </c>
      <c r="BI243" s="239">
        <v>84511</v>
      </c>
      <c r="BJ243" s="239">
        <v>8451085</v>
      </c>
      <c r="BK243" s="239">
        <v>-7000431</v>
      </c>
      <c r="BL243" s="239">
        <v>-6860422</v>
      </c>
      <c r="BM243" s="239">
        <v>0</v>
      </c>
      <c r="BN243" s="239">
        <v>-140009</v>
      </c>
      <c r="BO243" s="239">
        <v>-14000862</v>
      </c>
      <c r="BP243" s="239">
        <v>-9723270</v>
      </c>
      <c r="BQ243" s="239">
        <v>-9528804</v>
      </c>
      <c r="BR243" s="239">
        <v>0</v>
      </c>
      <c r="BS243" s="239">
        <v>-194466</v>
      </c>
      <c r="BT243" s="239">
        <v>-19446540</v>
      </c>
      <c r="BU243" s="239">
        <v>-8024000</v>
      </c>
      <c r="BV243" s="239">
        <v>-7863520</v>
      </c>
      <c r="BW243" s="239">
        <v>0</v>
      </c>
      <c r="BX243" s="239">
        <v>-160480</v>
      </c>
      <c r="BY243" s="239">
        <v>-16048000</v>
      </c>
      <c r="BZ243" s="239">
        <v>-984000</v>
      </c>
      <c r="CA243" s="239">
        <v>-964320</v>
      </c>
      <c r="CB243" s="239">
        <v>0</v>
      </c>
      <c r="CC243" s="239">
        <v>-19680</v>
      </c>
      <c r="CD243" s="239">
        <v>-1968000</v>
      </c>
      <c r="CE243" s="239">
        <v>-7040000</v>
      </c>
      <c r="CF243" s="239">
        <v>-6899200</v>
      </c>
      <c r="CG243" s="239">
        <v>0</v>
      </c>
      <c r="CH243" s="239">
        <v>-140800</v>
      </c>
      <c r="CI243" s="239">
        <v>-14080000</v>
      </c>
      <c r="CJ243" s="239">
        <v>68360355</v>
      </c>
      <c r="CK243" s="239">
        <v>66993147</v>
      </c>
      <c r="CL243" s="239">
        <v>0</v>
      </c>
      <c r="CM243" s="239">
        <v>1367207</v>
      </c>
      <c r="CN243" s="239">
        <v>136720709</v>
      </c>
      <c r="CO243" s="239">
        <v>66890978</v>
      </c>
      <c r="CP243" s="239">
        <v>65553158</v>
      </c>
      <c r="CQ243" s="239">
        <v>0</v>
      </c>
      <c r="CR243" s="239">
        <v>1337820</v>
      </c>
      <c r="CS243" s="239">
        <v>133781956</v>
      </c>
      <c r="CT243" s="239">
        <v>-1469377</v>
      </c>
      <c r="CU243" s="239">
        <v>-1439989</v>
      </c>
      <c r="CV243" s="239">
        <v>0</v>
      </c>
      <c r="CW243" s="239">
        <v>-29387</v>
      </c>
      <c r="CX243" s="239">
        <v>-2938753</v>
      </c>
      <c r="CY243" s="239">
        <v>-8509377</v>
      </c>
      <c r="CZ243" s="239">
        <v>-8339189</v>
      </c>
      <c r="DA243" s="239">
        <v>0</v>
      </c>
      <c r="DB243" s="239">
        <v>-170187</v>
      </c>
      <c r="DC243" s="239">
        <v>-17018753</v>
      </c>
      <c r="DD243" s="214">
        <v>0.5</v>
      </c>
      <c r="DE243" s="214">
        <v>0.49</v>
      </c>
      <c r="DF243" s="214">
        <v>0</v>
      </c>
      <c r="DG243" s="214">
        <v>0.01</v>
      </c>
      <c r="DH243" s="214">
        <v>1</v>
      </c>
      <c r="DI243" s="214" t="s">
        <v>748</v>
      </c>
    </row>
    <row r="244" spans="2:113" s="214" customFormat="1" x14ac:dyDescent="0.2">
      <c r="B244" s="610" t="s">
        <v>571</v>
      </c>
      <c r="C244" s="610" t="s">
        <v>570</v>
      </c>
      <c r="D244" s="239">
        <v>2145734</v>
      </c>
      <c r="E244" s="239">
        <v>1716588</v>
      </c>
      <c r="F244" s="239">
        <v>386232</v>
      </c>
      <c r="G244" s="239">
        <v>42915</v>
      </c>
      <c r="H244" s="239">
        <v>4291469</v>
      </c>
      <c r="I244" s="239">
        <v>0</v>
      </c>
      <c r="J244" s="239">
        <v>0</v>
      </c>
      <c r="K244" s="239">
        <v>2145734</v>
      </c>
      <c r="L244" s="239">
        <v>206372</v>
      </c>
      <c r="M244" s="239">
        <v>206372</v>
      </c>
      <c r="N244" s="239">
        <v>0</v>
      </c>
      <c r="O244" s="239">
        <v>0</v>
      </c>
      <c r="P244" s="239">
        <v>0</v>
      </c>
      <c r="Q244" s="239">
        <v>0</v>
      </c>
      <c r="R244" s="239">
        <v>0</v>
      </c>
      <c r="S244" s="239">
        <v>0</v>
      </c>
      <c r="T244" s="239">
        <v>0</v>
      </c>
      <c r="U244" s="239">
        <v>0</v>
      </c>
      <c r="V244" s="239">
        <v>0</v>
      </c>
      <c r="W244" s="239">
        <v>693981</v>
      </c>
      <c r="X244" s="239">
        <v>555184</v>
      </c>
      <c r="Y244" s="239">
        <v>124916</v>
      </c>
      <c r="Z244" s="239">
        <v>13880</v>
      </c>
      <c r="AA244" s="239">
        <v>1387961</v>
      </c>
      <c r="AB244" s="239">
        <v>-157674</v>
      </c>
      <c r="AC244" s="239">
        <v>-126138</v>
      </c>
      <c r="AD244" s="239">
        <v>-28381</v>
      </c>
      <c r="AE244" s="239">
        <v>-3153</v>
      </c>
      <c r="AF244" s="239">
        <v>-315346</v>
      </c>
      <c r="AG244" s="239">
        <v>-220254</v>
      </c>
      <c r="AH244" s="239">
        <v>-176203</v>
      </c>
      <c r="AI244" s="239">
        <v>-39646</v>
      </c>
      <c r="AJ244" s="239">
        <v>-4405</v>
      </c>
      <c r="AK244" s="239">
        <v>-440508</v>
      </c>
      <c r="AL244" s="239">
        <v>170971</v>
      </c>
      <c r="AM244" s="239">
        <v>136776</v>
      </c>
      <c r="AN244" s="239">
        <v>30775</v>
      </c>
      <c r="AO244" s="239">
        <v>3419</v>
      </c>
      <c r="AP244" s="239">
        <v>341941</v>
      </c>
      <c r="AQ244" s="239">
        <v>-133859</v>
      </c>
      <c r="AR244" s="239">
        <v>-107086</v>
      </c>
      <c r="AS244" s="239">
        <v>-24094</v>
      </c>
      <c r="AT244" s="239">
        <v>-2677</v>
      </c>
      <c r="AU244" s="239">
        <v>-267716</v>
      </c>
      <c r="AV244" s="239">
        <v>-183142</v>
      </c>
      <c r="AW244" s="239">
        <v>-146513</v>
      </c>
      <c r="AX244" s="239">
        <v>-32965</v>
      </c>
      <c r="AY244" s="239">
        <v>-3663</v>
      </c>
      <c r="AZ244" s="239">
        <v>-366283</v>
      </c>
      <c r="BA244" s="239">
        <v>-1164580</v>
      </c>
      <c r="BB244" s="239">
        <v>-931664</v>
      </c>
      <c r="BC244" s="239">
        <v>-209625</v>
      </c>
      <c r="BD244" s="239">
        <v>-23292</v>
      </c>
      <c r="BE244" s="239">
        <v>-2329161</v>
      </c>
      <c r="BF244" s="239">
        <v>85569</v>
      </c>
      <c r="BG244" s="239">
        <v>68456</v>
      </c>
      <c r="BH244" s="239">
        <v>15403</v>
      </c>
      <c r="BI244" s="239">
        <v>1711</v>
      </c>
      <c r="BJ244" s="239">
        <v>171139</v>
      </c>
      <c r="BK244" s="239">
        <v>-13436619</v>
      </c>
      <c r="BL244" s="239">
        <v>-10749296</v>
      </c>
      <c r="BM244" s="239">
        <v>-2418592</v>
      </c>
      <c r="BN244" s="239">
        <v>-268732</v>
      </c>
      <c r="BO244" s="239">
        <v>-26873239</v>
      </c>
      <c r="BP244" s="239">
        <v>-14515630</v>
      </c>
      <c r="BQ244" s="239">
        <v>-11612504</v>
      </c>
      <c r="BR244" s="239">
        <v>-2612814</v>
      </c>
      <c r="BS244" s="239">
        <v>-290313</v>
      </c>
      <c r="BT244" s="239">
        <v>-29031261</v>
      </c>
      <c r="BU244" s="239">
        <v>-217543</v>
      </c>
      <c r="BV244" s="239">
        <v>-174035</v>
      </c>
      <c r="BW244" s="239">
        <v>-39158</v>
      </c>
      <c r="BX244" s="239">
        <v>-4351</v>
      </c>
      <c r="BY244" s="239">
        <v>-435087</v>
      </c>
      <c r="BZ244" s="239">
        <v>-133511</v>
      </c>
      <c r="CA244" s="239">
        <v>-106809</v>
      </c>
      <c r="CB244" s="239">
        <v>-24032</v>
      </c>
      <c r="CC244" s="239">
        <v>-2670</v>
      </c>
      <c r="CD244" s="239">
        <v>-267022</v>
      </c>
      <c r="CE244" s="239">
        <v>-84032</v>
      </c>
      <c r="CF244" s="239">
        <v>-67226</v>
      </c>
      <c r="CG244" s="239">
        <v>-15126</v>
      </c>
      <c r="CH244" s="239">
        <v>-1681</v>
      </c>
      <c r="CI244" s="239">
        <v>-168065</v>
      </c>
      <c r="CJ244" s="239">
        <v>15101347</v>
      </c>
      <c r="CK244" s="239">
        <v>12081078</v>
      </c>
      <c r="CL244" s="239">
        <v>2718242</v>
      </c>
      <c r="CM244" s="239">
        <v>302027</v>
      </c>
      <c r="CN244" s="239">
        <v>30202694</v>
      </c>
      <c r="CO244" s="239">
        <v>2145734</v>
      </c>
      <c r="CP244" s="239">
        <v>1716588</v>
      </c>
      <c r="CQ244" s="239">
        <v>386232</v>
      </c>
      <c r="CR244" s="239">
        <v>42915</v>
      </c>
      <c r="CS244" s="239">
        <v>4291469</v>
      </c>
      <c r="CT244" s="239">
        <v>-12955613</v>
      </c>
      <c r="CU244" s="239">
        <v>-10364490</v>
      </c>
      <c r="CV244" s="239">
        <v>-2332010</v>
      </c>
      <c r="CW244" s="239">
        <v>-259112</v>
      </c>
      <c r="CX244" s="239">
        <v>-25911225</v>
      </c>
      <c r="CY244" s="239">
        <v>-13039645</v>
      </c>
      <c r="CZ244" s="239">
        <v>-10431716</v>
      </c>
      <c r="DA244" s="239">
        <v>-2347136</v>
      </c>
      <c r="DB244" s="239">
        <v>-260793</v>
      </c>
      <c r="DC244" s="239">
        <v>-26079290</v>
      </c>
      <c r="DD244" s="214">
        <v>0.5</v>
      </c>
      <c r="DE244" s="214">
        <v>0.4</v>
      </c>
      <c r="DF244" s="214">
        <v>0.09</v>
      </c>
      <c r="DG244" s="214">
        <v>0.01</v>
      </c>
      <c r="DH244" s="214">
        <v>1</v>
      </c>
      <c r="DI244" s="214" t="s">
        <v>1294</v>
      </c>
    </row>
    <row r="245" spans="2:113" s="214" customFormat="1" x14ac:dyDescent="0.2">
      <c r="B245" s="610" t="s">
        <v>573</v>
      </c>
      <c r="C245" s="610" t="s">
        <v>572</v>
      </c>
      <c r="D245" s="239">
        <v>12877037</v>
      </c>
      <c r="E245" s="239">
        <v>10301630</v>
      </c>
      <c r="F245" s="239">
        <v>2575407</v>
      </c>
      <c r="G245" s="239">
        <v>0</v>
      </c>
      <c r="H245" s="239">
        <v>25754074</v>
      </c>
      <c r="I245" s="239">
        <v>0</v>
      </c>
      <c r="J245" s="239">
        <v>0</v>
      </c>
      <c r="K245" s="239">
        <v>12877037</v>
      </c>
      <c r="L245" s="239">
        <v>112559</v>
      </c>
      <c r="M245" s="239">
        <v>112559</v>
      </c>
      <c r="N245" s="239">
        <v>0</v>
      </c>
      <c r="O245" s="239">
        <v>0</v>
      </c>
      <c r="P245" s="239">
        <v>207060</v>
      </c>
      <c r="Q245" s="239">
        <v>0</v>
      </c>
      <c r="R245" s="239">
        <v>207060</v>
      </c>
      <c r="S245" s="239">
        <v>0</v>
      </c>
      <c r="T245" s="239">
        <v>0</v>
      </c>
      <c r="U245" s="239">
        <v>0</v>
      </c>
      <c r="V245" s="239">
        <v>0</v>
      </c>
      <c r="W245" s="239">
        <v>400179</v>
      </c>
      <c r="X245" s="239">
        <v>320144</v>
      </c>
      <c r="Y245" s="239">
        <v>80036</v>
      </c>
      <c r="Z245" s="239">
        <v>0</v>
      </c>
      <c r="AA245" s="239">
        <v>800359</v>
      </c>
      <c r="AB245" s="239">
        <v>-423962</v>
      </c>
      <c r="AC245" s="239">
        <v>-339169</v>
      </c>
      <c r="AD245" s="239">
        <v>-84792</v>
      </c>
      <c r="AE245" s="239">
        <v>0</v>
      </c>
      <c r="AF245" s="239">
        <v>-847923</v>
      </c>
      <c r="AG245" s="239">
        <v>-151500</v>
      </c>
      <c r="AH245" s="239">
        <v>-121200</v>
      </c>
      <c r="AI245" s="239">
        <v>-30299</v>
      </c>
      <c r="AJ245" s="239">
        <v>0</v>
      </c>
      <c r="AK245" s="239">
        <v>-302999</v>
      </c>
      <c r="AL245" s="239">
        <v>-27444</v>
      </c>
      <c r="AM245" s="239">
        <v>-21955</v>
      </c>
      <c r="AN245" s="239">
        <v>-5489</v>
      </c>
      <c r="AO245" s="239">
        <v>0</v>
      </c>
      <c r="AP245" s="239">
        <v>-54888</v>
      </c>
      <c r="AQ245" s="239">
        <v>-15056</v>
      </c>
      <c r="AR245" s="239">
        <v>-12045</v>
      </c>
      <c r="AS245" s="239">
        <v>-3011</v>
      </c>
      <c r="AT245" s="239">
        <v>0</v>
      </c>
      <c r="AU245" s="239">
        <v>-30112</v>
      </c>
      <c r="AV245" s="239">
        <v>-194000</v>
      </c>
      <c r="AW245" s="239">
        <v>-155200</v>
      </c>
      <c r="AX245" s="239">
        <v>-38799</v>
      </c>
      <c r="AY245" s="239">
        <v>0</v>
      </c>
      <c r="AZ245" s="239">
        <v>-387999</v>
      </c>
      <c r="BA245" s="239">
        <v>-2139531</v>
      </c>
      <c r="BB245" s="239">
        <v>-1711626</v>
      </c>
      <c r="BC245" s="239">
        <v>-427906</v>
      </c>
      <c r="BD245" s="239">
        <v>0</v>
      </c>
      <c r="BE245" s="239">
        <v>-4279063</v>
      </c>
      <c r="BF245" s="239">
        <v>203983</v>
      </c>
      <c r="BG245" s="239">
        <v>163187</v>
      </c>
      <c r="BH245" s="239">
        <v>40797</v>
      </c>
      <c r="BI245" s="239">
        <v>0</v>
      </c>
      <c r="BJ245" s="239">
        <v>407967</v>
      </c>
      <c r="BK245" s="239">
        <v>-167197</v>
      </c>
      <c r="BL245" s="239">
        <v>-133758</v>
      </c>
      <c r="BM245" s="239">
        <v>-33440</v>
      </c>
      <c r="BN245" s="239">
        <v>0</v>
      </c>
      <c r="BO245" s="239">
        <v>-334395</v>
      </c>
      <c r="BP245" s="239">
        <v>-2102745</v>
      </c>
      <c r="BQ245" s="239">
        <v>-1682197</v>
      </c>
      <c r="BR245" s="239">
        <v>-420549</v>
      </c>
      <c r="BS245" s="239">
        <v>0</v>
      </c>
      <c r="BT245" s="239">
        <v>-4205491</v>
      </c>
      <c r="BU245" s="239">
        <v>-1079871</v>
      </c>
      <c r="BV245" s="239">
        <v>-863896</v>
      </c>
      <c r="BW245" s="239">
        <v>-215974</v>
      </c>
      <c r="BX245" s="239">
        <v>0</v>
      </c>
      <c r="BY245" s="239">
        <v>-2159741</v>
      </c>
      <c r="BZ245" s="239">
        <v>-340471</v>
      </c>
      <c r="CA245" s="239">
        <v>-272376</v>
      </c>
      <c r="CB245" s="239">
        <v>-68094</v>
      </c>
      <c r="CC245" s="239">
        <v>0</v>
      </c>
      <c r="CD245" s="239">
        <v>-680941</v>
      </c>
      <c r="CE245" s="239">
        <v>-739400</v>
      </c>
      <c r="CF245" s="239">
        <v>-591520</v>
      </c>
      <c r="CG245" s="239">
        <v>-147880</v>
      </c>
      <c r="CH245" s="239">
        <v>0</v>
      </c>
      <c r="CI245" s="239">
        <v>-1478800</v>
      </c>
      <c r="CJ245" s="239">
        <v>13210151</v>
      </c>
      <c r="CK245" s="239">
        <v>10568121</v>
      </c>
      <c r="CL245" s="239">
        <v>2642030</v>
      </c>
      <c r="CM245" s="239">
        <v>0</v>
      </c>
      <c r="CN245" s="239">
        <v>26420302</v>
      </c>
      <c r="CO245" s="239">
        <v>12877037</v>
      </c>
      <c r="CP245" s="239">
        <v>10301630</v>
      </c>
      <c r="CQ245" s="239">
        <v>2575407</v>
      </c>
      <c r="CR245" s="239">
        <v>0</v>
      </c>
      <c r="CS245" s="239">
        <v>25754074</v>
      </c>
      <c r="CT245" s="239">
        <v>-333114</v>
      </c>
      <c r="CU245" s="239">
        <v>-266491</v>
      </c>
      <c r="CV245" s="239">
        <v>-66623</v>
      </c>
      <c r="CW245" s="239">
        <v>0</v>
      </c>
      <c r="CX245" s="239">
        <v>-666228</v>
      </c>
      <c r="CY245" s="239">
        <v>-1072514</v>
      </c>
      <c r="CZ245" s="239">
        <v>-858011</v>
      </c>
      <c r="DA245" s="239">
        <v>-214503</v>
      </c>
      <c r="DB245" s="239">
        <v>0</v>
      </c>
      <c r="DC245" s="239">
        <v>-2145028</v>
      </c>
      <c r="DD245" s="214">
        <v>0.5</v>
      </c>
      <c r="DE245" s="214">
        <v>0.4</v>
      </c>
      <c r="DF245" s="214">
        <v>0.1</v>
      </c>
      <c r="DG245" s="214">
        <v>0</v>
      </c>
      <c r="DH245" s="214">
        <v>1</v>
      </c>
      <c r="DI245" s="214" t="s">
        <v>1294</v>
      </c>
    </row>
    <row r="246" spans="2:113" s="214" customFormat="1" x14ac:dyDescent="0.2">
      <c r="B246" s="610" t="s">
        <v>575</v>
      </c>
      <c r="C246" s="610" t="s">
        <v>574</v>
      </c>
      <c r="D246" s="239">
        <v>18553024</v>
      </c>
      <c r="E246" s="239">
        <v>14842419</v>
      </c>
      <c r="F246" s="239">
        <v>3710605</v>
      </c>
      <c r="G246" s="239">
        <v>0</v>
      </c>
      <c r="H246" s="239">
        <v>37106048</v>
      </c>
      <c r="I246" s="239">
        <v>0</v>
      </c>
      <c r="J246" s="239">
        <v>0</v>
      </c>
      <c r="K246" s="239">
        <v>18553024</v>
      </c>
      <c r="L246" s="239">
        <v>195558</v>
      </c>
      <c r="M246" s="239">
        <v>195558</v>
      </c>
      <c r="N246" s="239">
        <v>0</v>
      </c>
      <c r="O246" s="239">
        <v>0</v>
      </c>
      <c r="P246" s="239">
        <v>43334</v>
      </c>
      <c r="Q246" s="239">
        <v>0</v>
      </c>
      <c r="R246" s="239">
        <v>43334</v>
      </c>
      <c r="S246" s="239">
        <v>0</v>
      </c>
      <c r="T246" s="239">
        <v>0</v>
      </c>
      <c r="U246" s="239">
        <v>0</v>
      </c>
      <c r="V246" s="239">
        <v>0</v>
      </c>
      <c r="W246" s="239">
        <v>588655</v>
      </c>
      <c r="X246" s="239">
        <v>470924</v>
      </c>
      <c r="Y246" s="239">
        <v>117731</v>
      </c>
      <c r="Z246" s="239">
        <v>0</v>
      </c>
      <c r="AA246" s="239">
        <v>1177310</v>
      </c>
      <c r="AB246" s="239">
        <v>-582842</v>
      </c>
      <c r="AC246" s="239">
        <v>-466274</v>
      </c>
      <c r="AD246" s="239">
        <v>-116569</v>
      </c>
      <c r="AE246" s="239">
        <v>0</v>
      </c>
      <c r="AF246" s="239">
        <v>-1165685</v>
      </c>
      <c r="AG246" s="239">
        <v>-225000</v>
      </c>
      <c r="AH246" s="239">
        <v>-180000</v>
      </c>
      <c r="AI246" s="239">
        <v>-45000</v>
      </c>
      <c r="AJ246" s="239">
        <v>0</v>
      </c>
      <c r="AK246" s="239">
        <v>-450000</v>
      </c>
      <c r="AL246" s="239">
        <v>0</v>
      </c>
      <c r="AM246" s="239">
        <v>0</v>
      </c>
      <c r="AN246" s="239">
        <v>0</v>
      </c>
      <c r="AO246" s="239">
        <v>0</v>
      </c>
      <c r="AP246" s="239">
        <v>0</v>
      </c>
      <c r="AQ246" s="239">
        <v>-62500</v>
      </c>
      <c r="AR246" s="239">
        <v>-50000</v>
      </c>
      <c r="AS246" s="239">
        <v>-12500</v>
      </c>
      <c r="AT246" s="239">
        <v>0</v>
      </c>
      <c r="AU246" s="239">
        <v>-125000</v>
      </c>
      <c r="AV246" s="239">
        <v>-287500</v>
      </c>
      <c r="AW246" s="239">
        <v>-230000</v>
      </c>
      <c r="AX246" s="239">
        <v>-57500</v>
      </c>
      <c r="AY246" s="239">
        <v>0</v>
      </c>
      <c r="AZ246" s="239">
        <v>-575000</v>
      </c>
      <c r="BA246" s="239">
        <v>-967165</v>
      </c>
      <c r="BB246" s="239">
        <v>-773732</v>
      </c>
      <c r="BC246" s="239">
        <v>-193433</v>
      </c>
      <c r="BD246" s="239">
        <v>0</v>
      </c>
      <c r="BE246" s="239">
        <v>-1934330</v>
      </c>
      <c r="BF246" s="239">
        <v>300190</v>
      </c>
      <c r="BG246" s="239">
        <v>240152</v>
      </c>
      <c r="BH246" s="239">
        <v>60038</v>
      </c>
      <c r="BI246" s="239">
        <v>0</v>
      </c>
      <c r="BJ246" s="239">
        <v>600380</v>
      </c>
      <c r="BK246" s="239">
        <v>-563277</v>
      </c>
      <c r="BL246" s="239">
        <v>-450622</v>
      </c>
      <c r="BM246" s="239">
        <v>-112656</v>
      </c>
      <c r="BN246" s="239">
        <v>0</v>
      </c>
      <c r="BO246" s="239">
        <v>-1126555</v>
      </c>
      <c r="BP246" s="239">
        <v>-1230252</v>
      </c>
      <c r="BQ246" s="239">
        <v>-984202</v>
      </c>
      <c r="BR246" s="239">
        <v>-246051</v>
      </c>
      <c r="BS246" s="239">
        <v>0</v>
      </c>
      <c r="BT246" s="239">
        <v>-2460505</v>
      </c>
      <c r="BU246" s="239">
        <v>-1070078</v>
      </c>
      <c r="BV246" s="239">
        <v>-856063</v>
      </c>
      <c r="BW246" s="239">
        <v>-214016</v>
      </c>
      <c r="BX246" s="239">
        <v>0</v>
      </c>
      <c r="BY246" s="239">
        <v>-2140157</v>
      </c>
      <c r="BZ246" s="239">
        <v>-389668</v>
      </c>
      <c r="CA246" s="239">
        <v>-311735</v>
      </c>
      <c r="CB246" s="239">
        <v>-77934</v>
      </c>
      <c r="CC246" s="239">
        <v>0</v>
      </c>
      <c r="CD246" s="239">
        <v>-779337</v>
      </c>
      <c r="CE246" s="239">
        <v>-680410</v>
      </c>
      <c r="CF246" s="239">
        <v>-544328</v>
      </c>
      <c r="CG246" s="239">
        <v>-136082</v>
      </c>
      <c r="CH246" s="239">
        <v>0</v>
      </c>
      <c r="CI246" s="239">
        <v>-1360820</v>
      </c>
      <c r="CJ246" s="239">
        <v>19900883</v>
      </c>
      <c r="CK246" s="239">
        <v>15920706</v>
      </c>
      <c r="CL246" s="239">
        <v>3980177</v>
      </c>
      <c r="CM246" s="239">
        <v>0</v>
      </c>
      <c r="CN246" s="239">
        <v>39801766</v>
      </c>
      <c r="CO246" s="239">
        <v>18553024</v>
      </c>
      <c r="CP246" s="239">
        <v>14842419</v>
      </c>
      <c r="CQ246" s="239">
        <v>3710605</v>
      </c>
      <c r="CR246" s="239">
        <v>0</v>
      </c>
      <c r="CS246" s="239">
        <v>37106048</v>
      </c>
      <c r="CT246" s="239">
        <v>-1347859</v>
      </c>
      <c r="CU246" s="239">
        <v>-1078287</v>
      </c>
      <c r="CV246" s="239">
        <v>-269572</v>
      </c>
      <c r="CW246" s="239">
        <v>0</v>
      </c>
      <c r="CX246" s="239">
        <v>-2695718</v>
      </c>
      <c r="CY246" s="239">
        <v>-2028269</v>
      </c>
      <c r="CZ246" s="239">
        <v>-1622615</v>
      </c>
      <c r="DA246" s="239">
        <v>-405654</v>
      </c>
      <c r="DB246" s="239">
        <v>0</v>
      </c>
      <c r="DC246" s="239">
        <v>-4056538</v>
      </c>
      <c r="DD246" s="214">
        <v>0.5</v>
      </c>
      <c r="DE246" s="214">
        <v>0.4</v>
      </c>
      <c r="DF246" s="214">
        <v>0.1</v>
      </c>
      <c r="DG246" s="214">
        <v>0</v>
      </c>
      <c r="DH246" s="214">
        <v>1</v>
      </c>
      <c r="DI246" s="214" t="s">
        <v>1294</v>
      </c>
    </row>
    <row r="247" spans="2:113" s="214" customFormat="1" x14ac:dyDescent="0.2">
      <c r="B247" s="610" t="s">
        <v>577</v>
      </c>
      <c r="C247" s="610" t="s">
        <v>576</v>
      </c>
      <c r="D247" s="239">
        <v>19821391</v>
      </c>
      <c r="E247" s="239">
        <v>15857112</v>
      </c>
      <c r="F247" s="239">
        <v>3964278</v>
      </c>
      <c r="G247" s="239">
        <v>0</v>
      </c>
      <c r="H247" s="239">
        <v>39642781</v>
      </c>
      <c r="I247" s="239">
        <v>0</v>
      </c>
      <c r="J247" s="239">
        <v>0</v>
      </c>
      <c r="K247" s="239">
        <v>19821391</v>
      </c>
      <c r="L247" s="239">
        <v>299546</v>
      </c>
      <c r="M247" s="239">
        <v>299546</v>
      </c>
      <c r="N247" s="239">
        <v>0</v>
      </c>
      <c r="O247" s="239">
        <v>0</v>
      </c>
      <c r="P247" s="239">
        <v>0</v>
      </c>
      <c r="Q247" s="239">
        <v>0</v>
      </c>
      <c r="R247" s="239">
        <v>0</v>
      </c>
      <c r="S247" s="239">
        <v>0</v>
      </c>
      <c r="T247" s="239">
        <v>0</v>
      </c>
      <c r="U247" s="239">
        <v>0</v>
      </c>
      <c r="V247" s="239">
        <v>0</v>
      </c>
      <c r="W247" s="239">
        <v>789192</v>
      </c>
      <c r="X247" s="239">
        <v>631353</v>
      </c>
      <c r="Y247" s="239">
        <v>157838</v>
      </c>
      <c r="Z247" s="239">
        <v>0</v>
      </c>
      <c r="AA247" s="239">
        <v>1578383</v>
      </c>
      <c r="AB247" s="239">
        <v>-263759</v>
      </c>
      <c r="AC247" s="239">
        <v>-211008</v>
      </c>
      <c r="AD247" s="239">
        <v>-52752</v>
      </c>
      <c r="AE247" s="239">
        <v>0</v>
      </c>
      <c r="AF247" s="239">
        <v>-527519</v>
      </c>
      <c r="AG247" s="239">
        <v>-393715.86</v>
      </c>
      <c r="AH247" s="239">
        <v>-314973</v>
      </c>
      <c r="AI247" s="239">
        <v>-78743</v>
      </c>
      <c r="AJ247" s="239">
        <v>0</v>
      </c>
      <c r="AK247" s="239">
        <v>-787431.86</v>
      </c>
      <c r="AL247" s="239">
        <v>123053</v>
      </c>
      <c r="AM247" s="239">
        <v>98442</v>
      </c>
      <c r="AN247" s="239">
        <v>24611</v>
      </c>
      <c r="AO247" s="239">
        <v>0</v>
      </c>
      <c r="AP247" s="239">
        <v>246106</v>
      </c>
      <c r="AQ247" s="239">
        <v>-116066</v>
      </c>
      <c r="AR247" s="239">
        <v>-92853</v>
      </c>
      <c r="AS247" s="239">
        <v>-23213</v>
      </c>
      <c r="AT247" s="239">
        <v>0</v>
      </c>
      <c r="AU247" s="239">
        <v>-232132</v>
      </c>
      <c r="AV247" s="239">
        <v>-386728.86</v>
      </c>
      <c r="AW247" s="239">
        <v>-309384</v>
      </c>
      <c r="AX247" s="239">
        <v>-77345</v>
      </c>
      <c r="AY247" s="239">
        <v>0</v>
      </c>
      <c r="AZ247" s="239">
        <v>-773457.86</v>
      </c>
      <c r="BA247" s="239">
        <v>-1063500</v>
      </c>
      <c r="BB247" s="239">
        <v>-850800</v>
      </c>
      <c r="BC247" s="239">
        <v>-212700</v>
      </c>
      <c r="BD247" s="239">
        <v>0</v>
      </c>
      <c r="BE247" s="239">
        <v>-2127000</v>
      </c>
      <c r="BF247" s="239">
        <v>256000</v>
      </c>
      <c r="BG247" s="239">
        <v>204800</v>
      </c>
      <c r="BH247" s="239">
        <v>51200</v>
      </c>
      <c r="BI247" s="239">
        <v>0</v>
      </c>
      <c r="BJ247" s="239">
        <v>512000</v>
      </c>
      <c r="BK247" s="239">
        <v>-83000</v>
      </c>
      <c r="BL247" s="239">
        <v>-66400</v>
      </c>
      <c r="BM247" s="239">
        <v>-16600</v>
      </c>
      <c r="BN247" s="239">
        <v>0</v>
      </c>
      <c r="BO247" s="239">
        <v>-166000</v>
      </c>
      <c r="BP247" s="239">
        <v>-890500</v>
      </c>
      <c r="BQ247" s="239">
        <v>-712400</v>
      </c>
      <c r="BR247" s="239">
        <v>-178100</v>
      </c>
      <c r="BS247" s="239">
        <v>0</v>
      </c>
      <c r="BT247" s="239">
        <v>-1781000</v>
      </c>
      <c r="BU247" s="239">
        <v>-807265</v>
      </c>
      <c r="BV247" s="239">
        <v>-645812</v>
      </c>
      <c r="BW247" s="239">
        <v>-161453</v>
      </c>
      <c r="BX247" s="239">
        <v>0</v>
      </c>
      <c r="BY247" s="239">
        <v>-1614530</v>
      </c>
      <c r="BZ247" s="239">
        <v>-152412</v>
      </c>
      <c r="CA247" s="239">
        <v>-121930</v>
      </c>
      <c r="CB247" s="239">
        <v>-30482</v>
      </c>
      <c r="CC247" s="239">
        <v>0</v>
      </c>
      <c r="CD247" s="239">
        <v>-304824</v>
      </c>
      <c r="CE247" s="239">
        <v>-654853</v>
      </c>
      <c r="CF247" s="239">
        <v>-523882</v>
      </c>
      <c r="CG247" s="239">
        <v>-130971</v>
      </c>
      <c r="CH247" s="239">
        <v>0</v>
      </c>
      <c r="CI247" s="239">
        <v>-1309706</v>
      </c>
      <c r="CJ247" s="239">
        <v>20275327</v>
      </c>
      <c r="CK247" s="239">
        <v>16220262</v>
      </c>
      <c r="CL247" s="239">
        <v>4055066</v>
      </c>
      <c r="CM247" s="239">
        <v>0</v>
      </c>
      <c r="CN247" s="239">
        <v>40550655</v>
      </c>
      <c r="CO247" s="239">
        <v>19821391</v>
      </c>
      <c r="CP247" s="239">
        <v>15857112</v>
      </c>
      <c r="CQ247" s="239">
        <v>3964278</v>
      </c>
      <c r="CR247" s="239">
        <v>0</v>
      </c>
      <c r="CS247" s="239">
        <v>39642781</v>
      </c>
      <c r="CT247" s="239">
        <v>-453936</v>
      </c>
      <c r="CU247" s="239">
        <v>-363150</v>
      </c>
      <c r="CV247" s="239">
        <v>-90788</v>
      </c>
      <c r="CW247" s="239">
        <v>0</v>
      </c>
      <c r="CX247" s="239">
        <v>-907874</v>
      </c>
      <c r="CY247" s="239">
        <v>-1108789</v>
      </c>
      <c r="CZ247" s="239">
        <v>-887032</v>
      </c>
      <c r="DA247" s="239">
        <v>-221759</v>
      </c>
      <c r="DB247" s="239">
        <v>0</v>
      </c>
      <c r="DC247" s="239">
        <v>-2217580</v>
      </c>
      <c r="DD247" s="214">
        <v>0.5</v>
      </c>
      <c r="DE247" s="214">
        <v>0.4</v>
      </c>
      <c r="DF247" s="214">
        <v>0.1</v>
      </c>
      <c r="DG247" s="214">
        <v>0</v>
      </c>
      <c r="DH247" s="214">
        <v>1</v>
      </c>
      <c r="DI247" s="214" t="s">
        <v>1294</v>
      </c>
    </row>
    <row r="248" spans="2:113" s="214" customFormat="1" x14ac:dyDescent="0.2">
      <c r="B248" s="610" t="s">
        <v>579</v>
      </c>
      <c r="C248" s="610" t="s">
        <v>578</v>
      </c>
      <c r="D248" s="239">
        <v>13858556</v>
      </c>
      <c r="E248" s="239">
        <v>11086845</v>
      </c>
      <c r="F248" s="239">
        <v>2771711</v>
      </c>
      <c r="G248" s="239">
        <v>0</v>
      </c>
      <c r="H248" s="239">
        <v>27717112</v>
      </c>
      <c r="I248" s="239">
        <v>0</v>
      </c>
      <c r="J248" s="239">
        <v>0</v>
      </c>
      <c r="K248" s="239">
        <v>13858556</v>
      </c>
      <c r="L248" s="239">
        <v>159148</v>
      </c>
      <c r="M248" s="239">
        <v>159148</v>
      </c>
      <c r="N248" s="239">
        <v>0</v>
      </c>
      <c r="O248" s="239">
        <v>0</v>
      </c>
      <c r="P248" s="239">
        <v>90480</v>
      </c>
      <c r="Q248" s="239">
        <v>0</v>
      </c>
      <c r="R248" s="239">
        <v>90480</v>
      </c>
      <c r="S248" s="239">
        <v>0</v>
      </c>
      <c r="T248" s="239">
        <v>0</v>
      </c>
      <c r="U248" s="239">
        <v>0</v>
      </c>
      <c r="V248" s="239">
        <v>0</v>
      </c>
      <c r="W248" s="239">
        <v>761342</v>
      </c>
      <c r="X248" s="239">
        <v>609074</v>
      </c>
      <c r="Y248" s="239">
        <v>152269</v>
      </c>
      <c r="Z248" s="239">
        <v>0</v>
      </c>
      <c r="AA248" s="239">
        <v>1522685</v>
      </c>
      <c r="AB248" s="239">
        <v>-196449</v>
      </c>
      <c r="AC248" s="239">
        <v>-157159</v>
      </c>
      <c r="AD248" s="239">
        <v>-39290</v>
      </c>
      <c r="AE248" s="239">
        <v>0</v>
      </c>
      <c r="AF248" s="239">
        <v>-392898</v>
      </c>
      <c r="AG248" s="239">
        <v>-128236</v>
      </c>
      <c r="AH248" s="239">
        <v>-102590</v>
      </c>
      <c r="AI248" s="239">
        <v>-25649</v>
      </c>
      <c r="AJ248" s="239">
        <v>0</v>
      </c>
      <c r="AK248" s="239">
        <v>-256475</v>
      </c>
      <c r="AL248" s="239">
        <v>9462</v>
      </c>
      <c r="AM248" s="239">
        <v>7570</v>
      </c>
      <c r="AN248" s="239">
        <v>1893</v>
      </c>
      <c r="AO248" s="239">
        <v>0</v>
      </c>
      <c r="AP248" s="239">
        <v>18925</v>
      </c>
      <c r="AQ248" s="239">
        <v>-42672</v>
      </c>
      <c r="AR248" s="239">
        <v>-34138</v>
      </c>
      <c r="AS248" s="239">
        <v>-8534</v>
      </c>
      <c r="AT248" s="239">
        <v>0</v>
      </c>
      <c r="AU248" s="239">
        <v>-85344</v>
      </c>
      <c r="AV248" s="239">
        <v>-161446</v>
      </c>
      <c r="AW248" s="239">
        <v>-129158</v>
      </c>
      <c r="AX248" s="239">
        <v>-32290</v>
      </c>
      <c r="AY248" s="239">
        <v>0</v>
      </c>
      <c r="AZ248" s="239">
        <v>-322894</v>
      </c>
      <c r="BA248" s="239">
        <v>-259041</v>
      </c>
      <c r="BB248" s="239">
        <v>-207233</v>
      </c>
      <c r="BC248" s="239">
        <v>-51808</v>
      </c>
      <c r="BD248" s="239">
        <v>0</v>
      </c>
      <c r="BE248" s="239">
        <v>-518082</v>
      </c>
      <c r="BF248" s="239">
        <v>0</v>
      </c>
      <c r="BG248" s="239">
        <v>0</v>
      </c>
      <c r="BH248" s="239">
        <v>0</v>
      </c>
      <c r="BI248" s="239">
        <v>0</v>
      </c>
      <c r="BJ248" s="239">
        <v>0</v>
      </c>
      <c r="BK248" s="239">
        <v>-979931</v>
      </c>
      <c r="BL248" s="239">
        <v>-783944</v>
      </c>
      <c r="BM248" s="239">
        <v>-195986</v>
      </c>
      <c r="BN248" s="239">
        <v>0</v>
      </c>
      <c r="BO248" s="239">
        <v>-1959861</v>
      </c>
      <c r="BP248" s="239">
        <v>-1238972</v>
      </c>
      <c r="BQ248" s="239">
        <v>-991177</v>
      </c>
      <c r="BR248" s="239">
        <v>-247794</v>
      </c>
      <c r="BS248" s="239">
        <v>0</v>
      </c>
      <c r="BT248" s="239">
        <v>-2477943</v>
      </c>
      <c r="BU248" s="239">
        <v>-751608</v>
      </c>
      <c r="BV248" s="239">
        <v>-601287</v>
      </c>
      <c r="BW248" s="239">
        <v>-150322</v>
      </c>
      <c r="BX248" s="239">
        <v>0</v>
      </c>
      <c r="BY248" s="239">
        <v>-1503217</v>
      </c>
      <c r="BZ248" s="239">
        <v>-727377</v>
      </c>
      <c r="CA248" s="239">
        <v>-581902</v>
      </c>
      <c r="CB248" s="239">
        <v>-145475</v>
      </c>
      <c r="CC248" s="239">
        <v>0</v>
      </c>
      <c r="CD248" s="239">
        <v>-1454754</v>
      </c>
      <c r="CE248" s="239">
        <v>-24231</v>
      </c>
      <c r="CF248" s="239">
        <v>-19385</v>
      </c>
      <c r="CG248" s="239">
        <v>-4847</v>
      </c>
      <c r="CH248" s="239">
        <v>0</v>
      </c>
      <c r="CI248" s="239">
        <v>-48463</v>
      </c>
      <c r="CJ248" s="239">
        <v>14933238</v>
      </c>
      <c r="CK248" s="239">
        <v>11946590</v>
      </c>
      <c r="CL248" s="239">
        <v>2986648</v>
      </c>
      <c r="CM248" s="239">
        <v>0</v>
      </c>
      <c r="CN248" s="239">
        <v>29866476</v>
      </c>
      <c r="CO248" s="239">
        <v>13858556</v>
      </c>
      <c r="CP248" s="239">
        <v>11086845</v>
      </c>
      <c r="CQ248" s="239">
        <v>2771711</v>
      </c>
      <c r="CR248" s="239">
        <v>0</v>
      </c>
      <c r="CS248" s="239">
        <v>27717112</v>
      </c>
      <c r="CT248" s="239">
        <v>-1074682</v>
      </c>
      <c r="CU248" s="239">
        <v>-859745</v>
      </c>
      <c r="CV248" s="239">
        <v>-214937</v>
      </c>
      <c r="CW248" s="239">
        <v>0</v>
      </c>
      <c r="CX248" s="239">
        <v>-2149364</v>
      </c>
      <c r="CY248" s="239">
        <v>-1098913</v>
      </c>
      <c r="CZ248" s="239">
        <v>-879130</v>
      </c>
      <c r="DA248" s="239">
        <v>-219784</v>
      </c>
      <c r="DB248" s="239">
        <v>0</v>
      </c>
      <c r="DC248" s="239">
        <v>-2197827</v>
      </c>
      <c r="DD248" s="214">
        <v>0.5</v>
      </c>
      <c r="DE248" s="214">
        <v>0.4</v>
      </c>
      <c r="DF248" s="214">
        <v>0.1</v>
      </c>
      <c r="DG248" s="214">
        <v>0</v>
      </c>
      <c r="DH248" s="214">
        <v>1</v>
      </c>
      <c r="DI248" s="214" t="s">
        <v>1294</v>
      </c>
    </row>
    <row r="249" spans="2:113" s="214" customFormat="1" x14ac:dyDescent="0.2">
      <c r="B249" s="610" t="s">
        <v>581</v>
      </c>
      <c r="C249" s="610" t="s">
        <v>580</v>
      </c>
      <c r="D249" s="239">
        <v>10311669</v>
      </c>
      <c r="E249" s="239">
        <v>8249336</v>
      </c>
      <c r="F249" s="239">
        <v>2062334</v>
      </c>
      <c r="G249" s="239">
        <v>0</v>
      </c>
      <c r="H249" s="239">
        <v>20623339</v>
      </c>
      <c r="I249" s="239">
        <v>0</v>
      </c>
      <c r="J249" s="239">
        <v>0</v>
      </c>
      <c r="K249" s="239">
        <v>10311669</v>
      </c>
      <c r="L249" s="239">
        <v>107607</v>
      </c>
      <c r="M249" s="239">
        <v>107607</v>
      </c>
      <c r="N249" s="239">
        <v>0</v>
      </c>
      <c r="O249" s="239">
        <v>0</v>
      </c>
      <c r="P249" s="239">
        <v>259511</v>
      </c>
      <c r="Q249" s="239">
        <v>0</v>
      </c>
      <c r="R249" s="239">
        <v>259511</v>
      </c>
      <c r="S249" s="239">
        <v>0</v>
      </c>
      <c r="T249" s="239">
        <v>0</v>
      </c>
      <c r="U249" s="239">
        <v>0</v>
      </c>
      <c r="V249" s="239">
        <v>0</v>
      </c>
      <c r="W249" s="239">
        <v>347867</v>
      </c>
      <c r="X249" s="239">
        <v>278294</v>
      </c>
      <c r="Y249" s="239">
        <v>69574</v>
      </c>
      <c r="Z249" s="239">
        <v>0</v>
      </c>
      <c r="AA249" s="239">
        <v>695735</v>
      </c>
      <c r="AB249" s="239">
        <v>-220671</v>
      </c>
      <c r="AC249" s="239">
        <v>-176536</v>
      </c>
      <c r="AD249" s="239">
        <v>-44134</v>
      </c>
      <c r="AE249" s="239">
        <v>0</v>
      </c>
      <c r="AF249" s="239">
        <v>-441341</v>
      </c>
      <c r="AG249" s="239">
        <v>-174843.67</v>
      </c>
      <c r="AH249" s="239">
        <v>-139873</v>
      </c>
      <c r="AI249" s="239">
        <v>-34968</v>
      </c>
      <c r="AJ249" s="239">
        <v>0</v>
      </c>
      <c r="AK249" s="239">
        <v>-349684.67</v>
      </c>
      <c r="AL249" s="239">
        <v>0</v>
      </c>
      <c r="AM249" s="239">
        <v>0</v>
      </c>
      <c r="AN249" s="239">
        <v>0</v>
      </c>
      <c r="AO249" s="239">
        <v>0</v>
      </c>
      <c r="AP249" s="239">
        <v>0</v>
      </c>
      <c r="AQ249" s="239">
        <v>-29683</v>
      </c>
      <c r="AR249" s="239">
        <v>-23746</v>
      </c>
      <c r="AS249" s="239">
        <v>-5937</v>
      </c>
      <c r="AT249" s="239">
        <v>0</v>
      </c>
      <c r="AU249" s="239">
        <v>-59366</v>
      </c>
      <c r="AV249" s="239">
        <v>-204526.67</v>
      </c>
      <c r="AW249" s="239">
        <v>-163619</v>
      </c>
      <c r="AX249" s="239">
        <v>-40905</v>
      </c>
      <c r="AY249" s="239">
        <v>0</v>
      </c>
      <c r="AZ249" s="239">
        <v>-409050.67</v>
      </c>
      <c r="BA249" s="239">
        <v>-1302555</v>
      </c>
      <c r="BB249" s="239">
        <v>-1042043</v>
      </c>
      <c r="BC249" s="239">
        <v>-260511</v>
      </c>
      <c r="BD249" s="239">
        <v>0</v>
      </c>
      <c r="BE249" s="239">
        <v>-2605109</v>
      </c>
      <c r="BF249" s="239">
        <v>57321</v>
      </c>
      <c r="BG249" s="239">
        <v>45856</v>
      </c>
      <c r="BH249" s="239">
        <v>11464</v>
      </c>
      <c r="BI249" s="239">
        <v>0</v>
      </c>
      <c r="BJ249" s="239">
        <v>114641</v>
      </c>
      <c r="BK249" s="239">
        <v>-182744</v>
      </c>
      <c r="BL249" s="239">
        <v>-146196</v>
      </c>
      <c r="BM249" s="239">
        <v>-36549</v>
      </c>
      <c r="BN249" s="239">
        <v>0</v>
      </c>
      <c r="BO249" s="239">
        <v>-365489</v>
      </c>
      <c r="BP249" s="239">
        <v>-1427978</v>
      </c>
      <c r="BQ249" s="239">
        <v>-1142383</v>
      </c>
      <c r="BR249" s="239">
        <v>-285596</v>
      </c>
      <c r="BS249" s="239">
        <v>0</v>
      </c>
      <c r="BT249" s="239">
        <v>-2855957</v>
      </c>
      <c r="BU249" s="239">
        <v>-1658492</v>
      </c>
      <c r="BV249" s="239">
        <v>-1326794</v>
      </c>
      <c r="BW249" s="239">
        <v>-331699</v>
      </c>
      <c r="BX249" s="239">
        <v>0</v>
      </c>
      <c r="BY249" s="239">
        <v>-3316985</v>
      </c>
      <c r="BZ249" s="239">
        <v>-763483</v>
      </c>
      <c r="CA249" s="239">
        <v>-610787</v>
      </c>
      <c r="CB249" s="239">
        <v>-152697</v>
      </c>
      <c r="CC249" s="239">
        <v>0</v>
      </c>
      <c r="CD249" s="239">
        <v>-1526967</v>
      </c>
      <c r="CE249" s="239">
        <v>-895009</v>
      </c>
      <c r="CF249" s="239">
        <v>-716007</v>
      </c>
      <c r="CG249" s="239">
        <v>-179002</v>
      </c>
      <c r="CH249" s="239">
        <v>0</v>
      </c>
      <c r="CI249" s="239">
        <v>-1790018</v>
      </c>
      <c r="CJ249" s="239">
        <v>10400333</v>
      </c>
      <c r="CK249" s="239">
        <v>8320267</v>
      </c>
      <c r="CL249" s="239">
        <v>2080067</v>
      </c>
      <c r="CM249" s="239">
        <v>0</v>
      </c>
      <c r="CN249" s="239">
        <v>20800667</v>
      </c>
      <c r="CO249" s="239">
        <v>10311669</v>
      </c>
      <c r="CP249" s="239">
        <v>8249336</v>
      </c>
      <c r="CQ249" s="239">
        <v>2062334</v>
      </c>
      <c r="CR249" s="239">
        <v>0</v>
      </c>
      <c r="CS249" s="239">
        <v>20623339</v>
      </c>
      <c r="CT249" s="239">
        <v>-88664</v>
      </c>
      <c r="CU249" s="239">
        <v>-70931</v>
      </c>
      <c r="CV249" s="239">
        <v>-17733</v>
      </c>
      <c r="CW249" s="239">
        <v>0</v>
      </c>
      <c r="CX249" s="239">
        <v>-177328</v>
      </c>
      <c r="CY249" s="239">
        <v>-983673</v>
      </c>
      <c r="CZ249" s="239">
        <v>-786938</v>
      </c>
      <c r="DA249" s="239">
        <v>-196735</v>
      </c>
      <c r="DB249" s="239">
        <v>0</v>
      </c>
      <c r="DC249" s="239">
        <v>-1967346</v>
      </c>
      <c r="DD249" s="214">
        <v>0.5</v>
      </c>
      <c r="DE249" s="214">
        <v>0.4</v>
      </c>
      <c r="DF249" s="214">
        <v>0.1</v>
      </c>
      <c r="DG249" s="214">
        <v>0</v>
      </c>
      <c r="DH249" s="214">
        <v>1</v>
      </c>
      <c r="DI249" s="214" t="s">
        <v>1294</v>
      </c>
    </row>
    <row r="250" spans="2:113" s="214" customFormat="1" x14ac:dyDescent="0.2">
      <c r="B250" s="610" t="s">
        <v>583</v>
      </c>
      <c r="C250" s="610" t="s">
        <v>582</v>
      </c>
      <c r="D250" s="239">
        <v>20754889</v>
      </c>
      <c r="E250" s="239">
        <v>16603912</v>
      </c>
      <c r="F250" s="239">
        <v>4150978</v>
      </c>
      <c r="G250" s="239">
        <v>0</v>
      </c>
      <c r="H250" s="239">
        <v>41509779</v>
      </c>
      <c r="I250" s="239">
        <v>0</v>
      </c>
      <c r="J250" s="239">
        <v>0</v>
      </c>
      <c r="K250" s="239">
        <v>20754889</v>
      </c>
      <c r="L250" s="239">
        <v>186946</v>
      </c>
      <c r="M250" s="239">
        <v>186946</v>
      </c>
      <c r="N250" s="239">
        <v>0</v>
      </c>
      <c r="O250" s="239">
        <v>0</v>
      </c>
      <c r="P250" s="239">
        <v>0</v>
      </c>
      <c r="Q250" s="239">
        <v>0</v>
      </c>
      <c r="R250" s="239">
        <v>0</v>
      </c>
      <c r="S250" s="239">
        <v>0</v>
      </c>
      <c r="T250" s="239">
        <v>0</v>
      </c>
      <c r="U250" s="239">
        <v>0</v>
      </c>
      <c r="V250" s="239">
        <v>0</v>
      </c>
      <c r="W250" s="239">
        <v>1094536</v>
      </c>
      <c r="X250" s="239">
        <v>875629</v>
      </c>
      <c r="Y250" s="239">
        <v>218907</v>
      </c>
      <c r="Z250" s="239">
        <v>0</v>
      </c>
      <c r="AA250" s="239">
        <v>2189072</v>
      </c>
      <c r="AB250" s="239">
        <v>-417655</v>
      </c>
      <c r="AC250" s="239">
        <v>-334124</v>
      </c>
      <c r="AD250" s="239">
        <v>-83531</v>
      </c>
      <c r="AE250" s="239">
        <v>0</v>
      </c>
      <c r="AF250" s="239">
        <v>-835310</v>
      </c>
      <c r="AG250" s="239">
        <v>-489895</v>
      </c>
      <c r="AH250" s="239">
        <v>-391916</v>
      </c>
      <c r="AI250" s="239">
        <v>-97979</v>
      </c>
      <c r="AJ250" s="239">
        <v>0</v>
      </c>
      <c r="AK250" s="239">
        <v>-979790</v>
      </c>
      <c r="AL250" s="239">
        <v>42245</v>
      </c>
      <c r="AM250" s="239">
        <v>33796</v>
      </c>
      <c r="AN250" s="239">
        <v>8449</v>
      </c>
      <c r="AO250" s="239">
        <v>0</v>
      </c>
      <c r="AP250" s="239">
        <v>84490</v>
      </c>
      <c r="AQ250" s="239">
        <v>-204670</v>
      </c>
      <c r="AR250" s="239">
        <v>-163736</v>
      </c>
      <c r="AS250" s="239">
        <v>-40934</v>
      </c>
      <c r="AT250" s="239">
        <v>0</v>
      </c>
      <c r="AU250" s="239">
        <v>-409340</v>
      </c>
      <c r="AV250" s="239">
        <v>-652320</v>
      </c>
      <c r="AW250" s="239">
        <v>-521856</v>
      </c>
      <c r="AX250" s="239">
        <v>-130464</v>
      </c>
      <c r="AY250" s="239">
        <v>0</v>
      </c>
      <c r="AZ250" s="239">
        <v>-1304640</v>
      </c>
      <c r="BA250" s="239">
        <v>-1358464</v>
      </c>
      <c r="BB250" s="239">
        <v>-1086772</v>
      </c>
      <c r="BC250" s="239">
        <v>-271694</v>
      </c>
      <c r="BD250" s="239">
        <v>0</v>
      </c>
      <c r="BE250" s="239">
        <v>-2716930</v>
      </c>
      <c r="BF250" s="239">
        <v>179963</v>
      </c>
      <c r="BG250" s="239">
        <v>143970</v>
      </c>
      <c r="BH250" s="239">
        <v>35993</v>
      </c>
      <c r="BI250" s="239">
        <v>0</v>
      </c>
      <c r="BJ250" s="239">
        <v>359926</v>
      </c>
      <c r="BK250" s="239">
        <v>-718888</v>
      </c>
      <c r="BL250" s="239">
        <v>-575110</v>
      </c>
      <c r="BM250" s="239">
        <v>-143778</v>
      </c>
      <c r="BN250" s="239">
        <v>0</v>
      </c>
      <c r="BO250" s="239">
        <v>-1437776</v>
      </c>
      <c r="BP250" s="239">
        <v>-1897389</v>
      </c>
      <c r="BQ250" s="239">
        <v>-1517912</v>
      </c>
      <c r="BR250" s="239">
        <v>-379479</v>
      </c>
      <c r="BS250" s="239">
        <v>0</v>
      </c>
      <c r="BT250" s="239">
        <v>-3794780</v>
      </c>
      <c r="BU250" s="239">
        <v>-1283528</v>
      </c>
      <c r="BV250" s="239">
        <v>-1026822</v>
      </c>
      <c r="BW250" s="239">
        <v>-256706</v>
      </c>
      <c r="BX250" s="239">
        <v>0</v>
      </c>
      <c r="BY250" s="239">
        <v>-2567056</v>
      </c>
      <c r="BZ250" s="239">
        <v>-510369</v>
      </c>
      <c r="CA250" s="239">
        <v>-408295</v>
      </c>
      <c r="CB250" s="239">
        <v>-102074</v>
      </c>
      <c r="CC250" s="239">
        <v>0</v>
      </c>
      <c r="CD250" s="239">
        <v>-1020738</v>
      </c>
      <c r="CE250" s="239">
        <v>-773159</v>
      </c>
      <c r="CF250" s="239">
        <v>-618527</v>
      </c>
      <c r="CG250" s="239">
        <v>-154632</v>
      </c>
      <c r="CH250" s="239">
        <v>0</v>
      </c>
      <c r="CI250" s="239">
        <v>-1546318</v>
      </c>
      <c r="CJ250" s="239">
        <v>21444232</v>
      </c>
      <c r="CK250" s="239">
        <v>17155386</v>
      </c>
      <c r="CL250" s="239">
        <v>4288847</v>
      </c>
      <c r="CM250" s="239">
        <v>0</v>
      </c>
      <c r="CN250" s="239">
        <v>42888465</v>
      </c>
      <c r="CO250" s="239">
        <v>20754889</v>
      </c>
      <c r="CP250" s="239">
        <v>16603912</v>
      </c>
      <c r="CQ250" s="239">
        <v>4150978</v>
      </c>
      <c r="CR250" s="239">
        <v>0</v>
      </c>
      <c r="CS250" s="239">
        <v>41509779</v>
      </c>
      <c r="CT250" s="239">
        <v>-689343</v>
      </c>
      <c r="CU250" s="239">
        <v>-551474</v>
      </c>
      <c r="CV250" s="239">
        <v>-137869</v>
      </c>
      <c r="CW250" s="239">
        <v>0</v>
      </c>
      <c r="CX250" s="239">
        <v>-1378686</v>
      </c>
      <c r="CY250" s="239">
        <v>-1462502</v>
      </c>
      <c r="CZ250" s="239">
        <v>-1170001</v>
      </c>
      <c r="DA250" s="239">
        <v>-292501</v>
      </c>
      <c r="DB250" s="239">
        <v>0</v>
      </c>
      <c r="DC250" s="239">
        <v>-2925004</v>
      </c>
      <c r="DD250" s="214">
        <v>0.5</v>
      </c>
      <c r="DE250" s="214">
        <v>0.4</v>
      </c>
      <c r="DF250" s="214">
        <v>0.1</v>
      </c>
      <c r="DG250" s="214">
        <v>0</v>
      </c>
      <c r="DH250" s="214">
        <v>1</v>
      </c>
      <c r="DI250" s="214" t="s">
        <v>1294</v>
      </c>
    </row>
    <row r="251" spans="2:113" s="214" customFormat="1" x14ac:dyDescent="0.2">
      <c r="B251" s="610" t="s">
        <v>585</v>
      </c>
      <c r="C251" s="610" t="s">
        <v>584</v>
      </c>
      <c r="D251" s="239">
        <v>18472039</v>
      </c>
      <c r="E251" s="239">
        <v>14777631</v>
      </c>
      <c r="F251" s="239">
        <v>3324967</v>
      </c>
      <c r="G251" s="239">
        <v>369441</v>
      </c>
      <c r="H251" s="239">
        <v>36944078</v>
      </c>
      <c r="I251" s="239">
        <v>0</v>
      </c>
      <c r="J251" s="239">
        <v>0</v>
      </c>
      <c r="K251" s="239">
        <v>18472039</v>
      </c>
      <c r="L251" s="239">
        <v>127026</v>
      </c>
      <c r="M251" s="239">
        <v>127026</v>
      </c>
      <c r="N251" s="239">
        <v>0</v>
      </c>
      <c r="O251" s="239">
        <v>0</v>
      </c>
      <c r="P251" s="239">
        <v>0</v>
      </c>
      <c r="Q251" s="239">
        <v>0</v>
      </c>
      <c r="R251" s="239">
        <v>0</v>
      </c>
      <c r="S251" s="239">
        <v>0</v>
      </c>
      <c r="T251" s="239">
        <v>0</v>
      </c>
      <c r="U251" s="239">
        <v>0</v>
      </c>
      <c r="V251" s="239">
        <v>0</v>
      </c>
      <c r="W251" s="239">
        <v>618614</v>
      </c>
      <c r="X251" s="239">
        <v>494891</v>
      </c>
      <c r="Y251" s="239">
        <v>111351</v>
      </c>
      <c r="Z251" s="239">
        <v>12372</v>
      </c>
      <c r="AA251" s="239">
        <v>1237228</v>
      </c>
      <c r="AB251" s="239">
        <v>-151299</v>
      </c>
      <c r="AC251" s="239">
        <v>-121040</v>
      </c>
      <c r="AD251" s="239">
        <v>-27234</v>
      </c>
      <c r="AE251" s="239">
        <v>-3026</v>
      </c>
      <c r="AF251" s="239">
        <v>-302599</v>
      </c>
      <c r="AG251" s="239">
        <v>-236811</v>
      </c>
      <c r="AH251" s="239">
        <v>-189445</v>
      </c>
      <c r="AI251" s="239">
        <v>-42625</v>
      </c>
      <c r="AJ251" s="239">
        <v>-4735</v>
      </c>
      <c r="AK251" s="239">
        <v>-473616</v>
      </c>
      <c r="AL251" s="239">
        <v>115022</v>
      </c>
      <c r="AM251" s="239">
        <v>92018</v>
      </c>
      <c r="AN251" s="239">
        <v>20704</v>
      </c>
      <c r="AO251" s="239">
        <v>2300</v>
      </c>
      <c r="AP251" s="239">
        <v>230044</v>
      </c>
      <c r="AQ251" s="239">
        <v>-185266</v>
      </c>
      <c r="AR251" s="239">
        <v>-148213</v>
      </c>
      <c r="AS251" s="239">
        <v>-33348</v>
      </c>
      <c r="AT251" s="239">
        <v>-3705</v>
      </c>
      <c r="AU251" s="239">
        <v>-370532</v>
      </c>
      <c r="AV251" s="239">
        <v>-307055</v>
      </c>
      <c r="AW251" s="239">
        <v>-245640</v>
      </c>
      <c r="AX251" s="239">
        <v>-55269</v>
      </c>
      <c r="AY251" s="239">
        <v>-6140</v>
      </c>
      <c r="AZ251" s="239">
        <v>-614104</v>
      </c>
      <c r="BA251" s="239">
        <v>-808362</v>
      </c>
      <c r="BB251" s="239">
        <v>-646690</v>
      </c>
      <c r="BC251" s="239">
        <v>-145505</v>
      </c>
      <c r="BD251" s="239">
        <v>-16167</v>
      </c>
      <c r="BE251" s="239">
        <v>-1616724</v>
      </c>
      <c r="BF251" s="239">
        <v>215213</v>
      </c>
      <c r="BG251" s="239">
        <v>172170</v>
      </c>
      <c r="BH251" s="239">
        <v>38738</v>
      </c>
      <c r="BI251" s="239">
        <v>4304</v>
      </c>
      <c r="BJ251" s="239">
        <v>430425</v>
      </c>
      <c r="BK251" s="239">
        <v>-1056851</v>
      </c>
      <c r="BL251" s="239">
        <v>-845480</v>
      </c>
      <c r="BM251" s="239">
        <v>-190233</v>
      </c>
      <c r="BN251" s="239">
        <v>-21137</v>
      </c>
      <c r="BO251" s="239">
        <v>-2113701</v>
      </c>
      <c r="BP251" s="239">
        <v>-1650000</v>
      </c>
      <c r="BQ251" s="239">
        <v>-1320000</v>
      </c>
      <c r="BR251" s="239">
        <v>-297000</v>
      </c>
      <c r="BS251" s="239">
        <v>-33000</v>
      </c>
      <c r="BT251" s="239">
        <v>-3300000</v>
      </c>
      <c r="BU251" s="239">
        <v>1853409</v>
      </c>
      <c r="BV251" s="239">
        <v>1482728</v>
      </c>
      <c r="BW251" s="239">
        <v>333614</v>
      </c>
      <c r="BX251" s="239">
        <v>37068</v>
      </c>
      <c r="BY251" s="239">
        <v>3706819</v>
      </c>
      <c r="BZ251" s="239">
        <v>1201780</v>
      </c>
      <c r="CA251" s="239">
        <v>961425</v>
      </c>
      <c r="CB251" s="239">
        <v>216321</v>
      </c>
      <c r="CC251" s="239">
        <v>24036</v>
      </c>
      <c r="CD251" s="239">
        <v>2403562</v>
      </c>
      <c r="CE251" s="239">
        <v>651629</v>
      </c>
      <c r="CF251" s="239">
        <v>521303</v>
      </c>
      <c r="CG251" s="239">
        <v>117293</v>
      </c>
      <c r="CH251" s="239">
        <v>13032</v>
      </c>
      <c r="CI251" s="239">
        <v>1303257</v>
      </c>
      <c r="CJ251" s="239">
        <v>18735725</v>
      </c>
      <c r="CK251" s="239">
        <v>14988581</v>
      </c>
      <c r="CL251" s="239">
        <v>3372431</v>
      </c>
      <c r="CM251" s="239">
        <v>374715</v>
      </c>
      <c r="CN251" s="239">
        <v>37471452</v>
      </c>
      <c r="CO251" s="239">
        <v>18472039</v>
      </c>
      <c r="CP251" s="239">
        <v>14777631</v>
      </c>
      <c r="CQ251" s="239">
        <v>3324967</v>
      </c>
      <c r="CR251" s="239">
        <v>369441</v>
      </c>
      <c r="CS251" s="239">
        <v>36944078</v>
      </c>
      <c r="CT251" s="239">
        <v>-263686</v>
      </c>
      <c r="CU251" s="239">
        <v>-210950</v>
      </c>
      <c r="CV251" s="239">
        <v>-47464</v>
      </c>
      <c r="CW251" s="239">
        <v>-5274</v>
      </c>
      <c r="CX251" s="239">
        <v>-527374</v>
      </c>
      <c r="CY251" s="239">
        <v>387943</v>
      </c>
      <c r="CZ251" s="239">
        <v>310353</v>
      </c>
      <c r="DA251" s="239">
        <v>69829</v>
      </c>
      <c r="DB251" s="239">
        <v>7758</v>
      </c>
      <c r="DC251" s="239">
        <v>775883</v>
      </c>
      <c r="DD251" s="214">
        <v>0.5</v>
      </c>
      <c r="DE251" s="214">
        <v>0.4</v>
      </c>
      <c r="DF251" s="214">
        <v>0.09</v>
      </c>
      <c r="DG251" s="214">
        <v>0.01</v>
      </c>
      <c r="DH251" s="214">
        <v>1</v>
      </c>
      <c r="DI251" s="214" t="s">
        <v>1294</v>
      </c>
    </row>
    <row r="252" spans="2:113" s="214" customFormat="1" x14ac:dyDescent="0.2">
      <c r="B252" s="610" t="s">
        <v>587</v>
      </c>
      <c r="C252" s="610" t="s">
        <v>586</v>
      </c>
      <c r="D252" s="239">
        <v>20016726</v>
      </c>
      <c r="E252" s="239">
        <v>16013382</v>
      </c>
      <c r="F252" s="239">
        <v>3603011</v>
      </c>
      <c r="G252" s="239">
        <v>400335</v>
      </c>
      <c r="H252" s="239">
        <v>40033454</v>
      </c>
      <c r="I252" s="239">
        <v>0</v>
      </c>
      <c r="J252" s="239">
        <v>0</v>
      </c>
      <c r="K252" s="239">
        <v>20016726</v>
      </c>
      <c r="L252" s="239">
        <v>224868</v>
      </c>
      <c r="M252" s="239">
        <v>224868</v>
      </c>
      <c r="N252" s="239">
        <v>0</v>
      </c>
      <c r="O252" s="239">
        <v>0</v>
      </c>
      <c r="P252" s="239">
        <v>229340</v>
      </c>
      <c r="Q252" s="239">
        <v>0</v>
      </c>
      <c r="R252" s="239">
        <v>229340</v>
      </c>
      <c r="S252" s="239">
        <v>0</v>
      </c>
      <c r="T252" s="239">
        <v>0</v>
      </c>
      <c r="U252" s="239">
        <v>0</v>
      </c>
      <c r="V252" s="239">
        <v>0</v>
      </c>
      <c r="W252" s="239">
        <v>1585031</v>
      </c>
      <c r="X252" s="239">
        <v>1268025</v>
      </c>
      <c r="Y252" s="239">
        <v>285306</v>
      </c>
      <c r="Z252" s="239">
        <v>31701</v>
      </c>
      <c r="AA252" s="239">
        <v>3170063</v>
      </c>
      <c r="AB252" s="239">
        <v>-1278875</v>
      </c>
      <c r="AC252" s="239">
        <v>-1023099</v>
      </c>
      <c r="AD252" s="239">
        <v>-230197</v>
      </c>
      <c r="AE252" s="239">
        <v>-25577</v>
      </c>
      <c r="AF252" s="239">
        <v>-2557748</v>
      </c>
      <c r="AG252" s="239">
        <v>-530057</v>
      </c>
      <c r="AH252" s="239">
        <v>-424045</v>
      </c>
      <c r="AI252" s="239">
        <v>-95410</v>
      </c>
      <c r="AJ252" s="239">
        <v>-10601</v>
      </c>
      <c r="AK252" s="239">
        <v>-1060113</v>
      </c>
      <c r="AL252" s="239">
        <v>255231</v>
      </c>
      <c r="AM252" s="239">
        <v>204186</v>
      </c>
      <c r="AN252" s="239">
        <v>45942</v>
      </c>
      <c r="AO252" s="239">
        <v>5105</v>
      </c>
      <c r="AP252" s="239">
        <v>510464</v>
      </c>
      <c r="AQ252" s="239">
        <v>-451675</v>
      </c>
      <c r="AR252" s="239">
        <v>-361340</v>
      </c>
      <c r="AS252" s="239">
        <v>-81302</v>
      </c>
      <c r="AT252" s="239">
        <v>-9034</v>
      </c>
      <c r="AU252" s="239">
        <v>-903351</v>
      </c>
      <c r="AV252" s="239">
        <v>-726501</v>
      </c>
      <c r="AW252" s="239">
        <v>-581199</v>
      </c>
      <c r="AX252" s="239">
        <v>-130770</v>
      </c>
      <c r="AY252" s="239">
        <v>-14530</v>
      </c>
      <c r="AZ252" s="239">
        <v>-1453000</v>
      </c>
      <c r="BA252" s="239">
        <v>-2098534.6</v>
      </c>
      <c r="BB252" s="239">
        <v>-1678828</v>
      </c>
      <c r="BC252" s="239">
        <v>-377735</v>
      </c>
      <c r="BD252" s="239">
        <v>-41970</v>
      </c>
      <c r="BE252" s="239">
        <v>-4197067.5999999996</v>
      </c>
      <c r="BF252" s="239">
        <v>1113276</v>
      </c>
      <c r="BG252" s="239">
        <v>890622</v>
      </c>
      <c r="BH252" s="239">
        <v>200390</v>
      </c>
      <c r="BI252" s="239">
        <v>22266</v>
      </c>
      <c r="BJ252" s="239">
        <v>2226554</v>
      </c>
      <c r="BK252" s="239">
        <v>-1506169</v>
      </c>
      <c r="BL252" s="239">
        <v>-1204934</v>
      </c>
      <c r="BM252" s="239">
        <v>-271110</v>
      </c>
      <c r="BN252" s="239">
        <v>-30123</v>
      </c>
      <c r="BO252" s="239">
        <v>-3012336</v>
      </c>
      <c r="BP252" s="239">
        <v>-2491427.6</v>
      </c>
      <c r="BQ252" s="239">
        <v>-1993140</v>
      </c>
      <c r="BR252" s="239">
        <v>-448455</v>
      </c>
      <c r="BS252" s="239">
        <v>-49827</v>
      </c>
      <c r="BT252" s="239">
        <v>-4982849.5999999996</v>
      </c>
      <c r="BU252" s="239">
        <v>-811236</v>
      </c>
      <c r="BV252" s="239">
        <v>-648989</v>
      </c>
      <c r="BW252" s="239">
        <v>-146023</v>
      </c>
      <c r="BX252" s="239">
        <v>-16225</v>
      </c>
      <c r="BY252" s="239">
        <v>-1622473</v>
      </c>
      <c r="BZ252" s="239">
        <v>1199331</v>
      </c>
      <c r="CA252" s="239">
        <v>959464</v>
      </c>
      <c r="CB252" s="239">
        <v>215879</v>
      </c>
      <c r="CC252" s="239">
        <v>23987</v>
      </c>
      <c r="CD252" s="239">
        <v>2398661</v>
      </c>
      <c r="CE252" s="239">
        <v>-2010567</v>
      </c>
      <c r="CF252" s="239">
        <v>-1608453</v>
      </c>
      <c r="CG252" s="239">
        <v>-361902</v>
      </c>
      <c r="CH252" s="239">
        <v>-40212</v>
      </c>
      <c r="CI252" s="239">
        <v>-4021134</v>
      </c>
      <c r="CJ252" s="239">
        <v>22101279</v>
      </c>
      <c r="CK252" s="239">
        <v>17681023</v>
      </c>
      <c r="CL252" s="239">
        <v>3978230</v>
      </c>
      <c r="CM252" s="239">
        <v>442026</v>
      </c>
      <c r="CN252" s="239">
        <v>44202558</v>
      </c>
      <c r="CO252" s="239">
        <v>20016726</v>
      </c>
      <c r="CP252" s="239">
        <v>16013382</v>
      </c>
      <c r="CQ252" s="239">
        <v>3603011</v>
      </c>
      <c r="CR252" s="239">
        <v>400335</v>
      </c>
      <c r="CS252" s="239">
        <v>40033454</v>
      </c>
      <c r="CT252" s="239">
        <v>-2084553</v>
      </c>
      <c r="CU252" s="239">
        <v>-1667641</v>
      </c>
      <c r="CV252" s="239">
        <v>-375219</v>
      </c>
      <c r="CW252" s="239">
        <v>-41691</v>
      </c>
      <c r="CX252" s="239">
        <v>-4169104</v>
      </c>
      <c r="CY252" s="239">
        <v>-4095120</v>
      </c>
      <c r="CZ252" s="239">
        <v>-3276094</v>
      </c>
      <c r="DA252" s="239">
        <v>-737121</v>
      </c>
      <c r="DB252" s="239">
        <v>-81903</v>
      </c>
      <c r="DC252" s="239">
        <v>-8190238</v>
      </c>
      <c r="DD252" s="214">
        <v>0.5</v>
      </c>
      <c r="DE252" s="214">
        <v>0.4</v>
      </c>
      <c r="DF252" s="214">
        <v>0.09</v>
      </c>
      <c r="DG252" s="214">
        <v>0.01</v>
      </c>
      <c r="DH252" s="214">
        <v>1</v>
      </c>
      <c r="DI252" s="214" t="s">
        <v>1294</v>
      </c>
    </row>
    <row r="253" spans="2:113" s="214" customFormat="1" x14ac:dyDescent="0.2">
      <c r="B253" s="610" t="s">
        <v>589</v>
      </c>
      <c r="C253" s="610" t="s">
        <v>588</v>
      </c>
      <c r="D253" s="239">
        <v>10696050</v>
      </c>
      <c r="E253" s="239">
        <v>8556840</v>
      </c>
      <c r="F253" s="239">
        <v>1925289</v>
      </c>
      <c r="G253" s="239">
        <v>213921</v>
      </c>
      <c r="H253" s="239">
        <v>21392100</v>
      </c>
      <c r="I253" s="239">
        <v>54823.010416666672</v>
      </c>
      <c r="J253" s="239">
        <v>54823.010416666672</v>
      </c>
      <c r="K253" s="239">
        <v>10641226.989583334</v>
      </c>
      <c r="L253" s="239">
        <v>103776</v>
      </c>
      <c r="M253" s="239">
        <v>103776</v>
      </c>
      <c r="N253" s="239">
        <v>2197398</v>
      </c>
      <c r="O253" s="239">
        <v>2197398</v>
      </c>
      <c r="P253" s="239">
        <v>0</v>
      </c>
      <c r="Q253" s="239">
        <v>215688</v>
      </c>
      <c r="R253" s="239">
        <v>215688</v>
      </c>
      <c r="S253" s="239">
        <v>54823.010416666672</v>
      </c>
      <c r="T253" s="239">
        <v>0</v>
      </c>
      <c r="U253" s="239">
        <v>0</v>
      </c>
      <c r="V253" s="239">
        <v>54823.010416666672</v>
      </c>
      <c r="W253" s="239">
        <v>563364</v>
      </c>
      <c r="X253" s="239">
        <v>450691</v>
      </c>
      <c r="Y253" s="239">
        <v>101405</v>
      </c>
      <c r="Z253" s="239">
        <v>11267</v>
      </c>
      <c r="AA253" s="239">
        <v>1126727</v>
      </c>
      <c r="AB253" s="239">
        <v>-186867</v>
      </c>
      <c r="AC253" s="239">
        <v>-149493</v>
      </c>
      <c r="AD253" s="239">
        <v>-33636</v>
      </c>
      <c r="AE253" s="239">
        <v>-3737</v>
      </c>
      <c r="AF253" s="239">
        <v>-373733</v>
      </c>
      <c r="AG253" s="239">
        <v>-243500</v>
      </c>
      <c r="AH253" s="239">
        <v>-194800</v>
      </c>
      <c r="AI253" s="239">
        <v>-43830</v>
      </c>
      <c r="AJ253" s="239">
        <v>-4870</v>
      </c>
      <c r="AK253" s="239">
        <v>-487000</v>
      </c>
      <c r="AL253" s="239">
        <v>98342</v>
      </c>
      <c r="AM253" s="239">
        <v>78673</v>
      </c>
      <c r="AN253" s="239">
        <v>17701</v>
      </c>
      <c r="AO253" s="239">
        <v>1967</v>
      </c>
      <c r="AP253" s="239">
        <v>196683</v>
      </c>
      <c r="AQ253" s="239">
        <v>-148342</v>
      </c>
      <c r="AR253" s="239">
        <v>-118673</v>
      </c>
      <c r="AS253" s="239">
        <v>-26701</v>
      </c>
      <c r="AT253" s="239">
        <v>-2967</v>
      </c>
      <c r="AU253" s="239">
        <v>-296683</v>
      </c>
      <c r="AV253" s="239">
        <v>-293500</v>
      </c>
      <c r="AW253" s="239">
        <v>-234800</v>
      </c>
      <c r="AX253" s="239">
        <v>-52830</v>
      </c>
      <c r="AY253" s="239">
        <v>-5870</v>
      </c>
      <c r="AZ253" s="239">
        <v>-587000</v>
      </c>
      <c r="BA253" s="239">
        <v>-1370000</v>
      </c>
      <c r="BB253" s="239">
        <v>-1096000</v>
      </c>
      <c r="BC253" s="239">
        <v>-246600</v>
      </c>
      <c r="BD253" s="239">
        <v>-27400</v>
      </c>
      <c r="BE253" s="239">
        <v>-2740000</v>
      </c>
      <c r="BF253" s="239">
        <v>359826</v>
      </c>
      <c r="BG253" s="239">
        <v>287862</v>
      </c>
      <c r="BH253" s="239">
        <v>64769</v>
      </c>
      <c r="BI253" s="239">
        <v>7197</v>
      </c>
      <c r="BJ253" s="239">
        <v>719654</v>
      </c>
      <c r="BK253" s="239">
        <v>-494826</v>
      </c>
      <c r="BL253" s="239">
        <v>-395862</v>
      </c>
      <c r="BM253" s="239">
        <v>-89069</v>
      </c>
      <c r="BN253" s="239">
        <v>-9897</v>
      </c>
      <c r="BO253" s="239">
        <v>-989654</v>
      </c>
      <c r="BP253" s="239">
        <v>-1505000</v>
      </c>
      <c r="BQ253" s="239">
        <v>-1204000</v>
      </c>
      <c r="BR253" s="239">
        <v>-270900</v>
      </c>
      <c r="BS253" s="239">
        <v>-30100</v>
      </c>
      <c r="BT253" s="239">
        <v>-3010000</v>
      </c>
      <c r="BU253" s="239">
        <v>-1884933</v>
      </c>
      <c r="BV253" s="239">
        <v>-1507947</v>
      </c>
      <c r="BW253" s="239">
        <v>-339288</v>
      </c>
      <c r="BX253" s="239">
        <v>-37699</v>
      </c>
      <c r="BY253" s="239">
        <v>-3769867</v>
      </c>
      <c r="BZ253" s="239">
        <v>-201259</v>
      </c>
      <c r="CA253" s="239">
        <v>-161008</v>
      </c>
      <c r="CB253" s="239">
        <v>-36227</v>
      </c>
      <c r="CC253" s="239">
        <v>-4025</v>
      </c>
      <c r="CD253" s="239">
        <v>-402519</v>
      </c>
      <c r="CE253" s="239">
        <v>-1683674</v>
      </c>
      <c r="CF253" s="239">
        <v>-1346939</v>
      </c>
      <c r="CG253" s="239">
        <v>-303061</v>
      </c>
      <c r="CH253" s="239">
        <v>-33674</v>
      </c>
      <c r="CI253" s="239">
        <v>-3367348</v>
      </c>
      <c r="CJ253" s="239">
        <v>10933302</v>
      </c>
      <c r="CK253" s="239">
        <v>8746642</v>
      </c>
      <c r="CL253" s="239">
        <v>1967994</v>
      </c>
      <c r="CM253" s="239">
        <v>218666</v>
      </c>
      <c r="CN253" s="239">
        <v>21866604</v>
      </c>
      <c r="CO253" s="239">
        <v>10696050</v>
      </c>
      <c r="CP253" s="239">
        <v>8556840</v>
      </c>
      <c r="CQ253" s="239">
        <v>1925289</v>
      </c>
      <c r="CR253" s="239">
        <v>213921</v>
      </c>
      <c r="CS253" s="239">
        <v>21392100</v>
      </c>
      <c r="CT253" s="239">
        <v>-237252</v>
      </c>
      <c r="CU253" s="239">
        <v>-189802</v>
      </c>
      <c r="CV253" s="239">
        <v>-42705</v>
      </c>
      <c r="CW253" s="239">
        <v>-4745</v>
      </c>
      <c r="CX253" s="239">
        <v>-474504</v>
      </c>
      <c r="CY253" s="239">
        <v>-1920926</v>
      </c>
      <c r="CZ253" s="239">
        <v>-1536741</v>
      </c>
      <c r="DA253" s="239">
        <v>-345766</v>
      </c>
      <c r="DB253" s="239">
        <v>-38419</v>
      </c>
      <c r="DC253" s="239">
        <v>-3841852</v>
      </c>
      <c r="DD253" s="214">
        <v>0.5</v>
      </c>
      <c r="DE253" s="214">
        <v>0.4</v>
      </c>
      <c r="DF253" s="214">
        <v>0.09</v>
      </c>
      <c r="DG253" s="214">
        <v>0.01</v>
      </c>
      <c r="DH253" s="214">
        <v>1</v>
      </c>
      <c r="DI253" s="214" t="s">
        <v>1294</v>
      </c>
    </row>
    <row r="254" spans="2:113" s="214" customFormat="1" x14ac:dyDescent="0.2">
      <c r="B254" s="610" t="s">
        <v>591</v>
      </c>
      <c r="C254" s="610" t="s">
        <v>590</v>
      </c>
      <c r="D254" s="239">
        <v>14763551</v>
      </c>
      <c r="E254" s="239">
        <v>14468280</v>
      </c>
      <c r="F254" s="239">
        <v>0</v>
      </c>
      <c r="G254" s="239">
        <v>295271</v>
      </c>
      <c r="H254" s="239">
        <v>29527102</v>
      </c>
      <c r="I254" s="239">
        <v>0</v>
      </c>
      <c r="J254" s="239">
        <v>0</v>
      </c>
      <c r="K254" s="239">
        <v>14763551</v>
      </c>
      <c r="L254" s="239">
        <v>150544</v>
      </c>
      <c r="M254" s="239">
        <v>150544</v>
      </c>
      <c r="N254" s="239">
        <v>0</v>
      </c>
      <c r="O254" s="239">
        <v>0</v>
      </c>
      <c r="P254" s="239">
        <v>0</v>
      </c>
      <c r="Q254" s="239">
        <v>0</v>
      </c>
      <c r="R254" s="239">
        <v>0</v>
      </c>
      <c r="S254" s="239">
        <v>0</v>
      </c>
      <c r="T254" s="239">
        <v>0</v>
      </c>
      <c r="U254" s="239">
        <v>0</v>
      </c>
      <c r="V254" s="239">
        <v>0</v>
      </c>
      <c r="W254" s="239">
        <v>1007777</v>
      </c>
      <c r="X254" s="239">
        <v>987621</v>
      </c>
      <c r="Y254" s="239">
        <v>0</v>
      </c>
      <c r="Z254" s="239">
        <v>20156</v>
      </c>
      <c r="AA254" s="239">
        <v>2015554</v>
      </c>
      <c r="AB254" s="239">
        <v>-369403</v>
      </c>
      <c r="AC254" s="239">
        <v>-362015</v>
      </c>
      <c r="AD254" s="239">
        <v>0</v>
      </c>
      <c r="AE254" s="239">
        <v>-7388</v>
      </c>
      <c r="AF254" s="239">
        <v>-738806</v>
      </c>
      <c r="AG254" s="239">
        <v>-287472.93</v>
      </c>
      <c r="AH254" s="239">
        <v>-281724</v>
      </c>
      <c r="AI254" s="239">
        <v>0</v>
      </c>
      <c r="AJ254" s="239">
        <v>-5749</v>
      </c>
      <c r="AK254" s="239">
        <v>-574945.93000000005</v>
      </c>
      <c r="AL254" s="239">
        <v>139800</v>
      </c>
      <c r="AM254" s="239">
        <v>137004</v>
      </c>
      <c r="AN254" s="239">
        <v>0</v>
      </c>
      <c r="AO254" s="239">
        <v>2796</v>
      </c>
      <c r="AP254" s="239">
        <v>279600</v>
      </c>
      <c r="AQ254" s="239">
        <v>-198219</v>
      </c>
      <c r="AR254" s="239">
        <v>-194254</v>
      </c>
      <c r="AS254" s="239">
        <v>0</v>
      </c>
      <c r="AT254" s="239">
        <v>-3964</v>
      </c>
      <c r="AU254" s="239">
        <v>-396437</v>
      </c>
      <c r="AV254" s="239">
        <v>-345891.93</v>
      </c>
      <c r="AW254" s="239">
        <v>-338974</v>
      </c>
      <c r="AX254" s="239">
        <v>0</v>
      </c>
      <c r="AY254" s="239">
        <v>-6917</v>
      </c>
      <c r="AZ254" s="239">
        <v>-691782.93</v>
      </c>
      <c r="BA254" s="239">
        <v>-533781</v>
      </c>
      <c r="BB254" s="239">
        <v>-523104</v>
      </c>
      <c r="BC254" s="239">
        <v>0</v>
      </c>
      <c r="BD254" s="239">
        <v>-10676</v>
      </c>
      <c r="BE254" s="239">
        <v>-1067561</v>
      </c>
      <c r="BF254" s="239">
        <v>717774</v>
      </c>
      <c r="BG254" s="239">
        <v>703419</v>
      </c>
      <c r="BH254" s="239">
        <v>0</v>
      </c>
      <c r="BI254" s="239">
        <v>14355</v>
      </c>
      <c r="BJ254" s="239">
        <v>1435548</v>
      </c>
      <c r="BK254" s="239">
        <v>-1034706</v>
      </c>
      <c r="BL254" s="239">
        <v>-1014012</v>
      </c>
      <c r="BM254" s="239">
        <v>0</v>
      </c>
      <c r="BN254" s="239">
        <v>-20694</v>
      </c>
      <c r="BO254" s="239">
        <v>-2069412</v>
      </c>
      <c r="BP254" s="239">
        <v>-850713</v>
      </c>
      <c r="BQ254" s="239">
        <v>-833697</v>
      </c>
      <c r="BR254" s="239">
        <v>0</v>
      </c>
      <c r="BS254" s="239">
        <v>-17015</v>
      </c>
      <c r="BT254" s="239">
        <v>-1701425</v>
      </c>
      <c r="BU254" s="239">
        <v>-640535</v>
      </c>
      <c r="BV254" s="239">
        <v>-627724</v>
      </c>
      <c r="BW254" s="239">
        <v>0</v>
      </c>
      <c r="BX254" s="239">
        <v>-12811</v>
      </c>
      <c r="BY254" s="239">
        <v>-1281070</v>
      </c>
      <c r="BZ254" s="239">
        <v>-700347</v>
      </c>
      <c r="CA254" s="239">
        <v>-686341</v>
      </c>
      <c r="CB254" s="239">
        <v>0</v>
      </c>
      <c r="CC254" s="239">
        <v>-14007</v>
      </c>
      <c r="CD254" s="239">
        <v>-1400695</v>
      </c>
      <c r="CE254" s="239">
        <v>59812</v>
      </c>
      <c r="CF254" s="239">
        <v>58617</v>
      </c>
      <c r="CG254" s="239">
        <v>0</v>
      </c>
      <c r="CH254" s="239">
        <v>1196</v>
      </c>
      <c r="CI254" s="239">
        <v>119625</v>
      </c>
      <c r="CJ254" s="239">
        <v>15414637</v>
      </c>
      <c r="CK254" s="239">
        <v>15106345</v>
      </c>
      <c r="CL254" s="239">
        <v>0</v>
      </c>
      <c r="CM254" s="239">
        <v>308293</v>
      </c>
      <c r="CN254" s="239">
        <v>30829275</v>
      </c>
      <c r="CO254" s="239">
        <v>14763551</v>
      </c>
      <c r="CP254" s="239">
        <v>14468280</v>
      </c>
      <c r="CQ254" s="239">
        <v>0</v>
      </c>
      <c r="CR254" s="239">
        <v>295271</v>
      </c>
      <c r="CS254" s="239">
        <v>29527102</v>
      </c>
      <c r="CT254" s="239">
        <v>-651086</v>
      </c>
      <c r="CU254" s="239">
        <v>-638065</v>
      </c>
      <c r="CV254" s="239">
        <v>0</v>
      </c>
      <c r="CW254" s="239">
        <v>-13022</v>
      </c>
      <c r="CX254" s="239">
        <v>-1302173</v>
      </c>
      <c r="CY254" s="239">
        <v>-591274</v>
      </c>
      <c r="CZ254" s="239">
        <v>-579448</v>
      </c>
      <c r="DA254" s="239">
        <v>0</v>
      </c>
      <c r="DB254" s="239">
        <v>-11826</v>
      </c>
      <c r="DC254" s="239">
        <v>-1182548</v>
      </c>
      <c r="DD254" s="214">
        <v>0.5</v>
      </c>
      <c r="DE254" s="214">
        <v>0.49</v>
      </c>
      <c r="DF254" s="214">
        <v>0</v>
      </c>
      <c r="DG254" s="214">
        <v>0.01</v>
      </c>
      <c r="DH254" s="214">
        <v>1</v>
      </c>
      <c r="DI254" s="214" t="s">
        <v>1296</v>
      </c>
    </row>
    <row r="255" spans="2:113" s="214" customFormat="1" x14ac:dyDescent="0.2">
      <c r="B255" s="610" t="s">
        <v>593</v>
      </c>
      <c r="C255" s="610" t="s">
        <v>592</v>
      </c>
      <c r="D255" s="239">
        <v>50892244</v>
      </c>
      <c r="E255" s="239">
        <v>49874400</v>
      </c>
      <c r="F255" s="239">
        <v>0</v>
      </c>
      <c r="G255" s="239">
        <v>1017845</v>
      </c>
      <c r="H255" s="239">
        <v>101784489</v>
      </c>
      <c r="I255" s="239">
        <v>0</v>
      </c>
      <c r="J255" s="239">
        <v>0</v>
      </c>
      <c r="K255" s="239">
        <v>50892244</v>
      </c>
      <c r="L255" s="239">
        <v>314029</v>
      </c>
      <c r="M255" s="239">
        <v>314029</v>
      </c>
      <c r="N255" s="239">
        <v>0</v>
      </c>
      <c r="O255" s="239">
        <v>0</v>
      </c>
      <c r="P255" s="239">
        <v>0</v>
      </c>
      <c r="Q255" s="239">
        <v>0</v>
      </c>
      <c r="R255" s="239">
        <v>0</v>
      </c>
      <c r="S255" s="239">
        <v>0</v>
      </c>
      <c r="T255" s="239">
        <v>0</v>
      </c>
      <c r="U255" s="239">
        <v>0</v>
      </c>
      <c r="V255" s="239">
        <v>0</v>
      </c>
      <c r="W255" s="239">
        <v>2321676</v>
      </c>
      <c r="X255" s="239">
        <v>2275242</v>
      </c>
      <c r="Y255" s="239">
        <v>0</v>
      </c>
      <c r="Z255" s="239">
        <v>46434</v>
      </c>
      <c r="AA255" s="239">
        <v>4643352</v>
      </c>
      <c r="AB255" s="239">
        <v>-1346720</v>
      </c>
      <c r="AC255" s="239">
        <v>-1319786</v>
      </c>
      <c r="AD255" s="239">
        <v>0</v>
      </c>
      <c r="AE255" s="239">
        <v>-26934</v>
      </c>
      <c r="AF255" s="239">
        <v>-2693440</v>
      </c>
      <c r="AG255" s="239">
        <v>-734297</v>
      </c>
      <c r="AH255" s="239">
        <v>-719610.46</v>
      </c>
      <c r="AI255" s="239">
        <v>0</v>
      </c>
      <c r="AJ255" s="239">
        <v>-14685.54</v>
      </c>
      <c r="AK255" s="239">
        <v>-1468593</v>
      </c>
      <c r="AL255" s="239">
        <v>290370</v>
      </c>
      <c r="AM255" s="239">
        <v>284562</v>
      </c>
      <c r="AN255" s="239">
        <v>0</v>
      </c>
      <c r="AO255" s="239">
        <v>5807</v>
      </c>
      <c r="AP255" s="239">
        <v>580739</v>
      </c>
      <c r="AQ255" s="239">
        <v>-495252</v>
      </c>
      <c r="AR255" s="239">
        <v>-485347</v>
      </c>
      <c r="AS255" s="239">
        <v>0</v>
      </c>
      <c r="AT255" s="239">
        <v>-9905</v>
      </c>
      <c r="AU255" s="239">
        <v>-990504</v>
      </c>
      <c r="AV255" s="239">
        <v>-939179</v>
      </c>
      <c r="AW255" s="239">
        <v>-920395.46</v>
      </c>
      <c r="AX255" s="239">
        <v>0</v>
      </c>
      <c r="AY255" s="239">
        <v>-18783.54</v>
      </c>
      <c r="AZ255" s="239">
        <v>-1878358</v>
      </c>
      <c r="BA255" s="239">
        <v>-8781347</v>
      </c>
      <c r="BB255" s="239">
        <v>-8605719</v>
      </c>
      <c r="BC255" s="239">
        <v>0</v>
      </c>
      <c r="BD255" s="239">
        <v>-175627</v>
      </c>
      <c r="BE255" s="239">
        <v>-17562693</v>
      </c>
      <c r="BF255" s="239">
        <v>4028141</v>
      </c>
      <c r="BG255" s="239">
        <v>3947579</v>
      </c>
      <c r="BH255" s="239">
        <v>0</v>
      </c>
      <c r="BI255" s="239">
        <v>80563</v>
      </c>
      <c r="BJ255" s="239">
        <v>8056283</v>
      </c>
      <c r="BK255" s="239">
        <v>-3785834</v>
      </c>
      <c r="BL255" s="239">
        <v>-3710118</v>
      </c>
      <c r="BM255" s="239">
        <v>0</v>
      </c>
      <c r="BN255" s="239">
        <v>-75717</v>
      </c>
      <c r="BO255" s="239">
        <v>-7571669</v>
      </c>
      <c r="BP255" s="239">
        <v>-8539040</v>
      </c>
      <c r="BQ255" s="239">
        <v>-8368258</v>
      </c>
      <c r="BR255" s="239">
        <v>0</v>
      </c>
      <c r="BS255" s="239">
        <v>-170781</v>
      </c>
      <c r="BT255" s="239">
        <v>-17078079</v>
      </c>
      <c r="BU255" s="239">
        <v>2892174</v>
      </c>
      <c r="BV255" s="239">
        <v>2834331</v>
      </c>
      <c r="BW255" s="239">
        <v>0</v>
      </c>
      <c r="BX255" s="239">
        <v>57843</v>
      </c>
      <c r="BY255" s="239">
        <v>5784348</v>
      </c>
      <c r="BZ255" s="239">
        <v>2417081</v>
      </c>
      <c r="CA255" s="239">
        <v>2368740</v>
      </c>
      <c r="CB255" s="239">
        <v>0</v>
      </c>
      <c r="CC255" s="239">
        <v>48342</v>
      </c>
      <c r="CD255" s="239">
        <v>4834163</v>
      </c>
      <c r="CE255" s="239">
        <v>475093</v>
      </c>
      <c r="CF255" s="239">
        <v>465591</v>
      </c>
      <c r="CG255" s="239">
        <v>0</v>
      </c>
      <c r="CH255" s="239">
        <v>9501</v>
      </c>
      <c r="CI255" s="239">
        <v>950185</v>
      </c>
      <c r="CJ255" s="239">
        <v>47453631</v>
      </c>
      <c r="CK255" s="239">
        <v>46504558</v>
      </c>
      <c r="CL255" s="239">
        <v>0</v>
      </c>
      <c r="CM255" s="239">
        <v>949073</v>
      </c>
      <c r="CN255" s="239">
        <v>94907262</v>
      </c>
      <c r="CO255" s="239">
        <v>50892244</v>
      </c>
      <c r="CP255" s="239">
        <v>49874400</v>
      </c>
      <c r="CQ255" s="239">
        <v>0</v>
      </c>
      <c r="CR255" s="239">
        <v>1017845</v>
      </c>
      <c r="CS255" s="239">
        <v>101784489</v>
      </c>
      <c r="CT255" s="239">
        <v>3438613</v>
      </c>
      <c r="CU255" s="239">
        <v>3369842</v>
      </c>
      <c r="CV255" s="239">
        <v>0</v>
      </c>
      <c r="CW255" s="239">
        <v>68772</v>
      </c>
      <c r="CX255" s="239">
        <v>6877227</v>
      </c>
      <c r="CY255" s="239">
        <v>3913706</v>
      </c>
      <c r="CZ255" s="239">
        <v>3835433</v>
      </c>
      <c r="DA255" s="239">
        <v>0</v>
      </c>
      <c r="DB255" s="239">
        <v>78273</v>
      </c>
      <c r="DC255" s="239">
        <v>7827412</v>
      </c>
      <c r="DD255" s="214">
        <v>0.5</v>
      </c>
      <c r="DE255" s="214">
        <v>0.49</v>
      </c>
      <c r="DF255" s="214">
        <v>0</v>
      </c>
      <c r="DG255" s="214">
        <v>0.01</v>
      </c>
      <c r="DH255" s="214">
        <v>1</v>
      </c>
      <c r="DI255" s="214" t="s">
        <v>748</v>
      </c>
    </row>
    <row r="256" spans="2:113" s="214" customFormat="1" x14ac:dyDescent="0.2">
      <c r="B256" s="610" t="s">
        <v>595</v>
      </c>
      <c r="C256" s="610" t="s">
        <v>594</v>
      </c>
      <c r="D256" s="239">
        <v>21602473</v>
      </c>
      <c r="E256" s="239">
        <v>21170424</v>
      </c>
      <c r="F256" s="239">
        <v>0</v>
      </c>
      <c r="G256" s="239">
        <v>432049</v>
      </c>
      <c r="H256" s="239">
        <v>43204946</v>
      </c>
      <c r="I256" s="239">
        <v>0</v>
      </c>
      <c r="J256" s="239">
        <v>0</v>
      </c>
      <c r="K256" s="239">
        <v>21602473</v>
      </c>
      <c r="L256" s="239">
        <v>239216</v>
      </c>
      <c r="M256" s="239">
        <v>239216</v>
      </c>
      <c r="N256" s="239">
        <v>0</v>
      </c>
      <c r="O256" s="239">
        <v>0</v>
      </c>
      <c r="P256" s="239">
        <v>0</v>
      </c>
      <c r="Q256" s="239">
        <v>0</v>
      </c>
      <c r="R256" s="239">
        <v>0</v>
      </c>
      <c r="S256" s="239">
        <v>0</v>
      </c>
      <c r="T256" s="239">
        <v>0</v>
      </c>
      <c r="U256" s="239">
        <v>0</v>
      </c>
      <c r="V256" s="239">
        <v>0</v>
      </c>
      <c r="W256" s="239">
        <v>1014378</v>
      </c>
      <c r="X256" s="239">
        <v>994091</v>
      </c>
      <c r="Y256" s="239">
        <v>0</v>
      </c>
      <c r="Z256" s="239">
        <v>20288</v>
      </c>
      <c r="AA256" s="239">
        <v>2028757</v>
      </c>
      <c r="AB256" s="239">
        <v>-605438</v>
      </c>
      <c r="AC256" s="239">
        <v>-593330</v>
      </c>
      <c r="AD256" s="239">
        <v>0</v>
      </c>
      <c r="AE256" s="239">
        <v>-12109</v>
      </c>
      <c r="AF256" s="239">
        <v>-1210877</v>
      </c>
      <c r="AG256" s="239">
        <v>-285864.59999999998</v>
      </c>
      <c r="AH256" s="239">
        <v>-280147</v>
      </c>
      <c r="AI256" s="239">
        <v>0</v>
      </c>
      <c r="AJ256" s="239">
        <v>-5717</v>
      </c>
      <c r="AK256" s="239">
        <v>-571728.6</v>
      </c>
      <c r="AL256" s="239">
        <v>204048.61</v>
      </c>
      <c r="AM256" s="239">
        <v>199967</v>
      </c>
      <c r="AN256" s="239">
        <v>0</v>
      </c>
      <c r="AO256" s="239">
        <v>4081</v>
      </c>
      <c r="AP256" s="239">
        <v>408096.61</v>
      </c>
      <c r="AQ256" s="239">
        <v>-251896</v>
      </c>
      <c r="AR256" s="239">
        <v>-246858</v>
      </c>
      <c r="AS256" s="239">
        <v>0</v>
      </c>
      <c r="AT256" s="239">
        <v>-5038</v>
      </c>
      <c r="AU256" s="239">
        <v>-503792</v>
      </c>
      <c r="AV256" s="239">
        <v>-333711.99</v>
      </c>
      <c r="AW256" s="239">
        <v>-327038</v>
      </c>
      <c r="AX256" s="239">
        <v>0</v>
      </c>
      <c r="AY256" s="239">
        <v>-6674</v>
      </c>
      <c r="AZ256" s="239">
        <v>-667423.99</v>
      </c>
      <c r="BA256" s="239">
        <v>-1286667.2</v>
      </c>
      <c r="BB256" s="239">
        <v>-1260934</v>
      </c>
      <c r="BC256" s="239">
        <v>0</v>
      </c>
      <c r="BD256" s="239">
        <v>-25733</v>
      </c>
      <c r="BE256" s="239">
        <v>-2573334.2000000002</v>
      </c>
      <c r="BF256" s="239">
        <v>1064037</v>
      </c>
      <c r="BG256" s="239">
        <v>1042756</v>
      </c>
      <c r="BH256" s="239">
        <v>0</v>
      </c>
      <c r="BI256" s="239">
        <v>21281</v>
      </c>
      <c r="BJ256" s="239">
        <v>2128074</v>
      </c>
      <c r="BK256" s="239">
        <v>-1693755</v>
      </c>
      <c r="BL256" s="239">
        <v>-1659879</v>
      </c>
      <c r="BM256" s="239">
        <v>0</v>
      </c>
      <c r="BN256" s="239">
        <v>-33875</v>
      </c>
      <c r="BO256" s="239">
        <v>-3387509</v>
      </c>
      <c r="BP256" s="239">
        <v>-1916385.2</v>
      </c>
      <c r="BQ256" s="239">
        <v>-1878057</v>
      </c>
      <c r="BR256" s="239">
        <v>0</v>
      </c>
      <c r="BS256" s="239">
        <v>-38327</v>
      </c>
      <c r="BT256" s="239">
        <v>-3832769.2</v>
      </c>
      <c r="BU256" s="239">
        <v>-887116</v>
      </c>
      <c r="BV256" s="239">
        <v>-869374</v>
      </c>
      <c r="BW256" s="239">
        <v>0</v>
      </c>
      <c r="BX256" s="239">
        <v>-17742</v>
      </c>
      <c r="BY256" s="239">
        <v>-1774232</v>
      </c>
      <c r="BZ256" s="239">
        <v>-638581</v>
      </c>
      <c r="CA256" s="239">
        <v>-625810</v>
      </c>
      <c r="CB256" s="239">
        <v>0</v>
      </c>
      <c r="CC256" s="239">
        <v>-12772</v>
      </c>
      <c r="CD256" s="239">
        <v>-1277163</v>
      </c>
      <c r="CE256" s="239">
        <v>-248535</v>
      </c>
      <c r="CF256" s="239">
        <v>-243564</v>
      </c>
      <c r="CG256" s="239">
        <v>0</v>
      </c>
      <c r="CH256" s="239">
        <v>-4970</v>
      </c>
      <c r="CI256" s="239">
        <v>-497069</v>
      </c>
      <c r="CJ256" s="239">
        <v>23223840</v>
      </c>
      <c r="CK256" s="239">
        <v>22759364</v>
      </c>
      <c r="CL256" s="239">
        <v>0</v>
      </c>
      <c r="CM256" s="239">
        <v>464477</v>
      </c>
      <c r="CN256" s="239">
        <v>46447681</v>
      </c>
      <c r="CO256" s="239">
        <v>21602473</v>
      </c>
      <c r="CP256" s="239">
        <v>21170424</v>
      </c>
      <c r="CQ256" s="239">
        <v>0</v>
      </c>
      <c r="CR256" s="239">
        <v>432049</v>
      </c>
      <c r="CS256" s="239">
        <v>43204946</v>
      </c>
      <c r="CT256" s="239">
        <v>-1621367</v>
      </c>
      <c r="CU256" s="239">
        <v>-1588940</v>
      </c>
      <c r="CV256" s="239">
        <v>0</v>
      </c>
      <c r="CW256" s="239">
        <v>-32428</v>
      </c>
      <c r="CX256" s="239">
        <v>-3242735</v>
      </c>
      <c r="CY256" s="239">
        <v>-1869902</v>
      </c>
      <c r="CZ256" s="239">
        <v>-1832504</v>
      </c>
      <c r="DA256" s="239">
        <v>0</v>
      </c>
      <c r="DB256" s="239">
        <v>-37398</v>
      </c>
      <c r="DC256" s="239">
        <v>-3739804</v>
      </c>
      <c r="DD256" s="214">
        <v>0.5</v>
      </c>
      <c r="DE256" s="214">
        <v>0.49</v>
      </c>
      <c r="DF256" s="214">
        <v>0</v>
      </c>
      <c r="DG256" s="214">
        <v>0.01</v>
      </c>
      <c r="DH256" s="214">
        <v>1</v>
      </c>
      <c r="DI256" s="214" t="s">
        <v>748</v>
      </c>
    </row>
    <row r="257" spans="2:113" s="214" customFormat="1" x14ac:dyDescent="0.2">
      <c r="B257" s="610" t="s">
        <v>597</v>
      </c>
      <c r="C257" s="610" t="s">
        <v>596</v>
      </c>
      <c r="D257" s="239">
        <v>117274023</v>
      </c>
      <c r="E257" s="239">
        <v>70364414</v>
      </c>
      <c r="F257" s="239">
        <v>46909609</v>
      </c>
      <c r="G257" s="239">
        <v>0</v>
      </c>
      <c r="H257" s="239">
        <v>234548046</v>
      </c>
      <c r="I257" s="239">
        <v>0</v>
      </c>
      <c r="J257" s="239">
        <v>0</v>
      </c>
      <c r="K257" s="239">
        <v>117274023</v>
      </c>
      <c r="L257" s="239">
        <v>652462</v>
      </c>
      <c r="M257" s="239">
        <v>652462</v>
      </c>
      <c r="N257" s="239">
        <v>0</v>
      </c>
      <c r="O257" s="239">
        <v>0</v>
      </c>
      <c r="P257" s="239">
        <v>0</v>
      </c>
      <c r="Q257" s="239">
        <v>0</v>
      </c>
      <c r="R257" s="239">
        <v>0</v>
      </c>
      <c r="S257" s="239">
        <v>0</v>
      </c>
      <c r="T257" s="239">
        <v>0</v>
      </c>
      <c r="U257" s="239">
        <v>0</v>
      </c>
      <c r="V257" s="239">
        <v>0</v>
      </c>
      <c r="W257" s="239">
        <v>4828610</v>
      </c>
      <c r="X257" s="239">
        <v>2897166</v>
      </c>
      <c r="Y257" s="239">
        <v>1931444</v>
      </c>
      <c r="Z257" s="239">
        <v>0</v>
      </c>
      <c r="AA257" s="239">
        <v>9657220</v>
      </c>
      <c r="AB257" s="239">
        <v>-8726512</v>
      </c>
      <c r="AC257" s="239">
        <v>-5235908</v>
      </c>
      <c r="AD257" s="239">
        <v>-3490605</v>
      </c>
      <c r="AE257" s="239">
        <v>0</v>
      </c>
      <c r="AF257" s="239">
        <v>-17453025</v>
      </c>
      <c r="AG257" s="239">
        <v>-2396983</v>
      </c>
      <c r="AH257" s="239">
        <v>-1438189.8</v>
      </c>
      <c r="AI257" s="239">
        <v>-958793</v>
      </c>
      <c r="AJ257" s="239">
        <v>0</v>
      </c>
      <c r="AK257" s="239">
        <v>-4793966</v>
      </c>
      <c r="AL257" s="239">
        <v>922322</v>
      </c>
      <c r="AM257" s="239">
        <v>553394</v>
      </c>
      <c r="AN257" s="239">
        <v>368929</v>
      </c>
      <c r="AO257" s="239">
        <v>0</v>
      </c>
      <c r="AP257" s="239">
        <v>1844645</v>
      </c>
      <c r="AQ257" s="239">
        <v>-391301</v>
      </c>
      <c r="AR257" s="239">
        <v>-234780</v>
      </c>
      <c r="AS257" s="239">
        <v>-156520</v>
      </c>
      <c r="AT257" s="239">
        <v>0</v>
      </c>
      <c r="AU257" s="239">
        <v>-782601</v>
      </c>
      <c r="AV257" s="239">
        <v>-1865962</v>
      </c>
      <c r="AW257" s="239">
        <v>-1119575.8</v>
      </c>
      <c r="AX257" s="239">
        <v>-746384</v>
      </c>
      <c r="AY257" s="239">
        <v>0</v>
      </c>
      <c r="AZ257" s="239">
        <v>-3731922</v>
      </c>
      <c r="BA257" s="239">
        <v>-15443705</v>
      </c>
      <c r="BB257" s="239">
        <v>-9266224</v>
      </c>
      <c r="BC257" s="239">
        <v>-6177482</v>
      </c>
      <c r="BD257" s="239">
        <v>0</v>
      </c>
      <c r="BE257" s="239">
        <v>-30887411</v>
      </c>
      <c r="BF257" s="239">
        <v>3709891</v>
      </c>
      <c r="BG257" s="239">
        <v>2225935</v>
      </c>
      <c r="BH257" s="239">
        <v>1483956</v>
      </c>
      <c r="BI257" s="239">
        <v>0</v>
      </c>
      <c r="BJ257" s="239">
        <v>7419782</v>
      </c>
      <c r="BK257" s="239">
        <v>2104471</v>
      </c>
      <c r="BL257" s="239">
        <v>1262683</v>
      </c>
      <c r="BM257" s="239">
        <v>841789</v>
      </c>
      <c r="BN257" s="239">
        <v>0</v>
      </c>
      <c r="BO257" s="239">
        <v>4208943</v>
      </c>
      <c r="BP257" s="239">
        <v>-9629343</v>
      </c>
      <c r="BQ257" s="239">
        <v>-5777606</v>
      </c>
      <c r="BR257" s="239">
        <v>-3851737</v>
      </c>
      <c r="BS257" s="239">
        <v>0</v>
      </c>
      <c r="BT257" s="239">
        <v>-19258686</v>
      </c>
      <c r="BU257" s="239">
        <v>-16363174</v>
      </c>
      <c r="BV257" s="239">
        <v>-9817905</v>
      </c>
      <c r="BW257" s="239">
        <v>-6545270</v>
      </c>
      <c r="BX257" s="239">
        <v>0</v>
      </c>
      <c r="BY257" s="239">
        <v>-32726349</v>
      </c>
      <c r="BZ257" s="239">
        <v>-6573349</v>
      </c>
      <c r="CA257" s="239">
        <v>-3944010</v>
      </c>
      <c r="CB257" s="239">
        <v>-2629340</v>
      </c>
      <c r="CC257" s="239">
        <v>0</v>
      </c>
      <c r="CD257" s="239">
        <v>-13146699</v>
      </c>
      <c r="CE257" s="239">
        <v>-9789825</v>
      </c>
      <c r="CF257" s="239">
        <v>-5873895</v>
      </c>
      <c r="CG257" s="239">
        <v>-3915930</v>
      </c>
      <c r="CH257" s="239">
        <v>0</v>
      </c>
      <c r="CI257" s="239">
        <v>-19579650</v>
      </c>
      <c r="CJ257" s="239">
        <v>114311386</v>
      </c>
      <c r="CK257" s="239">
        <v>68586831</v>
      </c>
      <c r="CL257" s="239">
        <v>45724554</v>
      </c>
      <c r="CM257" s="239">
        <v>0</v>
      </c>
      <c r="CN257" s="239">
        <v>228622771</v>
      </c>
      <c r="CO257" s="239">
        <v>117274023</v>
      </c>
      <c r="CP257" s="239">
        <v>70364414</v>
      </c>
      <c r="CQ257" s="239">
        <v>46909609</v>
      </c>
      <c r="CR257" s="239">
        <v>0</v>
      </c>
      <c r="CS257" s="239">
        <v>234548046</v>
      </c>
      <c r="CT257" s="239">
        <v>2962637</v>
      </c>
      <c r="CU257" s="239">
        <v>1777583</v>
      </c>
      <c r="CV257" s="239">
        <v>1185055</v>
      </c>
      <c r="CW257" s="239">
        <v>0</v>
      </c>
      <c r="CX257" s="239">
        <v>5925275</v>
      </c>
      <c r="CY257" s="239">
        <v>-6827188</v>
      </c>
      <c r="CZ257" s="239">
        <v>-4096312</v>
      </c>
      <c r="DA257" s="239">
        <v>-2730875</v>
      </c>
      <c r="DB257" s="239">
        <v>0</v>
      </c>
      <c r="DC257" s="239">
        <v>-13654375</v>
      </c>
      <c r="DD257" s="214">
        <v>0.5</v>
      </c>
      <c r="DE257" s="214">
        <v>0.3</v>
      </c>
      <c r="DF257" s="214">
        <v>0.2</v>
      </c>
      <c r="DG257" s="214">
        <v>0</v>
      </c>
      <c r="DH257" s="214">
        <v>1</v>
      </c>
      <c r="DI257" s="214" t="s">
        <v>1297</v>
      </c>
    </row>
    <row r="258" spans="2:113" s="214" customFormat="1" x14ac:dyDescent="0.2">
      <c r="B258" s="610" t="s">
        <v>599</v>
      </c>
      <c r="C258" s="610" t="s">
        <v>598</v>
      </c>
      <c r="D258" s="239">
        <v>21112085</v>
      </c>
      <c r="E258" s="239">
        <v>16889668</v>
      </c>
      <c r="F258" s="239">
        <v>4222417</v>
      </c>
      <c r="G258" s="239">
        <v>0</v>
      </c>
      <c r="H258" s="239">
        <v>42224170</v>
      </c>
      <c r="I258" s="239">
        <v>0</v>
      </c>
      <c r="J258" s="239">
        <v>0</v>
      </c>
      <c r="K258" s="239">
        <v>21112085</v>
      </c>
      <c r="L258" s="239">
        <v>129885</v>
      </c>
      <c r="M258" s="239">
        <v>129885</v>
      </c>
      <c r="N258" s="239">
        <v>0</v>
      </c>
      <c r="O258" s="239">
        <v>0</v>
      </c>
      <c r="P258" s="239">
        <v>0</v>
      </c>
      <c r="Q258" s="239">
        <v>0</v>
      </c>
      <c r="R258" s="239">
        <v>0</v>
      </c>
      <c r="S258" s="239">
        <v>0</v>
      </c>
      <c r="T258" s="239">
        <v>0</v>
      </c>
      <c r="U258" s="239">
        <v>0</v>
      </c>
      <c r="V258" s="239">
        <v>0</v>
      </c>
      <c r="W258" s="239">
        <v>1002246</v>
      </c>
      <c r="X258" s="239">
        <v>801797</v>
      </c>
      <c r="Y258" s="239">
        <v>200449</v>
      </c>
      <c r="Z258" s="239">
        <v>0</v>
      </c>
      <c r="AA258" s="239">
        <v>2004492</v>
      </c>
      <c r="AB258" s="239">
        <v>-567426</v>
      </c>
      <c r="AC258" s="239">
        <v>-453941</v>
      </c>
      <c r="AD258" s="239">
        <v>-113485</v>
      </c>
      <c r="AE258" s="239">
        <v>0</v>
      </c>
      <c r="AF258" s="239">
        <v>-1134852</v>
      </c>
      <c r="AG258" s="239">
        <v>-81477.5</v>
      </c>
      <c r="AH258" s="239">
        <v>-65182</v>
      </c>
      <c r="AI258" s="239">
        <v>-16295.5</v>
      </c>
      <c r="AJ258" s="239">
        <v>0</v>
      </c>
      <c r="AK258" s="239">
        <v>-162955</v>
      </c>
      <c r="AL258" s="239">
        <v>23810</v>
      </c>
      <c r="AM258" s="239">
        <v>19048</v>
      </c>
      <c r="AN258" s="239">
        <v>4762</v>
      </c>
      <c r="AO258" s="239">
        <v>0</v>
      </c>
      <c r="AP258" s="239">
        <v>47620</v>
      </c>
      <c r="AQ258" s="239">
        <v>-395000</v>
      </c>
      <c r="AR258" s="239">
        <v>-316000</v>
      </c>
      <c r="AS258" s="239">
        <v>-79000</v>
      </c>
      <c r="AT258" s="239">
        <v>0</v>
      </c>
      <c r="AU258" s="239">
        <v>-790000</v>
      </c>
      <c r="AV258" s="239">
        <v>-452667.5</v>
      </c>
      <c r="AW258" s="239">
        <v>-362134</v>
      </c>
      <c r="AX258" s="239">
        <v>-90533.5</v>
      </c>
      <c r="AY258" s="239">
        <v>0</v>
      </c>
      <c r="AZ258" s="239">
        <v>-905335</v>
      </c>
      <c r="BA258" s="239">
        <v>-2865628</v>
      </c>
      <c r="BB258" s="239">
        <v>-2292502</v>
      </c>
      <c r="BC258" s="239">
        <v>-573125</v>
      </c>
      <c r="BD258" s="239">
        <v>0</v>
      </c>
      <c r="BE258" s="239">
        <v>-5731255</v>
      </c>
      <c r="BF258" s="239">
        <v>269313</v>
      </c>
      <c r="BG258" s="239">
        <v>215451</v>
      </c>
      <c r="BH258" s="239">
        <v>53863</v>
      </c>
      <c r="BI258" s="239">
        <v>0</v>
      </c>
      <c r="BJ258" s="239">
        <v>538627</v>
      </c>
      <c r="BK258" s="239">
        <v>326754</v>
      </c>
      <c r="BL258" s="239">
        <v>261404</v>
      </c>
      <c r="BM258" s="239">
        <v>65351</v>
      </c>
      <c r="BN258" s="239">
        <v>0</v>
      </c>
      <c r="BO258" s="239">
        <v>653509</v>
      </c>
      <c r="BP258" s="239">
        <v>-2269561</v>
      </c>
      <c r="BQ258" s="239">
        <v>-1815647</v>
      </c>
      <c r="BR258" s="239">
        <v>-453911</v>
      </c>
      <c r="BS258" s="239">
        <v>0</v>
      </c>
      <c r="BT258" s="239">
        <v>-4539119</v>
      </c>
      <c r="BU258" s="239">
        <v>-2454934</v>
      </c>
      <c r="BV258" s="239">
        <v>-1963947</v>
      </c>
      <c r="BW258" s="239">
        <v>-490987</v>
      </c>
      <c r="BX258" s="239">
        <v>0</v>
      </c>
      <c r="BY258" s="239">
        <v>-4909868</v>
      </c>
      <c r="BZ258" s="239">
        <v>-790616</v>
      </c>
      <c r="CA258" s="239">
        <v>-632493</v>
      </c>
      <c r="CB258" s="239">
        <v>-158123</v>
      </c>
      <c r="CC258" s="239">
        <v>0</v>
      </c>
      <c r="CD258" s="239">
        <v>-1581232</v>
      </c>
      <c r="CE258" s="239">
        <v>-1664318</v>
      </c>
      <c r="CF258" s="239">
        <v>-1331454</v>
      </c>
      <c r="CG258" s="239">
        <v>-332864</v>
      </c>
      <c r="CH258" s="239">
        <v>0</v>
      </c>
      <c r="CI258" s="239">
        <v>-3328636</v>
      </c>
      <c r="CJ258" s="239">
        <v>22523057</v>
      </c>
      <c r="CK258" s="239">
        <v>18018446</v>
      </c>
      <c r="CL258" s="239">
        <v>4504611</v>
      </c>
      <c r="CM258" s="239">
        <v>0</v>
      </c>
      <c r="CN258" s="239">
        <v>45046114</v>
      </c>
      <c r="CO258" s="239">
        <v>21112085</v>
      </c>
      <c r="CP258" s="239">
        <v>16889668</v>
      </c>
      <c r="CQ258" s="239">
        <v>4222417</v>
      </c>
      <c r="CR258" s="239">
        <v>0</v>
      </c>
      <c r="CS258" s="239">
        <v>42224170</v>
      </c>
      <c r="CT258" s="239">
        <v>-1410972</v>
      </c>
      <c r="CU258" s="239">
        <v>-1128778</v>
      </c>
      <c r="CV258" s="239">
        <v>-282194</v>
      </c>
      <c r="CW258" s="239">
        <v>0</v>
      </c>
      <c r="CX258" s="239">
        <v>-2821944</v>
      </c>
      <c r="CY258" s="239">
        <v>-3075290</v>
      </c>
      <c r="CZ258" s="239">
        <v>-2460232</v>
      </c>
      <c r="DA258" s="239">
        <v>-615058</v>
      </c>
      <c r="DB258" s="239">
        <v>0</v>
      </c>
      <c r="DC258" s="239">
        <v>-6150580</v>
      </c>
      <c r="DD258" s="214">
        <v>0.5</v>
      </c>
      <c r="DE258" s="214">
        <v>0.4</v>
      </c>
      <c r="DF258" s="214">
        <v>0.1</v>
      </c>
      <c r="DG258" s="214">
        <v>0</v>
      </c>
      <c r="DH258" s="214">
        <v>1</v>
      </c>
      <c r="DI258" s="214" t="s">
        <v>1294</v>
      </c>
    </row>
    <row r="259" spans="2:113" s="214" customFormat="1" x14ac:dyDescent="0.2">
      <c r="B259" s="610" t="s">
        <v>601</v>
      </c>
      <c r="C259" s="610" t="s">
        <v>600</v>
      </c>
      <c r="D259" s="239">
        <v>29944611</v>
      </c>
      <c r="E259" s="239">
        <v>23955688</v>
      </c>
      <c r="F259" s="239">
        <v>5988922</v>
      </c>
      <c r="G259" s="239">
        <v>0</v>
      </c>
      <c r="H259" s="239">
        <v>59889221</v>
      </c>
      <c r="I259" s="239">
        <v>0</v>
      </c>
      <c r="J259" s="239">
        <v>0</v>
      </c>
      <c r="K259" s="239">
        <v>29944611</v>
      </c>
      <c r="L259" s="239">
        <v>195891</v>
      </c>
      <c r="M259" s="239">
        <v>195891</v>
      </c>
      <c r="N259" s="239">
        <v>0</v>
      </c>
      <c r="O259" s="239">
        <v>0</v>
      </c>
      <c r="P259" s="239">
        <v>0</v>
      </c>
      <c r="Q259" s="239">
        <v>0</v>
      </c>
      <c r="R259" s="239">
        <v>0</v>
      </c>
      <c r="S259" s="239">
        <v>0</v>
      </c>
      <c r="T259" s="239">
        <v>0</v>
      </c>
      <c r="U259" s="239">
        <v>0</v>
      </c>
      <c r="V259" s="239">
        <v>0</v>
      </c>
      <c r="W259" s="239">
        <v>1214319</v>
      </c>
      <c r="X259" s="239">
        <v>971455</v>
      </c>
      <c r="Y259" s="239">
        <v>242864</v>
      </c>
      <c r="Z259" s="239">
        <v>0</v>
      </c>
      <c r="AA259" s="239">
        <v>2428638</v>
      </c>
      <c r="AB259" s="239">
        <v>-425811</v>
      </c>
      <c r="AC259" s="239">
        <v>-340649</v>
      </c>
      <c r="AD259" s="239">
        <v>-85162</v>
      </c>
      <c r="AE259" s="239">
        <v>0</v>
      </c>
      <c r="AF259" s="239">
        <v>-851622</v>
      </c>
      <c r="AG259" s="239">
        <v>-679500</v>
      </c>
      <c r="AH259" s="239">
        <v>-543600</v>
      </c>
      <c r="AI259" s="239">
        <v>-135900</v>
      </c>
      <c r="AJ259" s="239">
        <v>0</v>
      </c>
      <c r="AK259" s="239">
        <v>-1359000</v>
      </c>
      <c r="AL259" s="239">
        <v>0</v>
      </c>
      <c r="AM259" s="239">
        <v>0</v>
      </c>
      <c r="AN259" s="239">
        <v>0</v>
      </c>
      <c r="AO259" s="239">
        <v>0</v>
      </c>
      <c r="AP259" s="239">
        <v>0</v>
      </c>
      <c r="AQ259" s="239">
        <v>-78000</v>
      </c>
      <c r="AR259" s="239">
        <v>-62400</v>
      </c>
      <c r="AS259" s="239">
        <v>-15600</v>
      </c>
      <c r="AT259" s="239">
        <v>0</v>
      </c>
      <c r="AU259" s="239">
        <v>-156000</v>
      </c>
      <c r="AV259" s="239">
        <v>-757500</v>
      </c>
      <c r="AW259" s="239">
        <v>-606000</v>
      </c>
      <c r="AX259" s="239">
        <v>-151500</v>
      </c>
      <c r="AY259" s="239">
        <v>0</v>
      </c>
      <c r="AZ259" s="239">
        <v>-1515000</v>
      </c>
      <c r="BA259" s="239">
        <v>-3131179.8</v>
      </c>
      <c r="BB259" s="239">
        <v>-2504944</v>
      </c>
      <c r="BC259" s="239">
        <v>-626237</v>
      </c>
      <c r="BD259" s="239">
        <v>0</v>
      </c>
      <c r="BE259" s="239">
        <v>-6262360.7999999998</v>
      </c>
      <c r="BF259" s="239">
        <v>449530</v>
      </c>
      <c r="BG259" s="239">
        <v>359624</v>
      </c>
      <c r="BH259" s="239">
        <v>89906</v>
      </c>
      <c r="BI259" s="239">
        <v>0</v>
      </c>
      <c r="BJ259" s="239">
        <v>899060</v>
      </c>
      <c r="BK259" s="239">
        <v>-1934874</v>
      </c>
      <c r="BL259" s="239">
        <v>-1547899</v>
      </c>
      <c r="BM259" s="239">
        <v>-386975</v>
      </c>
      <c r="BN259" s="239">
        <v>0</v>
      </c>
      <c r="BO259" s="239">
        <v>-3869748</v>
      </c>
      <c r="BP259" s="239">
        <v>-4616523.8</v>
      </c>
      <c r="BQ259" s="239">
        <v>-3693219</v>
      </c>
      <c r="BR259" s="239">
        <v>-923306</v>
      </c>
      <c r="BS259" s="239">
        <v>0</v>
      </c>
      <c r="BT259" s="239">
        <v>-9233048.8000000007</v>
      </c>
      <c r="BU259" s="239">
        <v>-4731663</v>
      </c>
      <c r="BV259" s="239">
        <v>-3785331</v>
      </c>
      <c r="BW259" s="239">
        <v>-946333</v>
      </c>
      <c r="BX259" s="239">
        <v>0</v>
      </c>
      <c r="BY259" s="239">
        <v>-9463327</v>
      </c>
      <c r="BZ259" s="239">
        <v>-3040524</v>
      </c>
      <c r="CA259" s="239">
        <v>-2432420</v>
      </c>
      <c r="CB259" s="239">
        <v>-608105</v>
      </c>
      <c r="CC259" s="239">
        <v>0</v>
      </c>
      <c r="CD259" s="239">
        <v>-6081049</v>
      </c>
      <c r="CE259" s="239">
        <v>-1691139</v>
      </c>
      <c r="CF259" s="239">
        <v>-1352911</v>
      </c>
      <c r="CG259" s="239">
        <v>-338228</v>
      </c>
      <c r="CH259" s="239">
        <v>0</v>
      </c>
      <c r="CI259" s="239">
        <v>-3382278</v>
      </c>
      <c r="CJ259" s="239">
        <v>31582774</v>
      </c>
      <c r="CK259" s="239">
        <v>25266219</v>
      </c>
      <c r="CL259" s="239">
        <v>6316555</v>
      </c>
      <c r="CM259" s="239">
        <v>0</v>
      </c>
      <c r="CN259" s="239">
        <v>63165548</v>
      </c>
      <c r="CO259" s="239">
        <v>29944611</v>
      </c>
      <c r="CP259" s="239">
        <v>23955688</v>
      </c>
      <c r="CQ259" s="239">
        <v>5988922</v>
      </c>
      <c r="CR259" s="239">
        <v>0</v>
      </c>
      <c r="CS259" s="239">
        <v>59889221</v>
      </c>
      <c r="CT259" s="239">
        <v>-1638163</v>
      </c>
      <c r="CU259" s="239">
        <v>-1310531</v>
      </c>
      <c r="CV259" s="239">
        <v>-327633</v>
      </c>
      <c r="CW259" s="239">
        <v>0</v>
      </c>
      <c r="CX259" s="239">
        <v>-3276327</v>
      </c>
      <c r="CY259" s="239">
        <v>-3329302</v>
      </c>
      <c r="CZ259" s="239">
        <v>-2663442</v>
      </c>
      <c r="DA259" s="239">
        <v>-665861</v>
      </c>
      <c r="DB259" s="239">
        <v>0</v>
      </c>
      <c r="DC259" s="239">
        <v>-6658605</v>
      </c>
      <c r="DD259" s="214">
        <v>0.5</v>
      </c>
      <c r="DE259" s="214">
        <v>0.4</v>
      </c>
      <c r="DF259" s="214">
        <v>0.1</v>
      </c>
      <c r="DG259" s="214">
        <v>0</v>
      </c>
      <c r="DH259" s="214">
        <v>1</v>
      </c>
      <c r="DI259" s="214" t="s">
        <v>1294</v>
      </c>
    </row>
    <row r="260" spans="2:113" s="214" customFormat="1" x14ac:dyDescent="0.2">
      <c r="B260" s="610" t="s">
        <v>603</v>
      </c>
      <c r="C260" s="610" t="s">
        <v>602</v>
      </c>
      <c r="D260" s="239">
        <v>22669926.280000001</v>
      </c>
      <c r="E260" s="239">
        <v>18135941</v>
      </c>
      <c r="F260" s="239">
        <v>4533985</v>
      </c>
      <c r="G260" s="239">
        <v>0</v>
      </c>
      <c r="H260" s="239">
        <v>45339852.280000001</v>
      </c>
      <c r="I260" s="239">
        <v>0</v>
      </c>
      <c r="J260" s="239">
        <v>0</v>
      </c>
      <c r="K260" s="239">
        <v>22669926.280000001</v>
      </c>
      <c r="L260" s="239">
        <v>163120</v>
      </c>
      <c r="M260" s="239">
        <v>163120</v>
      </c>
      <c r="N260" s="239">
        <v>0</v>
      </c>
      <c r="O260" s="239">
        <v>0</v>
      </c>
      <c r="P260" s="239">
        <v>260058</v>
      </c>
      <c r="Q260" s="239">
        <v>0</v>
      </c>
      <c r="R260" s="239">
        <v>260058</v>
      </c>
      <c r="S260" s="239">
        <v>0</v>
      </c>
      <c r="T260" s="239">
        <v>0</v>
      </c>
      <c r="U260" s="239">
        <v>0</v>
      </c>
      <c r="V260" s="239">
        <v>0</v>
      </c>
      <c r="W260" s="239">
        <v>767982</v>
      </c>
      <c r="X260" s="239">
        <v>614385</v>
      </c>
      <c r="Y260" s="239">
        <v>153596</v>
      </c>
      <c r="Z260" s="239">
        <v>0</v>
      </c>
      <c r="AA260" s="239">
        <v>1535963</v>
      </c>
      <c r="AB260" s="239">
        <v>-231902</v>
      </c>
      <c r="AC260" s="239">
        <v>-185521</v>
      </c>
      <c r="AD260" s="239">
        <v>-46380</v>
      </c>
      <c r="AE260" s="239">
        <v>0</v>
      </c>
      <c r="AF260" s="239">
        <v>-463803</v>
      </c>
      <c r="AG260" s="239">
        <v>-212811.45</v>
      </c>
      <c r="AH260" s="239">
        <v>-170250</v>
      </c>
      <c r="AI260" s="239">
        <v>-42562</v>
      </c>
      <c r="AJ260" s="239">
        <v>0</v>
      </c>
      <c r="AK260" s="239">
        <v>-425623.45</v>
      </c>
      <c r="AL260" s="239">
        <v>80124</v>
      </c>
      <c r="AM260" s="239">
        <v>64099</v>
      </c>
      <c r="AN260" s="239">
        <v>16025</v>
      </c>
      <c r="AO260" s="239">
        <v>0</v>
      </c>
      <c r="AP260" s="239">
        <v>160248</v>
      </c>
      <c r="AQ260" s="239">
        <v>-94900.72</v>
      </c>
      <c r="AR260" s="239">
        <v>-75921</v>
      </c>
      <c r="AS260" s="239">
        <v>-18980</v>
      </c>
      <c r="AT260" s="239">
        <v>0</v>
      </c>
      <c r="AU260" s="239">
        <v>-189801.72</v>
      </c>
      <c r="AV260" s="239">
        <v>-227588.17</v>
      </c>
      <c r="AW260" s="239">
        <v>-182072</v>
      </c>
      <c r="AX260" s="239">
        <v>-45517</v>
      </c>
      <c r="AY260" s="239">
        <v>0</v>
      </c>
      <c r="AZ260" s="239">
        <v>-455177.17000000004</v>
      </c>
      <c r="BA260" s="239">
        <v>-1074713</v>
      </c>
      <c r="BB260" s="239">
        <v>-859772</v>
      </c>
      <c r="BC260" s="239">
        <v>-214943</v>
      </c>
      <c r="BD260" s="239">
        <v>0</v>
      </c>
      <c r="BE260" s="239">
        <v>-2149428</v>
      </c>
      <c r="BF260" s="239">
        <v>283616</v>
      </c>
      <c r="BG260" s="239">
        <v>226892</v>
      </c>
      <c r="BH260" s="239">
        <v>56723</v>
      </c>
      <c r="BI260" s="239">
        <v>0</v>
      </c>
      <c r="BJ260" s="239">
        <v>567231</v>
      </c>
      <c r="BK260" s="239">
        <v>-929726</v>
      </c>
      <c r="BL260" s="239">
        <v>-743781</v>
      </c>
      <c r="BM260" s="239">
        <v>-185945</v>
      </c>
      <c r="BN260" s="239">
        <v>0</v>
      </c>
      <c r="BO260" s="239">
        <v>-1859452</v>
      </c>
      <c r="BP260" s="239">
        <v>-1720823</v>
      </c>
      <c r="BQ260" s="239">
        <v>-1376661</v>
      </c>
      <c r="BR260" s="239">
        <v>-344165</v>
      </c>
      <c r="BS260" s="239">
        <v>0</v>
      </c>
      <c r="BT260" s="239">
        <v>-3441649</v>
      </c>
      <c r="BU260" s="239">
        <v>-122129</v>
      </c>
      <c r="BV260" s="239">
        <v>-97703</v>
      </c>
      <c r="BW260" s="239">
        <v>-24426</v>
      </c>
      <c r="BX260" s="239">
        <v>0</v>
      </c>
      <c r="BY260" s="239">
        <v>-244258</v>
      </c>
      <c r="BZ260" s="239">
        <v>-299927</v>
      </c>
      <c r="CA260" s="239">
        <v>-239942</v>
      </c>
      <c r="CB260" s="239">
        <v>-59985</v>
      </c>
      <c r="CC260" s="239">
        <v>0</v>
      </c>
      <c r="CD260" s="239">
        <v>-599854</v>
      </c>
      <c r="CE260" s="239">
        <v>177798</v>
      </c>
      <c r="CF260" s="239">
        <v>142239</v>
      </c>
      <c r="CG260" s="239">
        <v>35559</v>
      </c>
      <c r="CH260" s="239">
        <v>0</v>
      </c>
      <c r="CI260" s="239">
        <v>355596</v>
      </c>
      <c r="CJ260" s="239">
        <v>23103693</v>
      </c>
      <c r="CK260" s="239">
        <v>18482955</v>
      </c>
      <c r="CL260" s="239">
        <v>4620739</v>
      </c>
      <c r="CM260" s="239">
        <v>0</v>
      </c>
      <c r="CN260" s="239">
        <v>46207387</v>
      </c>
      <c r="CO260" s="239">
        <v>22669926.280000001</v>
      </c>
      <c r="CP260" s="239">
        <v>18135941</v>
      </c>
      <c r="CQ260" s="239">
        <v>4533985</v>
      </c>
      <c r="CR260" s="239">
        <v>0</v>
      </c>
      <c r="CS260" s="239">
        <v>45339852.280000001</v>
      </c>
      <c r="CT260" s="239">
        <v>-433766.71999999881</v>
      </c>
      <c r="CU260" s="239">
        <v>-347014</v>
      </c>
      <c r="CV260" s="239">
        <v>-86754</v>
      </c>
      <c r="CW260" s="239">
        <v>0</v>
      </c>
      <c r="CX260" s="239">
        <v>-867534.71999999881</v>
      </c>
      <c r="CY260" s="239">
        <v>-255968.71999999881</v>
      </c>
      <c r="CZ260" s="239">
        <v>-204775</v>
      </c>
      <c r="DA260" s="239">
        <v>-51195</v>
      </c>
      <c r="DB260" s="239">
        <v>0</v>
      </c>
      <c r="DC260" s="239">
        <v>-511938.71999999881</v>
      </c>
      <c r="DD260" s="214">
        <v>0.5</v>
      </c>
      <c r="DE260" s="214">
        <v>0.4</v>
      </c>
      <c r="DF260" s="214">
        <v>0.1</v>
      </c>
      <c r="DG260" s="214">
        <v>0</v>
      </c>
      <c r="DH260" s="214">
        <v>1</v>
      </c>
      <c r="DI260" s="214" t="s">
        <v>1294</v>
      </c>
    </row>
    <row r="261" spans="2:113" s="214" customFormat="1" x14ac:dyDescent="0.2">
      <c r="B261" s="610" t="s">
        <v>605</v>
      </c>
      <c r="C261" s="610" t="s">
        <v>604</v>
      </c>
      <c r="D261" s="239">
        <v>24110759</v>
      </c>
      <c r="E261" s="239">
        <v>23628543</v>
      </c>
      <c r="F261" s="239">
        <v>0</v>
      </c>
      <c r="G261" s="239">
        <v>482215</v>
      </c>
      <c r="H261" s="239">
        <v>48221517</v>
      </c>
      <c r="I261" s="239">
        <v>0</v>
      </c>
      <c r="J261" s="239">
        <v>0</v>
      </c>
      <c r="K261" s="239">
        <v>24110759</v>
      </c>
      <c r="L261" s="239">
        <v>199028</v>
      </c>
      <c r="M261" s="239">
        <v>199028</v>
      </c>
      <c r="N261" s="239">
        <v>0</v>
      </c>
      <c r="O261" s="239">
        <v>0</v>
      </c>
      <c r="P261" s="239">
        <v>0</v>
      </c>
      <c r="Q261" s="239">
        <v>0</v>
      </c>
      <c r="R261" s="239">
        <v>0</v>
      </c>
      <c r="S261" s="239">
        <v>0</v>
      </c>
      <c r="T261" s="239">
        <v>0</v>
      </c>
      <c r="U261" s="239">
        <v>0</v>
      </c>
      <c r="V261" s="239">
        <v>0</v>
      </c>
      <c r="W261" s="239">
        <v>2235132</v>
      </c>
      <c r="X261" s="239">
        <v>2190429</v>
      </c>
      <c r="Y261" s="239">
        <v>0</v>
      </c>
      <c r="Z261" s="239">
        <v>44703</v>
      </c>
      <c r="AA261" s="239">
        <v>4470264</v>
      </c>
      <c r="AB261" s="239">
        <v>-732273</v>
      </c>
      <c r="AC261" s="239">
        <v>-717628</v>
      </c>
      <c r="AD261" s="239">
        <v>0</v>
      </c>
      <c r="AE261" s="239">
        <v>-14645</v>
      </c>
      <c r="AF261" s="239">
        <v>-1464546</v>
      </c>
      <c r="AG261" s="239">
        <v>-1157918</v>
      </c>
      <c r="AH261" s="239">
        <v>-1134759</v>
      </c>
      <c r="AI261" s="239">
        <v>0</v>
      </c>
      <c r="AJ261" s="239">
        <v>-23158</v>
      </c>
      <c r="AK261" s="239">
        <v>-2315835</v>
      </c>
      <c r="AL261" s="239">
        <v>258278</v>
      </c>
      <c r="AM261" s="239">
        <v>253113</v>
      </c>
      <c r="AN261" s="239">
        <v>0</v>
      </c>
      <c r="AO261" s="239">
        <v>5166</v>
      </c>
      <c r="AP261" s="239">
        <v>516557</v>
      </c>
      <c r="AQ261" s="239">
        <v>-429153</v>
      </c>
      <c r="AR261" s="239">
        <v>-420570</v>
      </c>
      <c r="AS261" s="239">
        <v>0</v>
      </c>
      <c r="AT261" s="239">
        <v>-8583</v>
      </c>
      <c r="AU261" s="239">
        <v>-858306</v>
      </c>
      <c r="AV261" s="239">
        <v>-1328793</v>
      </c>
      <c r="AW261" s="239">
        <v>-1302216</v>
      </c>
      <c r="AX261" s="239">
        <v>0</v>
      </c>
      <c r="AY261" s="239">
        <v>-26575</v>
      </c>
      <c r="AZ261" s="239">
        <v>-2657584</v>
      </c>
      <c r="BA261" s="239">
        <v>-2979015</v>
      </c>
      <c r="BB261" s="239">
        <v>-2919436</v>
      </c>
      <c r="BC261" s="239">
        <v>0</v>
      </c>
      <c r="BD261" s="239">
        <v>-59581</v>
      </c>
      <c r="BE261" s="239">
        <v>-5958032</v>
      </c>
      <c r="BF261" s="239">
        <v>615917</v>
      </c>
      <c r="BG261" s="239">
        <v>603598</v>
      </c>
      <c r="BH261" s="239">
        <v>0</v>
      </c>
      <c r="BI261" s="239">
        <v>12318</v>
      </c>
      <c r="BJ261" s="239">
        <v>1231833</v>
      </c>
      <c r="BK261" s="239">
        <v>-1631311</v>
      </c>
      <c r="BL261" s="239">
        <v>-1598685</v>
      </c>
      <c r="BM261" s="239">
        <v>0</v>
      </c>
      <c r="BN261" s="239">
        <v>-32626</v>
      </c>
      <c r="BO261" s="239">
        <v>-3262622</v>
      </c>
      <c r="BP261" s="239">
        <v>-3994409</v>
      </c>
      <c r="BQ261" s="239">
        <v>-3914523</v>
      </c>
      <c r="BR261" s="239">
        <v>0</v>
      </c>
      <c r="BS261" s="239">
        <v>-79889</v>
      </c>
      <c r="BT261" s="239">
        <v>-7988821</v>
      </c>
      <c r="BU261" s="239">
        <v>299192</v>
      </c>
      <c r="BV261" s="239">
        <v>293208</v>
      </c>
      <c r="BW261" s="239">
        <v>0</v>
      </c>
      <c r="BX261" s="239">
        <v>5984</v>
      </c>
      <c r="BY261" s="239">
        <v>598384</v>
      </c>
      <c r="BZ261" s="239">
        <v>256843</v>
      </c>
      <c r="CA261" s="239">
        <v>251707</v>
      </c>
      <c r="CB261" s="239">
        <v>0</v>
      </c>
      <c r="CC261" s="239">
        <v>5137</v>
      </c>
      <c r="CD261" s="239">
        <v>513687</v>
      </c>
      <c r="CE261" s="239">
        <v>42349</v>
      </c>
      <c r="CF261" s="239">
        <v>41501</v>
      </c>
      <c r="CG261" s="239">
        <v>0</v>
      </c>
      <c r="CH261" s="239">
        <v>847</v>
      </c>
      <c r="CI261" s="239">
        <v>84697</v>
      </c>
      <c r="CJ261" s="239">
        <v>23956952</v>
      </c>
      <c r="CK261" s="239">
        <v>23477812</v>
      </c>
      <c r="CL261" s="239">
        <v>0</v>
      </c>
      <c r="CM261" s="239">
        <v>479139</v>
      </c>
      <c r="CN261" s="239">
        <v>47913903</v>
      </c>
      <c r="CO261" s="239">
        <v>24110759</v>
      </c>
      <c r="CP261" s="239">
        <v>23628543</v>
      </c>
      <c r="CQ261" s="239">
        <v>0</v>
      </c>
      <c r="CR261" s="239">
        <v>482215</v>
      </c>
      <c r="CS261" s="239">
        <v>48221517</v>
      </c>
      <c r="CT261" s="239">
        <v>153807</v>
      </c>
      <c r="CU261" s="239">
        <v>150731</v>
      </c>
      <c r="CV261" s="239">
        <v>0</v>
      </c>
      <c r="CW261" s="239">
        <v>3076</v>
      </c>
      <c r="CX261" s="239">
        <v>307614</v>
      </c>
      <c r="CY261" s="239">
        <v>196156</v>
      </c>
      <c r="CZ261" s="239">
        <v>192232</v>
      </c>
      <c r="DA261" s="239">
        <v>0</v>
      </c>
      <c r="DB261" s="239">
        <v>3923</v>
      </c>
      <c r="DC261" s="239">
        <v>392311</v>
      </c>
      <c r="DD261" s="214">
        <v>0.5</v>
      </c>
      <c r="DE261" s="214">
        <v>0.49</v>
      </c>
      <c r="DF261" s="214">
        <v>0</v>
      </c>
      <c r="DG261" s="214">
        <v>0.01</v>
      </c>
      <c r="DH261" s="214">
        <v>1</v>
      </c>
      <c r="DI261" s="214" t="s">
        <v>1296</v>
      </c>
    </row>
    <row r="262" spans="2:113" s="214" customFormat="1" x14ac:dyDescent="0.2">
      <c r="B262" s="610" t="s">
        <v>607</v>
      </c>
      <c r="C262" s="610" t="s">
        <v>606</v>
      </c>
      <c r="D262" s="239">
        <v>22610016</v>
      </c>
      <c r="E262" s="239">
        <v>18088013</v>
      </c>
      <c r="F262" s="239">
        <v>4069803</v>
      </c>
      <c r="G262" s="239">
        <v>452200</v>
      </c>
      <c r="H262" s="239">
        <v>45220032</v>
      </c>
      <c r="I262" s="239">
        <v>0</v>
      </c>
      <c r="J262" s="239">
        <v>0</v>
      </c>
      <c r="K262" s="239">
        <v>22610016</v>
      </c>
      <c r="L262" s="239">
        <v>170588</v>
      </c>
      <c r="M262" s="239">
        <v>170588</v>
      </c>
      <c r="N262" s="239">
        <v>0</v>
      </c>
      <c r="O262" s="239">
        <v>0</v>
      </c>
      <c r="P262" s="239">
        <v>0</v>
      </c>
      <c r="Q262" s="239">
        <v>0</v>
      </c>
      <c r="R262" s="239">
        <v>0</v>
      </c>
      <c r="S262" s="239">
        <v>0</v>
      </c>
      <c r="T262" s="239">
        <v>0</v>
      </c>
      <c r="U262" s="239">
        <v>0</v>
      </c>
      <c r="V262" s="239">
        <v>0</v>
      </c>
      <c r="W262" s="239">
        <v>889196</v>
      </c>
      <c r="X262" s="239">
        <v>711356</v>
      </c>
      <c r="Y262" s="239">
        <v>160055</v>
      </c>
      <c r="Z262" s="239">
        <v>17784</v>
      </c>
      <c r="AA262" s="239">
        <v>1778391</v>
      </c>
      <c r="AB262" s="239">
        <v>-88177</v>
      </c>
      <c r="AC262" s="239">
        <v>-70542</v>
      </c>
      <c r="AD262" s="239">
        <v>-15872</v>
      </c>
      <c r="AE262" s="239">
        <v>-1764</v>
      </c>
      <c r="AF262" s="239">
        <v>-176355</v>
      </c>
      <c r="AG262" s="239">
        <v>-438393</v>
      </c>
      <c r="AH262" s="239">
        <v>-350714</v>
      </c>
      <c r="AI262" s="239">
        <v>-78911</v>
      </c>
      <c r="AJ262" s="239">
        <v>-8768</v>
      </c>
      <c r="AK262" s="239">
        <v>-876786</v>
      </c>
      <c r="AL262" s="239">
        <v>129147</v>
      </c>
      <c r="AM262" s="239">
        <v>103317</v>
      </c>
      <c r="AN262" s="239">
        <v>23246</v>
      </c>
      <c r="AO262" s="239">
        <v>2583</v>
      </c>
      <c r="AP262" s="239">
        <v>258293</v>
      </c>
      <c r="AQ262" s="239">
        <v>-203781</v>
      </c>
      <c r="AR262" s="239">
        <v>-163024</v>
      </c>
      <c r="AS262" s="239">
        <v>-36680</v>
      </c>
      <c r="AT262" s="239">
        <v>-4076</v>
      </c>
      <c r="AU262" s="239">
        <v>-407561</v>
      </c>
      <c r="AV262" s="239">
        <v>-513027</v>
      </c>
      <c r="AW262" s="239">
        <v>-410421</v>
      </c>
      <c r="AX262" s="239">
        <v>-92345</v>
      </c>
      <c r="AY262" s="239">
        <v>-10261</v>
      </c>
      <c r="AZ262" s="239">
        <v>-1026054</v>
      </c>
      <c r="BA262" s="239">
        <v>-2441559</v>
      </c>
      <c r="BB262" s="239">
        <v>-1953245</v>
      </c>
      <c r="BC262" s="239">
        <v>-439480</v>
      </c>
      <c r="BD262" s="239">
        <v>-48831</v>
      </c>
      <c r="BE262" s="239">
        <v>-4883115</v>
      </c>
      <c r="BF262" s="239">
        <v>384068</v>
      </c>
      <c r="BG262" s="239">
        <v>307254</v>
      </c>
      <c r="BH262" s="239">
        <v>69132</v>
      </c>
      <c r="BI262" s="239">
        <v>7681</v>
      </c>
      <c r="BJ262" s="239">
        <v>768135</v>
      </c>
      <c r="BK262" s="239">
        <v>-365682</v>
      </c>
      <c r="BL262" s="239">
        <v>-292546</v>
      </c>
      <c r="BM262" s="239">
        <v>-65823</v>
      </c>
      <c r="BN262" s="239">
        <v>-7314</v>
      </c>
      <c r="BO262" s="239">
        <v>-731365</v>
      </c>
      <c r="BP262" s="239">
        <v>-2423173</v>
      </c>
      <c r="BQ262" s="239">
        <v>-1938537</v>
      </c>
      <c r="BR262" s="239">
        <v>-436171</v>
      </c>
      <c r="BS262" s="239">
        <v>-48464</v>
      </c>
      <c r="BT262" s="239">
        <v>-4846345</v>
      </c>
      <c r="BU262" s="239">
        <v>-1598070</v>
      </c>
      <c r="BV262" s="239">
        <v>-1278455</v>
      </c>
      <c r="BW262" s="239">
        <v>-287652</v>
      </c>
      <c r="BX262" s="239">
        <v>-31961</v>
      </c>
      <c r="BY262" s="239">
        <v>-3196138</v>
      </c>
      <c r="BZ262" s="239">
        <v>753279.47</v>
      </c>
      <c r="CA262" s="239">
        <v>602623</v>
      </c>
      <c r="CB262" s="239">
        <v>135590</v>
      </c>
      <c r="CC262" s="239">
        <v>15066</v>
      </c>
      <c r="CD262" s="239">
        <v>1506558.47</v>
      </c>
      <c r="CE262" s="239">
        <v>-2351349.4699999997</v>
      </c>
      <c r="CF262" s="239">
        <v>-1881078</v>
      </c>
      <c r="CG262" s="239">
        <v>-423242</v>
      </c>
      <c r="CH262" s="239">
        <v>-47027</v>
      </c>
      <c r="CI262" s="239">
        <v>-4702696.47</v>
      </c>
      <c r="CJ262" s="239">
        <v>22712177</v>
      </c>
      <c r="CK262" s="239">
        <v>18169742</v>
      </c>
      <c r="CL262" s="239">
        <v>4088192</v>
      </c>
      <c r="CM262" s="239">
        <v>454244</v>
      </c>
      <c r="CN262" s="239">
        <v>45424355</v>
      </c>
      <c r="CO262" s="239">
        <v>22610016</v>
      </c>
      <c r="CP262" s="239">
        <v>18088013</v>
      </c>
      <c r="CQ262" s="239">
        <v>4069803</v>
      </c>
      <c r="CR262" s="239">
        <v>452200</v>
      </c>
      <c r="CS262" s="239">
        <v>45220032</v>
      </c>
      <c r="CT262" s="239">
        <v>-102161</v>
      </c>
      <c r="CU262" s="239">
        <v>-81729</v>
      </c>
      <c r="CV262" s="239">
        <v>-18389</v>
      </c>
      <c r="CW262" s="239">
        <v>-2044</v>
      </c>
      <c r="CX262" s="239">
        <v>-204323</v>
      </c>
      <c r="CY262" s="239">
        <v>-2453510.4699999997</v>
      </c>
      <c r="CZ262" s="239">
        <v>-1962807</v>
      </c>
      <c r="DA262" s="239">
        <v>-441631</v>
      </c>
      <c r="DB262" s="239">
        <v>-49071</v>
      </c>
      <c r="DC262" s="239">
        <v>-4907019.47</v>
      </c>
      <c r="DD262" s="214">
        <v>0.5</v>
      </c>
      <c r="DE262" s="214">
        <v>0.4</v>
      </c>
      <c r="DF262" s="214">
        <v>0.09</v>
      </c>
      <c r="DG262" s="214">
        <v>0.01</v>
      </c>
      <c r="DH262" s="214">
        <v>1</v>
      </c>
      <c r="DI262" s="214" t="s">
        <v>1294</v>
      </c>
    </row>
    <row r="263" spans="2:113" s="214" customFormat="1" x14ac:dyDescent="0.2">
      <c r="B263" s="610" t="s">
        <v>609</v>
      </c>
      <c r="C263" s="610" t="s">
        <v>608</v>
      </c>
      <c r="D263" s="239">
        <v>8738457</v>
      </c>
      <c r="E263" s="239">
        <v>6990765</v>
      </c>
      <c r="F263" s="239">
        <v>1572922</v>
      </c>
      <c r="G263" s="239">
        <v>174769</v>
      </c>
      <c r="H263" s="239">
        <v>17476913</v>
      </c>
      <c r="I263" s="239">
        <v>0</v>
      </c>
      <c r="J263" s="239">
        <v>0</v>
      </c>
      <c r="K263" s="239">
        <v>8738457</v>
      </c>
      <c r="L263" s="239">
        <v>115122</v>
      </c>
      <c r="M263" s="239">
        <v>115122</v>
      </c>
      <c r="N263" s="239">
        <v>0</v>
      </c>
      <c r="O263" s="239">
        <v>0</v>
      </c>
      <c r="P263" s="239">
        <v>0</v>
      </c>
      <c r="Q263" s="239">
        <v>0</v>
      </c>
      <c r="R263" s="239">
        <v>0</v>
      </c>
      <c r="S263" s="239">
        <v>0</v>
      </c>
      <c r="T263" s="239">
        <v>0</v>
      </c>
      <c r="U263" s="239">
        <v>0</v>
      </c>
      <c r="V263" s="239">
        <v>0</v>
      </c>
      <c r="W263" s="239">
        <v>346425</v>
      </c>
      <c r="X263" s="239">
        <v>277140</v>
      </c>
      <c r="Y263" s="239">
        <v>62357</v>
      </c>
      <c r="Z263" s="239">
        <v>6929</v>
      </c>
      <c r="AA263" s="239">
        <v>692851</v>
      </c>
      <c r="AB263" s="239">
        <v>-140247</v>
      </c>
      <c r="AC263" s="239">
        <v>-112198</v>
      </c>
      <c r="AD263" s="239">
        <v>-25245</v>
      </c>
      <c r="AE263" s="239">
        <v>-2805</v>
      </c>
      <c r="AF263" s="239">
        <v>-280495</v>
      </c>
      <c r="AG263" s="239">
        <v>-213000</v>
      </c>
      <c r="AH263" s="239">
        <v>-170401</v>
      </c>
      <c r="AI263" s="239">
        <v>-38341</v>
      </c>
      <c r="AJ263" s="239">
        <v>-4260</v>
      </c>
      <c r="AK263" s="239">
        <v>-426002</v>
      </c>
      <c r="AL263" s="239">
        <v>74201</v>
      </c>
      <c r="AM263" s="239">
        <v>59361</v>
      </c>
      <c r="AN263" s="239">
        <v>13356</v>
      </c>
      <c r="AO263" s="239">
        <v>1484</v>
      </c>
      <c r="AP263" s="239">
        <v>148402</v>
      </c>
      <c r="AQ263" s="239">
        <v>-70934</v>
      </c>
      <c r="AR263" s="239">
        <v>-56747</v>
      </c>
      <c r="AS263" s="239">
        <v>-12768</v>
      </c>
      <c r="AT263" s="239">
        <v>-1419</v>
      </c>
      <c r="AU263" s="239">
        <v>-141868</v>
      </c>
      <c r="AV263" s="239">
        <v>-209733</v>
      </c>
      <c r="AW263" s="239">
        <v>-167787</v>
      </c>
      <c r="AX263" s="239">
        <v>-37753</v>
      </c>
      <c r="AY263" s="239">
        <v>-4195</v>
      </c>
      <c r="AZ263" s="239">
        <v>-419468</v>
      </c>
      <c r="BA263" s="239">
        <v>-516550.58</v>
      </c>
      <c r="BB263" s="239">
        <v>-413240</v>
      </c>
      <c r="BC263" s="239">
        <v>-92979</v>
      </c>
      <c r="BD263" s="239">
        <v>-10331</v>
      </c>
      <c r="BE263" s="239">
        <v>-1033100.5</v>
      </c>
      <c r="BF263" s="239">
        <v>175559</v>
      </c>
      <c r="BG263" s="239">
        <v>140448</v>
      </c>
      <c r="BH263" s="239">
        <v>31601</v>
      </c>
      <c r="BI263" s="239">
        <v>3511</v>
      </c>
      <c r="BJ263" s="239">
        <v>351119</v>
      </c>
      <c r="BK263" s="239">
        <v>-619185</v>
      </c>
      <c r="BL263" s="239">
        <v>-495348</v>
      </c>
      <c r="BM263" s="239">
        <v>-111453</v>
      </c>
      <c r="BN263" s="239">
        <v>-12384</v>
      </c>
      <c r="BO263" s="239">
        <v>-1238370</v>
      </c>
      <c r="BP263" s="239">
        <v>-960176.58000000007</v>
      </c>
      <c r="BQ263" s="239">
        <v>-768140</v>
      </c>
      <c r="BR263" s="239">
        <v>-172831</v>
      </c>
      <c r="BS263" s="239">
        <v>-19204</v>
      </c>
      <c r="BT263" s="239">
        <v>-1920351.5</v>
      </c>
      <c r="BU263" s="239">
        <v>-617146</v>
      </c>
      <c r="BV263" s="239">
        <v>-493717</v>
      </c>
      <c r="BW263" s="239">
        <v>-111086</v>
      </c>
      <c r="BX263" s="239">
        <v>-12343</v>
      </c>
      <c r="BY263" s="239">
        <v>-1234292</v>
      </c>
      <c r="BZ263" s="239">
        <v>-320166</v>
      </c>
      <c r="CA263" s="239">
        <v>-256132</v>
      </c>
      <c r="CB263" s="239">
        <v>-57630</v>
      </c>
      <c r="CC263" s="239">
        <v>-6403</v>
      </c>
      <c r="CD263" s="239">
        <v>-640331</v>
      </c>
      <c r="CE263" s="239">
        <v>-296980</v>
      </c>
      <c r="CF263" s="239">
        <v>-237585</v>
      </c>
      <c r="CG263" s="239">
        <v>-53456</v>
      </c>
      <c r="CH263" s="239">
        <v>-5940</v>
      </c>
      <c r="CI263" s="239">
        <v>-593961</v>
      </c>
      <c r="CJ263" s="239">
        <v>9137936</v>
      </c>
      <c r="CK263" s="239">
        <v>7310349</v>
      </c>
      <c r="CL263" s="239">
        <v>1644828</v>
      </c>
      <c r="CM263" s="239">
        <v>182759</v>
      </c>
      <c r="CN263" s="239">
        <v>18275872</v>
      </c>
      <c r="CO263" s="239">
        <v>8738457</v>
      </c>
      <c r="CP263" s="239">
        <v>6990765</v>
      </c>
      <c r="CQ263" s="239">
        <v>1572922</v>
      </c>
      <c r="CR263" s="239">
        <v>174769</v>
      </c>
      <c r="CS263" s="239">
        <v>17476913</v>
      </c>
      <c r="CT263" s="239">
        <v>-399479</v>
      </c>
      <c r="CU263" s="239">
        <v>-319584</v>
      </c>
      <c r="CV263" s="239">
        <v>-71906</v>
      </c>
      <c r="CW263" s="239">
        <v>-7990</v>
      </c>
      <c r="CX263" s="239">
        <v>-798959</v>
      </c>
      <c r="CY263" s="239">
        <v>-696459</v>
      </c>
      <c r="CZ263" s="239">
        <v>-557169</v>
      </c>
      <c r="DA263" s="239">
        <v>-125362</v>
      </c>
      <c r="DB263" s="239">
        <v>-13930</v>
      </c>
      <c r="DC263" s="239">
        <v>-1392920</v>
      </c>
      <c r="DD263" s="214">
        <v>0.5</v>
      </c>
      <c r="DE263" s="214">
        <v>0.4</v>
      </c>
      <c r="DF263" s="214">
        <v>0.09</v>
      </c>
      <c r="DG263" s="214">
        <v>0.01</v>
      </c>
      <c r="DH263" s="214">
        <v>1</v>
      </c>
      <c r="DI263" s="214" t="s">
        <v>1294</v>
      </c>
    </row>
    <row r="264" spans="2:113" s="214" customFormat="1" x14ac:dyDescent="0.2">
      <c r="B264" s="610" t="s">
        <v>611</v>
      </c>
      <c r="C264" s="610" t="s">
        <v>610</v>
      </c>
      <c r="D264" s="239">
        <v>23533679</v>
      </c>
      <c r="E264" s="239">
        <v>18826944</v>
      </c>
      <c r="F264" s="239">
        <v>4706736</v>
      </c>
      <c r="G264" s="239">
        <v>0</v>
      </c>
      <c r="H264" s="239">
        <v>47067359</v>
      </c>
      <c r="I264" s="239">
        <v>0</v>
      </c>
      <c r="J264" s="239">
        <v>0</v>
      </c>
      <c r="K264" s="239">
        <v>23533679</v>
      </c>
      <c r="L264" s="239">
        <v>112274</v>
      </c>
      <c r="M264" s="239">
        <v>112274</v>
      </c>
      <c r="N264" s="239">
        <v>0</v>
      </c>
      <c r="O264" s="239">
        <v>0</v>
      </c>
      <c r="P264" s="239">
        <v>0</v>
      </c>
      <c r="Q264" s="239">
        <v>0</v>
      </c>
      <c r="R264" s="239">
        <v>0</v>
      </c>
      <c r="S264" s="239">
        <v>0</v>
      </c>
      <c r="T264" s="239">
        <v>0</v>
      </c>
      <c r="U264" s="239">
        <v>0</v>
      </c>
      <c r="V264" s="239">
        <v>0</v>
      </c>
      <c r="W264" s="239">
        <v>835534</v>
      </c>
      <c r="X264" s="239">
        <v>668428</v>
      </c>
      <c r="Y264" s="239">
        <v>167107</v>
      </c>
      <c r="Z264" s="239">
        <v>0</v>
      </c>
      <c r="AA264" s="239">
        <v>1671069</v>
      </c>
      <c r="AB264" s="239">
        <v>-551188</v>
      </c>
      <c r="AC264" s="239">
        <v>-440950</v>
      </c>
      <c r="AD264" s="239">
        <v>-110238</v>
      </c>
      <c r="AE264" s="239">
        <v>0</v>
      </c>
      <c r="AF264" s="239">
        <v>-1102376</v>
      </c>
      <c r="AG264" s="239">
        <v>-1212844</v>
      </c>
      <c r="AH264" s="239">
        <v>-970274</v>
      </c>
      <c r="AI264" s="239">
        <v>-242569</v>
      </c>
      <c r="AJ264" s="239">
        <v>0</v>
      </c>
      <c r="AK264" s="239">
        <v>-2425687</v>
      </c>
      <c r="AL264" s="239">
        <v>898223</v>
      </c>
      <c r="AM264" s="239">
        <v>718578</v>
      </c>
      <c r="AN264" s="239">
        <v>179645</v>
      </c>
      <c r="AO264" s="239">
        <v>0</v>
      </c>
      <c r="AP264" s="239">
        <v>1796446</v>
      </c>
      <c r="AQ264" s="239">
        <v>-367007</v>
      </c>
      <c r="AR264" s="239">
        <v>-293606</v>
      </c>
      <c r="AS264" s="239">
        <v>-73401</v>
      </c>
      <c r="AT264" s="239">
        <v>0</v>
      </c>
      <c r="AU264" s="239">
        <v>-734014</v>
      </c>
      <c r="AV264" s="239">
        <v>-681628</v>
      </c>
      <c r="AW264" s="239">
        <v>-545302</v>
      </c>
      <c r="AX264" s="239">
        <v>-136325</v>
      </c>
      <c r="AY264" s="239">
        <v>0</v>
      </c>
      <c r="AZ264" s="239">
        <v>-1363255</v>
      </c>
      <c r="BA264" s="239">
        <v>-3061183</v>
      </c>
      <c r="BB264" s="239">
        <v>-2448945</v>
      </c>
      <c r="BC264" s="239">
        <v>-612236</v>
      </c>
      <c r="BD264" s="239">
        <v>0</v>
      </c>
      <c r="BE264" s="239">
        <v>-6122364</v>
      </c>
      <c r="BF264" s="239">
        <v>299952</v>
      </c>
      <c r="BG264" s="239">
        <v>239962</v>
      </c>
      <c r="BH264" s="239">
        <v>59991</v>
      </c>
      <c r="BI264" s="239">
        <v>0</v>
      </c>
      <c r="BJ264" s="239">
        <v>599905</v>
      </c>
      <c r="BK264" s="239">
        <v>-644004</v>
      </c>
      <c r="BL264" s="239">
        <v>-515203</v>
      </c>
      <c r="BM264" s="239">
        <v>-128801</v>
      </c>
      <c r="BN264" s="239">
        <v>0</v>
      </c>
      <c r="BO264" s="239">
        <v>-1288008</v>
      </c>
      <c r="BP264" s="239">
        <v>-3405235</v>
      </c>
      <c r="BQ264" s="239">
        <v>-2724186</v>
      </c>
      <c r="BR264" s="239">
        <v>-681046</v>
      </c>
      <c r="BS264" s="239">
        <v>0</v>
      </c>
      <c r="BT264" s="239">
        <v>-6810467</v>
      </c>
      <c r="BU264" s="239">
        <v>775077</v>
      </c>
      <c r="BV264" s="239">
        <v>620061</v>
      </c>
      <c r="BW264" s="239">
        <v>155015</v>
      </c>
      <c r="BX264" s="239">
        <v>0</v>
      </c>
      <c r="BY264" s="239">
        <v>1550153</v>
      </c>
      <c r="BZ264" s="239">
        <v>1474861</v>
      </c>
      <c r="CA264" s="239">
        <v>1179888</v>
      </c>
      <c r="CB264" s="239">
        <v>294972</v>
      </c>
      <c r="CC264" s="239">
        <v>0</v>
      </c>
      <c r="CD264" s="239">
        <v>2949721</v>
      </c>
      <c r="CE264" s="239">
        <v>-699784</v>
      </c>
      <c r="CF264" s="239">
        <v>-559827</v>
      </c>
      <c r="CG264" s="239">
        <v>-139957</v>
      </c>
      <c r="CH264" s="239">
        <v>0</v>
      </c>
      <c r="CI264" s="239">
        <v>-1399568</v>
      </c>
      <c r="CJ264" s="239">
        <v>23858719</v>
      </c>
      <c r="CK264" s="239">
        <v>19086976</v>
      </c>
      <c r="CL264" s="239">
        <v>4771744</v>
      </c>
      <c r="CM264" s="239">
        <v>0</v>
      </c>
      <c r="CN264" s="239">
        <v>47717439</v>
      </c>
      <c r="CO264" s="239">
        <v>23533679</v>
      </c>
      <c r="CP264" s="239">
        <v>18826944</v>
      </c>
      <c r="CQ264" s="239">
        <v>4706736</v>
      </c>
      <c r="CR264" s="239">
        <v>0</v>
      </c>
      <c r="CS264" s="239">
        <v>47067359</v>
      </c>
      <c r="CT264" s="239">
        <v>-325040</v>
      </c>
      <c r="CU264" s="239">
        <v>-260032</v>
      </c>
      <c r="CV264" s="239">
        <v>-65008</v>
      </c>
      <c r="CW264" s="239">
        <v>0</v>
      </c>
      <c r="CX264" s="239">
        <v>-650080</v>
      </c>
      <c r="CY264" s="239">
        <v>-1024824</v>
      </c>
      <c r="CZ264" s="239">
        <v>-819859</v>
      </c>
      <c r="DA264" s="239">
        <v>-204965</v>
      </c>
      <c r="DB264" s="239">
        <v>0</v>
      </c>
      <c r="DC264" s="239">
        <v>-2049648</v>
      </c>
      <c r="DD264" s="214">
        <v>0.5</v>
      </c>
      <c r="DE264" s="214">
        <v>0.4</v>
      </c>
      <c r="DF264" s="214">
        <v>0.1</v>
      </c>
      <c r="DG264" s="214">
        <v>0</v>
      </c>
      <c r="DH264" s="214">
        <v>1</v>
      </c>
      <c r="DI264" s="214" t="s">
        <v>1294</v>
      </c>
    </row>
    <row r="265" spans="2:113" s="214" customFormat="1" x14ac:dyDescent="0.2">
      <c r="B265" s="610" t="s">
        <v>613</v>
      </c>
      <c r="C265" s="610" t="s">
        <v>612</v>
      </c>
      <c r="D265" s="239">
        <v>44163538</v>
      </c>
      <c r="E265" s="239">
        <v>43280267</v>
      </c>
      <c r="F265" s="239">
        <v>0</v>
      </c>
      <c r="G265" s="239">
        <v>883271</v>
      </c>
      <c r="H265" s="239">
        <v>88327076</v>
      </c>
      <c r="I265" s="239">
        <v>0</v>
      </c>
      <c r="J265" s="239">
        <v>0</v>
      </c>
      <c r="K265" s="239">
        <v>44163538</v>
      </c>
      <c r="L265" s="239">
        <v>431789</v>
      </c>
      <c r="M265" s="239">
        <v>431789</v>
      </c>
      <c r="N265" s="239">
        <v>0</v>
      </c>
      <c r="O265" s="239">
        <v>0</v>
      </c>
      <c r="P265" s="239">
        <v>0</v>
      </c>
      <c r="Q265" s="239">
        <v>0</v>
      </c>
      <c r="R265" s="239">
        <v>0</v>
      </c>
      <c r="S265" s="239">
        <v>0</v>
      </c>
      <c r="T265" s="239">
        <v>0</v>
      </c>
      <c r="U265" s="239">
        <v>0</v>
      </c>
      <c r="V265" s="239">
        <v>0</v>
      </c>
      <c r="W265" s="239">
        <v>5542023</v>
      </c>
      <c r="X265" s="239">
        <v>5431182</v>
      </c>
      <c r="Y265" s="239">
        <v>0</v>
      </c>
      <c r="Z265" s="239">
        <v>110840</v>
      </c>
      <c r="AA265" s="239">
        <v>11084045</v>
      </c>
      <c r="AB265" s="239">
        <v>-1081072</v>
      </c>
      <c r="AC265" s="239">
        <v>-1059451</v>
      </c>
      <c r="AD265" s="239">
        <v>0</v>
      </c>
      <c r="AE265" s="239">
        <v>-21621</v>
      </c>
      <c r="AF265" s="239">
        <v>-2162144</v>
      </c>
      <c r="AG265" s="239">
        <v>-2052446</v>
      </c>
      <c r="AH265" s="239">
        <v>-2011398</v>
      </c>
      <c r="AI265" s="239">
        <v>0</v>
      </c>
      <c r="AJ265" s="239">
        <v>-41049</v>
      </c>
      <c r="AK265" s="239">
        <v>-4104893</v>
      </c>
      <c r="AL265" s="239">
        <v>1544122</v>
      </c>
      <c r="AM265" s="239">
        <v>1513239</v>
      </c>
      <c r="AN265" s="239">
        <v>0</v>
      </c>
      <c r="AO265" s="239">
        <v>30882</v>
      </c>
      <c r="AP265" s="239">
        <v>3088243</v>
      </c>
      <c r="AQ265" s="239">
        <v>-2743318</v>
      </c>
      <c r="AR265" s="239">
        <v>-2688452</v>
      </c>
      <c r="AS265" s="239">
        <v>0</v>
      </c>
      <c r="AT265" s="239">
        <v>-54866</v>
      </c>
      <c r="AU265" s="239">
        <v>-5486636</v>
      </c>
      <c r="AV265" s="239">
        <v>-3251642</v>
      </c>
      <c r="AW265" s="239">
        <v>-3186611</v>
      </c>
      <c r="AX265" s="239">
        <v>0</v>
      </c>
      <c r="AY265" s="239">
        <v>-65033</v>
      </c>
      <c r="AZ265" s="239">
        <v>-6503286</v>
      </c>
      <c r="BA265" s="239">
        <v>-1986812</v>
      </c>
      <c r="BB265" s="239">
        <v>-1947074</v>
      </c>
      <c r="BC265" s="239">
        <v>0</v>
      </c>
      <c r="BD265" s="239">
        <v>-39736</v>
      </c>
      <c r="BE265" s="239">
        <v>-3973622</v>
      </c>
      <c r="BF265" s="239">
        <v>833220</v>
      </c>
      <c r="BG265" s="239">
        <v>816555</v>
      </c>
      <c r="BH265" s="239">
        <v>0</v>
      </c>
      <c r="BI265" s="239">
        <v>16664</v>
      </c>
      <c r="BJ265" s="239">
        <v>1666439</v>
      </c>
      <c r="BK265" s="239">
        <v>-1684665</v>
      </c>
      <c r="BL265" s="239">
        <v>-1650972</v>
      </c>
      <c r="BM265" s="239">
        <v>0</v>
      </c>
      <c r="BN265" s="239">
        <v>-33693</v>
      </c>
      <c r="BO265" s="239">
        <v>-3369330</v>
      </c>
      <c r="BP265" s="239">
        <v>-2838257</v>
      </c>
      <c r="BQ265" s="239">
        <v>-2781491</v>
      </c>
      <c r="BR265" s="239">
        <v>0</v>
      </c>
      <c r="BS265" s="239">
        <v>-56765</v>
      </c>
      <c r="BT265" s="239">
        <v>-5676513</v>
      </c>
      <c r="BU265" s="239">
        <v>136568</v>
      </c>
      <c r="BV265" s="239">
        <v>133836</v>
      </c>
      <c r="BW265" s="239">
        <v>0</v>
      </c>
      <c r="BX265" s="239">
        <v>2731</v>
      </c>
      <c r="BY265" s="239">
        <v>273135</v>
      </c>
      <c r="BZ265" s="239">
        <v>136500</v>
      </c>
      <c r="CA265" s="239">
        <v>133770</v>
      </c>
      <c r="CB265" s="239">
        <v>0</v>
      </c>
      <c r="CC265" s="239">
        <v>2730</v>
      </c>
      <c r="CD265" s="239">
        <v>273000</v>
      </c>
      <c r="CE265" s="239">
        <v>68</v>
      </c>
      <c r="CF265" s="239">
        <v>66</v>
      </c>
      <c r="CG265" s="239">
        <v>0</v>
      </c>
      <c r="CH265" s="239">
        <v>1</v>
      </c>
      <c r="CI265" s="239">
        <v>135</v>
      </c>
      <c r="CJ265" s="239">
        <v>45257500</v>
      </c>
      <c r="CK265" s="239">
        <v>44352350</v>
      </c>
      <c r="CL265" s="239">
        <v>0</v>
      </c>
      <c r="CM265" s="239">
        <v>905150</v>
      </c>
      <c r="CN265" s="239">
        <v>90515000</v>
      </c>
      <c r="CO265" s="239">
        <v>44163538</v>
      </c>
      <c r="CP265" s="239">
        <v>43280267</v>
      </c>
      <c r="CQ265" s="239">
        <v>0</v>
      </c>
      <c r="CR265" s="239">
        <v>883271</v>
      </c>
      <c r="CS265" s="239">
        <v>88327076</v>
      </c>
      <c r="CT265" s="239">
        <v>-1093962</v>
      </c>
      <c r="CU265" s="239">
        <v>-1072083</v>
      </c>
      <c r="CV265" s="239">
        <v>0</v>
      </c>
      <c r="CW265" s="239">
        <v>-21879</v>
      </c>
      <c r="CX265" s="239">
        <v>-2187924</v>
      </c>
      <c r="CY265" s="239">
        <v>-1093894</v>
      </c>
      <c r="CZ265" s="239">
        <v>-1072017</v>
      </c>
      <c r="DA265" s="239">
        <v>0</v>
      </c>
      <c r="DB265" s="239">
        <v>-21878</v>
      </c>
      <c r="DC265" s="239">
        <v>-2187789</v>
      </c>
      <c r="DD265" s="214">
        <v>0.5</v>
      </c>
      <c r="DE265" s="214">
        <v>0.49</v>
      </c>
      <c r="DF265" s="214">
        <v>0</v>
      </c>
      <c r="DG265" s="214">
        <v>0.01</v>
      </c>
      <c r="DH265" s="214">
        <v>1</v>
      </c>
      <c r="DI265" s="214" t="s">
        <v>1296</v>
      </c>
    </row>
    <row r="266" spans="2:113" s="214" customFormat="1" x14ac:dyDescent="0.2">
      <c r="B266" s="610" t="s">
        <v>615</v>
      </c>
      <c r="C266" s="610" t="s">
        <v>614</v>
      </c>
      <c r="D266" s="239">
        <v>39239458.5</v>
      </c>
      <c r="E266" s="239">
        <v>38454669</v>
      </c>
      <c r="F266" s="239">
        <v>0</v>
      </c>
      <c r="G266" s="239">
        <v>784789</v>
      </c>
      <c r="H266" s="239">
        <v>78478916.5</v>
      </c>
      <c r="I266" s="239">
        <v>82013.336458333331</v>
      </c>
      <c r="J266" s="239">
        <v>82013.336458333331</v>
      </c>
      <c r="K266" s="239">
        <v>39157445.163541667</v>
      </c>
      <c r="L266" s="239">
        <v>239418</v>
      </c>
      <c r="M266" s="239">
        <v>239418</v>
      </c>
      <c r="N266" s="239">
        <v>178705</v>
      </c>
      <c r="O266" s="239">
        <v>178705</v>
      </c>
      <c r="P266" s="239">
        <v>0</v>
      </c>
      <c r="Q266" s="239">
        <v>0</v>
      </c>
      <c r="R266" s="239">
        <v>0</v>
      </c>
      <c r="S266" s="239">
        <v>81137.497395833343</v>
      </c>
      <c r="T266" s="239">
        <v>0</v>
      </c>
      <c r="U266" s="239">
        <v>875.83906250000007</v>
      </c>
      <c r="V266" s="239">
        <v>82013.336458333331</v>
      </c>
      <c r="W266" s="239">
        <v>772715</v>
      </c>
      <c r="X266" s="239">
        <v>757260</v>
      </c>
      <c r="Y266" s="239">
        <v>0</v>
      </c>
      <c r="Z266" s="239">
        <v>15454</v>
      </c>
      <c r="AA266" s="239">
        <v>1545429</v>
      </c>
      <c r="AB266" s="239">
        <v>-623824</v>
      </c>
      <c r="AC266" s="239">
        <v>-611349</v>
      </c>
      <c r="AD266" s="239">
        <v>0</v>
      </c>
      <c r="AE266" s="239">
        <v>-12477</v>
      </c>
      <c r="AF266" s="239">
        <v>-1247650</v>
      </c>
      <c r="AG266" s="239">
        <v>-630500</v>
      </c>
      <c r="AH266" s="239">
        <v>-617890</v>
      </c>
      <c r="AI266" s="239">
        <v>0</v>
      </c>
      <c r="AJ266" s="239">
        <v>-12610</v>
      </c>
      <c r="AK266" s="239">
        <v>-1261000</v>
      </c>
      <c r="AL266" s="239">
        <v>85517</v>
      </c>
      <c r="AM266" s="239">
        <v>83806</v>
      </c>
      <c r="AN266" s="239">
        <v>0</v>
      </c>
      <c r="AO266" s="239">
        <v>1710</v>
      </c>
      <c r="AP266" s="239">
        <v>171033</v>
      </c>
      <c r="AQ266" s="239">
        <v>-74516.5</v>
      </c>
      <c r="AR266" s="239">
        <v>-73026</v>
      </c>
      <c r="AS266" s="239">
        <v>0</v>
      </c>
      <c r="AT266" s="239">
        <v>-1490</v>
      </c>
      <c r="AU266" s="239">
        <v>-149032.5</v>
      </c>
      <c r="AV266" s="239">
        <v>-619499.5</v>
      </c>
      <c r="AW266" s="239">
        <v>-607110</v>
      </c>
      <c r="AX266" s="239">
        <v>0</v>
      </c>
      <c r="AY266" s="239">
        <v>-12390</v>
      </c>
      <c r="AZ266" s="239">
        <v>-1238999.5</v>
      </c>
      <c r="BA266" s="239">
        <v>-3062662</v>
      </c>
      <c r="BB266" s="239">
        <v>-3001407</v>
      </c>
      <c r="BC266" s="239">
        <v>0</v>
      </c>
      <c r="BD266" s="239">
        <v>-61252</v>
      </c>
      <c r="BE266" s="239">
        <v>-6125321</v>
      </c>
      <c r="BF266" s="239">
        <v>1121056</v>
      </c>
      <c r="BG266" s="239">
        <v>1098634</v>
      </c>
      <c r="BH266" s="239">
        <v>0</v>
      </c>
      <c r="BI266" s="239">
        <v>22421</v>
      </c>
      <c r="BJ266" s="239">
        <v>2242111</v>
      </c>
      <c r="BK266" s="239">
        <v>-3508434</v>
      </c>
      <c r="BL266" s="239">
        <v>-3438265</v>
      </c>
      <c r="BM266" s="239">
        <v>0</v>
      </c>
      <c r="BN266" s="239">
        <v>-70169</v>
      </c>
      <c r="BO266" s="239">
        <v>-7016868</v>
      </c>
      <c r="BP266" s="239">
        <v>-5450040</v>
      </c>
      <c r="BQ266" s="239">
        <v>-5341038</v>
      </c>
      <c r="BR266" s="239">
        <v>0</v>
      </c>
      <c r="BS266" s="239">
        <v>-109000</v>
      </c>
      <c r="BT266" s="239">
        <v>-10900078</v>
      </c>
      <c r="BU266" s="239">
        <v>-1835641</v>
      </c>
      <c r="BV266" s="239">
        <v>-1798929</v>
      </c>
      <c r="BW266" s="239">
        <v>0</v>
      </c>
      <c r="BX266" s="239">
        <v>-36713</v>
      </c>
      <c r="BY266" s="239">
        <v>-3671283</v>
      </c>
      <c r="BZ266" s="239">
        <v>51952</v>
      </c>
      <c r="CA266" s="239">
        <v>50912</v>
      </c>
      <c r="CB266" s="239">
        <v>0</v>
      </c>
      <c r="CC266" s="239">
        <v>1039</v>
      </c>
      <c r="CD266" s="239">
        <v>103903</v>
      </c>
      <c r="CE266" s="239">
        <v>-1887593</v>
      </c>
      <c r="CF266" s="239">
        <v>-1849841</v>
      </c>
      <c r="CG266" s="239">
        <v>0</v>
      </c>
      <c r="CH266" s="239">
        <v>-37752</v>
      </c>
      <c r="CI266" s="239">
        <v>-3775186</v>
      </c>
      <c r="CJ266" s="239">
        <v>41335556</v>
      </c>
      <c r="CK266" s="239">
        <v>40508845</v>
      </c>
      <c r="CL266" s="239">
        <v>0</v>
      </c>
      <c r="CM266" s="239">
        <v>826711</v>
      </c>
      <c r="CN266" s="239">
        <v>82671112</v>
      </c>
      <c r="CO266" s="239">
        <v>39239458.5</v>
      </c>
      <c r="CP266" s="239">
        <v>38454669</v>
      </c>
      <c r="CQ266" s="239">
        <v>0</v>
      </c>
      <c r="CR266" s="239">
        <v>784789</v>
      </c>
      <c r="CS266" s="239">
        <v>78478916.5</v>
      </c>
      <c r="CT266" s="239">
        <v>-2096097.5</v>
      </c>
      <c r="CU266" s="239">
        <v>-2054176</v>
      </c>
      <c r="CV266" s="239">
        <v>0</v>
      </c>
      <c r="CW266" s="239">
        <v>-41922</v>
      </c>
      <c r="CX266" s="239">
        <v>-4192195.5</v>
      </c>
      <c r="CY266" s="239">
        <v>-3983690.5</v>
      </c>
      <c r="CZ266" s="239">
        <v>-3904017</v>
      </c>
      <c r="DA266" s="239">
        <v>0</v>
      </c>
      <c r="DB266" s="239">
        <v>-79674</v>
      </c>
      <c r="DC266" s="239">
        <v>-7967381.5</v>
      </c>
      <c r="DD266" s="214">
        <v>0.5</v>
      </c>
      <c r="DE266" s="214">
        <v>0.49</v>
      </c>
      <c r="DF266" s="214">
        <v>0</v>
      </c>
      <c r="DG266" s="214">
        <v>0.01</v>
      </c>
      <c r="DH266" s="214">
        <v>1</v>
      </c>
      <c r="DI266" s="214" t="s">
        <v>748</v>
      </c>
    </row>
    <row r="267" spans="2:113" s="214" customFormat="1" x14ac:dyDescent="0.2">
      <c r="B267" s="610" t="s">
        <v>617</v>
      </c>
      <c r="C267" s="610" t="s">
        <v>616</v>
      </c>
      <c r="D267" s="239">
        <v>44879622</v>
      </c>
      <c r="E267" s="239">
        <v>43982030</v>
      </c>
      <c r="F267" s="239">
        <v>0</v>
      </c>
      <c r="G267" s="239">
        <v>897592</v>
      </c>
      <c r="H267" s="239">
        <v>89759244</v>
      </c>
      <c r="I267" s="239">
        <v>0</v>
      </c>
      <c r="J267" s="239">
        <v>0</v>
      </c>
      <c r="K267" s="239">
        <v>44879622</v>
      </c>
      <c r="L267" s="239">
        <v>362244</v>
      </c>
      <c r="M267" s="239">
        <v>362244</v>
      </c>
      <c r="N267" s="239">
        <v>0</v>
      </c>
      <c r="O267" s="239">
        <v>0</v>
      </c>
      <c r="P267" s="239">
        <v>0</v>
      </c>
      <c r="Q267" s="239">
        <v>0</v>
      </c>
      <c r="R267" s="239">
        <v>0</v>
      </c>
      <c r="S267" s="239">
        <v>0</v>
      </c>
      <c r="T267" s="239">
        <v>0</v>
      </c>
      <c r="U267" s="239">
        <v>0</v>
      </c>
      <c r="V267" s="239">
        <v>0</v>
      </c>
      <c r="W267" s="239">
        <v>2286097</v>
      </c>
      <c r="X267" s="239">
        <v>2240375</v>
      </c>
      <c r="Y267" s="239">
        <v>0</v>
      </c>
      <c r="Z267" s="239">
        <v>45722</v>
      </c>
      <c r="AA267" s="239">
        <v>4572194</v>
      </c>
      <c r="AB267" s="239">
        <v>-885846</v>
      </c>
      <c r="AC267" s="239">
        <v>-868130</v>
      </c>
      <c r="AD267" s="239">
        <v>0</v>
      </c>
      <c r="AE267" s="239">
        <v>-17717</v>
      </c>
      <c r="AF267" s="239">
        <v>-1771693</v>
      </c>
      <c r="AG267" s="239">
        <v>-1733000</v>
      </c>
      <c r="AH267" s="239">
        <v>-1698340</v>
      </c>
      <c r="AI267" s="239">
        <v>0</v>
      </c>
      <c r="AJ267" s="239">
        <v>-34660</v>
      </c>
      <c r="AK267" s="239">
        <v>-3466000</v>
      </c>
      <c r="AL267" s="239">
        <v>386849</v>
      </c>
      <c r="AM267" s="239">
        <v>379112</v>
      </c>
      <c r="AN267" s="239">
        <v>0</v>
      </c>
      <c r="AO267" s="239">
        <v>7737</v>
      </c>
      <c r="AP267" s="239">
        <v>773698</v>
      </c>
      <c r="AQ267" s="239">
        <v>-325849</v>
      </c>
      <c r="AR267" s="239">
        <v>-319332</v>
      </c>
      <c r="AS267" s="239">
        <v>0</v>
      </c>
      <c r="AT267" s="239">
        <v>-6517</v>
      </c>
      <c r="AU267" s="239">
        <v>-651698</v>
      </c>
      <c r="AV267" s="239">
        <v>-1672000</v>
      </c>
      <c r="AW267" s="239">
        <v>-1638560</v>
      </c>
      <c r="AX267" s="239">
        <v>0</v>
      </c>
      <c r="AY267" s="239">
        <v>-33440</v>
      </c>
      <c r="AZ267" s="239">
        <v>-3344000</v>
      </c>
      <c r="BA267" s="239">
        <v>-6450000</v>
      </c>
      <c r="BB267" s="239">
        <v>-6321000</v>
      </c>
      <c r="BC267" s="239">
        <v>0</v>
      </c>
      <c r="BD267" s="239">
        <v>-129000</v>
      </c>
      <c r="BE267" s="239">
        <v>-12900000</v>
      </c>
      <c r="BF267" s="239">
        <v>504001</v>
      </c>
      <c r="BG267" s="239">
        <v>493920</v>
      </c>
      <c r="BH267" s="239">
        <v>0</v>
      </c>
      <c r="BI267" s="239">
        <v>10080</v>
      </c>
      <c r="BJ267" s="239">
        <v>1008001</v>
      </c>
      <c r="BK267" s="239">
        <v>1070400</v>
      </c>
      <c r="BL267" s="239">
        <v>1048992</v>
      </c>
      <c r="BM267" s="239">
        <v>0</v>
      </c>
      <c r="BN267" s="239">
        <v>21408</v>
      </c>
      <c r="BO267" s="239">
        <v>2140800</v>
      </c>
      <c r="BP267" s="239">
        <v>-4875599</v>
      </c>
      <c r="BQ267" s="239">
        <v>-4778088</v>
      </c>
      <c r="BR267" s="239">
        <v>0</v>
      </c>
      <c r="BS267" s="239">
        <v>-97512</v>
      </c>
      <c r="BT267" s="239">
        <v>-9751199</v>
      </c>
      <c r="BU267" s="239">
        <v>-2762720</v>
      </c>
      <c r="BV267" s="239">
        <v>-2707465</v>
      </c>
      <c r="BW267" s="239">
        <v>0</v>
      </c>
      <c r="BX267" s="239">
        <v>-55254</v>
      </c>
      <c r="BY267" s="239">
        <v>-5525439</v>
      </c>
      <c r="BZ267" s="239">
        <v>-600000</v>
      </c>
      <c r="CA267" s="239">
        <v>-588000</v>
      </c>
      <c r="CB267" s="239">
        <v>0</v>
      </c>
      <c r="CC267" s="239">
        <v>-12000</v>
      </c>
      <c r="CD267" s="239">
        <v>-1200000</v>
      </c>
      <c r="CE267" s="239">
        <v>-2162720</v>
      </c>
      <c r="CF267" s="239">
        <v>-2119465</v>
      </c>
      <c r="CG267" s="239">
        <v>0</v>
      </c>
      <c r="CH267" s="239">
        <v>-43254</v>
      </c>
      <c r="CI267" s="239">
        <v>-4325439</v>
      </c>
      <c r="CJ267" s="239">
        <v>41621283</v>
      </c>
      <c r="CK267" s="239">
        <v>40788858</v>
      </c>
      <c r="CL267" s="239">
        <v>0</v>
      </c>
      <c r="CM267" s="239">
        <v>832426</v>
      </c>
      <c r="CN267" s="239">
        <v>83242567</v>
      </c>
      <c r="CO267" s="239">
        <v>44879622</v>
      </c>
      <c r="CP267" s="239">
        <v>43982030</v>
      </c>
      <c r="CQ267" s="239">
        <v>0</v>
      </c>
      <c r="CR267" s="239">
        <v>897592</v>
      </c>
      <c r="CS267" s="239">
        <v>89759244</v>
      </c>
      <c r="CT267" s="239">
        <v>3258339</v>
      </c>
      <c r="CU267" s="239">
        <v>3193172</v>
      </c>
      <c r="CV267" s="239">
        <v>0</v>
      </c>
      <c r="CW267" s="239">
        <v>65166</v>
      </c>
      <c r="CX267" s="239">
        <v>6516677</v>
      </c>
      <c r="CY267" s="239">
        <v>1095619</v>
      </c>
      <c r="CZ267" s="239">
        <v>1073707</v>
      </c>
      <c r="DA267" s="239">
        <v>0</v>
      </c>
      <c r="DB267" s="239">
        <v>21912</v>
      </c>
      <c r="DC267" s="239">
        <v>2191238</v>
      </c>
      <c r="DD267" s="214">
        <v>0.5</v>
      </c>
      <c r="DE267" s="214">
        <v>0.49</v>
      </c>
      <c r="DF267" s="214">
        <v>0</v>
      </c>
      <c r="DG267" s="214">
        <v>0.01</v>
      </c>
      <c r="DH267" s="214">
        <v>1</v>
      </c>
      <c r="DI267" s="214" t="s">
        <v>748</v>
      </c>
    </row>
    <row r="268" spans="2:113" s="214" customFormat="1" x14ac:dyDescent="0.2">
      <c r="B268" s="610" t="s">
        <v>619</v>
      </c>
      <c r="C268" s="610" t="s">
        <v>618</v>
      </c>
      <c r="D268" s="239">
        <v>25958314</v>
      </c>
      <c r="E268" s="239">
        <v>20766652</v>
      </c>
      <c r="F268" s="239">
        <v>5191663</v>
      </c>
      <c r="G268" s="239">
        <v>0</v>
      </c>
      <c r="H268" s="239">
        <v>51916629</v>
      </c>
      <c r="I268" s="239">
        <v>0</v>
      </c>
      <c r="J268" s="239">
        <v>0</v>
      </c>
      <c r="K268" s="239">
        <v>25958314</v>
      </c>
      <c r="L268" s="239">
        <v>217612</v>
      </c>
      <c r="M268" s="239">
        <v>217612</v>
      </c>
      <c r="N268" s="239">
        <v>0</v>
      </c>
      <c r="O268" s="239">
        <v>0</v>
      </c>
      <c r="P268" s="239">
        <v>62687</v>
      </c>
      <c r="Q268" s="239">
        <v>0</v>
      </c>
      <c r="R268" s="239">
        <v>62687</v>
      </c>
      <c r="S268" s="239">
        <v>0</v>
      </c>
      <c r="T268" s="239">
        <v>0</v>
      </c>
      <c r="U268" s="239">
        <v>0</v>
      </c>
      <c r="V268" s="239">
        <v>0</v>
      </c>
      <c r="W268" s="239">
        <v>689823</v>
      </c>
      <c r="X268" s="239">
        <v>551859</v>
      </c>
      <c r="Y268" s="239">
        <v>137965</v>
      </c>
      <c r="Z268" s="239">
        <v>0</v>
      </c>
      <c r="AA268" s="239">
        <v>1379647</v>
      </c>
      <c r="AB268" s="239">
        <v>-168113</v>
      </c>
      <c r="AC268" s="239">
        <v>-134491</v>
      </c>
      <c r="AD268" s="239">
        <v>-33623</v>
      </c>
      <c r="AE268" s="239">
        <v>0</v>
      </c>
      <c r="AF268" s="239">
        <v>-336227</v>
      </c>
      <c r="AG268" s="239">
        <v>-268924</v>
      </c>
      <c r="AH268" s="239">
        <v>-215139</v>
      </c>
      <c r="AI268" s="239">
        <v>-53784</v>
      </c>
      <c r="AJ268" s="239">
        <v>0</v>
      </c>
      <c r="AK268" s="239">
        <v>-537847</v>
      </c>
      <c r="AL268" s="239">
        <v>89737</v>
      </c>
      <c r="AM268" s="239">
        <v>71789</v>
      </c>
      <c r="AN268" s="239">
        <v>17947</v>
      </c>
      <c r="AO268" s="239">
        <v>0</v>
      </c>
      <c r="AP268" s="239">
        <v>179473</v>
      </c>
      <c r="AQ268" s="239">
        <v>-8377</v>
      </c>
      <c r="AR268" s="239">
        <v>-6702</v>
      </c>
      <c r="AS268" s="239">
        <v>-1676</v>
      </c>
      <c r="AT268" s="239">
        <v>0</v>
      </c>
      <c r="AU268" s="239">
        <v>-16755</v>
      </c>
      <c r="AV268" s="239">
        <v>-187564</v>
      </c>
      <c r="AW268" s="239">
        <v>-150052</v>
      </c>
      <c r="AX268" s="239">
        <v>-37513</v>
      </c>
      <c r="AY268" s="239">
        <v>0</v>
      </c>
      <c r="AZ268" s="239">
        <v>-375129</v>
      </c>
      <c r="BA268" s="239">
        <v>-1521716</v>
      </c>
      <c r="BB268" s="239">
        <v>-1217373</v>
      </c>
      <c r="BC268" s="239">
        <v>-304344</v>
      </c>
      <c r="BD268" s="239">
        <v>0</v>
      </c>
      <c r="BE268" s="239">
        <v>-3043433</v>
      </c>
      <c r="BF268" s="239">
        <v>0</v>
      </c>
      <c r="BG268" s="239">
        <v>0</v>
      </c>
      <c r="BH268" s="239">
        <v>0</v>
      </c>
      <c r="BI268" s="239">
        <v>0</v>
      </c>
      <c r="BJ268" s="239">
        <v>0</v>
      </c>
      <c r="BK268" s="239">
        <v>-125000</v>
      </c>
      <c r="BL268" s="239">
        <v>-100000</v>
      </c>
      <c r="BM268" s="239">
        <v>-25000</v>
      </c>
      <c r="BN268" s="239">
        <v>0</v>
      </c>
      <c r="BO268" s="239">
        <v>-250000</v>
      </c>
      <c r="BP268" s="239">
        <v>-1646716</v>
      </c>
      <c r="BQ268" s="239">
        <v>-1317373</v>
      </c>
      <c r="BR268" s="239">
        <v>-329344</v>
      </c>
      <c r="BS268" s="239">
        <v>0</v>
      </c>
      <c r="BT268" s="239">
        <v>-3293433</v>
      </c>
      <c r="BU268" s="239">
        <v>-1054533</v>
      </c>
      <c r="BV268" s="239">
        <v>-843626</v>
      </c>
      <c r="BW268" s="239">
        <v>-210907</v>
      </c>
      <c r="BX268" s="239">
        <v>0</v>
      </c>
      <c r="BY268" s="239">
        <v>-2109066</v>
      </c>
      <c r="BZ268" s="239">
        <v>-909677</v>
      </c>
      <c r="CA268" s="239">
        <v>-727742</v>
      </c>
      <c r="CB268" s="239">
        <v>-181935</v>
      </c>
      <c r="CC268" s="239">
        <v>0</v>
      </c>
      <c r="CD268" s="239">
        <v>-1819354</v>
      </c>
      <c r="CE268" s="239">
        <v>-144856</v>
      </c>
      <c r="CF268" s="239">
        <v>-115884</v>
      </c>
      <c r="CG268" s="239">
        <v>-28972</v>
      </c>
      <c r="CH268" s="239">
        <v>0</v>
      </c>
      <c r="CI268" s="239">
        <v>-289712</v>
      </c>
      <c r="CJ268" s="239">
        <v>27072025</v>
      </c>
      <c r="CK268" s="239">
        <v>21657620</v>
      </c>
      <c r="CL268" s="239">
        <v>5414405</v>
      </c>
      <c r="CM268" s="239">
        <v>0</v>
      </c>
      <c r="CN268" s="239">
        <v>54144050</v>
      </c>
      <c r="CO268" s="239">
        <v>25958314</v>
      </c>
      <c r="CP268" s="239">
        <v>20766652</v>
      </c>
      <c r="CQ268" s="239">
        <v>5191663</v>
      </c>
      <c r="CR268" s="239">
        <v>0</v>
      </c>
      <c r="CS268" s="239">
        <v>51916629</v>
      </c>
      <c r="CT268" s="239">
        <v>-1113711</v>
      </c>
      <c r="CU268" s="239">
        <v>-890968</v>
      </c>
      <c r="CV268" s="239">
        <v>-222742</v>
      </c>
      <c r="CW268" s="239">
        <v>0</v>
      </c>
      <c r="CX268" s="239">
        <v>-2227421</v>
      </c>
      <c r="CY268" s="239">
        <v>-1258567</v>
      </c>
      <c r="CZ268" s="239">
        <v>-1006852</v>
      </c>
      <c r="DA268" s="239">
        <v>-251714</v>
      </c>
      <c r="DB268" s="239">
        <v>0</v>
      </c>
      <c r="DC268" s="239">
        <v>-2517133</v>
      </c>
      <c r="DD268" s="214">
        <v>0.5</v>
      </c>
      <c r="DE268" s="214">
        <v>0.4</v>
      </c>
      <c r="DF268" s="214">
        <v>0.1</v>
      </c>
      <c r="DG268" s="214">
        <v>0</v>
      </c>
      <c r="DH268" s="214">
        <v>1</v>
      </c>
      <c r="DI268" s="214" t="s">
        <v>1294</v>
      </c>
    </row>
    <row r="269" spans="2:113" s="214" customFormat="1" x14ac:dyDescent="0.2">
      <c r="B269" s="610" t="s">
        <v>621</v>
      </c>
      <c r="C269" s="610" t="s">
        <v>620</v>
      </c>
      <c r="D269" s="239">
        <v>13230822</v>
      </c>
      <c r="E269" s="239">
        <v>10584658</v>
      </c>
      <c r="F269" s="239">
        <v>2646165</v>
      </c>
      <c r="G269" s="239">
        <v>0</v>
      </c>
      <c r="H269" s="239">
        <v>26461645</v>
      </c>
      <c r="I269" s="239">
        <v>0</v>
      </c>
      <c r="J269" s="239">
        <v>0</v>
      </c>
      <c r="K269" s="239">
        <v>13230822</v>
      </c>
      <c r="L269" s="239">
        <v>158456</v>
      </c>
      <c r="M269" s="239">
        <v>158456</v>
      </c>
      <c r="N269" s="239">
        <v>0</v>
      </c>
      <c r="O269" s="239">
        <v>0</v>
      </c>
      <c r="P269" s="239">
        <v>109176</v>
      </c>
      <c r="Q269" s="239">
        <v>0</v>
      </c>
      <c r="R269" s="239">
        <v>109176</v>
      </c>
      <c r="S269" s="239">
        <v>0</v>
      </c>
      <c r="T269" s="239">
        <v>0</v>
      </c>
      <c r="U269" s="239">
        <v>0</v>
      </c>
      <c r="V269" s="239">
        <v>0</v>
      </c>
      <c r="W269" s="239">
        <v>301846</v>
      </c>
      <c r="X269" s="239">
        <v>241476</v>
      </c>
      <c r="Y269" s="239">
        <v>60369</v>
      </c>
      <c r="Z269" s="239">
        <v>0</v>
      </c>
      <c r="AA269" s="239">
        <v>603691</v>
      </c>
      <c r="AB269" s="239">
        <v>-111162</v>
      </c>
      <c r="AC269" s="239">
        <v>-88929</v>
      </c>
      <c r="AD269" s="239">
        <v>-22232</v>
      </c>
      <c r="AE269" s="239">
        <v>0</v>
      </c>
      <c r="AF269" s="239">
        <v>-222323</v>
      </c>
      <c r="AG269" s="239">
        <v>-237019.25</v>
      </c>
      <c r="AH269" s="239">
        <v>-189617</v>
      </c>
      <c r="AI269" s="239">
        <v>-47405</v>
      </c>
      <c r="AJ269" s="239">
        <v>0</v>
      </c>
      <c r="AK269" s="239">
        <v>-474041.25</v>
      </c>
      <c r="AL269" s="239">
        <v>60352</v>
      </c>
      <c r="AM269" s="239">
        <v>48282</v>
      </c>
      <c r="AN269" s="239">
        <v>12071</v>
      </c>
      <c r="AO269" s="239">
        <v>0</v>
      </c>
      <c r="AP269" s="239">
        <v>120705</v>
      </c>
      <c r="AQ269" s="239">
        <v>30641</v>
      </c>
      <c r="AR269" s="239">
        <v>24513</v>
      </c>
      <c r="AS269" s="239">
        <v>6128</v>
      </c>
      <c r="AT269" s="239">
        <v>0</v>
      </c>
      <c r="AU269" s="239">
        <v>61282</v>
      </c>
      <c r="AV269" s="239">
        <v>-146026.25</v>
      </c>
      <c r="AW269" s="239">
        <v>-116822</v>
      </c>
      <c r="AX269" s="239">
        <v>-29206</v>
      </c>
      <c r="AY269" s="239">
        <v>0</v>
      </c>
      <c r="AZ269" s="239">
        <v>-292054.25</v>
      </c>
      <c r="BA269" s="239">
        <v>-823686</v>
      </c>
      <c r="BB269" s="239">
        <v>-658948</v>
      </c>
      <c r="BC269" s="239">
        <v>-164736</v>
      </c>
      <c r="BD269" s="239">
        <v>0</v>
      </c>
      <c r="BE269" s="239">
        <v>-1647370</v>
      </c>
      <c r="BF269" s="239">
        <v>380028</v>
      </c>
      <c r="BG269" s="239">
        <v>304022</v>
      </c>
      <c r="BH269" s="239">
        <v>76006</v>
      </c>
      <c r="BI269" s="239">
        <v>0</v>
      </c>
      <c r="BJ269" s="239">
        <v>760056</v>
      </c>
      <c r="BK269" s="239">
        <v>-262197</v>
      </c>
      <c r="BL269" s="239">
        <v>-209758</v>
      </c>
      <c r="BM269" s="239">
        <v>-52440</v>
      </c>
      <c r="BN269" s="239">
        <v>0</v>
      </c>
      <c r="BO269" s="239">
        <v>-524395</v>
      </c>
      <c r="BP269" s="239">
        <v>-705855</v>
      </c>
      <c r="BQ269" s="239">
        <v>-564684</v>
      </c>
      <c r="BR269" s="239">
        <v>-141170</v>
      </c>
      <c r="BS269" s="239">
        <v>0</v>
      </c>
      <c r="BT269" s="239">
        <v>-1411709</v>
      </c>
      <c r="BU269" s="239">
        <v>-1363697</v>
      </c>
      <c r="BV269" s="239">
        <v>-1090958</v>
      </c>
      <c r="BW269" s="239">
        <v>-272740</v>
      </c>
      <c r="BX269" s="239">
        <v>0</v>
      </c>
      <c r="BY269" s="239">
        <v>-2727395</v>
      </c>
      <c r="BZ269" s="239">
        <v>-519219</v>
      </c>
      <c r="CA269" s="239">
        <v>-415375</v>
      </c>
      <c r="CB269" s="239">
        <v>-103844</v>
      </c>
      <c r="CC269" s="239">
        <v>0</v>
      </c>
      <c r="CD269" s="239">
        <v>-1038438</v>
      </c>
      <c r="CE269" s="239">
        <v>-844478</v>
      </c>
      <c r="CF269" s="239">
        <v>-675583</v>
      </c>
      <c r="CG269" s="239">
        <v>-168896</v>
      </c>
      <c r="CH269" s="239">
        <v>0</v>
      </c>
      <c r="CI269" s="239">
        <v>-1688957</v>
      </c>
      <c r="CJ269" s="239">
        <v>12825342</v>
      </c>
      <c r="CK269" s="239">
        <v>10260274</v>
      </c>
      <c r="CL269" s="239">
        <v>2565068</v>
      </c>
      <c r="CM269" s="239">
        <v>0</v>
      </c>
      <c r="CN269" s="239">
        <v>25650684</v>
      </c>
      <c r="CO269" s="239">
        <v>13230822</v>
      </c>
      <c r="CP269" s="239">
        <v>10584658</v>
      </c>
      <c r="CQ269" s="239">
        <v>2646165</v>
      </c>
      <c r="CR269" s="239">
        <v>0</v>
      </c>
      <c r="CS269" s="239">
        <v>26461645</v>
      </c>
      <c r="CT269" s="239">
        <v>405480</v>
      </c>
      <c r="CU269" s="239">
        <v>324384</v>
      </c>
      <c r="CV269" s="239">
        <v>81097</v>
      </c>
      <c r="CW269" s="239">
        <v>0</v>
      </c>
      <c r="CX269" s="239">
        <v>810961</v>
      </c>
      <c r="CY269" s="239">
        <v>-438998</v>
      </c>
      <c r="CZ269" s="239">
        <v>-351199</v>
      </c>
      <c r="DA269" s="239">
        <v>-87799</v>
      </c>
      <c r="DB269" s="239">
        <v>0</v>
      </c>
      <c r="DC269" s="239">
        <v>-877996</v>
      </c>
      <c r="DD269" s="214">
        <v>0.5</v>
      </c>
      <c r="DE269" s="214">
        <v>0.4</v>
      </c>
      <c r="DF269" s="214">
        <v>0.1</v>
      </c>
      <c r="DG269" s="214">
        <v>0</v>
      </c>
      <c r="DH269" s="214">
        <v>1</v>
      </c>
      <c r="DI269" s="214" t="s">
        <v>1294</v>
      </c>
    </row>
    <row r="270" spans="2:113" s="214" customFormat="1" x14ac:dyDescent="0.2">
      <c r="B270" s="610" t="s">
        <v>623</v>
      </c>
      <c r="C270" s="610" t="s">
        <v>622</v>
      </c>
      <c r="D270" s="239">
        <v>30833944</v>
      </c>
      <c r="E270" s="239">
        <v>24667155</v>
      </c>
      <c r="F270" s="239">
        <v>6166789</v>
      </c>
      <c r="G270" s="239">
        <v>0</v>
      </c>
      <c r="H270" s="239">
        <v>61667888</v>
      </c>
      <c r="I270" s="239">
        <v>0</v>
      </c>
      <c r="J270" s="239">
        <v>0</v>
      </c>
      <c r="K270" s="239">
        <v>30833944</v>
      </c>
      <c r="L270" s="239">
        <v>278139</v>
      </c>
      <c r="M270" s="239">
        <v>278139</v>
      </c>
      <c r="N270" s="239">
        <v>0</v>
      </c>
      <c r="O270" s="239">
        <v>0</v>
      </c>
      <c r="P270" s="239">
        <v>184900</v>
      </c>
      <c r="Q270" s="239">
        <v>0</v>
      </c>
      <c r="R270" s="239">
        <v>184900</v>
      </c>
      <c r="S270" s="239">
        <v>0</v>
      </c>
      <c r="T270" s="239">
        <v>0</v>
      </c>
      <c r="U270" s="239">
        <v>0</v>
      </c>
      <c r="V270" s="239">
        <v>0</v>
      </c>
      <c r="W270" s="239">
        <v>970093</v>
      </c>
      <c r="X270" s="239">
        <v>776074</v>
      </c>
      <c r="Y270" s="239">
        <v>194019</v>
      </c>
      <c r="Z270" s="239">
        <v>0</v>
      </c>
      <c r="AA270" s="239">
        <v>1940186</v>
      </c>
      <c r="AB270" s="239">
        <v>-1353331</v>
      </c>
      <c r="AC270" s="239">
        <v>-1082665</v>
      </c>
      <c r="AD270" s="239">
        <v>-270666</v>
      </c>
      <c r="AE270" s="239">
        <v>0</v>
      </c>
      <c r="AF270" s="239">
        <v>-2706662</v>
      </c>
      <c r="AG270" s="239">
        <v>-231750</v>
      </c>
      <c r="AH270" s="239">
        <v>-185402</v>
      </c>
      <c r="AI270" s="239">
        <v>-46351</v>
      </c>
      <c r="AJ270" s="239">
        <v>0</v>
      </c>
      <c r="AK270" s="239">
        <v>-463503</v>
      </c>
      <c r="AL270" s="239">
        <v>25691</v>
      </c>
      <c r="AM270" s="239">
        <v>20552</v>
      </c>
      <c r="AN270" s="239">
        <v>5138</v>
      </c>
      <c r="AO270" s="239">
        <v>0</v>
      </c>
      <c r="AP270" s="239">
        <v>51381</v>
      </c>
      <c r="AQ270" s="239">
        <v>-260298</v>
      </c>
      <c r="AR270" s="239">
        <v>-208238</v>
      </c>
      <c r="AS270" s="239">
        <v>-52060</v>
      </c>
      <c r="AT270" s="239">
        <v>0</v>
      </c>
      <c r="AU270" s="239">
        <v>-520596</v>
      </c>
      <c r="AV270" s="239">
        <v>-466357</v>
      </c>
      <c r="AW270" s="239">
        <v>-373088</v>
      </c>
      <c r="AX270" s="239">
        <v>-93273</v>
      </c>
      <c r="AY270" s="239">
        <v>0</v>
      </c>
      <c r="AZ270" s="239">
        <v>-932718</v>
      </c>
      <c r="BA270" s="239">
        <v>-1131742</v>
      </c>
      <c r="BB270" s="239">
        <v>-905391</v>
      </c>
      <c r="BC270" s="239">
        <v>-226347</v>
      </c>
      <c r="BD270" s="239">
        <v>0</v>
      </c>
      <c r="BE270" s="239">
        <v>-2263480</v>
      </c>
      <c r="BF270" s="239">
        <v>273651</v>
      </c>
      <c r="BG270" s="239">
        <v>218921</v>
      </c>
      <c r="BH270" s="239">
        <v>54730</v>
      </c>
      <c r="BI270" s="239">
        <v>0</v>
      </c>
      <c r="BJ270" s="239">
        <v>547302</v>
      </c>
      <c r="BK270" s="239">
        <v>-1922143</v>
      </c>
      <c r="BL270" s="239">
        <v>-1537715</v>
      </c>
      <c r="BM270" s="239">
        <v>-384429</v>
      </c>
      <c r="BN270" s="239">
        <v>0</v>
      </c>
      <c r="BO270" s="239">
        <v>-3844287</v>
      </c>
      <c r="BP270" s="239">
        <v>-2780234</v>
      </c>
      <c r="BQ270" s="239">
        <v>-2224185</v>
      </c>
      <c r="BR270" s="239">
        <v>-556046</v>
      </c>
      <c r="BS270" s="239">
        <v>0</v>
      </c>
      <c r="BT270" s="239">
        <v>-5560465</v>
      </c>
      <c r="BU270" s="239">
        <v>5002176</v>
      </c>
      <c r="BV270" s="239">
        <v>4001741</v>
      </c>
      <c r="BW270" s="239">
        <v>1000435</v>
      </c>
      <c r="BX270" s="239">
        <v>0</v>
      </c>
      <c r="BY270" s="239">
        <v>10004352</v>
      </c>
      <c r="BZ270" s="239">
        <v>369957</v>
      </c>
      <c r="CA270" s="239">
        <v>295965</v>
      </c>
      <c r="CB270" s="239">
        <v>73991</v>
      </c>
      <c r="CC270" s="239">
        <v>0</v>
      </c>
      <c r="CD270" s="239">
        <v>739913</v>
      </c>
      <c r="CE270" s="239">
        <v>4632219</v>
      </c>
      <c r="CF270" s="239">
        <v>3705776</v>
      </c>
      <c r="CG270" s="239">
        <v>926444</v>
      </c>
      <c r="CH270" s="239">
        <v>0</v>
      </c>
      <c r="CI270" s="239">
        <v>9264439</v>
      </c>
      <c r="CJ270" s="239">
        <v>32628912</v>
      </c>
      <c r="CK270" s="239">
        <v>26103130</v>
      </c>
      <c r="CL270" s="239">
        <v>6525782</v>
      </c>
      <c r="CM270" s="239">
        <v>0</v>
      </c>
      <c r="CN270" s="239">
        <v>65257824</v>
      </c>
      <c r="CO270" s="239">
        <v>30833944</v>
      </c>
      <c r="CP270" s="239">
        <v>24667155</v>
      </c>
      <c r="CQ270" s="239">
        <v>6166789</v>
      </c>
      <c r="CR270" s="239">
        <v>0</v>
      </c>
      <c r="CS270" s="239">
        <v>61667888</v>
      </c>
      <c r="CT270" s="239">
        <v>-1794968</v>
      </c>
      <c r="CU270" s="239">
        <v>-1435975</v>
      </c>
      <c r="CV270" s="239">
        <v>-358993</v>
      </c>
      <c r="CW270" s="239">
        <v>0</v>
      </c>
      <c r="CX270" s="239">
        <v>-3589936</v>
      </c>
      <c r="CY270" s="239">
        <v>2837251</v>
      </c>
      <c r="CZ270" s="239">
        <v>2269801</v>
      </c>
      <c r="DA270" s="239">
        <v>567451</v>
      </c>
      <c r="DB270" s="239">
        <v>0</v>
      </c>
      <c r="DC270" s="239">
        <v>5674503</v>
      </c>
      <c r="DD270" s="214">
        <v>0.5</v>
      </c>
      <c r="DE270" s="214">
        <v>0.4</v>
      </c>
      <c r="DF270" s="214">
        <v>0.1</v>
      </c>
      <c r="DG270" s="214">
        <v>0</v>
      </c>
      <c r="DH270" s="214">
        <v>1</v>
      </c>
      <c r="DI270" s="214" t="s">
        <v>1294</v>
      </c>
    </row>
    <row r="271" spans="2:113" s="214" customFormat="1" x14ac:dyDescent="0.2">
      <c r="B271" s="610" t="s">
        <v>625</v>
      </c>
      <c r="C271" s="610" t="s">
        <v>624</v>
      </c>
      <c r="D271" s="239">
        <v>43980613</v>
      </c>
      <c r="E271" s="239">
        <v>43101001</v>
      </c>
      <c r="F271" s="239">
        <v>0</v>
      </c>
      <c r="G271" s="239">
        <v>879612</v>
      </c>
      <c r="H271" s="239">
        <v>87961226</v>
      </c>
      <c r="I271" s="239">
        <v>35013.270833333336</v>
      </c>
      <c r="J271" s="239">
        <v>35013.270833333336</v>
      </c>
      <c r="K271" s="239">
        <v>43945599.729166664</v>
      </c>
      <c r="L271" s="239">
        <v>337431</v>
      </c>
      <c r="M271" s="239">
        <v>337431</v>
      </c>
      <c r="N271" s="239">
        <v>708744</v>
      </c>
      <c r="O271" s="239">
        <v>708744</v>
      </c>
      <c r="P271" s="239">
        <v>0</v>
      </c>
      <c r="Q271" s="239">
        <v>0</v>
      </c>
      <c r="R271" s="239">
        <v>0</v>
      </c>
      <c r="S271" s="239">
        <v>35013.270833333336</v>
      </c>
      <c r="T271" s="239">
        <v>0</v>
      </c>
      <c r="U271" s="239">
        <v>0</v>
      </c>
      <c r="V271" s="239">
        <v>35013.270833333336</v>
      </c>
      <c r="W271" s="239">
        <v>3598704</v>
      </c>
      <c r="X271" s="239">
        <v>3526730</v>
      </c>
      <c r="Y271" s="239">
        <v>0</v>
      </c>
      <c r="Z271" s="239">
        <v>71974</v>
      </c>
      <c r="AA271" s="239">
        <v>7197408</v>
      </c>
      <c r="AB271" s="239">
        <v>-391133</v>
      </c>
      <c r="AC271" s="239">
        <v>-383311</v>
      </c>
      <c r="AD271" s="239">
        <v>0</v>
      </c>
      <c r="AE271" s="239">
        <v>-7823</v>
      </c>
      <c r="AF271" s="239">
        <v>-782267</v>
      </c>
      <c r="AG271" s="239">
        <v>2832169</v>
      </c>
      <c r="AH271" s="239">
        <v>2775526</v>
      </c>
      <c r="AI271" s="239">
        <v>0</v>
      </c>
      <c r="AJ271" s="239">
        <v>56643</v>
      </c>
      <c r="AK271" s="239">
        <v>5664338</v>
      </c>
      <c r="AL271" s="239">
        <v>530926</v>
      </c>
      <c r="AM271" s="239">
        <v>520308</v>
      </c>
      <c r="AN271" s="239">
        <v>0</v>
      </c>
      <c r="AO271" s="239">
        <v>10619</v>
      </c>
      <c r="AP271" s="239">
        <v>1061853</v>
      </c>
      <c r="AQ271" s="239">
        <v>-397180</v>
      </c>
      <c r="AR271" s="239">
        <v>-389236</v>
      </c>
      <c r="AS271" s="239">
        <v>0</v>
      </c>
      <c r="AT271" s="239">
        <v>-7944</v>
      </c>
      <c r="AU271" s="239">
        <v>-794360</v>
      </c>
      <c r="AV271" s="239">
        <v>2965915</v>
      </c>
      <c r="AW271" s="239">
        <v>2906598</v>
      </c>
      <c r="AX271" s="239">
        <v>0</v>
      </c>
      <c r="AY271" s="239">
        <v>59318</v>
      </c>
      <c r="AZ271" s="239">
        <v>5931831</v>
      </c>
      <c r="BA271" s="239">
        <v>-5672229</v>
      </c>
      <c r="BB271" s="239">
        <v>-5558783</v>
      </c>
      <c r="BC271" s="239">
        <v>0</v>
      </c>
      <c r="BD271" s="239">
        <v>-113445</v>
      </c>
      <c r="BE271" s="239">
        <v>-11344457</v>
      </c>
      <c r="BF271" s="239">
        <v>1474813</v>
      </c>
      <c r="BG271" s="239">
        <v>1445317</v>
      </c>
      <c r="BH271" s="239">
        <v>0</v>
      </c>
      <c r="BI271" s="239">
        <v>29496</v>
      </c>
      <c r="BJ271" s="239">
        <v>2949626</v>
      </c>
      <c r="BK271" s="239">
        <v>-1506154</v>
      </c>
      <c r="BL271" s="239">
        <v>-1476031</v>
      </c>
      <c r="BM271" s="239">
        <v>0</v>
      </c>
      <c r="BN271" s="239">
        <v>-30123</v>
      </c>
      <c r="BO271" s="239">
        <v>-3012308</v>
      </c>
      <c r="BP271" s="239">
        <v>-5703570</v>
      </c>
      <c r="BQ271" s="239">
        <v>-5589497</v>
      </c>
      <c r="BR271" s="239">
        <v>0</v>
      </c>
      <c r="BS271" s="239">
        <v>-114072</v>
      </c>
      <c r="BT271" s="239">
        <v>-11407139</v>
      </c>
      <c r="BU271" s="239">
        <v>185785</v>
      </c>
      <c r="BV271" s="239">
        <v>182069</v>
      </c>
      <c r="BW271" s="239">
        <v>0</v>
      </c>
      <c r="BX271" s="239">
        <v>3716</v>
      </c>
      <c r="BY271" s="239">
        <v>371570</v>
      </c>
      <c r="BZ271" s="239">
        <v>517961</v>
      </c>
      <c r="CA271" s="239">
        <v>507602</v>
      </c>
      <c r="CB271" s="239">
        <v>0</v>
      </c>
      <c r="CC271" s="239">
        <v>10359</v>
      </c>
      <c r="CD271" s="239">
        <v>1035922</v>
      </c>
      <c r="CE271" s="239">
        <v>-332176</v>
      </c>
      <c r="CF271" s="239">
        <v>-325533</v>
      </c>
      <c r="CG271" s="239">
        <v>0</v>
      </c>
      <c r="CH271" s="239">
        <v>-6643</v>
      </c>
      <c r="CI271" s="239">
        <v>-664352</v>
      </c>
      <c r="CJ271" s="239">
        <v>43550003</v>
      </c>
      <c r="CK271" s="239">
        <v>42679003</v>
      </c>
      <c r="CL271" s="239">
        <v>0</v>
      </c>
      <c r="CM271" s="239">
        <v>871000</v>
      </c>
      <c r="CN271" s="239">
        <v>87100006</v>
      </c>
      <c r="CO271" s="239">
        <v>43980613</v>
      </c>
      <c r="CP271" s="239">
        <v>43101001</v>
      </c>
      <c r="CQ271" s="239">
        <v>0</v>
      </c>
      <c r="CR271" s="239">
        <v>879612</v>
      </c>
      <c r="CS271" s="239">
        <v>87961226</v>
      </c>
      <c r="CT271" s="239">
        <v>430610</v>
      </c>
      <c r="CU271" s="239">
        <v>421998</v>
      </c>
      <c r="CV271" s="239">
        <v>0</v>
      </c>
      <c r="CW271" s="239">
        <v>8612</v>
      </c>
      <c r="CX271" s="239">
        <v>861220</v>
      </c>
      <c r="CY271" s="239">
        <v>98434</v>
      </c>
      <c r="CZ271" s="239">
        <v>96465</v>
      </c>
      <c r="DA271" s="239">
        <v>0</v>
      </c>
      <c r="DB271" s="239">
        <v>1969</v>
      </c>
      <c r="DC271" s="239">
        <v>196868</v>
      </c>
      <c r="DD271" s="214">
        <v>0.5</v>
      </c>
      <c r="DE271" s="214">
        <v>0.49</v>
      </c>
      <c r="DF271" s="214">
        <v>0</v>
      </c>
      <c r="DG271" s="214">
        <v>0.01</v>
      </c>
      <c r="DH271" s="214">
        <v>1</v>
      </c>
      <c r="DI271" s="214" t="s">
        <v>1296</v>
      </c>
    </row>
    <row r="272" spans="2:113" s="214" customFormat="1" x14ac:dyDescent="0.2">
      <c r="B272" s="610" t="s">
        <v>627</v>
      </c>
      <c r="C272" s="610" t="s">
        <v>626</v>
      </c>
      <c r="D272" s="239">
        <v>17394068</v>
      </c>
      <c r="E272" s="239">
        <v>13915255</v>
      </c>
      <c r="F272" s="239">
        <v>3478814</v>
      </c>
      <c r="G272" s="239">
        <v>0</v>
      </c>
      <c r="H272" s="239">
        <v>34788137</v>
      </c>
      <c r="I272" s="239">
        <v>0</v>
      </c>
      <c r="J272" s="239">
        <v>0</v>
      </c>
      <c r="K272" s="239">
        <v>17394068</v>
      </c>
      <c r="L272" s="239">
        <v>122065</v>
      </c>
      <c r="M272" s="239">
        <v>122065</v>
      </c>
      <c r="N272" s="239">
        <v>0</v>
      </c>
      <c r="O272" s="239">
        <v>0</v>
      </c>
      <c r="P272" s="239">
        <v>0</v>
      </c>
      <c r="Q272" s="239">
        <v>0</v>
      </c>
      <c r="R272" s="239">
        <v>0</v>
      </c>
      <c r="S272" s="239">
        <v>0</v>
      </c>
      <c r="T272" s="239">
        <v>0</v>
      </c>
      <c r="U272" s="239">
        <v>0</v>
      </c>
      <c r="V272" s="239">
        <v>0</v>
      </c>
      <c r="W272" s="239">
        <v>822909</v>
      </c>
      <c r="X272" s="239">
        <v>658327</v>
      </c>
      <c r="Y272" s="239">
        <v>164582</v>
      </c>
      <c r="Z272" s="239">
        <v>0</v>
      </c>
      <c r="AA272" s="239">
        <v>1645818</v>
      </c>
      <c r="AB272" s="239">
        <v>-327999</v>
      </c>
      <c r="AC272" s="239">
        <v>-262399</v>
      </c>
      <c r="AD272" s="239">
        <v>-65600</v>
      </c>
      <c r="AE272" s="239">
        <v>0</v>
      </c>
      <c r="AF272" s="239">
        <v>-655998</v>
      </c>
      <c r="AG272" s="239">
        <v>-493250</v>
      </c>
      <c r="AH272" s="239">
        <v>-394600</v>
      </c>
      <c r="AI272" s="239">
        <v>-98650</v>
      </c>
      <c r="AJ272" s="239">
        <v>0</v>
      </c>
      <c r="AK272" s="239">
        <v>-986500</v>
      </c>
      <c r="AL272" s="239">
        <v>54777</v>
      </c>
      <c r="AM272" s="239">
        <v>43822</v>
      </c>
      <c r="AN272" s="239">
        <v>10955</v>
      </c>
      <c r="AO272" s="239">
        <v>0</v>
      </c>
      <c r="AP272" s="239">
        <v>109554</v>
      </c>
      <c r="AQ272" s="239">
        <v>-31416</v>
      </c>
      <c r="AR272" s="239">
        <v>-25133</v>
      </c>
      <c r="AS272" s="239">
        <v>-6283</v>
      </c>
      <c r="AT272" s="239">
        <v>0</v>
      </c>
      <c r="AU272" s="239">
        <v>-62832</v>
      </c>
      <c r="AV272" s="239">
        <v>-469889</v>
      </c>
      <c r="AW272" s="239">
        <v>-375911</v>
      </c>
      <c r="AX272" s="239">
        <v>-93978</v>
      </c>
      <c r="AY272" s="239">
        <v>0</v>
      </c>
      <c r="AZ272" s="239">
        <v>-939778</v>
      </c>
      <c r="BA272" s="239">
        <v>-1599750</v>
      </c>
      <c r="BB272" s="239">
        <v>-1279800</v>
      </c>
      <c r="BC272" s="239">
        <v>-319950</v>
      </c>
      <c r="BD272" s="239">
        <v>0</v>
      </c>
      <c r="BE272" s="239">
        <v>-3199500</v>
      </c>
      <c r="BF272" s="239">
        <v>550500</v>
      </c>
      <c r="BG272" s="239">
        <v>440400</v>
      </c>
      <c r="BH272" s="239">
        <v>110100</v>
      </c>
      <c r="BI272" s="239">
        <v>0</v>
      </c>
      <c r="BJ272" s="239">
        <v>1101000</v>
      </c>
      <c r="BK272" s="239">
        <v>-1150500</v>
      </c>
      <c r="BL272" s="239">
        <v>-920400</v>
      </c>
      <c r="BM272" s="239">
        <v>-230100</v>
      </c>
      <c r="BN272" s="239">
        <v>0</v>
      </c>
      <c r="BO272" s="239">
        <v>-2301000</v>
      </c>
      <c r="BP272" s="239">
        <v>-2199750</v>
      </c>
      <c r="BQ272" s="239">
        <v>-1759800</v>
      </c>
      <c r="BR272" s="239">
        <v>-439950</v>
      </c>
      <c r="BS272" s="239">
        <v>0</v>
      </c>
      <c r="BT272" s="239">
        <v>-4399500</v>
      </c>
      <c r="BU272" s="239">
        <v>-1496322</v>
      </c>
      <c r="BV272" s="239">
        <v>-1197058</v>
      </c>
      <c r="BW272" s="239">
        <v>-299265</v>
      </c>
      <c r="BX272" s="239">
        <v>0</v>
      </c>
      <c r="BY272" s="239">
        <v>-2992645</v>
      </c>
      <c r="BZ272" s="239">
        <v>-739522</v>
      </c>
      <c r="CA272" s="239">
        <v>-591617</v>
      </c>
      <c r="CB272" s="239">
        <v>-147904</v>
      </c>
      <c r="CC272" s="239">
        <v>0</v>
      </c>
      <c r="CD272" s="239">
        <v>-1479043</v>
      </c>
      <c r="CE272" s="239">
        <v>-756800</v>
      </c>
      <c r="CF272" s="239">
        <v>-605441</v>
      </c>
      <c r="CG272" s="239">
        <v>-151361</v>
      </c>
      <c r="CH272" s="239">
        <v>0</v>
      </c>
      <c r="CI272" s="239">
        <v>-1513602</v>
      </c>
      <c r="CJ272" s="239">
        <v>16862133</v>
      </c>
      <c r="CK272" s="239">
        <v>13489707</v>
      </c>
      <c r="CL272" s="239">
        <v>3372427</v>
      </c>
      <c r="CM272" s="239">
        <v>0</v>
      </c>
      <c r="CN272" s="239">
        <v>33724267</v>
      </c>
      <c r="CO272" s="239">
        <v>17394068</v>
      </c>
      <c r="CP272" s="239">
        <v>13915255</v>
      </c>
      <c r="CQ272" s="239">
        <v>3478814</v>
      </c>
      <c r="CR272" s="239">
        <v>0</v>
      </c>
      <c r="CS272" s="239">
        <v>34788137</v>
      </c>
      <c r="CT272" s="239">
        <v>531935</v>
      </c>
      <c r="CU272" s="239">
        <v>425548</v>
      </c>
      <c r="CV272" s="239">
        <v>106387</v>
      </c>
      <c r="CW272" s="239">
        <v>0</v>
      </c>
      <c r="CX272" s="239">
        <v>1063870</v>
      </c>
      <c r="CY272" s="239">
        <v>-224865</v>
      </c>
      <c r="CZ272" s="239">
        <v>-179893</v>
      </c>
      <c r="DA272" s="239">
        <v>-44974</v>
      </c>
      <c r="DB272" s="239">
        <v>0</v>
      </c>
      <c r="DC272" s="239">
        <v>-449732</v>
      </c>
      <c r="DD272" s="214">
        <v>0.5</v>
      </c>
      <c r="DE272" s="214">
        <v>0.4</v>
      </c>
      <c r="DF272" s="214">
        <v>0.1</v>
      </c>
      <c r="DG272" s="214">
        <v>0</v>
      </c>
      <c r="DH272" s="214">
        <v>1</v>
      </c>
      <c r="DI272" s="214" t="s">
        <v>1294</v>
      </c>
    </row>
    <row r="273" spans="2:113" s="214" customFormat="1" x14ac:dyDescent="0.2">
      <c r="B273" s="610" t="s">
        <v>629</v>
      </c>
      <c r="C273" s="610" t="s">
        <v>628</v>
      </c>
      <c r="D273" s="239">
        <v>26285923</v>
      </c>
      <c r="E273" s="239">
        <v>15771554</v>
      </c>
      <c r="F273" s="239">
        <v>10514369</v>
      </c>
      <c r="G273" s="239">
        <v>0</v>
      </c>
      <c r="H273" s="239">
        <v>52571846</v>
      </c>
      <c r="I273" s="239">
        <v>0</v>
      </c>
      <c r="J273" s="239">
        <v>0</v>
      </c>
      <c r="K273" s="239">
        <v>26285923</v>
      </c>
      <c r="L273" s="239">
        <v>245289</v>
      </c>
      <c r="M273" s="239">
        <v>245289</v>
      </c>
      <c r="N273" s="239">
        <v>0</v>
      </c>
      <c r="O273" s="239">
        <v>0</v>
      </c>
      <c r="P273" s="239">
        <v>0</v>
      </c>
      <c r="Q273" s="239">
        <v>0</v>
      </c>
      <c r="R273" s="239">
        <v>0</v>
      </c>
      <c r="S273" s="239">
        <v>0</v>
      </c>
      <c r="T273" s="239">
        <v>0</v>
      </c>
      <c r="U273" s="239">
        <v>0</v>
      </c>
      <c r="V273" s="239">
        <v>0</v>
      </c>
      <c r="W273" s="239">
        <v>1054041</v>
      </c>
      <c r="X273" s="239">
        <v>632424</v>
      </c>
      <c r="Y273" s="239">
        <v>421616</v>
      </c>
      <c r="Z273" s="239">
        <v>0</v>
      </c>
      <c r="AA273" s="239">
        <v>2108081</v>
      </c>
      <c r="AB273" s="239">
        <v>-268829</v>
      </c>
      <c r="AC273" s="239">
        <v>-161297</v>
      </c>
      <c r="AD273" s="239">
        <v>-107532</v>
      </c>
      <c r="AE273" s="239">
        <v>0</v>
      </c>
      <c r="AF273" s="239">
        <v>-537658</v>
      </c>
      <c r="AG273" s="239">
        <v>-458881</v>
      </c>
      <c r="AH273" s="239">
        <v>-275328</v>
      </c>
      <c r="AI273" s="239">
        <v>-183552</v>
      </c>
      <c r="AJ273" s="239">
        <v>0</v>
      </c>
      <c r="AK273" s="239">
        <v>-917761</v>
      </c>
      <c r="AL273" s="239">
        <v>336774</v>
      </c>
      <c r="AM273" s="239">
        <v>202065</v>
      </c>
      <c r="AN273" s="239">
        <v>134710</v>
      </c>
      <c r="AO273" s="239">
        <v>0</v>
      </c>
      <c r="AP273" s="239">
        <v>673549</v>
      </c>
      <c r="AQ273" s="239">
        <v>-280604</v>
      </c>
      <c r="AR273" s="239">
        <v>-168362</v>
      </c>
      <c r="AS273" s="239">
        <v>-112242</v>
      </c>
      <c r="AT273" s="239">
        <v>0</v>
      </c>
      <c r="AU273" s="239">
        <v>-561208</v>
      </c>
      <c r="AV273" s="239">
        <v>-402711</v>
      </c>
      <c r="AW273" s="239">
        <v>-241625</v>
      </c>
      <c r="AX273" s="239">
        <v>-161084</v>
      </c>
      <c r="AY273" s="239">
        <v>0</v>
      </c>
      <c r="AZ273" s="239">
        <v>-805420</v>
      </c>
      <c r="BA273" s="239">
        <v>-2884395</v>
      </c>
      <c r="BB273" s="239">
        <v>-1730636</v>
      </c>
      <c r="BC273" s="239">
        <v>-1153758</v>
      </c>
      <c r="BD273" s="239">
        <v>0</v>
      </c>
      <c r="BE273" s="239">
        <v>-5768789</v>
      </c>
      <c r="BF273" s="239">
        <v>767899</v>
      </c>
      <c r="BG273" s="239">
        <v>460740</v>
      </c>
      <c r="BH273" s="239">
        <v>307160</v>
      </c>
      <c r="BI273" s="239">
        <v>0</v>
      </c>
      <c r="BJ273" s="239">
        <v>1535799</v>
      </c>
      <c r="BK273" s="239">
        <v>926987</v>
      </c>
      <c r="BL273" s="239">
        <v>556193</v>
      </c>
      <c r="BM273" s="239">
        <v>370795</v>
      </c>
      <c r="BN273" s="239">
        <v>0</v>
      </c>
      <c r="BO273" s="239">
        <v>1853975</v>
      </c>
      <c r="BP273" s="239">
        <v>-1189509</v>
      </c>
      <c r="BQ273" s="239">
        <v>-713703</v>
      </c>
      <c r="BR273" s="239">
        <v>-475803</v>
      </c>
      <c r="BS273" s="239">
        <v>0</v>
      </c>
      <c r="BT273" s="239">
        <v>-2379015</v>
      </c>
      <c r="BU273" s="239">
        <v>-4798539</v>
      </c>
      <c r="BV273" s="239">
        <v>-2879123</v>
      </c>
      <c r="BW273" s="239">
        <v>-1919416</v>
      </c>
      <c r="BX273" s="239">
        <v>0</v>
      </c>
      <c r="BY273" s="239">
        <v>-9597078</v>
      </c>
      <c r="BZ273" s="239">
        <v>-3052086.5999999996</v>
      </c>
      <c r="CA273" s="239">
        <v>-1831251</v>
      </c>
      <c r="CB273" s="239">
        <v>-1220834</v>
      </c>
      <c r="CC273" s="239">
        <v>0</v>
      </c>
      <c r="CD273" s="239">
        <v>-6104171.5999999996</v>
      </c>
      <c r="CE273" s="239">
        <v>-1746452.4000000004</v>
      </c>
      <c r="CF273" s="239">
        <v>-1047872</v>
      </c>
      <c r="CG273" s="239">
        <v>-698582</v>
      </c>
      <c r="CH273" s="239">
        <v>0</v>
      </c>
      <c r="CI273" s="239">
        <v>-3492906.4000000004</v>
      </c>
      <c r="CJ273" s="239">
        <v>25261161</v>
      </c>
      <c r="CK273" s="239">
        <v>15156697</v>
      </c>
      <c r="CL273" s="239">
        <v>10104465</v>
      </c>
      <c r="CM273" s="239">
        <v>0</v>
      </c>
      <c r="CN273" s="239">
        <v>50522323</v>
      </c>
      <c r="CO273" s="239">
        <v>26285923</v>
      </c>
      <c r="CP273" s="239">
        <v>15771554</v>
      </c>
      <c r="CQ273" s="239">
        <v>10514369</v>
      </c>
      <c r="CR273" s="239">
        <v>0</v>
      </c>
      <c r="CS273" s="239">
        <v>52571846</v>
      </c>
      <c r="CT273" s="239">
        <v>1024762</v>
      </c>
      <c r="CU273" s="239">
        <v>614857</v>
      </c>
      <c r="CV273" s="239">
        <v>409904</v>
      </c>
      <c r="CW273" s="239">
        <v>0</v>
      </c>
      <c r="CX273" s="239">
        <v>2049523</v>
      </c>
      <c r="CY273" s="239">
        <v>-721690.40000000037</v>
      </c>
      <c r="CZ273" s="239">
        <v>-433015</v>
      </c>
      <c r="DA273" s="239">
        <v>-288678</v>
      </c>
      <c r="DB273" s="239">
        <v>0</v>
      </c>
      <c r="DC273" s="239">
        <v>-1443383.4000000004</v>
      </c>
      <c r="DD273" s="214">
        <v>0.5</v>
      </c>
      <c r="DE273" s="214">
        <v>0.3</v>
      </c>
      <c r="DF273" s="214">
        <v>0.2</v>
      </c>
      <c r="DG273" s="214">
        <v>0</v>
      </c>
      <c r="DH273" s="214">
        <v>1</v>
      </c>
      <c r="DI273" s="214" t="s">
        <v>1295</v>
      </c>
    </row>
    <row r="274" spans="2:113" s="214" customFormat="1" x14ac:dyDescent="0.2">
      <c r="B274" s="610" t="s">
        <v>631</v>
      </c>
      <c r="C274" s="610" t="s">
        <v>630</v>
      </c>
      <c r="D274" s="239">
        <v>20802745</v>
      </c>
      <c r="E274" s="239">
        <v>16642196</v>
      </c>
      <c r="F274" s="239">
        <v>3744494</v>
      </c>
      <c r="G274" s="239">
        <v>416055</v>
      </c>
      <c r="H274" s="239">
        <v>41605490</v>
      </c>
      <c r="I274" s="239">
        <v>0</v>
      </c>
      <c r="J274" s="239">
        <v>0</v>
      </c>
      <c r="K274" s="239">
        <v>20802745</v>
      </c>
      <c r="L274" s="239">
        <v>180565</v>
      </c>
      <c r="M274" s="239">
        <v>180565</v>
      </c>
      <c r="N274" s="239">
        <v>0</v>
      </c>
      <c r="O274" s="239">
        <v>0</v>
      </c>
      <c r="P274" s="239">
        <v>87977</v>
      </c>
      <c r="Q274" s="239">
        <v>424573</v>
      </c>
      <c r="R274" s="239">
        <v>512550</v>
      </c>
      <c r="S274" s="239">
        <v>0</v>
      </c>
      <c r="T274" s="239">
        <v>0</v>
      </c>
      <c r="U274" s="239">
        <v>0</v>
      </c>
      <c r="V274" s="239">
        <v>0</v>
      </c>
      <c r="W274" s="239">
        <v>484980</v>
      </c>
      <c r="X274" s="239">
        <v>387985</v>
      </c>
      <c r="Y274" s="239">
        <v>87297</v>
      </c>
      <c r="Z274" s="239">
        <v>9700</v>
      </c>
      <c r="AA274" s="239">
        <v>969962</v>
      </c>
      <c r="AB274" s="239">
        <v>-163964</v>
      </c>
      <c r="AC274" s="239">
        <v>-131170</v>
      </c>
      <c r="AD274" s="239">
        <v>-29513</v>
      </c>
      <c r="AE274" s="239">
        <v>-3279</v>
      </c>
      <c r="AF274" s="239">
        <v>-327926</v>
      </c>
      <c r="AG274" s="239">
        <v>-1198725</v>
      </c>
      <c r="AH274" s="239">
        <v>-958979</v>
      </c>
      <c r="AI274" s="239">
        <v>-215771</v>
      </c>
      <c r="AJ274" s="239">
        <v>-23974</v>
      </c>
      <c r="AK274" s="239">
        <v>-2397449</v>
      </c>
      <c r="AL274" s="239">
        <v>667542</v>
      </c>
      <c r="AM274" s="239">
        <v>534033</v>
      </c>
      <c r="AN274" s="239">
        <v>120157</v>
      </c>
      <c r="AO274" s="239">
        <v>13351</v>
      </c>
      <c r="AP274" s="239">
        <v>1335083</v>
      </c>
      <c r="AQ274" s="239">
        <v>116799</v>
      </c>
      <c r="AR274" s="239">
        <v>93440</v>
      </c>
      <c r="AS274" s="239">
        <v>21024</v>
      </c>
      <c r="AT274" s="239">
        <v>2336</v>
      </c>
      <c r="AU274" s="239">
        <v>233599</v>
      </c>
      <c r="AV274" s="239">
        <v>-414384</v>
      </c>
      <c r="AW274" s="239">
        <v>-331506</v>
      </c>
      <c r="AX274" s="239">
        <v>-74590</v>
      </c>
      <c r="AY274" s="239">
        <v>-8287</v>
      </c>
      <c r="AZ274" s="239">
        <v>-828767</v>
      </c>
      <c r="BA274" s="239">
        <v>-2807633.3</v>
      </c>
      <c r="BB274" s="239">
        <v>-2246109</v>
      </c>
      <c r="BC274" s="239">
        <v>-505374</v>
      </c>
      <c r="BD274" s="239">
        <v>-56153</v>
      </c>
      <c r="BE274" s="239">
        <v>-5615269.2999999998</v>
      </c>
      <c r="BF274" s="239">
        <v>573587</v>
      </c>
      <c r="BG274" s="239">
        <v>458870</v>
      </c>
      <c r="BH274" s="239">
        <v>103246</v>
      </c>
      <c r="BI274" s="239">
        <v>11472</v>
      </c>
      <c r="BJ274" s="239">
        <v>1147175</v>
      </c>
      <c r="BK274" s="239">
        <v>-1813761</v>
      </c>
      <c r="BL274" s="239">
        <v>-1451009</v>
      </c>
      <c r="BM274" s="239">
        <v>-326477</v>
      </c>
      <c r="BN274" s="239">
        <v>-36275</v>
      </c>
      <c r="BO274" s="239">
        <v>-3627522</v>
      </c>
      <c r="BP274" s="239">
        <v>-4047807.3</v>
      </c>
      <c r="BQ274" s="239">
        <v>-3238248</v>
      </c>
      <c r="BR274" s="239">
        <v>-728605</v>
      </c>
      <c r="BS274" s="239">
        <v>-80956</v>
      </c>
      <c r="BT274" s="239">
        <v>-8095616.2999999998</v>
      </c>
      <c r="BU274" s="239">
        <v>-246136</v>
      </c>
      <c r="BV274" s="239">
        <v>-196910</v>
      </c>
      <c r="BW274" s="239">
        <v>-44305</v>
      </c>
      <c r="BX274" s="239">
        <v>-4923</v>
      </c>
      <c r="BY274" s="239">
        <v>-492274</v>
      </c>
      <c r="BZ274" s="239">
        <v>211991</v>
      </c>
      <c r="CA274" s="239">
        <v>169592</v>
      </c>
      <c r="CB274" s="239">
        <v>38158</v>
      </c>
      <c r="CC274" s="239">
        <v>4240</v>
      </c>
      <c r="CD274" s="239">
        <v>423981</v>
      </c>
      <c r="CE274" s="239">
        <v>-458127</v>
      </c>
      <c r="CF274" s="239">
        <v>-366502</v>
      </c>
      <c r="CG274" s="239">
        <v>-82463</v>
      </c>
      <c r="CH274" s="239">
        <v>-9163</v>
      </c>
      <c r="CI274" s="239">
        <v>-916255</v>
      </c>
      <c r="CJ274" s="239">
        <v>21645075</v>
      </c>
      <c r="CK274" s="239">
        <v>17316060</v>
      </c>
      <c r="CL274" s="239">
        <v>3896113</v>
      </c>
      <c r="CM274" s="239">
        <v>432901</v>
      </c>
      <c r="CN274" s="239">
        <v>43290149</v>
      </c>
      <c r="CO274" s="239">
        <v>20802745</v>
      </c>
      <c r="CP274" s="239">
        <v>16642196</v>
      </c>
      <c r="CQ274" s="239">
        <v>3744494</v>
      </c>
      <c r="CR274" s="239">
        <v>416055</v>
      </c>
      <c r="CS274" s="239">
        <v>41605490</v>
      </c>
      <c r="CT274" s="239">
        <v>-842330</v>
      </c>
      <c r="CU274" s="239">
        <v>-673864</v>
      </c>
      <c r="CV274" s="239">
        <v>-151619</v>
      </c>
      <c r="CW274" s="239">
        <v>-16846</v>
      </c>
      <c r="CX274" s="239">
        <v>-1684659</v>
      </c>
      <c r="CY274" s="239">
        <v>-1300457</v>
      </c>
      <c r="CZ274" s="239">
        <v>-1040366</v>
      </c>
      <c r="DA274" s="239">
        <v>-234082</v>
      </c>
      <c r="DB274" s="239">
        <v>-26009</v>
      </c>
      <c r="DC274" s="239">
        <v>-2600914</v>
      </c>
      <c r="DD274" s="214">
        <v>0.5</v>
      </c>
      <c r="DE274" s="214">
        <v>0.4</v>
      </c>
      <c r="DF274" s="214">
        <v>0.09</v>
      </c>
      <c r="DG274" s="214">
        <v>0.01</v>
      </c>
      <c r="DH274" s="214">
        <v>1</v>
      </c>
      <c r="DI274" s="214" t="s">
        <v>1294</v>
      </c>
    </row>
    <row r="275" spans="2:113" s="214" customFormat="1" x14ac:dyDescent="0.2">
      <c r="B275" s="610" t="s">
        <v>633</v>
      </c>
      <c r="C275" s="610" t="s">
        <v>632</v>
      </c>
      <c r="D275" s="239">
        <v>52947826</v>
      </c>
      <c r="E275" s="239">
        <v>51888869</v>
      </c>
      <c r="F275" s="239">
        <v>0</v>
      </c>
      <c r="G275" s="239">
        <v>1058957</v>
      </c>
      <c r="H275" s="239">
        <v>105895652</v>
      </c>
      <c r="I275" s="239">
        <v>0</v>
      </c>
      <c r="J275" s="239">
        <v>0</v>
      </c>
      <c r="K275" s="239">
        <v>52947826</v>
      </c>
      <c r="L275" s="239">
        <v>270907</v>
      </c>
      <c r="M275" s="239">
        <v>270907</v>
      </c>
      <c r="N275" s="239">
        <v>0</v>
      </c>
      <c r="O275" s="239">
        <v>0</v>
      </c>
      <c r="P275" s="239">
        <v>376686</v>
      </c>
      <c r="Q275" s="239">
        <v>0</v>
      </c>
      <c r="R275" s="239">
        <v>376686</v>
      </c>
      <c r="S275" s="239">
        <v>0</v>
      </c>
      <c r="T275" s="239">
        <v>0</v>
      </c>
      <c r="U275" s="239">
        <v>0</v>
      </c>
      <c r="V275" s="239">
        <v>0</v>
      </c>
      <c r="W275" s="239">
        <v>1821027</v>
      </c>
      <c r="X275" s="239">
        <v>1784606</v>
      </c>
      <c r="Y275" s="239">
        <v>0</v>
      </c>
      <c r="Z275" s="239">
        <v>36421</v>
      </c>
      <c r="AA275" s="239">
        <v>3642054</v>
      </c>
      <c r="AB275" s="239">
        <v>-279968</v>
      </c>
      <c r="AC275" s="239">
        <v>-274369</v>
      </c>
      <c r="AD275" s="239">
        <v>0</v>
      </c>
      <c r="AE275" s="239">
        <v>-5599</v>
      </c>
      <c r="AF275" s="239">
        <v>-559936</v>
      </c>
      <c r="AG275" s="239">
        <v>-638277</v>
      </c>
      <c r="AH275" s="239">
        <v>-625509</v>
      </c>
      <c r="AI275" s="239">
        <v>0</v>
      </c>
      <c r="AJ275" s="239">
        <v>-12764</v>
      </c>
      <c r="AK275" s="239">
        <v>-1276550</v>
      </c>
      <c r="AL275" s="239">
        <v>544827</v>
      </c>
      <c r="AM275" s="239">
        <v>533930</v>
      </c>
      <c r="AN275" s="239">
        <v>0</v>
      </c>
      <c r="AO275" s="239">
        <v>10897</v>
      </c>
      <c r="AP275" s="239">
        <v>1089654</v>
      </c>
      <c r="AQ275" s="239">
        <v>-543934</v>
      </c>
      <c r="AR275" s="239">
        <v>-533056</v>
      </c>
      <c r="AS275" s="239">
        <v>0</v>
      </c>
      <c r="AT275" s="239">
        <v>-10879</v>
      </c>
      <c r="AU275" s="239">
        <v>-1087869</v>
      </c>
      <c r="AV275" s="239">
        <v>-637384</v>
      </c>
      <c r="AW275" s="239">
        <v>-624635</v>
      </c>
      <c r="AX275" s="239">
        <v>0</v>
      </c>
      <c r="AY275" s="239">
        <v>-12746</v>
      </c>
      <c r="AZ275" s="239">
        <v>-1274765</v>
      </c>
      <c r="BA275" s="239">
        <v>-3784594</v>
      </c>
      <c r="BB275" s="239">
        <v>-3708903</v>
      </c>
      <c r="BC275" s="239">
        <v>0</v>
      </c>
      <c r="BD275" s="239">
        <v>-75693</v>
      </c>
      <c r="BE275" s="239">
        <v>-7569190</v>
      </c>
      <c r="BF275" s="239">
        <v>1327412</v>
      </c>
      <c r="BG275" s="239">
        <v>1300864</v>
      </c>
      <c r="BH275" s="239">
        <v>0</v>
      </c>
      <c r="BI275" s="239">
        <v>26548</v>
      </c>
      <c r="BJ275" s="239">
        <v>2654824</v>
      </c>
      <c r="BK275" s="239">
        <v>-2615690</v>
      </c>
      <c r="BL275" s="239">
        <v>-2563376</v>
      </c>
      <c r="BM275" s="239">
        <v>0</v>
      </c>
      <c r="BN275" s="239">
        <v>-52314</v>
      </c>
      <c r="BO275" s="239">
        <v>-5231380</v>
      </c>
      <c r="BP275" s="239">
        <v>-5072872</v>
      </c>
      <c r="BQ275" s="239">
        <v>-4971415</v>
      </c>
      <c r="BR275" s="239">
        <v>0</v>
      </c>
      <c r="BS275" s="239">
        <v>-101459</v>
      </c>
      <c r="BT275" s="239">
        <v>-10145746</v>
      </c>
      <c r="BU275" s="239">
        <v>-2637746</v>
      </c>
      <c r="BV275" s="239">
        <v>-2584992</v>
      </c>
      <c r="BW275" s="239">
        <v>0</v>
      </c>
      <c r="BX275" s="239">
        <v>-52755</v>
      </c>
      <c r="BY275" s="239">
        <v>-5275493</v>
      </c>
      <c r="BZ275" s="239">
        <v>-2540277</v>
      </c>
      <c r="CA275" s="239">
        <v>-2489472</v>
      </c>
      <c r="CB275" s="239">
        <v>0</v>
      </c>
      <c r="CC275" s="239">
        <v>-50806</v>
      </c>
      <c r="CD275" s="239">
        <v>-5080555</v>
      </c>
      <c r="CE275" s="239">
        <v>-97469</v>
      </c>
      <c r="CF275" s="239">
        <v>-95520</v>
      </c>
      <c r="CG275" s="239">
        <v>0</v>
      </c>
      <c r="CH275" s="239">
        <v>-1949</v>
      </c>
      <c r="CI275" s="239">
        <v>-194938</v>
      </c>
      <c r="CJ275" s="239">
        <v>52898235</v>
      </c>
      <c r="CK275" s="239">
        <v>51840271</v>
      </c>
      <c r="CL275" s="239">
        <v>0</v>
      </c>
      <c r="CM275" s="239">
        <v>1057965</v>
      </c>
      <c r="CN275" s="239">
        <v>105796471</v>
      </c>
      <c r="CO275" s="239">
        <v>52947826</v>
      </c>
      <c r="CP275" s="239">
        <v>51888869</v>
      </c>
      <c r="CQ275" s="239">
        <v>0</v>
      </c>
      <c r="CR275" s="239">
        <v>1058957</v>
      </c>
      <c r="CS275" s="239">
        <v>105895652</v>
      </c>
      <c r="CT275" s="239">
        <v>49591</v>
      </c>
      <c r="CU275" s="239">
        <v>48598</v>
      </c>
      <c r="CV275" s="239">
        <v>0</v>
      </c>
      <c r="CW275" s="239">
        <v>992</v>
      </c>
      <c r="CX275" s="239">
        <v>99181</v>
      </c>
      <c r="CY275" s="239">
        <v>-47878</v>
      </c>
      <c r="CZ275" s="239">
        <v>-46922</v>
      </c>
      <c r="DA275" s="239">
        <v>0</v>
      </c>
      <c r="DB275" s="239">
        <v>-957</v>
      </c>
      <c r="DC275" s="239">
        <v>-95757</v>
      </c>
      <c r="DD275" s="214">
        <v>0.5</v>
      </c>
      <c r="DE275" s="214">
        <v>0.49</v>
      </c>
      <c r="DF275" s="214">
        <v>0</v>
      </c>
      <c r="DG275" s="214">
        <v>0.01</v>
      </c>
      <c r="DH275" s="214">
        <v>1</v>
      </c>
      <c r="DI275" s="214" t="s">
        <v>748</v>
      </c>
    </row>
    <row r="276" spans="2:113" s="214" customFormat="1" x14ac:dyDescent="0.2">
      <c r="B276" s="610" t="s">
        <v>635</v>
      </c>
      <c r="C276" s="610" t="s">
        <v>634</v>
      </c>
      <c r="D276" s="239">
        <v>28556439</v>
      </c>
      <c r="E276" s="239">
        <v>27985311</v>
      </c>
      <c r="F276" s="239">
        <v>0</v>
      </c>
      <c r="G276" s="239">
        <v>571129</v>
      </c>
      <c r="H276" s="239">
        <v>57112879</v>
      </c>
      <c r="I276" s="239">
        <v>0</v>
      </c>
      <c r="J276" s="239">
        <v>0</v>
      </c>
      <c r="K276" s="239">
        <v>28556439</v>
      </c>
      <c r="L276" s="239">
        <v>300741</v>
      </c>
      <c r="M276" s="239">
        <v>300741</v>
      </c>
      <c r="N276" s="239">
        <v>0</v>
      </c>
      <c r="O276" s="239">
        <v>0</v>
      </c>
      <c r="P276" s="239">
        <v>0</v>
      </c>
      <c r="Q276" s="239">
        <v>0</v>
      </c>
      <c r="R276" s="239">
        <v>0</v>
      </c>
      <c r="S276" s="239">
        <v>0</v>
      </c>
      <c r="T276" s="239">
        <v>0</v>
      </c>
      <c r="U276" s="239">
        <v>0</v>
      </c>
      <c r="V276" s="239">
        <v>0</v>
      </c>
      <c r="W276" s="239">
        <v>3467457</v>
      </c>
      <c r="X276" s="239">
        <v>3398108</v>
      </c>
      <c r="Y276" s="239">
        <v>0</v>
      </c>
      <c r="Z276" s="239">
        <v>69349</v>
      </c>
      <c r="AA276" s="239">
        <v>6934914</v>
      </c>
      <c r="AB276" s="239">
        <v>-1140711</v>
      </c>
      <c r="AC276" s="239">
        <v>-1117897</v>
      </c>
      <c r="AD276" s="239">
        <v>0</v>
      </c>
      <c r="AE276" s="239">
        <v>-22814</v>
      </c>
      <c r="AF276" s="239">
        <v>-2281422</v>
      </c>
      <c r="AG276" s="239">
        <v>-1719654.9</v>
      </c>
      <c r="AH276" s="239">
        <v>-1685262</v>
      </c>
      <c r="AI276" s="239">
        <v>0</v>
      </c>
      <c r="AJ276" s="239">
        <v>-34393</v>
      </c>
      <c r="AK276" s="239">
        <v>-3439309.9</v>
      </c>
      <c r="AL276" s="239">
        <v>351384</v>
      </c>
      <c r="AM276" s="239">
        <v>344356</v>
      </c>
      <c r="AN276" s="239">
        <v>0</v>
      </c>
      <c r="AO276" s="239">
        <v>7028</v>
      </c>
      <c r="AP276" s="239">
        <v>702768</v>
      </c>
      <c r="AQ276" s="239">
        <v>-491633</v>
      </c>
      <c r="AR276" s="239">
        <v>-481801</v>
      </c>
      <c r="AS276" s="239">
        <v>0</v>
      </c>
      <c r="AT276" s="239">
        <v>-9833</v>
      </c>
      <c r="AU276" s="239">
        <v>-983267</v>
      </c>
      <c r="AV276" s="239">
        <v>-1859903.9</v>
      </c>
      <c r="AW276" s="239">
        <v>-1822707</v>
      </c>
      <c r="AX276" s="239">
        <v>0</v>
      </c>
      <c r="AY276" s="239">
        <v>-37198</v>
      </c>
      <c r="AZ276" s="239">
        <v>-3719808.9</v>
      </c>
      <c r="BA276" s="239">
        <v>-2739094</v>
      </c>
      <c r="BB276" s="239">
        <v>-2684313</v>
      </c>
      <c r="BC276" s="239">
        <v>0</v>
      </c>
      <c r="BD276" s="239">
        <v>-54782</v>
      </c>
      <c r="BE276" s="239">
        <v>-5478189</v>
      </c>
      <c r="BF276" s="239">
        <v>244578</v>
      </c>
      <c r="BG276" s="239">
        <v>239687</v>
      </c>
      <c r="BH276" s="239">
        <v>0</v>
      </c>
      <c r="BI276" s="239">
        <v>4892</v>
      </c>
      <c r="BJ276" s="239">
        <v>489157</v>
      </c>
      <c r="BK276" s="239">
        <v>-481451</v>
      </c>
      <c r="BL276" s="239">
        <v>-471822</v>
      </c>
      <c r="BM276" s="239">
        <v>0</v>
      </c>
      <c r="BN276" s="239">
        <v>-9629</v>
      </c>
      <c r="BO276" s="239">
        <v>-962902</v>
      </c>
      <c r="BP276" s="239">
        <v>-2975967</v>
      </c>
      <c r="BQ276" s="239">
        <v>-2916448</v>
      </c>
      <c r="BR276" s="239">
        <v>0</v>
      </c>
      <c r="BS276" s="239">
        <v>-59519</v>
      </c>
      <c r="BT276" s="239">
        <v>-5951934</v>
      </c>
      <c r="BU276" s="239">
        <v>-434215</v>
      </c>
      <c r="BV276" s="239">
        <v>-425531</v>
      </c>
      <c r="BW276" s="239">
        <v>0</v>
      </c>
      <c r="BX276" s="239">
        <v>-8684</v>
      </c>
      <c r="BY276" s="239">
        <v>-868430</v>
      </c>
      <c r="BZ276" s="239">
        <v>1050698</v>
      </c>
      <c r="CA276" s="239">
        <v>1029685</v>
      </c>
      <c r="CB276" s="239">
        <v>0</v>
      </c>
      <c r="CC276" s="239">
        <v>21014</v>
      </c>
      <c r="CD276" s="239">
        <v>2101397</v>
      </c>
      <c r="CE276" s="239">
        <v>-1484913</v>
      </c>
      <c r="CF276" s="239">
        <v>-1455216</v>
      </c>
      <c r="CG276" s="239">
        <v>0</v>
      </c>
      <c r="CH276" s="239">
        <v>-29698</v>
      </c>
      <c r="CI276" s="239">
        <v>-2969827</v>
      </c>
      <c r="CJ276" s="239">
        <v>28256155</v>
      </c>
      <c r="CK276" s="239">
        <v>27691031</v>
      </c>
      <c r="CL276" s="239">
        <v>0</v>
      </c>
      <c r="CM276" s="239">
        <v>565123</v>
      </c>
      <c r="CN276" s="239">
        <v>56512309</v>
      </c>
      <c r="CO276" s="239">
        <v>28556439</v>
      </c>
      <c r="CP276" s="239">
        <v>27985311</v>
      </c>
      <c r="CQ276" s="239">
        <v>0</v>
      </c>
      <c r="CR276" s="239">
        <v>571129</v>
      </c>
      <c r="CS276" s="239">
        <v>57112879</v>
      </c>
      <c r="CT276" s="239">
        <v>300284</v>
      </c>
      <c r="CU276" s="239">
        <v>294280</v>
      </c>
      <c r="CV276" s="239">
        <v>0</v>
      </c>
      <c r="CW276" s="239">
        <v>6006</v>
      </c>
      <c r="CX276" s="239">
        <v>600570</v>
      </c>
      <c r="CY276" s="239">
        <v>-1184629</v>
      </c>
      <c r="CZ276" s="239">
        <v>-1160936</v>
      </c>
      <c r="DA276" s="239">
        <v>0</v>
      </c>
      <c r="DB276" s="239">
        <v>-23692</v>
      </c>
      <c r="DC276" s="239">
        <v>-2369257</v>
      </c>
      <c r="DD276" s="214">
        <v>0.5</v>
      </c>
      <c r="DE276" s="214">
        <v>0.49</v>
      </c>
      <c r="DF276" s="214">
        <v>0</v>
      </c>
      <c r="DG276" s="214">
        <v>0.01</v>
      </c>
      <c r="DH276" s="214">
        <v>1</v>
      </c>
      <c r="DI276" s="214" t="s">
        <v>1296</v>
      </c>
    </row>
    <row r="277" spans="2:113" s="214" customFormat="1" x14ac:dyDescent="0.2">
      <c r="B277" s="610" t="s">
        <v>637</v>
      </c>
      <c r="C277" s="610" t="s">
        <v>636</v>
      </c>
      <c r="D277" s="239">
        <v>16689338</v>
      </c>
      <c r="E277" s="239">
        <v>13351470</v>
      </c>
      <c r="F277" s="239">
        <v>3004081</v>
      </c>
      <c r="G277" s="239">
        <v>333787</v>
      </c>
      <c r="H277" s="239">
        <v>33378676</v>
      </c>
      <c r="I277" s="239">
        <v>0</v>
      </c>
      <c r="J277" s="239">
        <v>0</v>
      </c>
      <c r="K277" s="239">
        <v>16689338</v>
      </c>
      <c r="L277" s="239">
        <v>91651</v>
      </c>
      <c r="M277" s="239">
        <v>91651</v>
      </c>
      <c r="N277" s="239">
        <v>0</v>
      </c>
      <c r="O277" s="239">
        <v>0</v>
      </c>
      <c r="P277" s="239">
        <v>0</v>
      </c>
      <c r="Q277" s="239">
        <v>0</v>
      </c>
      <c r="R277" s="239">
        <v>0</v>
      </c>
      <c r="S277" s="239">
        <v>0</v>
      </c>
      <c r="T277" s="239">
        <v>0</v>
      </c>
      <c r="U277" s="239">
        <v>0</v>
      </c>
      <c r="V277" s="239">
        <v>0</v>
      </c>
      <c r="W277" s="239">
        <v>602312</v>
      </c>
      <c r="X277" s="239">
        <v>481849</v>
      </c>
      <c r="Y277" s="239">
        <v>108416</v>
      </c>
      <c r="Z277" s="239">
        <v>12046</v>
      </c>
      <c r="AA277" s="239">
        <v>1204623</v>
      </c>
      <c r="AB277" s="239">
        <v>-318825</v>
      </c>
      <c r="AC277" s="239">
        <v>-255060</v>
      </c>
      <c r="AD277" s="239">
        <v>-57389</v>
      </c>
      <c r="AE277" s="239">
        <v>-6377</v>
      </c>
      <c r="AF277" s="239">
        <v>-637651</v>
      </c>
      <c r="AG277" s="239">
        <v>-408840.76</v>
      </c>
      <c r="AH277" s="239">
        <v>-327072</v>
      </c>
      <c r="AI277" s="239">
        <v>-73591</v>
      </c>
      <c r="AJ277" s="239">
        <v>-8176</v>
      </c>
      <c r="AK277" s="239">
        <v>-817679.76</v>
      </c>
      <c r="AL277" s="239">
        <v>19463</v>
      </c>
      <c r="AM277" s="239">
        <v>15570</v>
      </c>
      <c r="AN277" s="239">
        <v>3503</v>
      </c>
      <c r="AO277" s="239">
        <v>389</v>
      </c>
      <c r="AP277" s="239">
        <v>38925</v>
      </c>
      <c r="AQ277" s="239">
        <v>-136519</v>
      </c>
      <c r="AR277" s="239">
        <v>-109214</v>
      </c>
      <c r="AS277" s="239">
        <v>-24573</v>
      </c>
      <c r="AT277" s="239">
        <v>-2730</v>
      </c>
      <c r="AU277" s="239">
        <v>-273036</v>
      </c>
      <c r="AV277" s="239">
        <v>-525896.76</v>
      </c>
      <c r="AW277" s="239">
        <v>-420716</v>
      </c>
      <c r="AX277" s="239">
        <v>-94661</v>
      </c>
      <c r="AY277" s="239">
        <v>-10517</v>
      </c>
      <c r="AZ277" s="239">
        <v>-1051790.76</v>
      </c>
      <c r="BA277" s="239">
        <v>-1907101</v>
      </c>
      <c r="BB277" s="239">
        <v>-1525682</v>
      </c>
      <c r="BC277" s="239">
        <v>-343278</v>
      </c>
      <c r="BD277" s="239">
        <v>-38142</v>
      </c>
      <c r="BE277" s="239">
        <v>-3814203</v>
      </c>
      <c r="BF277" s="239">
        <v>619927</v>
      </c>
      <c r="BG277" s="239">
        <v>495942</v>
      </c>
      <c r="BH277" s="239">
        <v>111587</v>
      </c>
      <c r="BI277" s="239">
        <v>12399</v>
      </c>
      <c r="BJ277" s="239">
        <v>1239855</v>
      </c>
      <c r="BK277" s="239">
        <v>-872817</v>
      </c>
      <c r="BL277" s="239">
        <v>-698253</v>
      </c>
      <c r="BM277" s="239">
        <v>-157107</v>
      </c>
      <c r="BN277" s="239">
        <v>-17456</v>
      </c>
      <c r="BO277" s="239">
        <v>-1745633</v>
      </c>
      <c r="BP277" s="239">
        <v>-2159991</v>
      </c>
      <c r="BQ277" s="239">
        <v>-1727993</v>
      </c>
      <c r="BR277" s="239">
        <v>-388798</v>
      </c>
      <c r="BS277" s="239">
        <v>-43199</v>
      </c>
      <c r="BT277" s="239">
        <v>-4319981</v>
      </c>
      <c r="BU277" s="239">
        <v>-189222</v>
      </c>
      <c r="BV277" s="239">
        <v>-151378</v>
      </c>
      <c r="BW277" s="239">
        <v>-34060</v>
      </c>
      <c r="BX277" s="239">
        <v>-3784</v>
      </c>
      <c r="BY277" s="239">
        <v>-378444</v>
      </c>
      <c r="BZ277" s="239">
        <v>910028</v>
      </c>
      <c r="CA277" s="239">
        <v>728023</v>
      </c>
      <c r="CB277" s="239">
        <v>163805</v>
      </c>
      <c r="CC277" s="239">
        <v>18201</v>
      </c>
      <c r="CD277" s="239">
        <v>1820057</v>
      </c>
      <c r="CE277" s="239">
        <v>-1099250</v>
      </c>
      <c r="CF277" s="239">
        <v>-879401</v>
      </c>
      <c r="CG277" s="239">
        <v>-197865</v>
      </c>
      <c r="CH277" s="239">
        <v>-21985</v>
      </c>
      <c r="CI277" s="239">
        <v>-2198501</v>
      </c>
      <c r="CJ277" s="239">
        <v>16476412</v>
      </c>
      <c r="CK277" s="239">
        <v>13181129</v>
      </c>
      <c r="CL277" s="239">
        <v>2965754</v>
      </c>
      <c r="CM277" s="239">
        <v>329528</v>
      </c>
      <c r="CN277" s="239">
        <v>32952823</v>
      </c>
      <c r="CO277" s="239">
        <v>16689338</v>
      </c>
      <c r="CP277" s="239">
        <v>13351470</v>
      </c>
      <c r="CQ277" s="239">
        <v>3004081</v>
      </c>
      <c r="CR277" s="239">
        <v>333787</v>
      </c>
      <c r="CS277" s="239">
        <v>33378676</v>
      </c>
      <c r="CT277" s="239">
        <v>212926</v>
      </c>
      <c r="CU277" s="239">
        <v>170341</v>
      </c>
      <c r="CV277" s="239">
        <v>38327</v>
      </c>
      <c r="CW277" s="239">
        <v>4259</v>
      </c>
      <c r="CX277" s="239">
        <v>425853</v>
      </c>
      <c r="CY277" s="239">
        <v>-886324</v>
      </c>
      <c r="CZ277" s="239">
        <v>-709060</v>
      </c>
      <c r="DA277" s="239">
        <v>-159538</v>
      </c>
      <c r="DB277" s="239">
        <v>-17726</v>
      </c>
      <c r="DC277" s="239">
        <v>-1772648</v>
      </c>
      <c r="DD277" s="214">
        <v>0.5</v>
      </c>
      <c r="DE277" s="214">
        <v>0.4</v>
      </c>
      <c r="DF277" s="214">
        <v>0.09</v>
      </c>
      <c r="DG277" s="214">
        <v>0.01</v>
      </c>
      <c r="DH277" s="214">
        <v>1</v>
      </c>
      <c r="DI277" s="214" t="s">
        <v>1294</v>
      </c>
    </row>
    <row r="278" spans="2:113" s="214" customFormat="1" x14ac:dyDescent="0.2">
      <c r="B278" s="610" t="s">
        <v>639</v>
      </c>
      <c r="C278" s="610" t="s">
        <v>638</v>
      </c>
      <c r="D278" s="239">
        <v>9911183</v>
      </c>
      <c r="E278" s="239">
        <v>7928947</v>
      </c>
      <c r="F278" s="239">
        <v>1982237</v>
      </c>
      <c r="G278" s="239">
        <v>0</v>
      </c>
      <c r="H278" s="239">
        <v>19822367</v>
      </c>
      <c r="I278" s="239">
        <v>0</v>
      </c>
      <c r="J278" s="239">
        <v>0</v>
      </c>
      <c r="K278" s="239">
        <v>9911183</v>
      </c>
      <c r="L278" s="239">
        <v>126117</v>
      </c>
      <c r="M278" s="239">
        <v>126117</v>
      </c>
      <c r="N278" s="239">
        <v>0</v>
      </c>
      <c r="O278" s="239">
        <v>0</v>
      </c>
      <c r="P278" s="239">
        <v>0</v>
      </c>
      <c r="Q278" s="239">
        <v>0</v>
      </c>
      <c r="R278" s="239">
        <v>0</v>
      </c>
      <c r="S278" s="239">
        <v>0</v>
      </c>
      <c r="T278" s="239">
        <v>0</v>
      </c>
      <c r="U278" s="239">
        <v>0</v>
      </c>
      <c r="V278" s="239">
        <v>0</v>
      </c>
      <c r="W278" s="239">
        <v>180611</v>
      </c>
      <c r="X278" s="239">
        <v>144488</v>
      </c>
      <c r="Y278" s="239">
        <v>36122</v>
      </c>
      <c r="Z278" s="239">
        <v>0</v>
      </c>
      <c r="AA278" s="239">
        <v>361221</v>
      </c>
      <c r="AB278" s="239">
        <v>-174925</v>
      </c>
      <c r="AC278" s="239">
        <v>-139940</v>
      </c>
      <c r="AD278" s="239">
        <v>-34985</v>
      </c>
      <c r="AE278" s="239">
        <v>0</v>
      </c>
      <c r="AF278" s="239">
        <v>-349850</v>
      </c>
      <c r="AG278" s="239">
        <v>-63542</v>
      </c>
      <c r="AH278" s="239">
        <v>-50833</v>
      </c>
      <c r="AI278" s="239">
        <v>-12708</v>
      </c>
      <c r="AJ278" s="239">
        <v>0</v>
      </c>
      <c r="AK278" s="239">
        <v>-127083</v>
      </c>
      <c r="AL278" s="239">
        <v>63542</v>
      </c>
      <c r="AM278" s="239">
        <v>50833</v>
      </c>
      <c r="AN278" s="239">
        <v>12708</v>
      </c>
      <c r="AO278" s="239">
        <v>0</v>
      </c>
      <c r="AP278" s="239">
        <v>127083</v>
      </c>
      <c r="AQ278" s="239">
        <v>-61672</v>
      </c>
      <c r="AR278" s="239">
        <v>-49338</v>
      </c>
      <c r="AS278" s="239">
        <v>-12334</v>
      </c>
      <c r="AT278" s="239">
        <v>0</v>
      </c>
      <c r="AU278" s="239">
        <v>-123344</v>
      </c>
      <c r="AV278" s="239">
        <v>-61672</v>
      </c>
      <c r="AW278" s="239">
        <v>-49338</v>
      </c>
      <c r="AX278" s="239">
        <v>-12334</v>
      </c>
      <c r="AY278" s="239">
        <v>0</v>
      </c>
      <c r="AZ278" s="239">
        <v>-123344</v>
      </c>
      <c r="BA278" s="239">
        <v>-594534</v>
      </c>
      <c r="BB278" s="239">
        <v>-475628</v>
      </c>
      <c r="BC278" s="239">
        <v>-118907</v>
      </c>
      <c r="BD278" s="239">
        <v>0</v>
      </c>
      <c r="BE278" s="239">
        <v>-1189069</v>
      </c>
      <c r="BF278" s="239">
        <v>67619</v>
      </c>
      <c r="BG278" s="239">
        <v>54095</v>
      </c>
      <c r="BH278" s="239">
        <v>13524</v>
      </c>
      <c r="BI278" s="239">
        <v>0</v>
      </c>
      <c r="BJ278" s="239">
        <v>135238</v>
      </c>
      <c r="BK278" s="239">
        <v>-27923</v>
      </c>
      <c r="BL278" s="239">
        <v>-22339</v>
      </c>
      <c r="BM278" s="239">
        <v>-5585</v>
      </c>
      <c r="BN278" s="239">
        <v>0</v>
      </c>
      <c r="BO278" s="239">
        <v>-55847</v>
      </c>
      <c r="BP278" s="239">
        <v>-554838</v>
      </c>
      <c r="BQ278" s="239">
        <v>-443872</v>
      </c>
      <c r="BR278" s="239">
        <v>-110968</v>
      </c>
      <c r="BS278" s="239">
        <v>0</v>
      </c>
      <c r="BT278" s="239">
        <v>-1109678</v>
      </c>
      <c r="BU278" s="239">
        <v>-711982</v>
      </c>
      <c r="BV278" s="239">
        <v>-569586</v>
      </c>
      <c r="BW278" s="239">
        <v>-142396</v>
      </c>
      <c r="BX278" s="239">
        <v>0</v>
      </c>
      <c r="BY278" s="239">
        <v>-1423964</v>
      </c>
      <c r="BZ278" s="239">
        <v>-883796</v>
      </c>
      <c r="CA278" s="239">
        <v>-707036</v>
      </c>
      <c r="CB278" s="239">
        <v>-176759</v>
      </c>
      <c r="CC278" s="239">
        <v>0</v>
      </c>
      <c r="CD278" s="239">
        <v>-1767591</v>
      </c>
      <c r="CE278" s="239">
        <v>171814</v>
      </c>
      <c r="CF278" s="239">
        <v>137450</v>
      </c>
      <c r="CG278" s="239">
        <v>34363</v>
      </c>
      <c r="CH278" s="239">
        <v>0</v>
      </c>
      <c r="CI278" s="239">
        <v>343627</v>
      </c>
      <c r="CJ278" s="239">
        <v>9995974</v>
      </c>
      <c r="CK278" s="239">
        <v>7996780</v>
      </c>
      <c r="CL278" s="239">
        <v>1999195</v>
      </c>
      <c r="CM278" s="239">
        <v>0</v>
      </c>
      <c r="CN278" s="239">
        <v>19991949</v>
      </c>
      <c r="CO278" s="239">
        <v>9911183</v>
      </c>
      <c r="CP278" s="239">
        <v>7928947</v>
      </c>
      <c r="CQ278" s="239">
        <v>1982237</v>
      </c>
      <c r="CR278" s="239">
        <v>0</v>
      </c>
      <c r="CS278" s="239">
        <v>19822367</v>
      </c>
      <c r="CT278" s="239">
        <v>-84791</v>
      </c>
      <c r="CU278" s="239">
        <v>-67833</v>
      </c>
      <c r="CV278" s="239">
        <v>-16958</v>
      </c>
      <c r="CW278" s="239">
        <v>0</v>
      </c>
      <c r="CX278" s="239">
        <v>-169582</v>
      </c>
      <c r="CY278" s="239">
        <v>87023</v>
      </c>
      <c r="CZ278" s="239">
        <v>69617</v>
      </c>
      <c r="DA278" s="239">
        <v>17405</v>
      </c>
      <c r="DB278" s="239">
        <v>0</v>
      </c>
      <c r="DC278" s="239">
        <v>174045</v>
      </c>
      <c r="DD278" s="214">
        <v>0.5</v>
      </c>
      <c r="DE278" s="214">
        <v>0.4</v>
      </c>
      <c r="DF278" s="214">
        <v>0.1</v>
      </c>
      <c r="DG278" s="214">
        <v>0</v>
      </c>
      <c r="DH278" s="214">
        <v>1</v>
      </c>
      <c r="DI278" s="214" t="s">
        <v>1294</v>
      </c>
    </row>
    <row r="279" spans="2:113" s="214" customFormat="1" x14ac:dyDescent="0.2">
      <c r="B279" s="610" t="s">
        <v>641</v>
      </c>
      <c r="C279" s="610" t="s">
        <v>640</v>
      </c>
      <c r="D279" s="239">
        <v>20551601</v>
      </c>
      <c r="E279" s="239">
        <v>16441281</v>
      </c>
      <c r="F279" s="239">
        <v>3699288</v>
      </c>
      <c r="G279" s="239">
        <v>411032</v>
      </c>
      <c r="H279" s="239">
        <v>41103202</v>
      </c>
      <c r="I279" s="239">
        <v>0</v>
      </c>
      <c r="J279" s="239">
        <v>0</v>
      </c>
      <c r="K279" s="239">
        <v>20551601</v>
      </c>
      <c r="L279" s="239">
        <v>163502</v>
      </c>
      <c r="M279" s="239">
        <v>163502</v>
      </c>
      <c r="N279" s="239">
        <v>0</v>
      </c>
      <c r="O279" s="239">
        <v>0</v>
      </c>
      <c r="P279" s="239">
        <v>148334</v>
      </c>
      <c r="Q279" s="239">
        <v>0</v>
      </c>
      <c r="R279" s="239">
        <v>148334</v>
      </c>
      <c r="S279" s="239">
        <v>0</v>
      </c>
      <c r="T279" s="239">
        <v>0</v>
      </c>
      <c r="U279" s="239">
        <v>0</v>
      </c>
      <c r="V279" s="239">
        <v>0</v>
      </c>
      <c r="W279" s="239">
        <v>812405</v>
      </c>
      <c r="X279" s="239">
        <v>649924</v>
      </c>
      <c r="Y279" s="239">
        <v>146233</v>
      </c>
      <c r="Z279" s="239">
        <v>16248</v>
      </c>
      <c r="AA279" s="239">
        <v>1624810</v>
      </c>
      <c r="AB279" s="239">
        <v>-543291</v>
      </c>
      <c r="AC279" s="239">
        <v>-434632</v>
      </c>
      <c r="AD279" s="239">
        <v>-97792</v>
      </c>
      <c r="AE279" s="239">
        <v>-10866</v>
      </c>
      <c r="AF279" s="239">
        <v>-1086581</v>
      </c>
      <c r="AG279" s="239">
        <v>-345409</v>
      </c>
      <c r="AH279" s="239">
        <v>-276328</v>
      </c>
      <c r="AI279" s="239">
        <v>-62174</v>
      </c>
      <c r="AJ279" s="239">
        <v>-6908</v>
      </c>
      <c r="AK279" s="239">
        <v>-690819</v>
      </c>
      <c r="AL279" s="239">
        <v>0</v>
      </c>
      <c r="AM279" s="239">
        <v>0</v>
      </c>
      <c r="AN279" s="239">
        <v>0</v>
      </c>
      <c r="AO279" s="239">
        <v>0</v>
      </c>
      <c r="AP279" s="239">
        <v>0</v>
      </c>
      <c r="AQ279" s="239">
        <v>181204</v>
      </c>
      <c r="AR279" s="239">
        <v>144964</v>
      </c>
      <c r="AS279" s="239">
        <v>32617</v>
      </c>
      <c r="AT279" s="239">
        <v>3624</v>
      </c>
      <c r="AU279" s="239">
        <v>362409</v>
      </c>
      <c r="AV279" s="239">
        <v>-164205</v>
      </c>
      <c r="AW279" s="239">
        <v>-131364</v>
      </c>
      <c r="AX279" s="239">
        <v>-29557</v>
      </c>
      <c r="AY279" s="239">
        <v>-3284</v>
      </c>
      <c r="AZ279" s="239">
        <v>-328410</v>
      </c>
      <c r="BA279" s="239">
        <v>-3669778</v>
      </c>
      <c r="BB279" s="239">
        <v>-2935821</v>
      </c>
      <c r="BC279" s="239">
        <v>-660560</v>
      </c>
      <c r="BD279" s="239">
        <v>-73395</v>
      </c>
      <c r="BE279" s="239">
        <v>-7339554</v>
      </c>
      <c r="BF279" s="239">
        <v>674925</v>
      </c>
      <c r="BG279" s="239">
        <v>539940</v>
      </c>
      <c r="BH279" s="239">
        <v>121486</v>
      </c>
      <c r="BI279" s="239">
        <v>13498</v>
      </c>
      <c r="BJ279" s="239">
        <v>1349849</v>
      </c>
      <c r="BK279" s="239">
        <v>595154</v>
      </c>
      <c r="BL279" s="239">
        <v>476124</v>
      </c>
      <c r="BM279" s="239">
        <v>107128</v>
      </c>
      <c r="BN279" s="239">
        <v>11903</v>
      </c>
      <c r="BO279" s="239">
        <v>1190309</v>
      </c>
      <c r="BP279" s="239">
        <v>-2399699</v>
      </c>
      <c r="BQ279" s="239">
        <v>-1919757</v>
      </c>
      <c r="BR279" s="239">
        <v>-431946</v>
      </c>
      <c r="BS279" s="239">
        <v>-47994</v>
      </c>
      <c r="BT279" s="239">
        <v>-4799396</v>
      </c>
      <c r="BU279" s="239">
        <v>-2469189</v>
      </c>
      <c r="BV279" s="239">
        <v>-1975352</v>
      </c>
      <c r="BW279" s="239">
        <v>-444454</v>
      </c>
      <c r="BX279" s="239">
        <v>-49384</v>
      </c>
      <c r="BY279" s="239">
        <v>-4938379</v>
      </c>
      <c r="BZ279" s="239">
        <v>-887069</v>
      </c>
      <c r="CA279" s="239">
        <v>-709656</v>
      </c>
      <c r="CB279" s="239">
        <v>-159673</v>
      </c>
      <c r="CC279" s="239">
        <v>-17741</v>
      </c>
      <c r="CD279" s="239">
        <v>-1774139</v>
      </c>
      <c r="CE279" s="239">
        <v>-1582120</v>
      </c>
      <c r="CF279" s="239">
        <v>-1265696</v>
      </c>
      <c r="CG279" s="239">
        <v>-284781</v>
      </c>
      <c r="CH279" s="239">
        <v>-31643</v>
      </c>
      <c r="CI279" s="239">
        <v>-3164240</v>
      </c>
      <c r="CJ279" s="239">
        <v>19904344</v>
      </c>
      <c r="CK279" s="239">
        <v>15923475</v>
      </c>
      <c r="CL279" s="239">
        <v>3582782</v>
      </c>
      <c r="CM279" s="239">
        <v>398087</v>
      </c>
      <c r="CN279" s="239">
        <v>39808688</v>
      </c>
      <c r="CO279" s="239">
        <v>20551601</v>
      </c>
      <c r="CP279" s="239">
        <v>16441281</v>
      </c>
      <c r="CQ279" s="239">
        <v>3699288</v>
      </c>
      <c r="CR279" s="239">
        <v>411032</v>
      </c>
      <c r="CS279" s="239">
        <v>41103202</v>
      </c>
      <c r="CT279" s="239">
        <v>647257</v>
      </c>
      <c r="CU279" s="239">
        <v>517806</v>
      </c>
      <c r="CV279" s="239">
        <v>116506</v>
      </c>
      <c r="CW279" s="239">
        <v>12945</v>
      </c>
      <c r="CX279" s="239">
        <v>1294514</v>
      </c>
      <c r="CY279" s="239">
        <v>-934863</v>
      </c>
      <c r="CZ279" s="239">
        <v>-747890</v>
      </c>
      <c r="DA279" s="239">
        <v>-168275</v>
      </c>
      <c r="DB279" s="239">
        <v>-18698</v>
      </c>
      <c r="DC279" s="239">
        <v>-1869726</v>
      </c>
      <c r="DD279" s="214">
        <v>0.5</v>
      </c>
      <c r="DE279" s="214">
        <v>0.4</v>
      </c>
      <c r="DF279" s="214">
        <v>0.09</v>
      </c>
      <c r="DG279" s="214">
        <v>0.01</v>
      </c>
      <c r="DH279" s="214">
        <v>1</v>
      </c>
      <c r="DI279" s="214" t="s">
        <v>1294</v>
      </c>
    </row>
    <row r="280" spans="2:113" s="214" customFormat="1" x14ac:dyDescent="0.2">
      <c r="B280" s="610" t="s">
        <v>643</v>
      </c>
      <c r="C280" s="610" t="s">
        <v>642</v>
      </c>
      <c r="D280" s="239">
        <v>15598030</v>
      </c>
      <c r="E280" s="239">
        <v>12478424</v>
      </c>
      <c r="F280" s="239">
        <v>2807645</v>
      </c>
      <c r="G280" s="239">
        <v>311961</v>
      </c>
      <c r="H280" s="239">
        <v>31196060</v>
      </c>
      <c r="I280" s="239">
        <v>0</v>
      </c>
      <c r="J280" s="239">
        <v>0</v>
      </c>
      <c r="K280" s="239">
        <v>15598030</v>
      </c>
      <c r="L280" s="239">
        <v>191444</v>
      </c>
      <c r="M280" s="239">
        <v>191444</v>
      </c>
      <c r="N280" s="239">
        <v>0</v>
      </c>
      <c r="O280" s="239">
        <v>0</v>
      </c>
      <c r="P280" s="239">
        <v>158534</v>
      </c>
      <c r="Q280" s="239">
        <v>0</v>
      </c>
      <c r="R280" s="239">
        <v>158534</v>
      </c>
      <c r="S280" s="239">
        <v>0</v>
      </c>
      <c r="T280" s="239">
        <v>0</v>
      </c>
      <c r="U280" s="239">
        <v>0</v>
      </c>
      <c r="V280" s="239">
        <v>0</v>
      </c>
      <c r="W280" s="239">
        <v>416852</v>
      </c>
      <c r="X280" s="239">
        <v>333482</v>
      </c>
      <c r="Y280" s="239">
        <v>75033</v>
      </c>
      <c r="Z280" s="239">
        <v>8337</v>
      </c>
      <c r="AA280" s="239">
        <v>833704</v>
      </c>
      <c r="AB280" s="239">
        <v>-273454</v>
      </c>
      <c r="AC280" s="239">
        <v>-218764</v>
      </c>
      <c r="AD280" s="239">
        <v>-49222</v>
      </c>
      <c r="AE280" s="239">
        <v>-5469</v>
      </c>
      <c r="AF280" s="239">
        <v>-546909</v>
      </c>
      <c r="AG280" s="239">
        <v>-200000</v>
      </c>
      <c r="AH280" s="239">
        <v>-160000</v>
      </c>
      <c r="AI280" s="239">
        <v>-36000</v>
      </c>
      <c r="AJ280" s="239">
        <v>-4000</v>
      </c>
      <c r="AK280" s="239">
        <v>-400000</v>
      </c>
      <c r="AL280" s="239">
        <v>26403</v>
      </c>
      <c r="AM280" s="239">
        <v>21122</v>
      </c>
      <c r="AN280" s="239">
        <v>4752</v>
      </c>
      <c r="AO280" s="239">
        <v>528</v>
      </c>
      <c r="AP280" s="239">
        <v>52805</v>
      </c>
      <c r="AQ280" s="239">
        <v>-26403</v>
      </c>
      <c r="AR280" s="239">
        <v>-21122</v>
      </c>
      <c r="AS280" s="239">
        <v>-4752</v>
      </c>
      <c r="AT280" s="239">
        <v>-528</v>
      </c>
      <c r="AU280" s="239">
        <v>-52805</v>
      </c>
      <c r="AV280" s="239">
        <v>-200000</v>
      </c>
      <c r="AW280" s="239">
        <v>-160000</v>
      </c>
      <c r="AX280" s="239">
        <v>-36000</v>
      </c>
      <c r="AY280" s="239">
        <v>-4000</v>
      </c>
      <c r="AZ280" s="239">
        <v>-400000</v>
      </c>
      <c r="BA280" s="239">
        <v>-281557</v>
      </c>
      <c r="BB280" s="239">
        <v>-225246</v>
      </c>
      <c r="BC280" s="239">
        <v>-50680</v>
      </c>
      <c r="BD280" s="239">
        <v>-5631</v>
      </c>
      <c r="BE280" s="239">
        <v>-563114</v>
      </c>
      <c r="BF280" s="239">
        <v>0</v>
      </c>
      <c r="BG280" s="239">
        <v>0</v>
      </c>
      <c r="BH280" s="239">
        <v>0</v>
      </c>
      <c r="BI280" s="239">
        <v>0</v>
      </c>
      <c r="BJ280" s="239">
        <v>0</v>
      </c>
      <c r="BK280" s="239">
        <v>-118443</v>
      </c>
      <c r="BL280" s="239">
        <v>-94754</v>
      </c>
      <c r="BM280" s="239">
        <v>-21320</v>
      </c>
      <c r="BN280" s="239">
        <v>-2369</v>
      </c>
      <c r="BO280" s="239">
        <v>-236886</v>
      </c>
      <c r="BP280" s="239">
        <v>-400000</v>
      </c>
      <c r="BQ280" s="239">
        <v>-320000</v>
      </c>
      <c r="BR280" s="239">
        <v>-72000</v>
      </c>
      <c r="BS280" s="239">
        <v>-8000</v>
      </c>
      <c r="BT280" s="239">
        <v>-800000</v>
      </c>
      <c r="BU280" s="239">
        <v>-439864</v>
      </c>
      <c r="BV280" s="239">
        <v>-351890</v>
      </c>
      <c r="BW280" s="239">
        <v>-79175</v>
      </c>
      <c r="BX280" s="239">
        <v>-8797</v>
      </c>
      <c r="BY280" s="239">
        <v>-879726</v>
      </c>
      <c r="BZ280" s="239">
        <v>-52932</v>
      </c>
      <c r="CA280" s="239">
        <v>-42346</v>
      </c>
      <c r="CB280" s="239">
        <v>-9528</v>
      </c>
      <c r="CC280" s="239">
        <v>-1059</v>
      </c>
      <c r="CD280" s="239">
        <v>-105865</v>
      </c>
      <c r="CE280" s="239">
        <v>-386932</v>
      </c>
      <c r="CF280" s="239">
        <v>-309544</v>
      </c>
      <c r="CG280" s="239">
        <v>-69647</v>
      </c>
      <c r="CH280" s="239">
        <v>-7738</v>
      </c>
      <c r="CI280" s="239">
        <v>-773861</v>
      </c>
      <c r="CJ280" s="239">
        <v>16176330</v>
      </c>
      <c r="CK280" s="239">
        <v>12941065</v>
      </c>
      <c r="CL280" s="239">
        <v>2911740</v>
      </c>
      <c r="CM280" s="239">
        <v>323527</v>
      </c>
      <c r="CN280" s="239">
        <v>32352662</v>
      </c>
      <c r="CO280" s="239">
        <v>15598030</v>
      </c>
      <c r="CP280" s="239">
        <v>12478424</v>
      </c>
      <c r="CQ280" s="239">
        <v>2807645</v>
      </c>
      <c r="CR280" s="239">
        <v>311961</v>
      </c>
      <c r="CS280" s="239">
        <v>31196060</v>
      </c>
      <c r="CT280" s="239">
        <v>-578300</v>
      </c>
      <c r="CU280" s="239">
        <v>-462641</v>
      </c>
      <c r="CV280" s="239">
        <v>-104095</v>
      </c>
      <c r="CW280" s="239">
        <v>-11566</v>
      </c>
      <c r="CX280" s="239">
        <v>-1156602</v>
      </c>
      <c r="CY280" s="239">
        <v>-965232</v>
      </c>
      <c r="CZ280" s="239">
        <v>-772185</v>
      </c>
      <c r="DA280" s="239">
        <v>-173742</v>
      </c>
      <c r="DB280" s="239">
        <v>-19304</v>
      </c>
      <c r="DC280" s="239">
        <v>-1930463</v>
      </c>
      <c r="DD280" s="214">
        <v>0.5</v>
      </c>
      <c r="DE280" s="214">
        <v>0.4</v>
      </c>
      <c r="DF280" s="214">
        <v>0.09</v>
      </c>
      <c r="DG280" s="214">
        <v>0.01</v>
      </c>
      <c r="DH280" s="214">
        <v>1</v>
      </c>
      <c r="DI280" s="214" t="s">
        <v>1294</v>
      </c>
    </row>
    <row r="281" spans="2:113" s="214" customFormat="1" x14ac:dyDescent="0.2">
      <c r="B281" s="610" t="s">
        <v>645</v>
      </c>
      <c r="C281" s="610" t="s">
        <v>644</v>
      </c>
      <c r="D281" s="239">
        <v>35918686</v>
      </c>
      <c r="E281" s="239">
        <v>35200312</v>
      </c>
      <c r="F281" s="239">
        <v>0</v>
      </c>
      <c r="G281" s="239">
        <v>718374</v>
      </c>
      <c r="H281" s="239">
        <v>71837372</v>
      </c>
      <c r="I281" s="239">
        <v>0</v>
      </c>
      <c r="J281" s="239">
        <v>0</v>
      </c>
      <c r="K281" s="239">
        <v>35918686</v>
      </c>
      <c r="L281" s="239">
        <v>214432</v>
      </c>
      <c r="M281" s="239">
        <v>214432</v>
      </c>
      <c r="N281" s="239">
        <v>0</v>
      </c>
      <c r="O281" s="239">
        <v>0</v>
      </c>
      <c r="P281" s="239">
        <v>61706</v>
      </c>
      <c r="Q281" s="239">
        <v>0</v>
      </c>
      <c r="R281" s="239">
        <v>61706</v>
      </c>
      <c r="S281" s="239">
        <v>0</v>
      </c>
      <c r="T281" s="239">
        <v>0</v>
      </c>
      <c r="U281" s="239">
        <v>0</v>
      </c>
      <c r="V281" s="239">
        <v>0</v>
      </c>
      <c r="W281" s="239">
        <v>1362880</v>
      </c>
      <c r="X281" s="239">
        <v>1335623</v>
      </c>
      <c r="Y281" s="239">
        <v>0</v>
      </c>
      <c r="Z281" s="239">
        <v>27258</v>
      </c>
      <c r="AA281" s="239">
        <v>2725761</v>
      </c>
      <c r="AB281" s="239">
        <v>-641448</v>
      </c>
      <c r="AC281" s="239">
        <v>-628620</v>
      </c>
      <c r="AD281" s="239">
        <v>0</v>
      </c>
      <c r="AE281" s="239">
        <v>-12829</v>
      </c>
      <c r="AF281" s="239">
        <v>-1282897</v>
      </c>
      <c r="AG281" s="239">
        <v>-692000</v>
      </c>
      <c r="AH281" s="239">
        <v>-678160</v>
      </c>
      <c r="AI281" s="239">
        <v>0</v>
      </c>
      <c r="AJ281" s="239">
        <v>-13840</v>
      </c>
      <c r="AK281" s="239">
        <v>-1384000</v>
      </c>
      <c r="AL281" s="239">
        <v>375307</v>
      </c>
      <c r="AM281" s="239">
        <v>367800</v>
      </c>
      <c r="AN281" s="239">
        <v>0</v>
      </c>
      <c r="AO281" s="239">
        <v>7506</v>
      </c>
      <c r="AP281" s="239">
        <v>750613</v>
      </c>
      <c r="AQ281" s="239">
        <v>-308807</v>
      </c>
      <c r="AR281" s="239">
        <v>-302630</v>
      </c>
      <c r="AS281" s="239">
        <v>0</v>
      </c>
      <c r="AT281" s="239">
        <v>-6176</v>
      </c>
      <c r="AU281" s="239">
        <v>-617613</v>
      </c>
      <c r="AV281" s="239">
        <v>-625500</v>
      </c>
      <c r="AW281" s="239">
        <v>-612990</v>
      </c>
      <c r="AX281" s="239">
        <v>0</v>
      </c>
      <c r="AY281" s="239">
        <v>-12510</v>
      </c>
      <c r="AZ281" s="239">
        <v>-1251000</v>
      </c>
      <c r="BA281" s="239">
        <v>-2450000</v>
      </c>
      <c r="BB281" s="239">
        <v>-2401000</v>
      </c>
      <c r="BC281" s="239">
        <v>0</v>
      </c>
      <c r="BD281" s="239">
        <v>-49000</v>
      </c>
      <c r="BE281" s="239">
        <v>-4900000</v>
      </c>
      <c r="BF281" s="239">
        <v>815438</v>
      </c>
      <c r="BG281" s="239">
        <v>799130</v>
      </c>
      <c r="BH281" s="239">
        <v>0</v>
      </c>
      <c r="BI281" s="239">
        <v>16309</v>
      </c>
      <c r="BJ281" s="239">
        <v>1630877</v>
      </c>
      <c r="BK281" s="239">
        <v>-1152938</v>
      </c>
      <c r="BL281" s="239">
        <v>-1129880</v>
      </c>
      <c r="BM281" s="239">
        <v>0</v>
      </c>
      <c r="BN281" s="239">
        <v>-23059</v>
      </c>
      <c r="BO281" s="239">
        <v>-2305877</v>
      </c>
      <c r="BP281" s="239">
        <v>-2787500</v>
      </c>
      <c r="BQ281" s="239">
        <v>-2731750</v>
      </c>
      <c r="BR281" s="239">
        <v>0</v>
      </c>
      <c r="BS281" s="239">
        <v>-55750</v>
      </c>
      <c r="BT281" s="239">
        <v>-5575000</v>
      </c>
      <c r="BU281" s="239">
        <v>748549</v>
      </c>
      <c r="BV281" s="239">
        <v>733579</v>
      </c>
      <c r="BW281" s="239">
        <v>0</v>
      </c>
      <c r="BX281" s="239">
        <v>14971</v>
      </c>
      <c r="BY281" s="239">
        <v>1497099</v>
      </c>
      <c r="BZ281" s="239">
        <v>507899</v>
      </c>
      <c r="CA281" s="239">
        <v>497742</v>
      </c>
      <c r="CB281" s="239">
        <v>0</v>
      </c>
      <c r="CC281" s="239">
        <v>10158</v>
      </c>
      <c r="CD281" s="239">
        <v>1015799</v>
      </c>
      <c r="CE281" s="239">
        <v>240650</v>
      </c>
      <c r="CF281" s="239">
        <v>235837</v>
      </c>
      <c r="CG281" s="239">
        <v>0</v>
      </c>
      <c r="CH281" s="239">
        <v>4813</v>
      </c>
      <c r="CI281" s="239">
        <v>481300</v>
      </c>
      <c r="CJ281" s="239">
        <v>34460938</v>
      </c>
      <c r="CK281" s="239">
        <v>33771719</v>
      </c>
      <c r="CL281" s="239">
        <v>0</v>
      </c>
      <c r="CM281" s="239">
        <v>689219</v>
      </c>
      <c r="CN281" s="239">
        <v>68921876</v>
      </c>
      <c r="CO281" s="239">
        <v>35918686</v>
      </c>
      <c r="CP281" s="239">
        <v>35200312</v>
      </c>
      <c r="CQ281" s="239">
        <v>0</v>
      </c>
      <c r="CR281" s="239">
        <v>718374</v>
      </c>
      <c r="CS281" s="239">
        <v>71837372</v>
      </c>
      <c r="CT281" s="239">
        <v>1457748</v>
      </c>
      <c r="CU281" s="239">
        <v>1428593</v>
      </c>
      <c r="CV281" s="239">
        <v>0</v>
      </c>
      <c r="CW281" s="239">
        <v>29155</v>
      </c>
      <c r="CX281" s="239">
        <v>2915496</v>
      </c>
      <c r="CY281" s="239">
        <v>1698398</v>
      </c>
      <c r="CZ281" s="239">
        <v>1664430</v>
      </c>
      <c r="DA281" s="239">
        <v>0</v>
      </c>
      <c r="DB281" s="239">
        <v>33968</v>
      </c>
      <c r="DC281" s="239">
        <v>3396796</v>
      </c>
      <c r="DD281" s="214">
        <v>0.5</v>
      </c>
      <c r="DE281" s="214">
        <v>0.49</v>
      </c>
      <c r="DF281" s="214">
        <v>0</v>
      </c>
      <c r="DG281" s="214">
        <v>0.01</v>
      </c>
      <c r="DH281" s="214">
        <v>1</v>
      </c>
      <c r="DI281" s="214" t="s">
        <v>748</v>
      </c>
    </row>
    <row r="282" spans="2:113" s="214" customFormat="1" x14ac:dyDescent="0.2">
      <c r="B282" s="610" t="s">
        <v>647</v>
      </c>
      <c r="C282" s="610" t="s">
        <v>646</v>
      </c>
      <c r="D282" s="239">
        <v>12369349</v>
      </c>
      <c r="E282" s="239">
        <v>9895480</v>
      </c>
      <c r="F282" s="239">
        <v>2226483</v>
      </c>
      <c r="G282" s="239">
        <v>247387</v>
      </c>
      <c r="H282" s="239">
        <v>24738699</v>
      </c>
      <c r="I282" s="239">
        <v>0</v>
      </c>
      <c r="J282" s="239">
        <v>0</v>
      </c>
      <c r="K282" s="239">
        <v>12369349</v>
      </c>
      <c r="L282" s="239">
        <v>294938</v>
      </c>
      <c r="M282" s="239">
        <v>294938</v>
      </c>
      <c r="N282" s="239">
        <v>0</v>
      </c>
      <c r="O282" s="239">
        <v>0</v>
      </c>
      <c r="P282" s="239">
        <v>220454</v>
      </c>
      <c r="Q282" s="239">
        <v>0</v>
      </c>
      <c r="R282" s="239">
        <v>220454</v>
      </c>
      <c r="S282" s="239">
        <v>0</v>
      </c>
      <c r="T282" s="239">
        <v>0</v>
      </c>
      <c r="U282" s="239">
        <v>0</v>
      </c>
      <c r="V282" s="239">
        <v>0</v>
      </c>
      <c r="W282" s="239">
        <v>297370</v>
      </c>
      <c r="X282" s="239">
        <v>237896</v>
      </c>
      <c r="Y282" s="239">
        <v>53527</v>
      </c>
      <c r="Z282" s="239">
        <v>5947</v>
      </c>
      <c r="AA282" s="239">
        <v>594740</v>
      </c>
      <c r="AB282" s="239">
        <v>-212022</v>
      </c>
      <c r="AC282" s="239">
        <v>-169618</v>
      </c>
      <c r="AD282" s="239">
        <v>-38164</v>
      </c>
      <c r="AE282" s="239">
        <v>-4240</v>
      </c>
      <c r="AF282" s="239">
        <v>-424044</v>
      </c>
      <c r="AG282" s="239">
        <v>-44742</v>
      </c>
      <c r="AH282" s="239">
        <v>-35795</v>
      </c>
      <c r="AI282" s="239">
        <v>-8055</v>
      </c>
      <c r="AJ282" s="239">
        <v>-895</v>
      </c>
      <c r="AK282" s="239">
        <v>-89487</v>
      </c>
      <c r="AL282" s="239">
        <v>75114</v>
      </c>
      <c r="AM282" s="239">
        <v>60091</v>
      </c>
      <c r="AN282" s="239">
        <v>13520</v>
      </c>
      <c r="AO282" s="239">
        <v>1502</v>
      </c>
      <c r="AP282" s="239">
        <v>150227</v>
      </c>
      <c r="AQ282" s="239">
        <v>-95960</v>
      </c>
      <c r="AR282" s="239">
        <v>-76768</v>
      </c>
      <c r="AS282" s="239">
        <v>-17273</v>
      </c>
      <c r="AT282" s="239">
        <v>-1919</v>
      </c>
      <c r="AU282" s="239">
        <v>-191920</v>
      </c>
      <c r="AV282" s="239">
        <v>-65588</v>
      </c>
      <c r="AW282" s="239">
        <v>-52472</v>
      </c>
      <c r="AX282" s="239">
        <v>-11808</v>
      </c>
      <c r="AY282" s="239">
        <v>-1312</v>
      </c>
      <c r="AZ282" s="239">
        <v>-131180</v>
      </c>
      <c r="BA282" s="239">
        <v>-1162500</v>
      </c>
      <c r="BB282" s="239">
        <v>-930000</v>
      </c>
      <c r="BC282" s="239">
        <v>-209250</v>
      </c>
      <c r="BD282" s="239">
        <v>-23250</v>
      </c>
      <c r="BE282" s="239">
        <v>-2325000</v>
      </c>
      <c r="BF282" s="239">
        <v>114500</v>
      </c>
      <c r="BG282" s="239">
        <v>91600</v>
      </c>
      <c r="BH282" s="239">
        <v>20610</v>
      </c>
      <c r="BI282" s="239">
        <v>2290</v>
      </c>
      <c r="BJ282" s="239">
        <v>229000</v>
      </c>
      <c r="BK282" s="239">
        <v>-500500</v>
      </c>
      <c r="BL282" s="239">
        <v>-400400</v>
      </c>
      <c r="BM282" s="239">
        <v>-90090</v>
      </c>
      <c r="BN282" s="239">
        <v>-10010</v>
      </c>
      <c r="BO282" s="239">
        <v>-1001000</v>
      </c>
      <c r="BP282" s="239">
        <v>-1548500</v>
      </c>
      <c r="BQ282" s="239">
        <v>-1238800</v>
      </c>
      <c r="BR282" s="239">
        <v>-278730</v>
      </c>
      <c r="BS282" s="239">
        <v>-30970</v>
      </c>
      <c r="BT282" s="239">
        <v>-3097000</v>
      </c>
      <c r="BU282" s="239">
        <v>-500340</v>
      </c>
      <c r="BV282" s="239">
        <v>-400272</v>
      </c>
      <c r="BW282" s="239">
        <v>-90061</v>
      </c>
      <c r="BX282" s="239">
        <v>-10007</v>
      </c>
      <c r="BY282" s="239">
        <v>-1000680</v>
      </c>
      <c r="BZ282" s="239">
        <v>-113399</v>
      </c>
      <c r="CA282" s="239">
        <v>-90719</v>
      </c>
      <c r="CB282" s="239">
        <v>-20412</v>
      </c>
      <c r="CC282" s="239">
        <v>-2268</v>
      </c>
      <c r="CD282" s="239">
        <v>-226798</v>
      </c>
      <c r="CE282" s="239">
        <v>-386941</v>
      </c>
      <c r="CF282" s="239">
        <v>-309553</v>
      </c>
      <c r="CG282" s="239">
        <v>-69649</v>
      </c>
      <c r="CH282" s="239">
        <v>-7739</v>
      </c>
      <c r="CI282" s="239">
        <v>-773882</v>
      </c>
      <c r="CJ282" s="239">
        <v>12673483</v>
      </c>
      <c r="CK282" s="239">
        <v>10138786</v>
      </c>
      <c r="CL282" s="239">
        <v>2281227</v>
      </c>
      <c r="CM282" s="239">
        <v>253470</v>
      </c>
      <c r="CN282" s="239">
        <v>25346966</v>
      </c>
      <c r="CO282" s="239">
        <v>12369349</v>
      </c>
      <c r="CP282" s="239">
        <v>9895480</v>
      </c>
      <c r="CQ282" s="239">
        <v>2226483</v>
      </c>
      <c r="CR282" s="239">
        <v>247387</v>
      </c>
      <c r="CS282" s="239">
        <v>24738699</v>
      </c>
      <c r="CT282" s="239">
        <v>-304134</v>
      </c>
      <c r="CU282" s="239">
        <v>-243306</v>
      </c>
      <c r="CV282" s="239">
        <v>-54744</v>
      </c>
      <c r="CW282" s="239">
        <v>-6083</v>
      </c>
      <c r="CX282" s="239">
        <v>-608267</v>
      </c>
      <c r="CY282" s="239">
        <v>-691075</v>
      </c>
      <c r="CZ282" s="239">
        <v>-552859</v>
      </c>
      <c r="DA282" s="239">
        <v>-124393</v>
      </c>
      <c r="DB282" s="239">
        <v>-13822</v>
      </c>
      <c r="DC282" s="239">
        <v>-1382149</v>
      </c>
      <c r="DD282" s="214">
        <v>0.5</v>
      </c>
      <c r="DE282" s="214">
        <v>0.4</v>
      </c>
      <c r="DF282" s="214">
        <v>0.09</v>
      </c>
      <c r="DG282" s="214">
        <v>0.01</v>
      </c>
      <c r="DH282" s="214">
        <v>1</v>
      </c>
      <c r="DI282" s="214" t="s">
        <v>1294</v>
      </c>
    </row>
    <row r="283" spans="2:113" s="214" customFormat="1" x14ac:dyDescent="0.2">
      <c r="B283" s="610" t="s">
        <v>649</v>
      </c>
      <c r="C283" s="610" t="s">
        <v>648</v>
      </c>
      <c r="D283" s="239">
        <v>26039380</v>
      </c>
      <c r="E283" s="239">
        <v>20831505</v>
      </c>
      <c r="F283" s="239">
        <v>4687089</v>
      </c>
      <c r="G283" s="239">
        <v>520788</v>
      </c>
      <c r="H283" s="239">
        <v>52078762</v>
      </c>
      <c r="I283" s="239">
        <v>0</v>
      </c>
      <c r="J283" s="239">
        <v>0</v>
      </c>
      <c r="K283" s="239">
        <v>26039380</v>
      </c>
      <c r="L283" s="239">
        <v>189487</v>
      </c>
      <c r="M283" s="239">
        <v>189487</v>
      </c>
      <c r="N283" s="239">
        <v>0</v>
      </c>
      <c r="O283" s="239">
        <v>0</v>
      </c>
      <c r="P283" s="239">
        <v>23171</v>
      </c>
      <c r="Q283" s="239">
        <v>0</v>
      </c>
      <c r="R283" s="239">
        <v>23171</v>
      </c>
      <c r="S283" s="239">
        <v>0</v>
      </c>
      <c r="T283" s="239">
        <v>0</v>
      </c>
      <c r="U283" s="239">
        <v>0</v>
      </c>
      <c r="V283" s="239">
        <v>0</v>
      </c>
      <c r="W283" s="239">
        <v>1634486</v>
      </c>
      <c r="X283" s="239">
        <v>1307588</v>
      </c>
      <c r="Y283" s="239">
        <v>294207</v>
      </c>
      <c r="Z283" s="239">
        <v>32690</v>
      </c>
      <c r="AA283" s="239">
        <v>3268971</v>
      </c>
      <c r="AB283" s="239">
        <v>-706102</v>
      </c>
      <c r="AC283" s="239">
        <v>-564882</v>
      </c>
      <c r="AD283" s="239">
        <v>-127098</v>
      </c>
      <c r="AE283" s="239">
        <v>-14122</v>
      </c>
      <c r="AF283" s="239">
        <v>-1412204</v>
      </c>
      <c r="AG283" s="239">
        <v>-495585</v>
      </c>
      <c r="AH283" s="239">
        <v>-396467</v>
      </c>
      <c r="AI283" s="239">
        <v>-89205</v>
      </c>
      <c r="AJ283" s="239">
        <v>-9911</v>
      </c>
      <c r="AK283" s="239">
        <v>-991168</v>
      </c>
      <c r="AL283" s="239">
        <v>109464</v>
      </c>
      <c r="AM283" s="239">
        <v>87570</v>
      </c>
      <c r="AN283" s="239">
        <v>19703</v>
      </c>
      <c r="AO283" s="239">
        <v>2189</v>
      </c>
      <c r="AP283" s="239">
        <v>218926</v>
      </c>
      <c r="AQ283" s="239">
        <v>-218062</v>
      </c>
      <c r="AR283" s="239">
        <v>-174450</v>
      </c>
      <c r="AS283" s="239">
        <v>-39251</v>
      </c>
      <c r="AT283" s="239">
        <v>-4361</v>
      </c>
      <c r="AU283" s="239">
        <v>-436124</v>
      </c>
      <c r="AV283" s="239">
        <v>-604183</v>
      </c>
      <c r="AW283" s="239">
        <v>-483347</v>
      </c>
      <c r="AX283" s="239">
        <v>-108753</v>
      </c>
      <c r="AY283" s="239">
        <v>-12083</v>
      </c>
      <c r="AZ283" s="239">
        <v>-1208366</v>
      </c>
      <c r="BA283" s="239">
        <v>-2873015</v>
      </c>
      <c r="BB283" s="239">
        <v>-2298412</v>
      </c>
      <c r="BC283" s="239">
        <v>-517143</v>
      </c>
      <c r="BD283" s="239">
        <v>-57461</v>
      </c>
      <c r="BE283" s="239">
        <v>-5746031</v>
      </c>
      <c r="BF283" s="239">
        <v>811792</v>
      </c>
      <c r="BG283" s="239">
        <v>649433</v>
      </c>
      <c r="BH283" s="239">
        <v>146122</v>
      </c>
      <c r="BI283" s="239">
        <v>16236</v>
      </c>
      <c r="BJ283" s="239">
        <v>1623583</v>
      </c>
      <c r="BK283" s="239">
        <v>934398</v>
      </c>
      <c r="BL283" s="239">
        <v>747519</v>
      </c>
      <c r="BM283" s="239">
        <v>168192</v>
      </c>
      <c r="BN283" s="239">
        <v>18688</v>
      </c>
      <c r="BO283" s="239">
        <v>1868797</v>
      </c>
      <c r="BP283" s="239">
        <v>-1126825</v>
      </c>
      <c r="BQ283" s="239">
        <v>-901460</v>
      </c>
      <c r="BR283" s="239">
        <v>-202829</v>
      </c>
      <c r="BS283" s="239">
        <v>-22537</v>
      </c>
      <c r="BT283" s="239">
        <v>-2253651</v>
      </c>
      <c r="BU283" s="239">
        <v>-1953500</v>
      </c>
      <c r="BV283" s="239">
        <v>-1562800</v>
      </c>
      <c r="BW283" s="239">
        <v>-351630</v>
      </c>
      <c r="BX283" s="239">
        <v>-39070</v>
      </c>
      <c r="BY283" s="239">
        <v>-3907000</v>
      </c>
      <c r="BZ283" s="239">
        <v>-1918064</v>
      </c>
      <c r="CA283" s="239">
        <v>-1534451</v>
      </c>
      <c r="CB283" s="239">
        <v>-345251</v>
      </c>
      <c r="CC283" s="239">
        <v>-38361</v>
      </c>
      <c r="CD283" s="239">
        <v>-3836127</v>
      </c>
      <c r="CE283" s="239">
        <v>-35436</v>
      </c>
      <c r="CF283" s="239">
        <v>-28349</v>
      </c>
      <c r="CG283" s="239">
        <v>-6379</v>
      </c>
      <c r="CH283" s="239">
        <v>-709</v>
      </c>
      <c r="CI283" s="239">
        <v>-70873</v>
      </c>
      <c r="CJ283" s="239">
        <v>23826508</v>
      </c>
      <c r="CK283" s="239">
        <v>19061207</v>
      </c>
      <c r="CL283" s="239">
        <v>4288772</v>
      </c>
      <c r="CM283" s="239">
        <v>476530</v>
      </c>
      <c r="CN283" s="239">
        <v>47653017</v>
      </c>
      <c r="CO283" s="239">
        <v>26039380</v>
      </c>
      <c r="CP283" s="239">
        <v>20831505</v>
      </c>
      <c r="CQ283" s="239">
        <v>4687089</v>
      </c>
      <c r="CR283" s="239">
        <v>520788</v>
      </c>
      <c r="CS283" s="239">
        <v>52078762</v>
      </c>
      <c r="CT283" s="239">
        <v>2212872</v>
      </c>
      <c r="CU283" s="239">
        <v>1770298</v>
      </c>
      <c r="CV283" s="239">
        <v>398317</v>
      </c>
      <c r="CW283" s="239">
        <v>44258</v>
      </c>
      <c r="CX283" s="239">
        <v>4425745</v>
      </c>
      <c r="CY283" s="239">
        <v>2177436</v>
      </c>
      <c r="CZ283" s="239">
        <v>1741949</v>
      </c>
      <c r="DA283" s="239">
        <v>391938</v>
      </c>
      <c r="DB283" s="239">
        <v>43549</v>
      </c>
      <c r="DC283" s="239">
        <v>4354872</v>
      </c>
      <c r="DD283" s="214">
        <v>0.5</v>
      </c>
      <c r="DE283" s="214">
        <v>0.4</v>
      </c>
      <c r="DF283" s="214">
        <v>0.09</v>
      </c>
      <c r="DG283" s="214">
        <v>0.01</v>
      </c>
      <c r="DH283" s="214">
        <v>1</v>
      </c>
      <c r="DI283" s="214" t="s">
        <v>1294</v>
      </c>
    </row>
    <row r="284" spans="2:113" s="214" customFormat="1" x14ac:dyDescent="0.2">
      <c r="B284" s="610" t="s">
        <v>651</v>
      </c>
      <c r="C284" s="610" t="s">
        <v>650</v>
      </c>
      <c r="D284" s="239">
        <v>16394424</v>
      </c>
      <c r="E284" s="239">
        <v>13115540</v>
      </c>
      <c r="F284" s="239">
        <v>3278885</v>
      </c>
      <c r="G284" s="239">
        <v>0</v>
      </c>
      <c r="H284" s="239">
        <v>32788849</v>
      </c>
      <c r="I284" s="239">
        <v>0</v>
      </c>
      <c r="J284" s="239">
        <v>0</v>
      </c>
      <c r="K284" s="239">
        <v>16394424</v>
      </c>
      <c r="L284" s="239">
        <v>123912</v>
      </c>
      <c r="M284" s="239">
        <v>123912</v>
      </c>
      <c r="N284" s="239">
        <v>0</v>
      </c>
      <c r="O284" s="239">
        <v>0</v>
      </c>
      <c r="P284" s="239">
        <v>0</v>
      </c>
      <c r="Q284" s="239">
        <v>0</v>
      </c>
      <c r="R284" s="239">
        <v>0</v>
      </c>
      <c r="S284" s="239">
        <v>0</v>
      </c>
      <c r="T284" s="239">
        <v>0</v>
      </c>
      <c r="U284" s="239">
        <v>0</v>
      </c>
      <c r="V284" s="239">
        <v>0</v>
      </c>
      <c r="W284" s="239">
        <v>225009</v>
      </c>
      <c r="X284" s="239">
        <v>180008</v>
      </c>
      <c r="Y284" s="239">
        <v>45002</v>
      </c>
      <c r="Z284" s="239">
        <v>0</v>
      </c>
      <c r="AA284" s="239">
        <v>450019</v>
      </c>
      <c r="AB284" s="239">
        <v>-149411</v>
      </c>
      <c r="AC284" s="239">
        <v>-119529</v>
      </c>
      <c r="AD284" s="239">
        <v>-29882</v>
      </c>
      <c r="AE284" s="239">
        <v>0</v>
      </c>
      <c r="AF284" s="239">
        <v>-298822</v>
      </c>
      <c r="AG284" s="239">
        <v>-91000</v>
      </c>
      <c r="AH284" s="239">
        <v>-72800</v>
      </c>
      <c r="AI284" s="239">
        <v>-18200</v>
      </c>
      <c r="AJ284" s="239">
        <v>0</v>
      </c>
      <c r="AK284" s="239">
        <v>-182000</v>
      </c>
      <c r="AL284" s="239">
        <v>186896</v>
      </c>
      <c r="AM284" s="239">
        <v>149517</v>
      </c>
      <c r="AN284" s="239">
        <v>37379</v>
      </c>
      <c r="AO284" s="239">
        <v>0</v>
      </c>
      <c r="AP284" s="239">
        <v>373792</v>
      </c>
      <c r="AQ284" s="239">
        <v>-146896</v>
      </c>
      <c r="AR284" s="239">
        <v>-117517</v>
      </c>
      <c r="AS284" s="239">
        <v>-29379</v>
      </c>
      <c r="AT284" s="239">
        <v>0</v>
      </c>
      <c r="AU284" s="239">
        <v>-293792</v>
      </c>
      <c r="AV284" s="239">
        <v>-51000</v>
      </c>
      <c r="AW284" s="239">
        <v>-40800</v>
      </c>
      <c r="AX284" s="239">
        <v>-10200</v>
      </c>
      <c r="AY284" s="239">
        <v>0</v>
      </c>
      <c r="AZ284" s="239">
        <v>-102000</v>
      </c>
      <c r="BA284" s="239">
        <v>-4755997</v>
      </c>
      <c r="BB284" s="239">
        <v>-3804798</v>
      </c>
      <c r="BC284" s="239">
        <v>-951200</v>
      </c>
      <c r="BD284" s="239">
        <v>0</v>
      </c>
      <c r="BE284" s="239">
        <v>-9511995</v>
      </c>
      <c r="BF284" s="239">
        <v>4755997</v>
      </c>
      <c r="BG284" s="239">
        <v>3804798</v>
      </c>
      <c r="BH284" s="239">
        <v>951200</v>
      </c>
      <c r="BI284" s="239">
        <v>0</v>
      </c>
      <c r="BJ284" s="239">
        <v>9511995</v>
      </c>
      <c r="BK284" s="239">
        <v>-2310262</v>
      </c>
      <c r="BL284" s="239">
        <v>-1848210</v>
      </c>
      <c r="BM284" s="239">
        <v>-462053</v>
      </c>
      <c r="BN284" s="239">
        <v>0</v>
      </c>
      <c r="BO284" s="239">
        <v>-4620525</v>
      </c>
      <c r="BP284" s="239">
        <v>-2310262</v>
      </c>
      <c r="BQ284" s="239">
        <v>-1848210</v>
      </c>
      <c r="BR284" s="239">
        <v>-462053</v>
      </c>
      <c r="BS284" s="239">
        <v>0</v>
      </c>
      <c r="BT284" s="239">
        <v>-4620525</v>
      </c>
      <c r="BU284" s="239">
        <v>-7468834</v>
      </c>
      <c r="BV284" s="239">
        <v>-5975067</v>
      </c>
      <c r="BW284" s="239">
        <v>-1493767</v>
      </c>
      <c r="BX284" s="239">
        <v>0</v>
      </c>
      <c r="BY284" s="239">
        <v>-14937668</v>
      </c>
      <c r="BZ284" s="239">
        <v>-3265004</v>
      </c>
      <c r="CA284" s="239">
        <v>-2612003</v>
      </c>
      <c r="CB284" s="239">
        <v>-653001</v>
      </c>
      <c r="CC284" s="239">
        <v>0</v>
      </c>
      <c r="CD284" s="239">
        <v>-6530008</v>
      </c>
      <c r="CE284" s="239">
        <v>-4203830</v>
      </c>
      <c r="CF284" s="239">
        <v>-3363064</v>
      </c>
      <c r="CG284" s="239">
        <v>-840766</v>
      </c>
      <c r="CH284" s="239">
        <v>0</v>
      </c>
      <c r="CI284" s="239">
        <v>-8407660</v>
      </c>
      <c r="CJ284" s="239">
        <v>17513766</v>
      </c>
      <c r="CK284" s="239">
        <v>14011012</v>
      </c>
      <c r="CL284" s="239">
        <v>3502753</v>
      </c>
      <c r="CM284" s="239">
        <v>0</v>
      </c>
      <c r="CN284" s="239">
        <v>35027531</v>
      </c>
      <c r="CO284" s="239">
        <v>16394424</v>
      </c>
      <c r="CP284" s="239">
        <v>13115540</v>
      </c>
      <c r="CQ284" s="239">
        <v>3278885</v>
      </c>
      <c r="CR284" s="239">
        <v>0</v>
      </c>
      <c r="CS284" s="239">
        <v>32788849</v>
      </c>
      <c r="CT284" s="239">
        <v>-1119342</v>
      </c>
      <c r="CU284" s="239">
        <v>-895472</v>
      </c>
      <c r="CV284" s="239">
        <v>-223868</v>
      </c>
      <c r="CW284" s="239">
        <v>0</v>
      </c>
      <c r="CX284" s="239">
        <v>-2238682</v>
      </c>
      <c r="CY284" s="239">
        <v>-5323172</v>
      </c>
      <c r="CZ284" s="239">
        <v>-4258536</v>
      </c>
      <c r="DA284" s="239">
        <v>-1064634</v>
      </c>
      <c r="DB284" s="239">
        <v>0</v>
      </c>
      <c r="DC284" s="239">
        <v>-10646342</v>
      </c>
      <c r="DD284" s="214">
        <v>0.5</v>
      </c>
      <c r="DE284" s="214">
        <v>0.4</v>
      </c>
      <c r="DF284" s="214">
        <v>0.1</v>
      </c>
      <c r="DG284" s="214">
        <v>0</v>
      </c>
      <c r="DH284" s="214">
        <v>1</v>
      </c>
      <c r="DI284" s="214" t="s">
        <v>1294</v>
      </c>
    </row>
    <row r="285" spans="2:113" s="214" customFormat="1" x14ac:dyDescent="0.2">
      <c r="B285" s="610" t="s">
        <v>653</v>
      </c>
      <c r="C285" s="610" t="s">
        <v>652</v>
      </c>
      <c r="D285" s="239">
        <v>15765272</v>
      </c>
      <c r="E285" s="239">
        <v>12612217</v>
      </c>
      <c r="F285" s="239">
        <v>2837749</v>
      </c>
      <c r="G285" s="239">
        <v>315305</v>
      </c>
      <c r="H285" s="239">
        <v>31530543</v>
      </c>
      <c r="I285" s="239">
        <v>0</v>
      </c>
      <c r="J285" s="239">
        <v>0</v>
      </c>
      <c r="K285" s="239">
        <v>15765272</v>
      </c>
      <c r="L285" s="239">
        <v>191716</v>
      </c>
      <c r="M285" s="239">
        <v>191716</v>
      </c>
      <c r="N285" s="239">
        <v>0</v>
      </c>
      <c r="O285" s="239">
        <v>0</v>
      </c>
      <c r="P285" s="239">
        <v>0</v>
      </c>
      <c r="Q285" s="239">
        <v>0</v>
      </c>
      <c r="R285" s="239">
        <v>0</v>
      </c>
      <c r="S285" s="239">
        <v>0</v>
      </c>
      <c r="T285" s="239">
        <v>0</v>
      </c>
      <c r="U285" s="239">
        <v>0</v>
      </c>
      <c r="V285" s="239">
        <v>0</v>
      </c>
      <c r="W285" s="239">
        <v>1069892</v>
      </c>
      <c r="X285" s="239">
        <v>855913</v>
      </c>
      <c r="Y285" s="239">
        <v>192580</v>
      </c>
      <c r="Z285" s="239">
        <v>21398</v>
      </c>
      <c r="AA285" s="239">
        <v>2139783</v>
      </c>
      <c r="AB285" s="239">
        <v>-1372302</v>
      </c>
      <c r="AC285" s="239">
        <v>-1097842</v>
      </c>
      <c r="AD285" s="239">
        <v>-247014</v>
      </c>
      <c r="AE285" s="239">
        <v>-27446</v>
      </c>
      <c r="AF285" s="239">
        <v>-2744604</v>
      </c>
      <c r="AG285" s="239">
        <v>-548922</v>
      </c>
      <c r="AH285" s="239">
        <v>-439136</v>
      </c>
      <c r="AI285" s="239">
        <v>-98806</v>
      </c>
      <c r="AJ285" s="239">
        <v>-10978</v>
      </c>
      <c r="AK285" s="239">
        <v>-1097842</v>
      </c>
      <c r="AL285" s="239">
        <v>144746</v>
      </c>
      <c r="AM285" s="239">
        <v>115797</v>
      </c>
      <c r="AN285" s="239">
        <v>26054</v>
      </c>
      <c r="AO285" s="239">
        <v>2895</v>
      </c>
      <c r="AP285" s="239">
        <v>289492</v>
      </c>
      <c r="AQ285" s="239">
        <v>-131638</v>
      </c>
      <c r="AR285" s="239">
        <v>-105311</v>
      </c>
      <c r="AS285" s="239">
        <v>-23695</v>
      </c>
      <c r="AT285" s="239">
        <v>-2633</v>
      </c>
      <c r="AU285" s="239">
        <v>-263277</v>
      </c>
      <c r="AV285" s="239">
        <v>-535814</v>
      </c>
      <c r="AW285" s="239">
        <v>-428650</v>
      </c>
      <c r="AX285" s="239">
        <v>-96447</v>
      </c>
      <c r="AY285" s="239">
        <v>-10716</v>
      </c>
      <c r="AZ285" s="239">
        <v>-1071627</v>
      </c>
      <c r="BA285" s="239">
        <v>-3057993</v>
      </c>
      <c r="BB285" s="239">
        <v>-2446395</v>
      </c>
      <c r="BC285" s="239">
        <v>-550440</v>
      </c>
      <c r="BD285" s="239">
        <v>-61160</v>
      </c>
      <c r="BE285" s="239">
        <v>-6115988</v>
      </c>
      <c r="BF285" s="239">
        <v>532083</v>
      </c>
      <c r="BG285" s="239">
        <v>425667</v>
      </c>
      <c r="BH285" s="239">
        <v>95775</v>
      </c>
      <c r="BI285" s="239">
        <v>10642</v>
      </c>
      <c r="BJ285" s="239">
        <v>1064167</v>
      </c>
      <c r="BK285" s="239">
        <v>-516040</v>
      </c>
      <c r="BL285" s="239">
        <v>-412832</v>
      </c>
      <c r="BM285" s="239">
        <v>-92887</v>
      </c>
      <c r="BN285" s="239">
        <v>-10321</v>
      </c>
      <c r="BO285" s="239">
        <v>-1032080</v>
      </c>
      <c r="BP285" s="239">
        <v>-3041950</v>
      </c>
      <c r="BQ285" s="239">
        <v>-2433560</v>
      </c>
      <c r="BR285" s="239">
        <v>-547552</v>
      </c>
      <c r="BS285" s="239">
        <v>-60839</v>
      </c>
      <c r="BT285" s="239">
        <v>-6083901</v>
      </c>
      <c r="BU285" s="239">
        <v>-2529623</v>
      </c>
      <c r="BV285" s="239">
        <v>-2023698</v>
      </c>
      <c r="BW285" s="239">
        <v>-455332</v>
      </c>
      <c r="BX285" s="239">
        <v>-50592</v>
      </c>
      <c r="BY285" s="239">
        <v>-5059245</v>
      </c>
      <c r="BZ285" s="239">
        <v>-649220</v>
      </c>
      <c r="CA285" s="239">
        <v>-519376</v>
      </c>
      <c r="CB285" s="239">
        <v>-116860</v>
      </c>
      <c r="CC285" s="239">
        <v>-12984</v>
      </c>
      <c r="CD285" s="239">
        <v>-1298440</v>
      </c>
      <c r="CE285" s="239">
        <v>-1880403</v>
      </c>
      <c r="CF285" s="239">
        <v>-1504322</v>
      </c>
      <c r="CG285" s="239">
        <v>-338472</v>
      </c>
      <c r="CH285" s="239">
        <v>-37608</v>
      </c>
      <c r="CI285" s="239">
        <v>-3760805</v>
      </c>
      <c r="CJ285" s="239">
        <v>15470953</v>
      </c>
      <c r="CK285" s="239">
        <v>12376763</v>
      </c>
      <c r="CL285" s="239">
        <v>2784772</v>
      </c>
      <c r="CM285" s="239">
        <v>309419</v>
      </c>
      <c r="CN285" s="239">
        <v>30941907</v>
      </c>
      <c r="CO285" s="239">
        <v>15765272</v>
      </c>
      <c r="CP285" s="239">
        <v>12612217</v>
      </c>
      <c r="CQ285" s="239">
        <v>2837749</v>
      </c>
      <c r="CR285" s="239">
        <v>315305</v>
      </c>
      <c r="CS285" s="239">
        <v>31530543</v>
      </c>
      <c r="CT285" s="239">
        <v>294319</v>
      </c>
      <c r="CU285" s="239">
        <v>235454</v>
      </c>
      <c r="CV285" s="239">
        <v>52977</v>
      </c>
      <c r="CW285" s="239">
        <v>5886</v>
      </c>
      <c r="CX285" s="239">
        <v>588636</v>
      </c>
      <c r="CY285" s="239">
        <v>-1586084</v>
      </c>
      <c r="CZ285" s="239">
        <v>-1268868</v>
      </c>
      <c r="DA285" s="239">
        <v>-285495</v>
      </c>
      <c r="DB285" s="239">
        <v>-31722</v>
      </c>
      <c r="DC285" s="239">
        <v>-3172169</v>
      </c>
      <c r="DD285" s="214">
        <v>0.5</v>
      </c>
      <c r="DE285" s="214">
        <v>0.4</v>
      </c>
      <c r="DF285" s="214">
        <v>0.09</v>
      </c>
      <c r="DG285" s="214">
        <v>0.01</v>
      </c>
      <c r="DH285" s="214">
        <v>1</v>
      </c>
      <c r="DI285" s="214" t="s">
        <v>1294</v>
      </c>
    </row>
    <row r="286" spans="2:113" s="214" customFormat="1" x14ac:dyDescent="0.2">
      <c r="B286" s="610" t="s">
        <v>655</v>
      </c>
      <c r="C286" s="610" t="s">
        <v>654</v>
      </c>
      <c r="D286" s="239">
        <v>14607952</v>
      </c>
      <c r="E286" s="239">
        <v>11686362</v>
      </c>
      <c r="F286" s="239">
        <v>2921590</v>
      </c>
      <c r="G286" s="239">
        <v>0</v>
      </c>
      <c r="H286" s="239">
        <v>29215904</v>
      </c>
      <c r="I286" s="239">
        <v>0</v>
      </c>
      <c r="J286" s="239">
        <v>0</v>
      </c>
      <c r="K286" s="239">
        <v>14607952</v>
      </c>
      <c r="L286" s="239">
        <v>95987</v>
      </c>
      <c r="M286" s="239">
        <v>95987</v>
      </c>
      <c r="N286" s="239">
        <v>0</v>
      </c>
      <c r="O286" s="239">
        <v>0</v>
      </c>
      <c r="P286" s="239">
        <v>0</v>
      </c>
      <c r="Q286" s="239">
        <v>0</v>
      </c>
      <c r="R286" s="239">
        <v>0</v>
      </c>
      <c r="S286" s="239">
        <v>0</v>
      </c>
      <c r="T286" s="239">
        <v>0</v>
      </c>
      <c r="U286" s="239">
        <v>0</v>
      </c>
      <c r="V286" s="239">
        <v>0</v>
      </c>
      <c r="W286" s="239">
        <v>575943</v>
      </c>
      <c r="X286" s="239">
        <v>460755</v>
      </c>
      <c r="Y286" s="239">
        <v>115189</v>
      </c>
      <c r="Z286" s="239">
        <v>0</v>
      </c>
      <c r="AA286" s="239">
        <v>1151887</v>
      </c>
      <c r="AB286" s="239">
        <v>-311554</v>
      </c>
      <c r="AC286" s="239">
        <v>-249244</v>
      </c>
      <c r="AD286" s="239">
        <v>-62311</v>
      </c>
      <c r="AE286" s="239">
        <v>0</v>
      </c>
      <c r="AF286" s="239">
        <v>-623109</v>
      </c>
      <c r="AG286" s="239">
        <v>-500332</v>
      </c>
      <c r="AH286" s="239">
        <v>-400266</v>
      </c>
      <c r="AI286" s="239">
        <v>-100066</v>
      </c>
      <c r="AJ286" s="239">
        <v>0</v>
      </c>
      <c r="AK286" s="239">
        <v>-1000664</v>
      </c>
      <c r="AL286" s="239">
        <v>87238</v>
      </c>
      <c r="AM286" s="239">
        <v>69791</v>
      </c>
      <c r="AN286" s="239">
        <v>17448</v>
      </c>
      <c r="AO286" s="239">
        <v>0</v>
      </c>
      <c r="AP286" s="239">
        <v>174477</v>
      </c>
      <c r="AQ286" s="239">
        <v>-66688</v>
      </c>
      <c r="AR286" s="239">
        <v>-53350</v>
      </c>
      <c r="AS286" s="239">
        <v>-13338</v>
      </c>
      <c r="AT286" s="239">
        <v>0</v>
      </c>
      <c r="AU286" s="239">
        <v>-133376</v>
      </c>
      <c r="AV286" s="239">
        <v>-479782</v>
      </c>
      <c r="AW286" s="239">
        <v>-383825</v>
      </c>
      <c r="AX286" s="239">
        <v>-95956</v>
      </c>
      <c r="AY286" s="239">
        <v>0</v>
      </c>
      <c r="AZ286" s="239">
        <v>-959563</v>
      </c>
      <c r="BA286" s="239">
        <v>-2967513</v>
      </c>
      <c r="BB286" s="239">
        <v>-2374009</v>
      </c>
      <c r="BC286" s="239">
        <v>-593503</v>
      </c>
      <c r="BD286" s="239">
        <v>0</v>
      </c>
      <c r="BE286" s="239">
        <v>-5935025</v>
      </c>
      <c r="BF286" s="239">
        <v>521391</v>
      </c>
      <c r="BG286" s="239">
        <v>417113</v>
      </c>
      <c r="BH286" s="239">
        <v>104278</v>
      </c>
      <c r="BI286" s="239">
        <v>0</v>
      </c>
      <c r="BJ286" s="239">
        <v>1042782</v>
      </c>
      <c r="BK286" s="239">
        <v>20884</v>
      </c>
      <c r="BL286" s="239">
        <v>16708</v>
      </c>
      <c r="BM286" s="239">
        <v>4177</v>
      </c>
      <c r="BN286" s="239">
        <v>0</v>
      </c>
      <c r="BO286" s="239">
        <v>41769</v>
      </c>
      <c r="BP286" s="239">
        <v>-2425238</v>
      </c>
      <c r="BQ286" s="239">
        <v>-1940188</v>
      </c>
      <c r="BR286" s="239">
        <v>-485048</v>
      </c>
      <c r="BS286" s="239">
        <v>0</v>
      </c>
      <c r="BT286" s="239">
        <v>-4850474</v>
      </c>
      <c r="BU286" s="239">
        <v>-2843594</v>
      </c>
      <c r="BV286" s="239">
        <v>-2274876</v>
      </c>
      <c r="BW286" s="239">
        <v>-568719</v>
      </c>
      <c r="BX286" s="239">
        <v>0</v>
      </c>
      <c r="BY286" s="239">
        <v>-5687189</v>
      </c>
      <c r="BZ286" s="239">
        <v>-510911</v>
      </c>
      <c r="CA286" s="239">
        <v>-408729</v>
      </c>
      <c r="CB286" s="239">
        <v>-102182</v>
      </c>
      <c r="CC286" s="239">
        <v>0</v>
      </c>
      <c r="CD286" s="239">
        <v>-1021822</v>
      </c>
      <c r="CE286" s="239">
        <v>-2332683</v>
      </c>
      <c r="CF286" s="239">
        <v>-1866147</v>
      </c>
      <c r="CG286" s="239">
        <v>-466537</v>
      </c>
      <c r="CH286" s="239">
        <v>0</v>
      </c>
      <c r="CI286" s="239">
        <v>-4665367</v>
      </c>
      <c r="CJ286" s="239">
        <v>14112520</v>
      </c>
      <c r="CK286" s="239">
        <v>11290016</v>
      </c>
      <c r="CL286" s="239">
        <v>2822504</v>
      </c>
      <c r="CM286" s="239">
        <v>0</v>
      </c>
      <c r="CN286" s="239">
        <v>28225040</v>
      </c>
      <c r="CO286" s="239">
        <v>14607952</v>
      </c>
      <c r="CP286" s="239">
        <v>11686362</v>
      </c>
      <c r="CQ286" s="239">
        <v>2921590</v>
      </c>
      <c r="CR286" s="239">
        <v>0</v>
      </c>
      <c r="CS286" s="239">
        <v>29215904</v>
      </c>
      <c r="CT286" s="239">
        <v>495432</v>
      </c>
      <c r="CU286" s="239">
        <v>396346</v>
      </c>
      <c r="CV286" s="239">
        <v>99086</v>
      </c>
      <c r="CW286" s="239">
        <v>0</v>
      </c>
      <c r="CX286" s="239">
        <v>990864</v>
      </c>
      <c r="CY286" s="239">
        <v>-1837251</v>
      </c>
      <c r="CZ286" s="239">
        <v>-1469801</v>
      </c>
      <c r="DA286" s="239">
        <v>-367451</v>
      </c>
      <c r="DB286" s="239">
        <v>0</v>
      </c>
      <c r="DC286" s="239">
        <v>-3674503</v>
      </c>
      <c r="DD286" s="214">
        <v>0.5</v>
      </c>
      <c r="DE286" s="214">
        <v>0.4</v>
      </c>
      <c r="DF286" s="214">
        <v>0.1</v>
      </c>
      <c r="DG286" s="214">
        <v>0</v>
      </c>
      <c r="DH286" s="214">
        <v>1</v>
      </c>
      <c r="DI286" s="214" t="s">
        <v>1294</v>
      </c>
    </row>
    <row r="287" spans="2:113" s="214" customFormat="1" x14ac:dyDescent="0.2">
      <c r="B287" s="610" t="s">
        <v>657</v>
      </c>
      <c r="C287" s="610" t="s">
        <v>656</v>
      </c>
      <c r="D287" s="239">
        <v>54211820</v>
      </c>
      <c r="E287" s="239">
        <v>53127583</v>
      </c>
      <c r="F287" s="239">
        <v>0</v>
      </c>
      <c r="G287" s="239">
        <v>1084236</v>
      </c>
      <c r="H287" s="239">
        <v>108423639</v>
      </c>
      <c r="I287" s="239">
        <v>0</v>
      </c>
      <c r="J287" s="239">
        <v>0</v>
      </c>
      <c r="K287" s="239">
        <v>54211820</v>
      </c>
      <c r="L287" s="239">
        <v>234584</v>
      </c>
      <c r="M287" s="239">
        <v>234584</v>
      </c>
      <c r="N287" s="239">
        <v>0</v>
      </c>
      <c r="O287" s="239">
        <v>0</v>
      </c>
      <c r="P287" s="239">
        <v>0</v>
      </c>
      <c r="Q287" s="239">
        <v>0</v>
      </c>
      <c r="R287" s="239">
        <v>0</v>
      </c>
      <c r="S287" s="239">
        <v>0</v>
      </c>
      <c r="T287" s="239">
        <v>0</v>
      </c>
      <c r="U287" s="239">
        <v>0</v>
      </c>
      <c r="V287" s="239">
        <v>0</v>
      </c>
      <c r="W287" s="239">
        <v>441922</v>
      </c>
      <c r="X287" s="239">
        <v>433084</v>
      </c>
      <c r="Y287" s="239">
        <v>0</v>
      </c>
      <c r="Z287" s="239">
        <v>8838</v>
      </c>
      <c r="AA287" s="239">
        <v>883844</v>
      </c>
      <c r="AB287" s="239">
        <v>-260046</v>
      </c>
      <c r="AC287" s="239">
        <v>-254846</v>
      </c>
      <c r="AD287" s="239">
        <v>0</v>
      </c>
      <c r="AE287" s="239">
        <v>-5201</v>
      </c>
      <c r="AF287" s="239">
        <v>-520093</v>
      </c>
      <c r="AG287" s="239">
        <v>111932</v>
      </c>
      <c r="AH287" s="239">
        <v>109694</v>
      </c>
      <c r="AI287" s="239">
        <v>0</v>
      </c>
      <c r="AJ287" s="239">
        <v>2239</v>
      </c>
      <c r="AK287" s="239">
        <v>223865</v>
      </c>
      <c r="AL287" s="239">
        <v>0</v>
      </c>
      <c r="AM287" s="239">
        <v>0</v>
      </c>
      <c r="AN287" s="239">
        <v>0</v>
      </c>
      <c r="AO287" s="239">
        <v>0</v>
      </c>
      <c r="AP287" s="239">
        <v>0</v>
      </c>
      <c r="AQ287" s="239">
        <v>17721</v>
      </c>
      <c r="AR287" s="239">
        <v>17367</v>
      </c>
      <c r="AS287" s="239">
        <v>0</v>
      </c>
      <c r="AT287" s="239">
        <v>354</v>
      </c>
      <c r="AU287" s="239">
        <v>35442</v>
      </c>
      <c r="AV287" s="239">
        <v>129653</v>
      </c>
      <c r="AW287" s="239">
        <v>127061</v>
      </c>
      <c r="AX287" s="239">
        <v>0</v>
      </c>
      <c r="AY287" s="239">
        <v>2593</v>
      </c>
      <c r="AZ287" s="239">
        <v>259307</v>
      </c>
      <c r="BA287" s="239">
        <v>-7414869</v>
      </c>
      <c r="BB287" s="239">
        <v>-7266573</v>
      </c>
      <c r="BC287" s="239">
        <v>0</v>
      </c>
      <c r="BD287" s="239">
        <v>-148297</v>
      </c>
      <c r="BE287" s="239">
        <v>-14829739</v>
      </c>
      <c r="BF287" s="239">
        <v>0</v>
      </c>
      <c r="BG287" s="239">
        <v>0</v>
      </c>
      <c r="BH287" s="239">
        <v>0</v>
      </c>
      <c r="BI287" s="239">
        <v>0</v>
      </c>
      <c r="BJ287" s="239">
        <v>0</v>
      </c>
      <c r="BK287" s="239">
        <v>1631970</v>
      </c>
      <c r="BL287" s="239">
        <v>1599331</v>
      </c>
      <c r="BM287" s="239">
        <v>0</v>
      </c>
      <c r="BN287" s="239">
        <v>32639</v>
      </c>
      <c r="BO287" s="239">
        <v>3263940</v>
      </c>
      <c r="BP287" s="239">
        <v>-5782899</v>
      </c>
      <c r="BQ287" s="239">
        <v>-5667242</v>
      </c>
      <c r="BR287" s="239">
        <v>0</v>
      </c>
      <c r="BS287" s="239">
        <v>-115658</v>
      </c>
      <c r="BT287" s="239">
        <v>-11565799</v>
      </c>
      <c r="BU287" s="239">
        <v>-6089321</v>
      </c>
      <c r="BV287" s="239">
        <v>-5967534</v>
      </c>
      <c r="BW287" s="239">
        <v>0</v>
      </c>
      <c r="BX287" s="239">
        <v>-121786</v>
      </c>
      <c r="BY287" s="239">
        <v>-12178641</v>
      </c>
      <c r="BZ287" s="239">
        <v>-4448154</v>
      </c>
      <c r="CA287" s="239">
        <v>-4359191</v>
      </c>
      <c r="CB287" s="239">
        <v>0</v>
      </c>
      <c r="CC287" s="239">
        <v>-88963</v>
      </c>
      <c r="CD287" s="239">
        <v>-8896308</v>
      </c>
      <c r="CE287" s="239">
        <v>-1641167</v>
      </c>
      <c r="CF287" s="239">
        <v>-1608343</v>
      </c>
      <c r="CG287" s="239">
        <v>0</v>
      </c>
      <c r="CH287" s="239">
        <v>-32823</v>
      </c>
      <c r="CI287" s="239">
        <v>-3282333</v>
      </c>
      <c r="CJ287" s="239">
        <v>54541010</v>
      </c>
      <c r="CK287" s="239">
        <v>53450190</v>
      </c>
      <c r="CL287" s="239">
        <v>0</v>
      </c>
      <c r="CM287" s="239">
        <v>1090820</v>
      </c>
      <c r="CN287" s="239">
        <v>109082020</v>
      </c>
      <c r="CO287" s="239">
        <v>54211820</v>
      </c>
      <c r="CP287" s="239">
        <v>53127583</v>
      </c>
      <c r="CQ287" s="239">
        <v>0</v>
      </c>
      <c r="CR287" s="239">
        <v>1084236</v>
      </c>
      <c r="CS287" s="239">
        <v>108423639</v>
      </c>
      <c r="CT287" s="239">
        <v>-329190</v>
      </c>
      <c r="CU287" s="239">
        <v>-322607</v>
      </c>
      <c r="CV287" s="239">
        <v>0</v>
      </c>
      <c r="CW287" s="239">
        <v>-6584</v>
      </c>
      <c r="CX287" s="239">
        <v>-658381</v>
      </c>
      <c r="CY287" s="239">
        <v>-1970357</v>
      </c>
      <c r="CZ287" s="239">
        <v>-1930950</v>
      </c>
      <c r="DA287" s="239">
        <v>0</v>
      </c>
      <c r="DB287" s="239">
        <v>-39407</v>
      </c>
      <c r="DC287" s="239">
        <v>-3940714</v>
      </c>
      <c r="DD287" s="214">
        <v>0.5</v>
      </c>
      <c r="DE287" s="214">
        <v>0.49</v>
      </c>
      <c r="DF287" s="214">
        <v>0</v>
      </c>
      <c r="DG287" s="214">
        <v>0.01</v>
      </c>
      <c r="DH287" s="214">
        <v>1</v>
      </c>
      <c r="DI287" s="214" t="s">
        <v>748</v>
      </c>
    </row>
    <row r="288" spans="2:113" s="214" customFormat="1" x14ac:dyDescent="0.2">
      <c r="B288" s="610" t="s">
        <v>659</v>
      </c>
      <c r="C288" s="610" t="s">
        <v>658</v>
      </c>
      <c r="D288" s="239">
        <v>26427435</v>
      </c>
      <c r="E288" s="239">
        <v>21141948</v>
      </c>
      <c r="F288" s="239">
        <v>4756938</v>
      </c>
      <c r="G288" s="239">
        <v>528549</v>
      </c>
      <c r="H288" s="239">
        <v>52854870</v>
      </c>
      <c r="I288" s="239">
        <v>0</v>
      </c>
      <c r="J288" s="239">
        <v>0</v>
      </c>
      <c r="K288" s="239">
        <v>26427435</v>
      </c>
      <c r="L288" s="239">
        <v>165385</v>
      </c>
      <c r="M288" s="239">
        <v>165385</v>
      </c>
      <c r="N288" s="239">
        <v>0</v>
      </c>
      <c r="O288" s="239">
        <v>0</v>
      </c>
      <c r="P288" s="239">
        <v>0</v>
      </c>
      <c r="Q288" s="239">
        <v>0</v>
      </c>
      <c r="R288" s="239">
        <v>0</v>
      </c>
      <c r="S288" s="239">
        <v>0</v>
      </c>
      <c r="T288" s="239">
        <v>0</v>
      </c>
      <c r="U288" s="239">
        <v>0</v>
      </c>
      <c r="V288" s="239">
        <v>0</v>
      </c>
      <c r="W288" s="239">
        <v>528049</v>
      </c>
      <c r="X288" s="239">
        <v>422439</v>
      </c>
      <c r="Y288" s="239">
        <v>95049</v>
      </c>
      <c r="Z288" s="239">
        <v>10561</v>
      </c>
      <c r="AA288" s="239">
        <v>1056098</v>
      </c>
      <c r="AB288" s="239">
        <v>-441246</v>
      </c>
      <c r="AC288" s="239">
        <v>-352996</v>
      </c>
      <c r="AD288" s="239">
        <v>-79424</v>
      </c>
      <c r="AE288" s="239">
        <v>-8825</v>
      </c>
      <c r="AF288" s="239">
        <v>-882491</v>
      </c>
      <c r="AG288" s="239">
        <v>-190000</v>
      </c>
      <c r="AH288" s="239">
        <v>-152000</v>
      </c>
      <c r="AI288" s="239">
        <v>-34200</v>
      </c>
      <c r="AJ288" s="239">
        <v>-3800</v>
      </c>
      <c r="AK288" s="239">
        <v>-380000</v>
      </c>
      <c r="AL288" s="239">
        <v>140575</v>
      </c>
      <c r="AM288" s="239">
        <v>112459</v>
      </c>
      <c r="AN288" s="239">
        <v>25303</v>
      </c>
      <c r="AO288" s="239">
        <v>2811</v>
      </c>
      <c r="AP288" s="239">
        <v>281148</v>
      </c>
      <c r="AQ288" s="239">
        <v>-65575</v>
      </c>
      <c r="AR288" s="239">
        <v>-52459</v>
      </c>
      <c r="AS288" s="239">
        <v>-11803</v>
      </c>
      <c r="AT288" s="239">
        <v>-1311</v>
      </c>
      <c r="AU288" s="239">
        <v>-131148</v>
      </c>
      <c r="AV288" s="239">
        <v>-115000</v>
      </c>
      <c r="AW288" s="239">
        <v>-92000</v>
      </c>
      <c r="AX288" s="239">
        <v>-20700</v>
      </c>
      <c r="AY288" s="239">
        <v>-2300</v>
      </c>
      <c r="AZ288" s="239">
        <v>-230000</v>
      </c>
      <c r="BA288" s="239">
        <v>-3035000</v>
      </c>
      <c r="BB288" s="239">
        <v>-2428000</v>
      </c>
      <c r="BC288" s="239">
        <v>-546300</v>
      </c>
      <c r="BD288" s="239">
        <v>-60700</v>
      </c>
      <c r="BE288" s="239">
        <v>-6070000</v>
      </c>
      <c r="BF288" s="239">
        <v>68500</v>
      </c>
      <c r="BG288" s="239">
        <v>54800</v>
      </c>
      <c r="BH288" s="239">
        <v>12330</v>
      </c>
      <c r="BI288" s="239">
        <v>1370</v>
      </c>
      <c r="BJ288" s="239">
        <v>137000</v>
      </c>
      <c r="BK288" s="239">
        <v>-988500</v>
      </c>
      <c r="BL288" s="239">
        <v>-790800</v>
      </c>
      <c r="BM288" s="239">
        <v>-177930</v>
      </c>
      <c r="BN288" s="239">
        <v>-19770</v>
      </c>
      <c r="BO288" s="239">
        <v>-1977000</v>
      </c>
      <c r="BP288" s="239">
        <v>-3955000</v>
      </c>
      <c r="BQ288" s="239">
        <v>-3164000</v>
      </c>
      <c r="BR288" s="239">
        <v>-711900</v>
      </c>
      <c r="BS288" s="239">
        <v>-79100</v>
      </c>
      <c r="BT288" s="239">
        <v>-7910000</v>
      </c>
      <c r="BU288" s="239">
        <v>-3467173</v>
      </c>
      <c r="BV288" s="239">
        <v>-2773738</v>
      </c>
      <c r="BW288" s="239">
        <v>-624091</v>
      </c>
      <c r="BX288" s="239">
        <v>-69343</v>
      </c>
      <c r="BY288" s="239">
        <v>-6934345</v>
      </c>
      <c r="BZ288" s="239">
        <v>-1494114</v>
      </c>
      <c r="CA288" s="239">
        <v>-1195290</v>
      </c>
      <c r="CB288" s="239">
        <v>-268940</v>
      </c>
      <c r="CC288" s="239">
        <v>-29882</v>
      </c>
      <c r="CD288" s="239">
        <v>-2988226</v>
      </c>
      <c r="CE288" s="239">
        <v>-1973059</v>
      </c>
      <c r="CF288" s="239">
        <v>-1578448</v>
      </c>
      <c r="CG288" s="239">
        <v>-355151</v>
      </c>
      <c r="CH288" s="239">
        <v>-39461</v>
      </c>
      <c r="CI288" s="239">
        <v>-3946119</v>
      </c>
      <c r="CJ288" s="239">
        <v>26979132</v>
      </c>
      <c r="CK288" s="239">
        <v>21583306</v>
      </c>
      <c r="CL288" s="239">
        <v>4856244</v>
      </c>
      <c r="CM288" s="239">
        <v>539583</v>
      </c>
      <c r="CN288" s="239">
        <v>53958265</v>
      </c>
      <c r="CO288" s="239">
        <v>26427435</v>
      </c>
      <c r="CP288" s="239">
        <v>21141948</v>
      </c>
      <c r="CQ288" s="239">
        <v>4756938</v>
      </c>
      <c r="CR288" s="239">
        <v>528549</v>
      </c>
      <c r="CS288" s="239">
        <v>52854870</v>
      </c>
      <c r="CT288" s="239">
        <v>-551697</v>
      </c>
      <c r="CU288" s="239">
        <v>-441358</v>
      </c>
      <c r="CV288" s="239">
        <v>-99306</v>
      </c>
      <c r="CW288" s="239">
        <v>-11034</v>
      </c>
      <c r="CX288" s="239">
        <v>-1103395</v>
      </c>
      <c r="CY288" s="239">
        <v>-2524756</v>
      </c>
      <c r="CZ288" s="239">
        <v>-2019806</v>
      </c>
      <c r="DA288" s="239">
        <v>-454457</v>
      </c>
      <c r="DB288" s="239">
        <v>-50495</v>
      </c>
      <c r="DC288" s="239">
        <v>-5049514</v>
      </c>
      <c r="DD288" s="214">
        <v>0.5</v>
      </c>
      <c r="DE288" s="214">
        <v>0.4</v>
      </c>
      <c r="DF288" s="214">
        <v>0.09</v>
      </c>
      <c r="DG288" s="214">
        <v>0.01</v>
      </c>
      <c r="DH288" s="214">
        <v>1</v>
      </c>
      <c r="DI288" s="214" t="s">
        <v>1294</v>
      </c>
    </row>
    <row r="289" spans="2:113" s="214" customFormat="1" x14ac:dyDescent="0.2">
      <c r="B289" s="610" t="s">
        <v>661</v>
      </c>
      <c r="C289" s="610" t="s">
        <v>660</v>
      </c>
      <c r="D289" s="239">
        <v>17040955</v>
      </c>
      <c r="E289" s="239">
        <v>16700136</v>
      </c>
      <c r="F289" s="239">
        <v>0</v>
      </c>
      <c r="G289" s="239">
        <v>340819</v>
      </c>
      <c r="H289" s="239">
        <v>34081910</v>
      </c>
      <c r="I289" s="239">
        <v>0</v>
      </c>
      <c r="J289" s="239">
        <v>0</v>
      </c>
      <c r="K289" s="239">
        <v>17040955</v>
      </c>
      <c r="L289" s="239">
        <v>202829</v>
      </c>
      <c r="M289" s="239">
        <v>202829</v>
      </c>
      <c r="N289" s="239">
        <v>0</v>
      </c>
      <c r="O289" s="239">
        <v>0</v>
      </c>
      <c r="P289" s="239">
        <v>0</v>
      </c>
      <c r="Q289" s="239">
        <v>0</v>
      </c>
      <c r="R289" s="239">
        <v>0</v>
      </c>
      <c r="S289" s="239">
        <v>0</v>
      </c>
      <c r="T289" s="239">
        <v>0</v>
      </c>
      <c r="U289" s="239">
        <v>0</v>
      </c>
      <c r="V289" s="239">
        <v>0</v>
      </c>
      <c r="W289" s="239">
        <v>887369</v>
      </c>
      <c r="X289" s="239">
        <v>869622</v>
      </c>
      <c r="Y289" s="239">
        <v>0</v>
      </c>
      <c r="Z289" s="239">
        <v>17747</v>
      </c>
      <c r="AA289" s="239">
        <v>1774738</v>
      </c>
      <c r="AB289" s="239">
        <v>-348537</v>
      </c>
      <c r="AC289" s="239">
        <v>-341566</v>
      </c>
      <c r="AD289" s="239">
        <v>0</v>
      </c>
      <c r="AE289" s="239">
        <v>-6971</v>
      </c>
      <c r="AF289" s="239">
        <v>-697074</v>
      </c>
      <c r="AG289" s="239">
        <v>-371246</v>
      </c>
      <c r="AH289" s="239">
        <v>-363821</v>
      </c>
      <c r="AI289" s="239">
        <v>0</v>
      </c>
      <c r="AJ289" s="239">
        <v>-7425</v>
      </c>
      <c r="AK289" s="239">
        <v>-742492</v>
      </c>
      <c r="AL289" s="239">
        <v>234556</v>
      </c>
      <c r="AM289" s="239">
        <v>229865</v>
      </c>
      <c r="AN289" s="239">
        <v>0</v>
      </c>
      <c r="AO289" s="239">
        <v>4691</v>
      </c>
      <c r="AP289" s="239">
        <v>469112</v>
      </c>
      <c r="AQ289" s="239">
        <v>-271365</v>
      </c>
      <c r="AR289" s="239">
        <v>-265937</v>
      </c>
      <c r="AS289" s="239">
        <v>0</v>
      </c>
      <c r="AT289" s="239">
        <v>-5427</v>
      </c>
      <c r="AU289" s="239">
        <v>-542729</v>
      </c>
      <c r="AV289" s="239">
        <v>-408055</v>
      </c>
      <c r="AW289" s="239">
        <v>-399893</v>
      </c>
      <c r="AX289" s="239">
        <v>0</v>
      </c>
      <c r="AY289" s="239">
        <v>-8161</v>
      </c>
      <c r="AZ289" s="239">
        <v>-816109</v>
      </c>
      <c r="BA289" s="239">
        <v>-1237240</v>
      </c>
      <c r="BB289" s="239">
        <v>-1212495</v>
      </c>
      <c r="BC289" s="239">
        <v>0</v>
      </c>
      <c r="BD289" s="239">
        <v>-24745</v>
      </c>
      <c r="BE289" s="239">
        <v>-2474480</v>
      </c>
      <c r="BF289" s="239">
        <v>0</v>
      </c>
      <c r="BG289" s="239">
        <v>0</v>
      </c>
      <c r="BH289" s="239">
        <v>0</v>
      </c>
      <c r="BI289" s="239">
        <v>0</v>
      </c>
      <c r="BJ289" s="239">
        <v>0</v>
      </c>
      <c r="BK289" s="239">
        <v>-865441</v>
      </c>
      <c r="BL289" s="239">
        <v>-848132</v>
      </c>
      <c r="BM289" s="239">
        <v>0</v>
      </c>
      <c r="BN289" s="239">
        <v>-17309</v>
      </c>
      <c r="BO289" s="239">
        <v>-1730882</v>
      </c>
      <c r="BP289" s="239">
        <v>-2102681</v>
      </c>
      <c r="BQ289" s="239">
        <v>-2060627</v>
      </c>
      <c r="BR289" s="239">
        <v>0</v>
      </c>
      <c r="BS289" s="239">
        <v>-42054</v>
      </c>
      <c r="BT289" s="239">
        <v>-4205362</v>
      </c>
      <c r="BU289" s="239">
        <v>-154283</v>
      </c>
      <c r="BV289" s="239">
        <v>-151197</v>
      </c>
      <c r="BW289" s="239">
        <v>0</v>
      </c>
      <c r="BX289" s="239">
        <v>-3086</v>
      </c>
      <c r="BY289" s="239">
        <v>-308566</v>
      </c>
      <c r="BZ289" s="239">
        <v>7217</v>
      </c>
      <c r="CA289" s="239">
        <v>7073</v>
      </c>
      <c r="CB289" s="239">
        <v>0</v>
      </c>
      <c r="CC289" s="239">
        <v>144</v>
      </c>
      <c r="CD289" s="239">
        <v>14434</v>
      </c>
      <c r="CE289" s="239">
        <v>-161500</v>
      </c>
      <c r="CF289" s="239">
        <v>-158270</v>
      </c>
      <c r="CG289" s="239">
        <v>0</v>
      </c>
      <c r="CH289" s="239">
        <v>-3230</v>
      </c>
      <c r="CI289" s="239">
        <v>-323000</v>
      </c>
      <c r="CJ289" s="239">
        <v>18197419</v>
      </c>
      <c r="CK289" s="239">
        <v>17833471</v>
      </c>
      <c r="CL289" s="239">
        <v>0</v>
      </c>
      <c r="CM289" s="239">
        <v>363948</v>
      </c>
      <c r="CN289" s="239">
        <v>36394838</v>
      </c>
      <c r="CO289" s="239">
        <v>17040955</v>
      </c>
      <c r="CP289" s="239">
        <v>16700136</v>
      </c>
      <c r="CQ289" s="239">
        <v>0</v>
      </c>
      <c r="CR289" s="239">
        <v>340819</v>
      </c>
      <c r="CS289" s="239">
        <v>34081910</v>
      </c>
      <c r="CT289" s="239">
        <v>-1156464</v>
      </c>
      <c r="CU289" s="239">
        <v>-1133335</v>
      </c>
      <c r="CV289" s="239">
        <v>0</v>
      </c>
      <c r="CW289" s="239">
        <v>-23129</v>
      </c>
      <c r="CX289" s="239">
        <v>-2312928</v>
      </c>
      <c r="CY289" s="239">
        <v>-1317964</v>
      </c>
      <c r="CZ289" s="239">
        <v>-1291605</v>
      </c>
      <c r="DA289" s="239">
        <v>0</v>
      </c>
      <c r="DB289" s="239">
        <v>-26359</v>
      </c>
      <c r="DC289" s="239">
        <v>-2635928</v>
      </c>
      <c r="DD289" s="214">
        <v>0.5</v>
      </c>
      <c r="DE289" s="214">
        <v>0.49</v>
      </c>
      <c r="DF289" s="214">
        <v>0</v>
      </c>
      <c r="DG289" s="214">
        <v>0.01</v>
      </c>
      <c r="DH289" s="214">
        <v>1</v>
      </c>
      <c r="DI289" s="214" t="s">
        <v>748</v>
      </c>
    </row>
    <row r="290" spans="2:113" s="214" customFormat="1" x14ac:dyDescent="0.2">
      <c r="B290" s="610" t="s">
        <v>663</v>
      </c>
      <c r="C290" s="610" t="s">
        <v>662</v>
      </c>
      <c r="D290" s="239">
        <v>4374725</v>
      </c>
      <c r="E290" s="239">
        <v>3499779</v>
      </c>
      <c r="F290" s="239">
        <v>787450</v>
      </c>
      <c r="G290" s="239">
        <v>87494</v>
      </c>
      <c r="H290" s="239">
        <v>8749448</v>
      </c>
      <c r="I290" s="239">
        <v>0</v>
      </c>
      <c r="J290" s="239">
        <v>0</v>
      </c>
      <c r="K290" s="239">
        <v>4374725</v>
      </c>
      <c r="L290" s="239">
        <v>128301</v>
      </c>
      <c r="M290" s="239">
        <v>128301</v>
      </c>
      <c r="N290" s="239">
        <v>0</v>
      </c>
      <c r="O290" s="239">
        <v>0</v>
      </c>
      <c r="P290" s="239">
        <v>477523</v>
      </c>
      <c r="Q290" s="239">
        <v>0</v>
      </c>
      <c r="R290" s="239">
        <v>477523</v>
      </c>
      <c r="S290" s="239">
        <v>0</v>
      </c>
      <c r="T290" s="239">
        <v>0</v>
      </c>
      <c r="U290" s="239">
        <v>0</v>
      </c>
      <c r="V290" s="239">
        <v>0</v>
      </c>
      <c r="W290" s="239">
        <v>140814</v>
      </c>
      <c r="X290" s="239">
        <v>112650</v>
      </c>
      <c r="Y290" s="239">
        <v>25346</v>
      </c>
      <c r="Z290" s="239">
        <v>2816</v>
      </c>
      <c r="AA290" s="239">
        <v>281626</v>
      </c>
      <c r="AB290" s="239">
        <v>-52081</v>
      </c>
      <c r="AC290" s="239">
        <v>-41665</v>
      </c>
      <c r="AD290" s="239">
        <v>-9375</v>
      </c>
      <c r="AE290" s="239">
        <v>-1042</v>
      </c>
      <c r="AF290" s="239">
        <v>-104163</v>
      </c>
      <c r="AG290" s="239">
        <v>-27282</v>
      </c>
      <c r="AH290" s="239">
        <v>-21824</v>
      </c>
      <c r="AI290" s="239">
        <v>-4910</v>
      </c>
      <c r="AJ290" s="239">
        <v>-545</v>
      </c>
      <c r="AK290" s="239">
        <v>-54561</v>
      </c>
      <c r="AL290" s="239">
        <v>8457</v>
      </c>
      <c r="AM290" s="239">
        <v>6766</v>
      </c>
      <c r="AN290" s="239">
        <v>1522</v>
      </c>
      <c r="AO290" s="239">
        <v>169</v>
      </c>
      <c r="AP290" s="239">
        <v>16914</v>
      </c>
      <c r="AQ290" s="239">
        <v>-26206</v>
      </c>
      <c r="AR290" s="239">
        <v>-20964</v>
      </c>
      <c r="AS290" s="239">
        <v>-4717</v>
      </c>
      <c r="AT290" s="239">
        <v>-524</v>
      </c>
      <c r="AU290" s="239">
        <v>-52411</v>
      </c>
      <c r="AV290" s="239">
        <v>-45031</v>
      </c>
      <c r="AW290" s="239">
        <v>-36022</v>
      </c>
      <c r="AX290" s="239">
        <v>-8105</v>
      </c>
      <c r="AY290" s="239">
        <v>-900</v>
      </c>
      <c r="AZ290" s="239">
        <v>-90058</v>
      </c>
      <c r="BA290" s="239">
        <v>-356828</v>
      </c>
      <c r="BB290" s="239">
        <v>-285461</v>
      </c>
      <c r="BC290" s="239">
        <v>-64229</v>
      </c>
      <c r="BD290" s="239">
        <v>-7137</v>
      </c>
      <c r="BE290" s="239">
        <v>-713655</v>
      </c>
      <c r="BF290" s="239">
        <v>388885</v>
      </c>
      <c r="BG290" s="239">
        <v>311108</v>
      </c>
      <c r="BH290" s="239">
        <v>69999</v>
      </c>
      <c r="BI290" s="239">
        <v>7778</v>
      </c>
      <c r="BJ290" s="239">
        <v>777770</v>
      </c>
      <c r="BK290" s="239">
        <v>-913151</v>
      </c>
      <c r="BL290" s="239">
        <v>-730520</v>
      </c>
      <c r="BM290" s="239">
        <v>-164367</v>
      </c>
      <c r="BN290" s="239">
        <v>-18263</v>
      </c>
      <c r="BO290" s="239">
        <v>-1826301</v>
      </c>
      <c r="BP290" s="239">
        <v>-881094</v>
      </c>
      <c r="BQ290" s="239">
        <v>-704873</v>
      </c>
      <c r="BR290" s="239">
        <v>-158597</v>
      </c>
      <c r="BS290" s="239">
        <v>-17622</v>
      </c>
      <c r="BT290" s="239">
        <v>-1762186</v>
      </c>
      <c r="BU290" s="239">
        <v>-443001</v>
      </c>
      <c r="BV290" s="239">
        <v>-354400</v>
      </c>
      <c r="BW290" s="239">
        <v>-79740</v>
      </c>
      <c r="BX290" s="239">
        <v>-8860</v>
      </c>
      <c r="BY290" s="239">
        <v>-886001</v>
      </c>
      <c r="BZ290" s="239">
        <v>-375338</v>
      </c>
      <c r="CA290" s="239">
        <v>-300271</v>
      </c>
      <c r="CB290" s="239">
        <v>-67561</v>
      </c>
      <c r="CC290" s="239">
        <v>-7507</v>
      </c>
      <c r="CD290" s="239">
        <v>-750677</v>
      </c>
      <c r="CE290" s="239">
        <v>-67663</v>
      </c>
      <c r="CF290" s="239">
        <v>-54129</v>
      </c>
      <c r="CG290" s="239">
        <v>-12179</v>
      </c>
      <c r="CH290" s="239">
        <v>-1353</v>
      </c>
      <c r="CI290" s="239">
        <v>-135324</v>
      </c>
      <c r="CJ290" s="239">
        <v>5480826</v>
      </c>
      <c r="CK290" s="239">
        <v>4384661</v>
      </c>
      <c r="CL290" s="239">
        <v>986549</v>
      </c>
      <c r="CM290" s="239">
        <v>109617</v>
      </c>
      <c r="CN290" s="239">
        <v>10961653</v>
      </c>
      <c r="CO290" s="239">
        <v>4374725</v>
      </c>
      <c r="CP290" s="239">
        <v>3499779</v>
      </c>
      <c r="CQ290" s="239">
        <v>787450</v>
      </c>
      <c r="CR290" s="239">
        <v>87494</v>
      </c>
      <c r="CS290" s="239">
        <v>8749448</v>
      </c>
      <c r="CT290" s="239">
        <v>-1106101</v>
      </c>
      <c r="CU290" s="239">
        <v>-884882</v>
      </c>
      <c r="CV290" s="239">
        <v>-199099</v>
      </c>
      <c r="CW290" s="239">
        <v>-22123</v>
      </c>
      <c r="CX290" s="239">
        <v>-2212205</v>
      </c>
      <c r="CY290" s="239">
        <v>-1173764</v>
      </c>
      <c r="CZ290" s="239">
        <v>-939011</v>
      </c>
      <c r="DA290" s="239">
        <v>-211278</v>
      </c>
      <c r="DB290" s="239">
        <v>-23476</v>
      </c>
      <c r="DC290" s="239">
        <v>-2347529</v>
      </c>
      <c r="DD290" s="214">
        <v>0.5</v>
      </c>
      <c r="DE290" s="214">
        <v>0.4</v>
      </c>
      <c r="DF290" s="214">
        <v>0.09</v>
      </c>
      <c r="DG290" s="214">
        <v>0.01</v>
      </c>
      <c r="DH290" s="214">
        <v>1</v>
      </c>
      <c r="DI290" s="214" t="s">
        <v>1294</v>
      </c>
    </row>
    <row r="291" spans="2:113" s="214" customFormat="1" x14ac:dyDescent="0.2">
      <c r="B291" s="610" t="s">
        <v>665</v>
      </c>
      <c r="C291" s="610" t="s">
        <v>664</v>
      </c>
      <c r="D291" s="239">
        <v>187488533</v>
      </c>
      <c r="E291" s="239">
        <v>112493120</v>
      </c>
      <c r="F291" s="239">
        <v>74995413</v>
      </c>
      <c r="G291" s="239">
        <v>0</v>
      </c>
      <c r="H291" s="239">
        <v>374977066</v>
      </c>
      <c r="I291" s="239">
        <v>0</v>
      </c>
      <c r="J291" s="239">
        <v>0</v>
      </c>
      <c r="K291" s="239">
        <v>187488533</v>
      </c>
      <c r="L291" s="239">
        <v>965370</v>
      </c>
      <c r="M291" s="239">
        <v>965370</v>
      </c>
      <c r="N291" s="239">
        <v>0</v>
      </c>
      <c r="O291" s="239">
        <v>0</v>
      </c>
      <c r="P291" s="239">
        <v>0</v>
      </c>
      <c r="Q291" s="239">
        <v>0</v>
      </c>
      <c r="R291" s="239">
        <v>0</v>
      </c>
      <c r="S291" s="239">
        <v>0</v>
      </c>
      <c r="T291" s="239">
        <v>0</v>
      </c>
      <c r="U291" s="239">
        <v>0</v>
      </c>
      <c r="V291" s="239">
        <v>0</v>
      </c>
      <c r="W291" s="239">
        <v>7293645</v>
      </c>
      <c r="X291" s="239">
        <v>4376187</v>
      </c>
      <c r="Y291" s="239">
        <v>2917458</v>
      </c>
      <c r="Z291" s="239">
        <v>0</v>
      </c>
      <c r="AA291" s="239">
        <v>14587290</v>
      </c>
      <c r="AB291" s="239">
        <v>-9821768</v>
      </c>
      <c r="AC291" s="239">
        <v>-5893061</v>
      </c>
      <c r="AD291" s="239">
        <v>-3928707</v>
      </c>
      <c r="AE291" s="239">
        <v>0</v>
      </c>
      <c r="AF291" s="239">
        <v>-19643536</v>
      </c>
      <c r="AG291" s="239">
        <v>-2593037</v>
      </c>
      <c r="AH291" s="239">
        <v>-1555823</v>
      </c>
      <c r="AI291" s="239">
        <v>-1037214</v>
      </c>
      <c r="AJ291" s="239">
        <v>0</v>
      </c>
      <c r="AK291" s="239">
        <v>-5186074</v>
      </c>
      <c r="AL291" s="239">
        <v>936865</v>
      </c>
      <c r="AM291" s="239">
        <v>562119</v>
      </c>
      <c r="AN291" s="239">
        <v>374746</v>
      </c>
      <c r="AO291" s="239">
        <v>0</v>
      </c>
      <c r="AP291" s="239">
        <v>1873730</v>
      </c>
      <c r="AQ291" s="239">
        <v>-1031544</v>
      </c>
      <c r="AR291" s="239">
        <v>-618927</v>
      </c>
      <c r="AS291" s="239">
        <v>-412618</v>
      </c>
      <c r="AT291" s="239">
        <v>0</v>
      </c>
      <c r="AU291" s="239">
        <v>-2063089</v>
      </c>
      <c r="AV291" s="239">
        <v>-2687716</v>
      </c>
      <c r="AW291" s="239">
        <v>-1612631</v>
      </c>
      <c r="AX291" s="239">
        <v>-1075086</v>
      </c>
      <c r="AY291" s="239">
        <v>0</v>
      </c>
      <c r="AZ291" s="239">
        <v>-5375433</v>
      </c>
      <c r="BA291" s="239">
        <v>-5017266</v>
      </c>
      <c r="BB291" s="239">
        <v>-3010359</v>
      </c>
      <c r="BC291" s="239">
        <v>-2006906</v>
      </c>
      <c r="BD291" s="239">
        <v>0</v>
      </c>
      <c r="BE291" s="239">
        <v>-10034531</v>
      </c>
      <c r="BF291" s="239">
        <v>4044656</v>
      </c>
      <c r="BG291" s="239">
        <v>2426793</v>
      </c>
      <c r="BH291" s="239">
        <v>1617862</v>
      </c>
      <c r="BI291" s="239">
        <v>0</v>
      </c>
      <c r="BJ291" s="239">
        <v>8089311</v>
      </c>
      <c r="BK291" s="239">
        <v>0</v>
      </c>
      <c r="BL291" s="239">
        <v>0</v>
      </c>
      <c r="BM291" s="239">
        <v>0</v>
      </c>
      <c r="BN291" s="239">
        <v>0</v>
      </c>
      <c r="BO291" s="239">
        <v>0</v>
      </c>
      <c r="BP291" s="239">
        <v>-972610</v>
      </c>
      <c r="BQ291" s="239">
        <v>-583566</v>
      </c>
      <c r="BR291" s="239">
        <v>-389044</v>
      </c>
      <c r="BS291" s="239">
        <v>0</v>
      </c>
      <c r="BT291" s="239">
        <v>-1945220</v>
      </c>
      <c r="BU291" s="239">
        <v>6519511</v>
      </c>
      <c r="BV291" s="239">
        <v>3911707</v>
      </c>
      <c r="BW291" s="239">
        <v>2607804</v>
      </c>
      <c r="BX291" s="239">
        <v>0</v>
      </c>
      <c r="BY291" s="239">
        <v>13039022</v>
      </c>
      <c r="BZ291" s="239">
        <v>8045321</v>
      </c>
      <c r="CA291" s="239">
        <v>4827192</v>
      </c>
      <c r="CB291" s="239">
        <v>3218128</v>
      </c>
      <c r="CC291" s="239">
        <v>0</v>
      </c>
      <c r="CD291" s="239">
        <v>16090641</v>
      </c>
      <c r="CE291" s="239">
        <v>-1525810</v>
      </c>
      <c r="CF291" s="239">
        <v>-915485</v>
      </c>
      <c r="CG291" s="239">
        <v>-610324</v>
      </c>
      <c r="CH291" s="239">
        <v>0</v>
      </c>
      <c r="CI291" s="239">
        <v>-3051619</v>
      </c>
      <c r="CJ291" s="239">
        <v>191230249</v>
      </c>
      <c r="CK291" s="239">
        <v>114738149</v>
      </c>
      <c r="CL291" s="239">
        <v>76492100</v>
      </c>
      <c r="CM291" s="239">
        <v>0</v>
      </c>
      <c r="CN291" s="239">
        <v>382460498</v>
      </c>
      <c r="CO291" s="239">
        <v>187488533</v>
      </c>
      <c r="CP291" s="239">
        <v>112493120</v>
      </c>
      <c r="CQ291" s="239">
        <v>74995413</v>
      </c>
      <c r="CR291" s="239">
        <v>0</v>
      </c>
      <c r="CS291" s="239">
        <v>374977066</v>
      </c>
      <c r="CT291" s="239">
        <v>-3741716</v>
      </c>
      <c r="CU291" s="239">
        <v>-2245029</v>
      </c>
      <c r="CV291" s="239">
        <v>-1496687</v>
      </c>
      <c r="CW291" s="239">
        <v>0</v>
      </c>
      <c r="CX291" s="239">
        <v>-7483432</v>
      </c>
      <c r="CY291" s="239">
        <v>-5267526</v>
      </c>
      <c r="CZ291" s="239">
        <v>-3160514</v>
      </c>
      <c r="DA291" s="239">
        <v>-2107011</v>
      </c>
      <c r="DB291" s="239">
        <v>0</v>
      </c>
      <c r="DC291" s="239">
        <v>-10535051</v>
      </c>
      <c r="DD291" s="214">
        <v>0.5</v>
      </c>
      <c r="DE291" s="214">
        <v>0.3</v>
      </c>
      <c r="DF291" s="214">
        <v>0.2</v>
      </c>
      <c r="DG291" s="214">
        <v>0</v>
      </c>
      <c r="DH291" s="214">
        <v>1</v>
      </c>
      <c r="DI291" s="214" t="s">
        <v>1297</v>
      </c>
    </row>
    <row r="292" spans="2:113" s="214" customFormat="1" x14ac:dyDescent="0.2">
      <c r="B292" s="610" t="s">
        <v>667</v>
      </c>
      <c r="C292" s="610" t="s">
        <v>666</v>
      </c>
      <c r="D292" s="239">
        <v>81384388</v>
      </c>
      <c r="E292" s="239">
        <v>79756701</v>
      </c>
      <c r="F292" s="239">
        <v>0</v>
      </c>
      <c r="G292" s="239">
        <v>1627688</v>
      </c>
      <c r="H292" s="239">
        <v>162768777</v>
      </c>
      <c r="I292" s="239">
        <v>0</v>
      </c>
      <c r="J292" s="239">
        <v>0</v>
      </c>
      <c r="K292" s="239">
        <v>81384388</v>
      </c>
      <c r="L292" s="239">
        <v>462189</v>
      </c>
      <c r="M292" s="239">
        <v>462189</v>
      </c>
      <c r="N292" s="239">
        <v>0</v>
      </c>
      <c r="O292" s="239">
        <v>0</v>
      </c>
      <c r="P292" s="239">
        <v>76908</v>
      </c>
      <c r="Q292" s="239">
        <v>0</v>
      </c>
      <c r="R292" s="239">
        <v>76908</v>
      </c>
      <c r="S292" s="239">
        <v>0</v>
      </c>
      <c r="T292" s="239">
        <v>0</v>
      </c>
      <c r="U292" s="239">
        <v>0</v>
      </c>
      <c r="V292" s="239">
        <v>0</v>
      </c>
      <c r="W292" s="239">
        <v>5705565</v>
      </c>
      <c r="X292" s="239">
        <v>5591454</v>
      </c>
      <c r="Y292" s="239">
        <v>0</v>
      </c>
      <c r="Z292" s="239">
        <v>114111</v>
      </c>
      <c r="AA292" s="239">
        <v>11411130</v>
      </c>
      <c r="AB292" s="239">
        <v>-2802542</v>
      </c>
      <c r="AC292" s="239">
        <v>-2746491</v>
      </c>
      <c r="AD292" s="239">
        <v>0</v>
      </c>
      <c r="AE292" s="239">
        <v>-56051</v>
      </c>
      <c r="AF292" s="239">
        <v>-5605084</v>
      </c>
      <c r="AG292" s="239">
        <v>-3788438.4</v>
      </c>
      <c r="AH292" s="239">
        <v>-3712669</v>
      </c>
      <c r="AI292" s="239">
        <v>0</v>
      </c>
      <c r="AJ292" s="239">
        <v>-75770</v>
      </c>
      <c r="AK292" s="239">
        <v>-7576877.4000000004</v>
      </c>
      <c r="AL292" s="239">
        <v>276368</v>
      </c>
      <c r="AM292" s="239">
        <v>270840</v>
      </c>
      <c r="AN292" s="239">
        <v>0</v>
      </c>
      <c r="AO292" s="239">
        <v>5527</v>
      </c>
      <c r="AP292" s="239">
        <v>552735</v>
      </c>
      <c r="AQ292" s="239">
        <v>-381554</v>
      </c>
      <c r="AR292" s="239">
        <v>-373923</v>
      </c>
      <c r="AS292" s="239">
        <v>0</v>
      </c>
      <c r="AT292" s="239">
        <v>-7631</v>
      </c>
      <c r="AU292" s="239">
        <v>-763108</v>
      </c>
      <c r="AV292" s="239">
        <v>-3893624.4</v>
      </c>
      <c r="AW292" s="239">
        <v>-3815752</v>
      </c>
      <c r="AX292" s="239">
        <v>0</v>
      </c>
      <c r="AY292" s="239">
        <v>-77874</v>
      </c>
      <c r="AZ292" s="239">
        <v>-7787250.4000000004</v>
      </c>
      <c r="BA292" s="239">
        <v>-14286694</v>
      </c>
      <c r="BB292" s="239">
        <v>-14000960</v>
      </c>
      <c r="BC292" s="239">
        <v>0</v>
      </c>
      <c r="BD292" s="239">
        <v>-285734</v>
      </c>
      <c r="BE292" s="239">
        <v>-28573388</v>
      </c>
      <c r="BF292" s="239">
        <v>2320434</v>
      </c>
      <c r="BG292" s="239">
        <v>2274026</v>
      </c>
      <c r="BH292" s="239">
        <v>0</v>
      </c>
      <c r="BI292" s="239">
        <v>46409</v>
      </c>
      <c r="BJ292" s="239">
        <v>4640869</v>
      </c>
      <c r="BK292" s="239">
        <v>-2290601</v>
      </c>
      <c r="BL292" s="239">
        <v>-2244789</v>
      </c>
      <c r="BM292" s="239">
        <v>0</v>
      </c>
      <c r="BN292" s="239">
        <v>-45812</v>
      </c>
      <c r="BO292" s="239">
        <v>-4581202</v>
      </c>
      <c r="BP292" s="239">
        <v>-14256861</v>
      </c>
      <c r="BQ292" s="239">
        <v>-13971723</v>
      </c>
      <c r="BR292" s="239">
        <v>0</v>
      </c>
      <c r="BS292" s="239">
        <v>-285137</v>
      </c>
      <c r="BT292" s="239">
        <v>-28513721</v>
      </c>
      <c r="BU292" s="239">
        <v>-6066451</v>
      </c>
      <c r="BV292" s="239">
        <v>-5945122</v>
      </c>
      <c r="BW292" s="239">
        <v>0</v>
      </c>
      <c r="BX292" s="239">
        <v>-121329</v>
      </c>
      <c r="BY292" s="239">
        <v>-12132902</v>
      </c>
      <c r="BZ292" s="239">
        <v>-6083229</v>
      </c>
      <c r="CA292" s="239">
        <v>-5961565</v>
      </c>
      <c r="CB292" s="239">
        <v>0</v>
      </c>
      <c r="CC292" s="239">
        <v>-121665</v>
      </c>
      <c r="CD292" s="239">
        <v>-12166459</v>
      </c>
      <c r="CE292" s="239">
        <v>16778</v>
      </c>
      <c r="CF292" s="239">
        <v>16443</v>
      </c>
      <c r="CG292" s="239">
        <v>0</v>
      </c>
      <c r="CH292" s="239">
        <v>336</v>
      </c>
      <c r="CI292" s="239">
        <v>33557</v>
      </c>
      <c r="CJ292" s="239">
        <v>80618884</v>
      </c>
      <c r="CK292" s="239">
        <v>79006506</v>
      </c>
      <c r="CL292" s="239">
        <v>0</v>
      </c>
      <c r="CM292" s="239">
        <v>1612378</v>
      </c>
      <c r="CN292" s="239">
        <v>161237768</v>
      </c>
      <c r="CO292" s="239">
        <v>81384388</v>
      </c>
      <c r="CP292" s="239">
        <v>79756701</v>
      </c>
      <c r="CQ292" s="239">
        <v>0</v>
      </c>
      <c r="CR292" s="239">
        <v>1627688</v>
      </c>
      <c r="CS292" s="239">
        <v>162768777</v>
      </c>
      <c r="CT292" s="239">
        <v>765504</v>
      </c>
      <c r="CU292" s="239">
        <v>750195</v>
      </c>
      <c r="CV292" s="239">
        <v>0</v>
      </c>
      <c r="CW292" s="239">
        <v>15310</v>
      </c>
      <c r="CX292" s="239">
        <v>1531009</v>
      </c>
      <c r="CY292" s="239">
        <v>782282</v>
      </c>
      <c r="CZ292" s="239">
        <v>766638</v>
      </c>
      <c r="DA292" s="239">
        <v>0</v>
      </c>
      <c r="DB292" s="239">
        <v>15646</v>
      </c>
      <c r="DC292" s="239">
        <v>1564566</v>
      </c>
      <c r="DD292" s="214">
        <v>0.5</v>
      </c>
      <c r="DE292" s="214">
        <v>0.49</v>
      </c>
      <c r="DF292" s="214">
        <v>0</v>
      </c>
      <c r="DG292" s="214">
        <v>0.01</v>
      </c>
      <c r="DH292" s="214">
        <v>1</v>
      </c>
      <c r="DI292" s="214" t="s">
        <v>1296</v>
      </c>
    </row>
    <row r="293" spans="2:113" s="214" customFormat="1" x14ac:dyDescent="0.2">
      <c r="B293" s="610" t="s">
        <v>669</v>
      </c>
      <c r="C293" s="610" t="s">
        <v>668</v>
      </c>
      <c r="D293" s="239">
        <v>24958141</v>
      </c>
      <c r="E293" s="239">
        <v>19966513</v>
      </c>
      <c r="F293" s="239">
        <v>4492465</v>
      </c>
      <c r="G293" s="239">
        <v>499163</v>
      </c>
      <c r="H293" s="239">
        <v>49916282</v>
      </c>
      <c r="I293" s="239">
        <v>0</v>
      </c>
      <c r="J293" s="239">
        <v>0</v>
      </c>
      <c r="K293" s="239">
        <v>24958141</v>
      </c>
      <c r="L293" s="239">
        <v>177239</v>
      </c>
      <c r="M293" s="239">
        <v>177239</v>
      </c>
      <c r="N293" s="239">
        <v>0</v>
      </c>
      <c r="O293" s="239">
        <v>0</v>
      </c>
      <c r="P293" s="239">
        <v>0</v>
      </c>
      <c r="Q293" s="239">
        <v>0</v>
      </c>
      <c r="R293" s="239">
        <v>0</v>
      </c>
      <c r="S293" s="239">
        <v>0</v>
      </c>
      <c r="T293" s="239">
        <v>0</v>
      </c>
      <c r="U293" s="239">
        <v>0</v>
      </c>
      <c r="V293" s="239">
        <v>0</v>
      </c>
      <c r="W293" s="239">
        <v>898566</v>
      </c>
      <c r="X293" s="239">
        <v>718852</v>
      </c>
      <c r="Y293" s="239">
        <v>161742</v>
      </c>
      <c r="Z293" s="239">
        <v>17971</v>
      </c>
      <c r="AA293" s="239">
        <v>1797131</v>
      </c>
      <c r="AB293" s="239">
        <v>-222147</v>
      </c>
      <c r="AC293" s="239">
        <v>-177718</v>
      </c>
      <c r="AD293" s="239">
        <v>-39986</v>
      </c>
      <c r="AE293" s="239">
        <v>-4443</v>
      </c>
      <c r="AF293" s="239">
        <v>-444294</v>
      </c>
      <c r="AG293" s="239">
        <v>-901334</v>
      </c>
      <c r="AH293" s="239">
        <v>-721069</v>
      </c>
      <c r="AI293" s="239">
        <v>-162241</v>
      </c>
      <c r="AJ293" s="239">
        <v>-18026</v>
      </c>
      <c r="AK293" s="239">
        <v>-1802670</v>
      </c>
      <c r="AL293" s="239">
        <v>0</v>
      </c>
      <c r="AM293" s="239">
        <v>0</v>
      </c>
      <c r="AN293" s="239">
        <v>0</v>
      </c>
      <c r="AO293" s="239">
        <v>0</v>
      </c>
      <c r="AP293" s="239">
        <v>0</v>
      </c>
      <c r="AQ293" s="239">
        <v>105820</v>
      </c>
      <c r="AR293" s="239">
        <v>84656</v>
      </c>
      <c r="AS293" s="239">
        <v>19048</v>
      </c>
      <c r="AT293" s="239">
        <v>2116</v>
      </c>
      <c r="AU293" s="239">
        <v>211640</v>
      </c>
      <c r="AV293" s="239">
        <v>-795514</v>
      </c>
      <c r="AW293" s="239">
        <v>-636413</v>
      </c>
      <c r="AX293" s="239">
        <v>-143193</v>
      </c>
      <c r="AY293" s="239">
        <v>-15910</v>
      </c>
      <c r="AZ293" s="239">
        <v>-1591030</v>
      </c>
      <c r="BA293" s="239">
        <v>-1513387</v>
      </c>
      <c r="BB293" s="239">
        <v>-1210709</v>
      </c>
      <c r="BC293" s="239">
        <v>-272409</v>
      </c>
      <c r="BD293" s="239">
        <v>-30267</v>
      </c>
      <c r="BE293" s="239">
        <v>-3026772</v>
      </c>
      <c r="BF293" s="239">
        <v>0</v>
      </c>
      <c r="BG293" s="239">
        <v>0</v>
      </c>
      <c r="BH293" s="239">
        <v>0</v>
      </c>
      <c r="BI293" s="239">
        <v>0</v>
      </c>
      <c r="BJ293" s="239">
        <v>0</v>
      </c>
      <c r="BK293" s="239">
        <v>-1301609</v>
      </c>
      <c r="BL293" s="239">
        <v>-1041287</v>
      </c>
      <c r="BM293" s="239">
        <v>-234290</v>
      </c>
      <c r="BN293" s="239">
        <v>-26032</v>
      </c>
      <c r="BO293" s="239">
        <v>-2603218</v>
      </c>
      <c r="BP293" s="239">
        <v>-2814996</v>
      </c>
      <c r="BQ293" s="239">
        <v>-2251996</v>
      </c>
      <c r="BR293" s="239">
        <v>-506699</v>
      </c>
      <c r="BS293" s="239">
        <v>-56299</v>
      </c>
      <c r="BT293" s="239">
        <v>-5629990</v>
      </c>
      <c r="BU293" s="239">
        <v>-475000</v>
      </c>
      <c r="BV293" s="239">
        <v>-380000</v>
      </c>
      <c r="BW293" s="239">
        <v>-85500</v>
      </c>
      <c r="BX293" s="239">
        <v>-9500</v>
      </c>
      <c r="BY293" s="239">
        <v>-950000</v>
      </c>
      <c r="BZ293" s="239">
        <v>-1240925</v>
      </c>
      <c r="CA293" s="239">
        <v>-992740</v>
      </c>
      <c r="CB293" s="239">
        <v>-223367</v>
      </c>
      <c r="CC293" s="239">
        <v>-24819</v>
      </c>
      <c r="CD293" s="239">
        <v>-2481851</v>
      </c>
      <c r="CE293" s="239">
        <v>765925</v>
      </c>
      <c r="CF293" s="239">
        <v>612740</v>
      </c>
      <c r="CG293" s="239">
        <v>137867</v>
      </c>
      <c r="CH293" s="239">
        <v>15319</v>
      </c>
      <c r="CI293" s="239">
        <v>1531851</v>
      </c>
      <c r="CJ293" s="239">
        <v>25490805</v>
      </c>
      <c r="CK293" s="239">
        <v>20392644</v>
      </c>
      <c r="CL293" s="239">
        <v>4588345</v>
      </c>
      <c r="CM293" s="239">
        <v>509816</v>
      </c>
      <c r="CN293" s="239">
        <v>50981610</v>
      </c>
      <c r="CO293" s="239">
        <v>24958141</v>
      </c>
      <c r="CP293" s="239">
        <v>19966513</v>
      </c>
      <c r="CQ293" s="239">
        <v>4492465</v>
      </c>
      <c r="CR293" s="239">
        <v>499163</v>
      </c>
      <c r="CS293" s="239">
        <v>49916282</v>
      </c>
      <c r="CT293" s="239">
        <v>-532664</v>
      </c>
      <c r="CU293" s="239">
        <v>-426131</v>
      </c>
      <c r="CV293" s="239">
        <v>-95880</v>
      </c>
      <c r="CW293" s="239">
        <v>-10653</v>
      </c>
      <c r="CX293" s="239">
        <v>-1065328</v>
      </c>
      <c r="CY293" s="239">
        <v>233261</v>
      </c>
      <c r="CZ293" s="239">
        <v>186609</v>
      </c>
      <c r="DA293" s="239">
        <v>41987</v>
      </c>
      <c r="DB293" s="239">
        <v>4666</v>
      </c>
      <c r="DC293" s="239">
        <v>466523</v>
      </c>
      <c r="DD293" s="214">
        <v>0.5</v>
      </c>
      <c r="DE293" s="214">
        <v>0.4</v>
      </c>
      <c r="DF293" s="214">
        <v>0.09</v>
      </c>
      <c r="DG293" s="214">
        <v>0.01</v>
      </c>
      <c r="DH293" s="214">
        <v>1</v>
      </c>
      <c r="DI293" s="214" t="s">
        <v>1294</v>
      </c>
    </row>
    <row r="294" spans="2:113" s="214" customFormat="1" x14ac:dyDescent="0.2">
      <c r="B294" s="610" t="s">
        <v>671</v>
      </c>
      <c r="C294" s="610" t="s">
        <v>670</v>
      </c>
      <c r="D294" s="239">
        <v>21008343</v>
      </c>
      <c r="E294" s="239">
        <v>16806675</v>
      </c>
      <c r="F294" s="239">
        <v>3781502</v>
      </c>
      <c r="G294" s="239">
        <v>420167</v>
      </c>
      <c r="H294" s="239">
        <v>42016687</v>
      </c>
      <c r="I294" s="239">
        <v>0</v>
      </c>
      <c r="J294" s="239">
        <v>0</v>
      </c>
      <c r="K294" s="239">
        <v>21008343</v>
      </c>
      <c r="L294" s="239">
        <v>137952</v>
      </c>
      <c r="M294" s="239">
        <v>137952</v>
      </c>
      <c r="N294" s="239">
        <v>0</v>
      </c>
      <c r="O294" s="239">
        <v>0</v>
      </c>
      <c r="P294" s="239">
        <v>198369</v>
      </c>
      <c r="Q294" s="239">
        <v>0</v>
      </c>
      <c r="R294" s="239">
        <v>198369</v>
      </c>
      <c r="S294" s="239">
        <v>0</v>
      </c>
      <c r="T294" s="239">
        <v>0</v>
      </c>
      <c r="U294" s="239">
        <v>0</v>
      </c>
      <c r="V294" s="239">
        <v>0</v>
      </c>
      <c r="W294" s="239">
        <v>1136545</v>
      </c>
      <c r="X294" s="239">
        <v>909236</v>
      </c>
      <c r="Y294" s="239">
        <v>204578</v>
      </c>
      <c r="Z294" s="239">
        <v>22731</v>
      </c>
      <c r="AA294" s="239">
        <v>2273090</v>
      </c>
      <c r="AB294" s="239">
        <v>-218081</v>
      </c>
      <c r="AC294" s="239">
        <v>-174464</v>
      </c>
      <c r="AD294" s="239">
        <v>-39254</v>
      </c>
      <c r="AE294" s="239">
        <v>-4362</v>
      </c>
      <c r="AF294" s="239">
        <v>-436161</v>
      </c>
      <c r="AG294" s="239">
        <v>-216064</v>
      </c>
      <c r="AH294" s="239">
        <v>-172851</v>
      </c>
      <c r="AI294" s="239">
        <v>-38891</v>
      </c>
      <c r="AJ294" s="239">
        <v>-4322</v>
      </c>
      <c r="AK294" s="239">
        <v>-432128</v>
      </c>
      <c r="AL294" s="239">
        <v>8732</v>
      </c>
      <c r="AM294" s="239">
        <v>6986</v>
      </c>
      <c r="AN294" s="239">
        <v>1572</v>
      </c>
      <c r="AO294" s="239">
        <v>175</v>
      </c>
      <c r="AP294" s="239">
        <v>17465</v>
      </c>
      <c r="AQ294" s="239">
        <v>-73945</v>
      </c>
      <c r="AR294" s="239">
        <v>-59156</v>
      </c>
      <c r="AS294" s="239">
        <v>-13310</v>
      </c>
      <c r="AT294" s="239">
        <v>-1479</v>
      </c>
      <c r="AU294" s="239">
        <v>-147890</v>
      </c>
      <c r="AV294" s="239">
        <v>-281277</v>
      </c>
      <c r="AW294" s="239">
        <v>-225021</v>
      </c>
      <c r="AX294" s="239">
        <v>-50629</v>
      </c>
      <c r="AY294" s="239">
        <v>-5626</v>
      </c>
      <c r="AZ294" s="239">
        <v>-562553</v>
      </c>
      <c r="BA294" s="239">
        <v>-4604389</v>
      </c>
      <c r="BB294" s="239">
        <v>-3683512</v>
      </c>
      <c r="BC294" s="239">
        <v>-828791</v>
      </c>
      <c r="BD294" s="239">
        <v>-92088</v>
      </c>
      <c r="BE294" s="239">
        <v>-9208780</v>
      </c>
      <c r="BF294" s="239">
        <v>349736</v>
      </c>
      <c r="BG294" s="239">
        <v>279790</v>
      </c>
      <c r="BH294" s="239">
        <v>62953</v>
      </c>
      <c r="BI294" s="239">
        <v>6995</v>
      </c>
      <c r="BJ294" s="239">
        <v>699474</v>
      </c>
      <c r="BK294" s="239">
        <v>-986270</v>
      </c>
      <c r="BL294" s="239">
        <v>-789016</v>
      </c>
      <c r="BM294" s="239">
        <v>-177529</v>
      </c>
      <c r="BN294" s="239">
        <v>-19725</v>
      </c>
      <c r="BO294" s="239">
        <v>-1972540</v>
      </c>
      <c r="BP294" s="239">
        <v>-5240923</v>
      </c>
      <c r="BQ294" s="239">
        <v>-4192738</v>
      </c>
      <c r="BR294" s="239">
        <v>-943367</v>
      </c>
      <c r="BS294" s="239">
        <v>-104818</v>
      </c>
      <c r="BT294" s="239">
        <v>-10481846</v>
      </c>
      <c r="BU294" s="239">
        <v>-2580489</v>
      </c>
      <c r="BV294" s="239">
        <v>-2064392</v>
      </c>
      <c r="BW294" s="239">
        <v>-464488</v>
      </c>
      <c r="BX294" s="239">
        <v>-51610</v>
      </c>
      <c r="BY294" s="239">
        <v>-5160979</v>
      </c>
      <c r="BZ294" s="239">
        <v>-2922557</v>
      </c>
      <c r="CA294" s="239">
        <v>-2338045</v>
      </c>
      <c r="CB294" s="239">
        <v>-526060</v>
      </c>
      <c r="CC294" s="239">
        <v>-58451</v>
      </c>
      <c r="CD294" s="239">
        <v>-5845113</v>
      </c>
      <c r="CE294" s="239">
        <v>342068</v>
      </c>
      <c r="CF294" s="239">
        <v>273653</v>
      </c>
      <c r="CG294" s="239">
        <v>61572</v>
      </c>
      <c r="CH294" s="239">
        <v>6841</v>
      </c>
      <c r="CI294" s="239">
        <v>684134</v>
      </c>
      <c r="CJ294" s="239">
        <v>20596740</v>
      </c>
      <c r="CK294" s="239">
        <v>16477392</v>
      </c>
      <c r="CL294" s="239">
        <v>3707413</v>
      </c>
      <c r="CM294" s="239">
        <v>411935</v>
      </c>
      <c r="CN294" s="239">
        <v>41193480</v>
      </c>
      <c r="CO294" s="239">
        <v>21008343</v>
      </c>
      <c r="CP294" s="239">
        <v>16806675</v>
      </c>
      <c r="CQ294" s="239">
        <v>3781502</v>
      </c>
      <c r="CR294" s="239">
        <v>420167</v>
      </c>
      <c r="CS294" s="239">
        <v>42016687</v>
      </c>
      <c r="CT294" s="239">
        <v>411603</v>
      </c>
      <c r="CU294" s="239">
        <v>329283</v>
      </c>
      <c r="CV294" s="239">
        <v>74089</v>
      </c>
      <c r="CW294" s="239">
        <v>8232</v>
      </c>
      <c r="CX294" s="239">
        <v>823207</v>
      </c>
      <c r="CY294" s="239">
        <v>753671</v>
      </c>
      <c r="CZ294" s="239">
        <v>602936</v>
      </c>
      <c r="DA294" s="239">
        <v>135661</v>
      </c>
      <c r="DB294" s="239">
        <v>15073</v>
      </c>
      <c r="DC294" s="239">
        <v>1507341</v>
      </c>
      <c r="DD294" s="214">
        <v>0.5</v>
      </c>
      <c r="DE294" s="214">
        <v>0.4</v>
      </c>
      <c r="DF294" s="214">
        <v>0.09</v>
      </c>
      <c r="DG294" s="214">
        <v>0.01</v>
      </c>
      <c r="DH294" s="214">
        <v>1</v>
      </c>
      <c r="DI294" s="214" t="s">
        <v>1294</v>
      </c>
    </row>
    <row r="295" spans="2:113" s="214" customFormat="1" x14ac:dyDescent="0.2">
      <c r="B295" s="610" t="s">
        <v>673</v>
      </c>
      <c r="C295" s="610" t="s">
        <v>672</v>
      </c>
      <c r="D295" s="239">
        <v>25556677</v>
      </c>
      <c r="E295" s="239">
        <v>20445342</v>
      </c>
      <c r="F295" s="239">
        <v>5111335</v>
      </c>
      <c r="G295" s="239">
        <v>0</v>
      </c>
      <c r="H295" s="239">
        <v>51113354</v>
      </c>
      <c r="I295" s="239">
        <v>537045.33750000002</v>
      </c>
      <c r="J295" s="239">
        <v>537045.33750000002</v>
      </c>
      <c r="K295" s="239">
        <v>25019631.662500001</v>
      </c>
      <c r="L295" s="239">
        <v>184722</v>
      </c>
      <c r="M295" s="239">
        <v>184722</v>
      </c>
      <c r="N295" s="239">
        <v>306242</v>
      </c>
      <c r="O295" s="239">
        <v>306242</v>
      </c>
      <c r="P295" s="239">
        <v>241262</v>
      </c>
      <c r="Q295" s="239">
        <v>0</v>
      </c>
      <c r="R295" s="239">
        <v>241262</v>
      </c>
      <c r="S295" s="239">
        <v>537045.33750000002</v>
      </c>
      <c r="T295" s="239">
        <v>0</v>
      </c>
      <c r="U295" s="239">
        <v>0</v>
      </c>
      <c r="V295" s="239">
        <v>537045.33750000002</v>
      </c>
      <c r="W295" s="239">
        <v>881372</v>
      </c>
      <c r="X295" s="239">
        <v>705098</v>
      </c>
      <c r="Y295" s="239">
        <v>176274</v>
      </c>
      <c r="Z295" s="239">
        <v>0</v>
      </c>
      <c r="AA295" s="239">
        <v>1762744</v>
      </c>
      <c r="AB295" s="239">
        <v>-448342</v>
      </c>
      <c r="AC295" s="239">
        <v>-358673</v>
      </c>
      <c r="AD295" s="239">
        <v>-89668</v>
      </c>
      <c r="AE295" s="239">
        <v>0</v>
      </c>
      <c r="AF295" s="239">
        <v>-896683</v>
      </c>
      <c r="AG295" s="239">
        <v>-394040</v>
      </c>
      <c r="AH295" s="239">
        <v>-315232</v>
      </c>
      <c r="AI295" s="239">
        <v>-78808</v>
      </c>
      <c r="AJ295" s="239">
        <v>0</v>
      </c>
      <c r="AK295" s="239">
        <v>-788080</v>
      </c>
      <c r="AL295" s="239">
        <v>16457</v>
      </c>
      <c r="AM295" s="239">
        <v>13165</v>
      </c>
      <c r="AN295" s="239">
        <v>3291</v>
      </c>
      <c r="AO295" s="239">
        <v>0</v>
      </c>
      <c r="AP295" s="239">
        <v>32913</v>
      </c>
      <c r="AQ295" s="239">
        <v>-121112</v>
      </c>
      <c r="AR295" s="239">
        <v>-96889</v>
      </c>
      <c r="AS295" s="239">
        <v>-24222</v>
      </c>
      <c r="AT295" s="239">
        <v>0</v>
      </c>
      <c r="AU295" s="239">
        <v>-242223</v>
      </c>
      <c r="AV295" s="239">
        <v>-498695</v>
      </c>
      <c r="AW295" s="239">
        <v>-398956</v>
      </c>
      <c r="AX295" s="239">
        <v>-99739</v>
      </c>
      <c r="AY295" s="239">
        <v>0</v>
      </c>
      <c r="AZ295" s="239">
        <v>-997390</v>
      </c>
      <c r="BA295" s="239">
        <v>-1825489</v>
      </c>
      <c r="BB295" s="239">
        <v>-1460393</v>
      </c>
      <c r="BC295" s="239">
        <v>-365098</v>
      </c>
      <c r="BD295" s="239">
        <v>0</v>
      </c>
      <c r="BE295" s="239">
        <v>-3650980</v>
      </c>
      <c r="BF295" s="239">
        <v>3000353</v>
      </c>
      <c r="BG295" s="239">
        <v>2400283</v>
      </c>
      <c r="BH295" s="239">
        <v>600071</v>
      </c>
      <c r="BI295" s="239">
        <v>0</v>
      </c>
      <c r="BJ295" s="239">
        <v>6000707</v>
      </c>
      <c r="BK295" s="239">
        <v>-3344578</v>
      </c>
      <c r="BL295" s="239">
        <v>-2675663</v>
      </c>
      <c r="BM295" s="239">
        <v>-668916</v>
      </c>
      <c r="BN295" s="239">
        <v>0</v>
      </c>
      <c r="BO295" s="239">
        <v>-6689157</v>
      </c>
      <c r="BP295" s="239">
        <v>-2169714</v>
      </c>
      <c r="BQ295" s="239">
        <v>-1735773</v>
      </c>
      <c r="BR295" s="239">
        <v>-433943</v>
      </c>
      <c r="BS295" s="239">
        <v>0</v>
      </c>
      <c r="BT295" s="239">
        <v>-4339430</v>
      </c>
      <c r="BU295" s="239">
        <v>-3099360</v>
      </c>
      <c r="BV295" s="239">
        <v>-2479488</v>
      </c>
      <c r="BW295" s="239">
        <v>-619872</v>
      </c>
      <c r="BX295" s="239">
        <v>0</v>
      </c>
      <c r="BY295" s="239">
        <v>-6198720</v>
      </c>
      <c r="BZ295" s="239">
        <v>-3608802</v>
      </c>
      <c r="CA295" s="239">
        <v>-2887041</v>
      </c>
      <c r="CB295" s="239">
        <v>-721760</v>
      </c>
      <c r="CC295" s="239">
        <v>0</v>
      </c>
      <c r="CD295" s="239">
        <v>-7217603</v>
      </c>
      <c r="CE295" s="239">
        <v>509442</v>
      </c>
      <c r="CF295" s="239">
        <v>407553</v>
      </c>
      <c r="CG295" s="239">
        <v>101888</v>
      </c>
      <c r="CH295" s="239">
        <v>0</v>
      </c>
      <c r="CI295" s="239">
        <v>1018883</v>
      </c>
      <c r="CJ295" s="239">
        <v>28515302</v>
      </c>
      <c r="CK295" s="239">
        <v>22812242</v>
      </c>
      <c r="CL295" s="239">
        <v>5703060</v>
      </c>
      <c r="CM295" s="239">
        <v>0</v>
      </c>
      <c r="CN295" s="239">
        <v>57030604</v>
      </c>
      <c r="CO295" s="239">
        <v>25556677</v>
      </c>
      <c r="CP295" s="239">
        <v>20445342</v>
      </c>
      <c r="CQ295" s="239">
        <v>5111335</v>
      </c>
      <c r="CR295" s="239">
        <v>0</v>
      </c>
      <c r="CS295" s="239">
        <v>51113354</v>
      </c>
      <c r="CT295" s="239">
        <v>-2958625</v>
      </c>
      <c r="CU295" s="239">
        <v>-2366900</v>
      </c>
      <c r="CV295" s="239">
        <v>-591725</v>
      </c>
      <c r="CW295" s="239">
        <v>0</v>
      </c>
      <c r="CX295" s="239">
        <v>-5917250</v>
      </c>
      <c r="CY295" s="239">
        <v>-2449183</v>
      </c>
      <c r="CZ295" s="239">
        <v>-1959347</v>
      </c>
      <c r="DA295" s="239">
        <v>-489837</v>
      </c>
      <c r="DB295" s="239">
        <v>0</v>
      </c>
      <c r="DC295" s="239">
        <v>-4898367</v>
      </c>
      <c r="DD295" s="214">
        <v>0.5</v>
      </c>
      <c r="DE295" s="214">
        <v>0.4</v>
      </c>
      <c r="DF295" s="214">
        <v>0.1</v>
      </c>
      <c r="DG295" s="214">
        <v>0</v>
      </c>
      <c r="DH295" s="214">
        <v>1</v>
      </c>
      <c r="DI295" s="214" t="s">
        <v>1294</v>
      </c>
    </row>
    <row r="296" spans="2:113" s="214" customFormat="1" x14ac:dyDescent="0.2">
      <c r="B296" s="610" t="s">
        <v>675</v>
      </c>
      <c r="C296" s="610" t="s">
        <v>674</v>
      </c>
      <c r="D296" s="239">
        <v>56625695</v>
      </c>
      <c r="E296" s="239">
        <v>55493181</v>
      </c>
      <c r="F296" s="239">
        <v>0</v>
      </c>
      <c r="G296" s="239">
        <v>1132514</v>
      </c>
      <c r="H296" s="239">
        <v>113251390</v>
      </c>
      <c r="I296" s="239">
        <v>0</v>
      </c>
      <c r="J296" s="239">
        <v>0</v>
      </c>
      <c r="K296" s="239">
        <v>56625695</v>
      </c>
      <c r="L296" s="239">
        <v>461041</v>
      </c>
      <c r="M296" s="239">
        <v>461041</v>
      </c>
      <c r="N296" s="239">
        <v>0</v>
      </c>
      <c r="O296" s="239">
        <v>0</v>
      </c>
      <c r="P296" s="239">
        <v>0</v>
      </c>
      <c r="Q296" s="239">
        <v>0</v>
      </c>
      <c r="R296" s="239">
        <v>0</v>
      </c>
      <c r="S296" s="239">
        <v>0</v>
      </c>
      <c r="T296" s="239">
        <v>0</v>
      </c>
      <c r="U296" s="239">
        <v>0</v>
      </c>
      <c r="V296" s="239">
        <v>0</v>
      </c>
      <c r="W296" s="239">
        <v>881798</v>
      </c>
      <c r="X296" s="239">
        <v>864162</v>
      </c>
      <c r="Y296" s="239">
        <v>0</v>
      </c>
      <c r="Z296" s="239">
        <v>17636</v>
      </c>
      <c r="AA296" s="239">
        <v>1763596</v>
      </c>
      <c r="AB296" s="239">
        <v>-514788</v>
      </c>
      <c r="AC296" s="239">
        <v>-504492</v>
      </c>
      <c r="AD296" s="239">
        <v>0</v>
      </c>
      <c r="AE296" s="239">
        <v>-10296</v>
      </c>
      <c r="AF296" s="239">
        <v>-1029576</v>
      </c>
      <c r="AG296" s="239">
        <v>-510000</v>
      </c>
      <c r="AH296" s="239">
        <v>-499800</v>
      </c>
      <c r="AI296" s="239">
        <v>0</v>
      </c>
      <c r="AJ296" s="239">
        <v>-10200</v>
      </c>
      <c r="AK296" s="239">
        <v>-1020000</v>
      </c>
      <c r="AL296" s="239">
        <v>436256</v>
      </c>
      <c r="AM296" s="239">
        <v>427530</v>
      </c>
      <c r="AN296" s="239">
        <v>0</v>
      </c>
      <c r="AO296" s="239">
        <v>8725</v>
      </c>
      <c r="AP296" s="239">
        <v>872511</v>
      </c>
      <c r="AQ296" s="239">
        <v>-436256</v>
      </c>
      <c r="AR296" s="239">
        <v>-427530</v>
      </c>
      <c r="AS296" s="239">
        <v>0</v>
      </c>
      <c r="AT296" s="239">
        <v>-8725</v>
      </c>
      <c r="AU296" s="239">
        <v>-872511</v>
      </c>
      <c r="AV296" s="239">
        <v>-510000</v>
      </c>
      <c r="AW296" s="239">
        <v>-499800</v>
      </c>
      <c r="AX296" s="239">
        <v>0</v>
      </c>
      <c r="AY296" s="239">
        <v>-10200</v>
      </c>
      <c r="AZ296" s="239">
        <v>-1020000</v>
      </c>
      <c r="BA296" s="239">
        <v>-3707208</v>
      </c>
      <c r="BB296" s="239">
        <v>-3633065</v>
      </c>
      <c r="BC296" s="239">
        <v>0</v>
      </c>
      <c r="BD296" s="239">
        <v>-74145</v>
      </c>
      <c r="BE296" s="239">
        <v>-7414418</v>
      </c>
      <c r="BF296" s="239">
        <v>7264457</v>
      </c>
      <c r="BG296" s="239">
        <v>7119167</v>
      </c>
      <c r="BH296" s="239">
        <v>0</v>
      </c>
      <c r="BI296" s="239">
        <v>145289</v>
      </c>
      <c r="BJ296" s="239">
        <v>14528913</v>
      </c>
      <c r="BK296" s="239">
        <v>-7529674</v>
      </c>
      <c r="BL296" s="239">
        <v>-7379082</v>
      </c>
      <c r="BM296" s="239">
        <v>0</v>
      </c>
      <c r="BN296" s="239">
        <v>-150594</v>
      </c>
      <c r="BO296" s="239">
        <v>-15059350</v>
      </c>
      <c r="BP296" s="239">
        <v>-3972425</v>
      </c>
      <c r="BQ296" s="239">
        <v>-3892980</v>
      </c>
      <c r="BR296" s="239">
        <v>0</v>
      </c>
      <c r="BS296" s="239">
        <v>-79450</v>
      </c>
      <c r="BT296" s="239">
        <v>-7944855</v>
      </c>
      <c r="BU296" s="239">
        <v>-802274</v>
      </c>
      <c r="BV296" s="239">
        <v>-786230</v>
      </c>
      <c r="BW296" s="239">
        <v>0</v>
      </c>
      <c r="BX296" s="239">
        <v>-16046</v>
      </c>
      <c r="BY296" s="239">
        <v>-1604550</v>
      </c>
      <c r="BZ296" s="239">
        <v>-242253</v>
      </c>
      <c r="CA296" s="239">
        <v>-237408</v>
      </c>
      <c r="CB296" s="239">
        <v>0</v>
      </c>
      <c r="CC296" s="239">
        <v>-4845</v>
      </c>
      <c r="CD296" s="239">
        <v>-484506</v>
      </c>
      <c r="CE296" s="239">
        <v>-560021</v>
      </c>
      <c r="CF296" s="239">
        <v>-548822</v>
      </c>
      <c r="CG296" s="239">
        <v>0</v>
      </c>
      <c r="CH296" s="239">
        <v>-11201</v>
      </c>
      <c r="CI296" s="239">
        <v>-1120044</v>
      </c>
      <c r="CJ296" s="239">
        <v>60384089</v>
      </c>
      <c r="CK296" s="239">
        <v>59176408</v>
      </c>
      <c r="CL296" s="239">
        <v>0</v>
      </c>
      <c r="CM296" s="239">
        <v>1207682</v>
      </c>
      <c r="CN296" s="239">
        <v>120768179</v>
      </c>
      <c r="CO296" s="239">
        <v>56625695</v>
      </c>
      <c r="CP296" s="239">
        <v>55493181</v>
      </c>
      <c r="CQ296" s="239">
        <v>0</v>
      </c>
      <c r="CR296" s="239">
        <v>1132514</v>
      </c>
      <c r="CS296" s="239">
        <v>113251390</v>
      </c>
      <c r="CT296" s="239">
        <v>-3758394</v>
      </c>
      <c r="CU296" s="239">
        <v>-3683227</v>
      </c>
      <c r="CV296" s="239">
        <v>0</v>
      </c>
      <c r="CW296" s="239">
        <v>-75168</v>
      </c>
      <c r="CX296" s="239">
        <v>-7516789</v>
      </c>
      <c r="CY296" s="239">
        <v>-4318415</v>
      </c>
      <c r="CZ296" s="239">
        <v>-4232049</v>
      </c>
      <c r="DA296" s="239">
        <v>0</v>
      </c>
      <c r="DB296" s="239">
        <v>-86369</v>
      </c>
      <c r="DC296" s="239">
        <v>-8636833</v>
      </c>
      <c r="DD296" s="214">
        <v>0.5</v>
      </c>
      <c r="DE296" s="214">
        <v>0.49</v>
      </c>
      <c r="DF296" s="214">
        <v>0</v>
      </c>
      <c r="DG296" s="214">
        <v>0.01</v>
      </c>
      <c r="DH296" s="214">
        <v>1</v>
      </c>
      <c r="DI296" s="214" t="s">
        <v>1296</v>
      </c>
    </row>
    <row r="297" spans="2:113" s="214" customFormat="1" x14ac:dyDescent="0.2">
      <c r="B297" s="610" t="s">
        <v>677</v>
      </c>
      <c r="C297" s="610" t="s">
        <v>676</v>
      </c>
      <c r="D297" s="239">
        <v>31583122</v>
      </c>
      <c r="E297" s="239">
        <v>30951459</v>
      </c>
      <c r="F297" s="239">
        <v>0</v>
      </c>
      <c r="G297" s="239">
        <v>631662</v>
      </c>
      <c r="H297" s="239">
        <v>63166243</v>
      </c>
      <c r="I297" s="239">
        <v>0</v>
      </c>
      <c r="J297" s="239">
        <v>0</v>
      </c>
      <c r="K297" s="239">
        <v>31583122</v>
      </c>
      <c r="L297" s="239">
        <v>340097</v>
      </c>
      <c r="M297" s="239">
        <v>340097</v>
      </c>
      <c r="N297" s="239">
        <v>15459</v>
      </c>
      <c r="O297" s="239">
        <v>15459</v>
      </c>
      <c r="P297" s="239">
        <v>0</v>
      </c>
      <c r="Q297" s="239">
        <v>0</v>
      </c>
      <c r="R297" s="239">
        <v>0</v>
      </c>
      <c r="S297" s="239">
        <v>0</v>
      </c>
      <c r="T297" s="239">
        <v>0</v>
      </c>
      <c r="U297" s="239">
        <v>0</v>
      </c>
      <c r="V297" s="239">
        <v>0</v>
      </c>
      <c r="W297" s="239">
        <v>3100106</v>
      </c>
      <c r="X297" s="239">
        <v>3038103</v>
      </c>
      <c r="Y297" s="239">
        <v>0</v>
      </c>
      <c r="Z297" s="239">
        <v>62002</v>
      </c>
      <c r="AA297" s="239">
        <v>6200211</v>
      </c>
      <c r="AB297" s="239">
        <v>-810831</v>
      </c>
      <c r="AC297" s="239">
        <v>-794614</v>
      </c>
      <c r="AD297" s="239">
        <v>0</v>
      </c>
      <c r="AE297" s="239">
        <v>-16217</v>
      </c>
      <c r="AF297" s="239">
        <v>-1621662</v>
      </c>
      <c r="AG297" s="239">
        <v>-1470121</v>
      </c>
      <c r="AH297" s="239">
        <v>-1440718</v>
      </c>
      <c r="AI297" s="239">
        <v>0</v>
      </c>
      <c r="AJ297" s="239">
        <v>-29402</v>
      </c>
      <c r="AK297" s="239">
        <v>-2940241</v>
      </c>
      <c r="AL297" s="239">
        <v>0</v>
      </c>
      <c r="AM297" s="239">
        <v>0</v>
      </c>
      <c r="AN297" s="239">
        <v>0</v>
      </c>
      <c r="AO297" s="239">
        <v>0</v>
      </c>
      <c r="AP297" s="239">
        <v>0</v>
      </c>
      <c r="AQ297" s="239">
        <v>-106522</v>
      </c>
      <c r="AR297" s="239">
        <v>-104391</v>
      </c>
      <c r="AS297" s="239">
        <v>0</v>
      </c>
      <c r="AT297" s="239">
        <v>-2130</v>
      </c>
      <c r="AU297" s="239">
        <v>-213043</v>
      </c>
      <c r="AV297" s="239">
        <v>-1576643</v>
      </c>
      <c r="AW297" s="239">
        <v>-1545109</v>
      </c>
      <c r="AX297" s="239">
        <v>0</v>
      </c>
      <c r="AY297" s="239">
        <v>-31532</v>
      </c>
      <c r="AZ297" s="239">
        <v>-3153284</v>
      </c>
      <c r="BA297" s="239">
        <v>-3092001</v>
      </c>
      <c r="BB297" s="239">
        <v>-3030163</v>
      </c>
      <c r="BC297" s="239">
        <v>0</v>
      </c>
      <c r="BD297" s="239">
        <v>-61841</v>
      </c>
      <c r="BE297" s="239">
        <v>-6184005</v>
      </c>
      <c r="BF297" s="239">
        <v>0</v>
      </c>
      <c r="BG297" s="239">
        <v>0</v>
      </c>
      <c r="BH297" s="239">
        <v>0</v>
      </c>
      <c r="BI297" s="239">
        <v>0</v>
      </c>
      <c r="BJ297" s="239">
        <v>0</v>
      </c>
      <c r="BK297" s="239">
        <v>-668581</v>
      </c>
      <c r="BL297" s="239">
        <v>-655209</v>
      </c>
      <c r="BM297" s="239">
        <v>0</v>
      </c>
      <c r="BN297" s="239">
        <v>-13372</v>
      </c>
      <c r="BO297" s="239">
        <v>-1337162</v>
      </c>
      <c r="BP297" s="239">
        <v>-3760582</v>
      </c>
      <c r="BQ297" s="239">
        <v>-3685372</v>
      </c>
      <c r="BR297" s="239">
        <v>0</v>
      </c>
      <c r="BS297" s="239">
        <v>-75213</v>
      </c>
      <c r="BT297" s="239">
        <v>-7521167</v>
      </c>
      <c r="BU297" s="239">
        <v>-4529468</v>
      </c>
      <c r="BV297" s="239">
        <v>-4438879</v>
      </c>
      <c r="BW297" s="239">
        <v>0</v>
      </c>
      <c r="BX297" s="239">
        <v>-90589</v>
      </c>
      <c r="BY297" s="239">
        <v>-9058936</v>
      </c>
      <c r="BZ297" s="239">
        <v>-3363536</v>
      </c>
      <c r="CA297" s="239">
        <v>-3296265</v>
      </c>
      <c r="CB297" s="239">
        <v>0</v>
      </c>
      <c r="CC297" s="239">
        <v>-67271</v>
      </c>
      <c r="CD297" s="239">
        <v>-6727072</v>
      </c>
      <c r="CE297" s="239">
        <v>-1165932</v>
      </c>
      <c r="CF297" s="239">
        <v>-1142614</v>
      </c>
      <c r="CG297" s="239">
        <v>0</v>
      </c>
      <c r="CH297" s="239">
        <v>-23318</v>
      </c>
      <c r="CI297" s="239">
        <v>-2331864</v>
      </c>
      <c r="CJ297" s="239">
        <v>35010829</v>
      </c>
      <c r="CK297" s="239">
        <v>34310613</v>
      </c>
      <c r="CL297" s="239">
        <v>0</v>
      </c>
      <c r="CM297" s="239">
        <v>700217</v>
      </c>
      <c r="CN297" s="239">
        <v>70021659</v>
      </c>
      <c r="CO297" s="239">
        <v>31583122</v>
      </c>
      <c r="CP297" s="239">
        <v>30951459</v>
      </c>
      <c r="CQ297" s="239">
        <v>0</v>
      </c>
      <c r="CR297" s="239">
        <v>631662</v>
      </c>
      <c r="CS297" s="239">
        <v>63166243</v>
      </c>
      <c r="CT297" s="239">
        <v>-3427707</v>
      </c>
      <c r="CU297" s="239">
        <v>-3359154</v>
      </c>
      <c r="CV297" s="239">
        <v>0</v>
      </c>
      <c r="CW297" s="239">
        <v>-68555</v>
      </c>
      <c r="CX297" s="239">
        <v>-6855416</v>
      </c>
      <c r="CY297" s="239">
        <v>-4593639</v>
      </c>
      <c r="CZ297" s="239">
        <v>-4501768</v>
      </c>
      <c r="DA297" s="239">
        <v>0</v>
      </c>
      <c r="DB297" s="239">
        <v>-91873</v>
      </c>
      <c r="DC297" s="239">
        <v>-9187280</v>
      </c>
      <c r="DD297" s="214">
        <v>0.5</v>
      </c>
      <c r="DE297" s="214">
        <v>0.49</v>
      </c>
      <c r="DF297" s="214">
        <v>0</v>
      </c>
      <c r="DG297" s="214">
        <v>0.01</v>
      </c>
      <c r="DH297" s="214">
        <v>1</v>
      </c>
      <c r="DI297" s="214" t="s">
        <v>1296</v>
      </c>
    </row>
    <row r="298" spans="2:113" s="214" customFormat="1" x14ac:dyDescent="0.2">
      <c r="B298" s="610" t="s">
        <v>679</v>
      </c>
      <c r="C298" s="610" t="s">
        <v>678</v>
      </c>
      <c r="D298" s="239">
        <v>27223315</v>
      </c>
      <c r="E298" s="239">
        <v>16333989</v>
      </c>
      <c r="F298" s="239">
        <v>10889326</v>
      </c>
      <c r="G298" s="239">
        <v>0</v>
      </c>
      <c r="H298" s="239">
        <v>54446630</v>
      </c>
      <c r="I298" s="239">
        <v>0</v>
      </c>
      <c r="J298" s="239">
        <v>0</v>
      </c>
      <c r="K298" s="239">
        <v>27223315</v>
      </c>
      <c r="L298" s="239">
        <v>290876</v>
      </c>
      <c r="M298" s="239">
        <v>290876</v>
      </c>
      <c r="N298" s="239">
        <v>0</v>
      </c>
      <c r="O298" s="239">
        <v>0</v>
      </c>
      <c r="P298" s="239">
        <v>0</v>
      </c>
      <c r="Q298" s="239">
        <v>0</v>
      </c>
      <c r="R298" s="239">
        <v>0</v>
      </c>
      <c r="S298" s="239">
        <v>0</v>
      </c>
      <c r="T298" s="239">
        <v>0</v>
      </c>
      <c r="U298" s="239">
        <v>0</v>
      </c>
      <c r="V298" s="239">
        <v>0</v>
      </c>
      <c r="W298" s="239">
        <v>2326979</v>
      </c>
      <c r="X298" s="239">
        <v>1396187</v>
      </c>
      <c r="Y298" s="239">
        <v>930792</v>
      </c>
      <c r="Z298" s="239">
        <v>0</v>
      </c>
      <c r="AA298" s="239">
        <v>4653958</v>
      </c>
      <c r="AB298" s="239">
        <v>-1077480</v>
      </c>
      <c r="AC298" s="239">
        <v>-646488</v>
      </c>
      <c r="AD298" s="239">
        <v>-430992</v>
      </c>
      <c r="AE298" s="239">
        <v>0</v>
      </c>
      <c r="AF298" s="239">
        <v>-2154960</v>
      </c>
      <c r="AG298" s="239">
        <v>-1004314</v>
      </c>
      <c r="AH298" s="239">
        <v>-602587</v>
      </c>
      <c r="AI298" s="239">
        <v>-401725</v>
      </c>
      <c r="AJ298" s="239">
        <v>0</v>
      </c>
      <c r="AK298" s="239">
        <v>-2008626</v>
      </c>
      <c r="AL298" s="239">
        <v>743796</v>
      </c>
      <c r="AM298" s="239">
        <v>446277</v>
      </c>
      <c r="AN298" s="239">
        <v>297518</v>
      </c>
      <c r="AO298" s="239">
        <v>0</v>
      </c>
      <c r="AP298" s="239">
        <v>1487591</v>
      </c>
      <c r="AQ298" s="239">
        <v>-130683</v>
      </c>
      <c r="AR298" s="239">
        <v>-78410</v>
      </c>
      <c r="AS298" s="239">
        <v>-52273</v>
      </c>
      <c r="AT298" s="239">
        <v>0</v>
      </c>
      <c r="AU298" s="239">
        <v>-261366</v>
      </c>
      <c r="AV298" s="239">
        <v>-391201</v>
      </c>
      <c r="AW298" s="239">
        <v>-234720</v>
      </c>
      <c r="AX298" s="239">
        <v>-156480</v>
      </c>
      <c r="AY298" s="239">
        <v>0</v>
      </c>
      <c r="AZ298" s="239">
        <v>-782401</v>
      </c>
      <c r="BA298" s="239">
        <v>-1022850</v>
      </c>
      <c r="BB298" s="239">
        <v>-613710</v>
      </c>
      <c r="BC298" s="239">
        <v>-409140</v>
      </c>
      <c r="BD298" s="239">
        <v>0</v>
      </c>
      <c r="BE298" s="239">
        <v>-2045700</v>
      </c>
      <c r="BF298" s="239">
        <v>556074</v>
      </c>
      <c r="BG298" s="239">
        <v>333644</v>
      </c>
      <c r="BH298" s="239">
        <v>222430</v>
      </c>
      <c r="BI298" s="239">
        <v>0</v>
      </c>
      <c r="BJ298" s="239">
        <v>1112148</v>
      </c>
      <c r="BK298" s="239">
        <v>-1053153</v>
      </c>
      <c r="BL298" s="239">
        <v>-631892</v>
      </c>
      <c r="BM298" s="239">
        <v>-421261</v>
      </c>
      <c r="BN298" s="239">
        <v>0</v>
      </c>
      <c r="BO298" s="239">
        <v>-2106306</v>
      </c>
      <c r="BP298" s="239">
        <v>-1519929</v>
      </c>
      <c r="BQ298" s="239">
        <v>-911958</v>
      </c>
      <c r="BR298" s="239">
        <v>-607971</v>
      </c>
      <c r="BS298" s="239">
        <v>0</v>
      </c>
      <c r="BT298" s="239">
        <v>-3039858</v>
      </c>
      <c r="BU298" s="239">
        <v>-2281832</v>
      </c>
      <c r="BV298" s="239">
        <v>-1369100</v>
      </c>
      <c r="BW298" s="239">
        <v>-912733</v>
      </c>
      <c r="BX298" s="239">
        <v>0</v>
      </c>
      <c r="BY298" s="239">
        <v>-4563665</v>
      </c>
      <c r="BZ298" s="239">
        <v>-3015035</v>
      </c>
      <c r="CA298" s="239">
        <v>-1809021</v>
      </c>
      <c r="CB298" s="239">
        <v>-1206014</v>
      </c>
      <c r="CC298" s="239">
        <v>0</v>
      </c>
      <c r="CD298" s="239">
        <v>-6030070</v>
      </c>
      <c r="CE298" s="239">
        <v>733203</v>
      </c>
      <c r="CF298" s="239">
        <v>439921</v>
      </c>
      <c r="CG298" s="239">
        <v>293281</v>
      </c>
      <c r="CH298" s="239">
        <v>0</v>
      </c>
      <c r="CI298" s="239">
        <v>1466405</v>
      </c>
      <c r="CJ298" s="239">
        <v>27109282</v>
      </c>
      <c r="CK298" s="239">
        <v>16265569</v>
      </c>
      <c r="CL298" s="239">
        <v>10843713</v>
      </c>
      <c r="CM298" s="239">
        <v>0</v>
      </c>
      <c r="CN298" s="239">
        <v>54218564</v>
      </c>
      <c r="CO298" s="239">
        <v>27223315</v>
      </c>
      <c r="CP298" s="239">
        <v>16333989</v>
      </c>
      <c r="CQ298" s="239">
        <v>10889326</v>
      </c>
      <c r="CR298" s="239">
        <v>0</v>
      </c>
      <c r="CS298" s="239">
        <v>54446630</v>
      </c>
      <c r="CT298" s="239">
        <v>114033</v>
      </c>
      <c r="CU298" s="239">
        <v>68420</v>
      </c>
      <c r="CV298" s="239">
        <v>45613</v>
      </c>
      <c r="CW298" s="239">
        <v>0</v>
      </c>
      <c r="CX298" s="239">
        <v>228066</v>
      </c>
      <c r="CY298" s="239">
        <v>847236</v>
      </c>
      <c r="CZ298" s="239">
        <v>508341</v>
      </c>
      <c r="DA298" s="239">
        <v>338894</v>
      </c>
      <c r="DB298" s="239">
        <v>0</v>
      </c>
      <c r="DC298" s="239">
        <v>1694471</v>
      </c>
      <c r="DD298" s="214">
        <v>0.5</v>
      </c>
      <c r="DE298" s="214">
        <v>0.3</v>
      </c>
      <c r="DF298" s="214">
        <v>0.2</v>
      </c>
      <c r="DG298" s="214">
        <v>0</v>
      </c>
      <c r="DH298" s="214">
        <v>1</v>
      </c>
      <c r="DI298" s="214" t="s">
        <v>1295</v>
      </c>
    </row>
    <row r="299" spans="2:113" s="214" customFormat="1" x14ac:dyDescent="0.2">
      <c r="B299" s="610" t="s">
        <v>681</v>
      </c>
      <c r="C299" s="610" t="s">
        <v>680</v>
      </c>
      <c r="D299" s="239">
        <v>47388017</v>
      </c>
      <c r="E299" s="239">
        <v>28432811</v>
      </c>
      <c r="F299" s="239">
        <v>18955207</v>
      </c>
      <c r="G299" s="239">
        <v>0</v>
      </c>
      <c r="H299" s="239">
        <v>94776035</v>
      </c>
      <c r="I299" s="239">
        <v>0</v>
      </c>
      <c r="J299" s="239">
        <v>0</v>
      </c>
      <c r="K299" s="239">
        <v>47388017</v>
      </c>
      <c r="L299" s="239">
        <v>468827</v>
      </c>
      <c r="M299" s="239">
        <v>468827</v>
      </c>
      <c r="N299" s="239">
        <v>0</v>
      </c>
      <c r="O299" s="239">
        <v>0</v>
      </c>
      <c r="P299" s="239">
        <v>0</v>
      </c>
      <c r="Q299" s="239">
        <v>0</v>
      </c>
      <c r="R299" s="239">
        <v>0</v>
      </c>
      <c r="S299" s="239">
        <v>0</v>
      </c>
      <c r="T299" s="239">
        <v>0</v>
      </c>
      <c r="U299" s="239">
        <v>0</v>
      </c>
      <c r="V299" s="239">
        <v>0</v>
      </c>
      <c r="W299" s="239">
        <v>2199005</v>
      </c>
      <c r="X299" s="239">
        <v>1319403</v>
      </c>
      <c r="Y299" s="239">
        <v>879602</v>
      </c>
      <c r="Z299" s="239">
        <v>0</v>
      </c>
      <c r="AA299" s="239">
        <v>4398010</v>
      </c>
      <c r="AB299" s="239">
        <v>-1800623</v>
      </c>
      <c r="AC299" s="239">
        <v>-1080374</v>
      </c>
      <c r="AD299" s="239">
        <v>-720249</v>
      </c>
      <c r="AE299" s="239">
        <v>0</v>
      </c>
      <c r="AF299" s="239">
        <v>-3601246</v>
      </c>
      <c r="AG299" s="239">
        <v>-1098500</v>
      </c>
      <c r="AH299" s="239">
        <v>-659100</v>
      </c>
      <c r="AI299" s="239">
        <v>-439400</v>
      </c>
      <c r="AJ299" s="239">
        <v>0</v>
      </c>
      <c r="AK299" s="239">
        <v>-2197000</v>
      </c>
      <c r="AL299" s="239">
        <v>152870</v>
      </c>
      <c r="AM299" s="239">
        <v>91722</v>
      </c>
      <c r="AN299" s="239">
        <v>61148</v>
      </c>
      <c r="AO299" s="239">
        <v>0</v>
      </c>
      <c r="AP299" s="239">
        <v>305740</v>
      </c>
      <c r="AQ299" s="239">
        <v>-191870</v>
      </c>
      <c r="AR299" s="239">
        <v>-115122</v>
      </c>
      <c r="AS299" s="239">
        <v>-76748</v>
      </c>
      <c r="AT299" s="239">
        <v>0</v>
      </c>
      <c r="AU299" s="239">
        <v>-383740</v>
      </c>
      <c r="AV299" s="239">
        <v>-1137500</v>
      </c>
      <c r="AW299" s="239">
        <v>-682500</v>
      </c>
      <c r="AX299" s="239">
        <v>-455000</v>
      </c>
      <c r="AY299" s="239">
        <v>0</v>
      </c>
      <c r="AZ299" s="239">
        <v>-2275000</v>
      </c>
      <c r="BA299" s="239">
        <v>-3470917</v>
      </c>
      <c r="BB299" s="239">
        <v>-2082550</v>
      </c>
      <c r="BC299" s="239">
        <v>-1388366</v>
      </c>
      <c r="BD299" s="239">
        <v>0</v>
      </c>
      <c r="BE299" s="239">
        <v>-6941833</v>
      </c>
      <c r="BF299" s="239">
        <v>3401445</v>
      </c>
      <c r="BG299" s="239">
        <v>2040867</v>
      </c>
      <c r="BH299" s="239">
        <v>1360578</v>
      </c>
      <c r="BI299" s="239">
        <v>0</v>
      </c>
      <c r="BJ299" s="239">
        <v>6802890</v>
      </c>
      <c r="BK299" s="239">
        <v>-3882146</v>
      </c>
      <c r="BL299" s="239">
        <v>-2329287</v>
      </c>
      <c r="BM299" s="239">
        <v>-1552858</v>
      </c>
      <c r="BN299" s="239">
        <v>0</v>
      </c>
      <c r="BO299" s="239">
        <v>-7764291</v>
      </c>
      <c r="BP299" s="239">
        <v>-3951618</v>
      </c>
      <c r="BQ299" s="239">
        <v>-2370970</v>
      </c>
      <c r="BR299" s="239">
        <v>-1580646</v>
      </c>
      <c r="BS299" s="239">
        <v>0</v>
      </c>
      <c r="BT299" s="239">
        <v>-7903234</v>
      </c>
      <c r="BU299" s="239">
        <v>-2306006</v>
      </c>
      <c r="BV299" s="239">
        <v>-1383604</v>
      </c>
      <c r="BW299" s="239">
        <v>-922402</v>
      </c>
      <c r="BX299" s="239">
        <v>0</v>
      </c>
      <c r="BY299" s="239">
        <v>-4612012</v>
      </c>
      <c r="BZ299" s="239">
        <v>14192</v>
      </c>
      <c r="CA299" s="239">
        <v>8516</v>
      </c>
      <c r="CB299" s="239">
        <v>5677</v>
      </c>
      <c r="CC299" s="239">
        <v>0</v>
      </c>
      <c r="CD299" s="239">
        <v>28385</v>
      </c>
      <c r="CE299" s="239">
        <v>-2320198</v>
      </c>
      <c r="CF299" s="239">
        <v>-1392120</v>
      </c>
      <c r="CG299" s="239">
        <v>-928079</v>
      </c>
      <c r="CH299" s="239">
        <v>0</v>
      </c>
      <c r="CI299" s="239">
        <v>-4640397</v>
      </c>
      <c r="CJ299" s="239">
        <v>51730568</v>
      </c>
      <c r="CK299" s="239">
        <v>31038341</v>
      </c>
      <c r="CL299" s="239">
        <v>20692227</v>
      </c>
      <c r="CM299" s="239">
        <v>0</v>
      </c>
      <c r="CN299" s="239">
        <v>103461136</v>
      </c>
      <c r="CO299" s="239">
        <v>47388017</v>
      </c>
      <c r="CP299" s="239">
        <v>28432811</v>
      </c>
      <c r="CQ299" s="239">
        <v>18955207</v>
      </c>
      <c r="CR299" s="239">
        <v>0</v>
      </c>
      <c r="CS299" s="239">
        <v>94776035</v>
      </c>
      <c r="CT299" s="239">
        <v>-4342551</v>
      </c>
      <c r="CU299" s="239">
        <v>-2605530</v>
      </c>
      <c r="CV299" s="239">
        <v>-1737020</v>
      </c>
      <c r="CW299" s="239">
        <v>0</v>
      </c>
      <c r="CX299" s="239">
        <v>-8685101</v>
      </c>
      <c r="CY299" s="239">
        <v>-6662749</v>
      </c>
      <c r="CZ299" s="239">
        <v>-3997650</v>
      </c>
      <c r="DA299" s="239">
        <v>-2665099</v>
      </c>
      <c r="DB299" s="239">
        <v>0</v>
      </c>
      <c r="DC299" s="239">
        <v>-13325498</v>
      </c>
      <c r="DD299" s="214">
        <v>0.5</v>
      </c>
      <c r="DE299" s="214">
        <v>0.3</v>
      </c>
      <c r="DF299" s="214">
        <v>0.2</v>
      </c>
      <c r="DG299" s="214">
        <v>0</v>
      </c>
      <c r="DH299" s="214">
        <v>1</v>
      </c>
      <c r="DI299" s="214" t="s">
        <v>1297</v>
      </c>
    </row>
    <row r="300" spans="2:113" s="214" customFormat="1" x14ac:dyDescent="0.2">
      <c r="B300" s="610" t="s">
        <v>683</v>
      </c>
      <c r="C300" s="610" t="s">
        <v>682</v>
      </c>
      <c r="D300" s="239">
        <v>53786618</v>
      </c>
      <c r="E300" s="239">
        <v>52710886</v>
      </c>
      <c r="F300" s="239">
        <v>0</v>
      </c>
      <c r="G300" s="239">
        <v>1075732</v>
      </c>
      <c r="H300" s="239">
        <v>107573236</v>
      </c>
      <c r="I300" s="239">
        <v>0</v>
      </c>
      <c r="J300" s="239">
        <v>0</v>
      </c>
      <c r="K300" s="239">
        <v>53786618</v>
      </c>
      <c r="L300" s="239">
        <v>307797</v>
      </c>
      <c r="M300" s="239">
        <v>307797</v>
      </c>
      <c r="N300" s="239">
        <v>0</v>
      </c>
      <c r="O300" s="239">
        <v>0</v>
      </c>
      <c r="P300" s="239">
        <v>0</v>
      </c>
      <c r="Q300" s="239">
        <v>0</v>
      </c>
      <c r="R300" s="239">
        <v>0</v>
      </c>
      <c r="S300" s="239">
        <v>0</v>
      </c>
      <c r="T300" s="239">
        <v>0</v>
      </c>
      <c r="U300" s="239">
        <v>0</v>
      </c>
      <c r="V300" s="239">
        <v>0</v>
      </c>
      <c r="W300" s="239">
        <v>6249649</v>
      </c>
      <c r="X300" s="239">
        <v>6124656</v>
      </c>
      <c r="Y300" s="239">
        <v>0</v>
      </c>
      <c r="Z300" s="239">
        <v>124993</v>
      </c>
      <c r="AA300" s="239">
        <v>12499298</v>
      </c>
      <c r="AB300" s="239">
        <v>-774534</v>
      </c>
      <c r="AC300" s="239">
        <v>-759044</v>
      </c>
      <c r="AD300" s="239">
        <v>0</v>
      </c>
      <c r="AE300" s="239">
        <v>-15491</v>
      </c>
      <c r="AF300" s="239">
        <v>-1549069</v>
      </c>
      <c r="AG300" s="239">
        <v>-3184453</v>
      </c>
      <c r="AH300" s="239">
        <v>-3120763</v>
      </c>
      <c r="AI300" s="239">
        <v>0</v>
      </c>
      <c r="AJ300" s="239">
        <v>-63689</v>
      </c>
      <c r="AK300" s="239">
        <v>-6368905</v>
      </c>
      <c r="AL300" s="239">
        <v>0</v>
      </c>
      <c r="AM300" s="239">
        <v>0</v>
      </c>
      <c r="AN300" s="239">
        <v>0</v>
      </c>
      <c r="AO300" s="239">
        <v>0</v>
      </c>
      <c r="AP300" s="239">
        <v>0</v>
      </c>
      <c r="AQ300" s="239">
        <v>794263</v>
      </c>
      <c r="AR300" s="239">
        <v>778377</v>
      </c>
      <c r="AS300" s="239">
        <v>0</v>
      </c>
      <c r="AT300" s="239">
        <v>15885</v>
      </c>
      <c r="AU300" s="239">
        <v>1588525</v>
      </c>
      <c r="AV300" s="239">
        <v>-2390190</v>
      </c>
      <c r="AW300" s="239">
        <v>-2342386</v>
      </c>
      <c r="AX300" s="239">
        <v>0</v>
      </c>
      <c r="AY300" s="239">
        <v>-47804</v>
      </c>
      <c r="AZ300" s="239">
        <v>-4780380</v>
      </c>
      <c r="BA300" s="239">
        <v>-3980388</v>
      </c>
      <c r="BB300" s="239">
        <v>-3900781</v>
      </c>
      <c r="BC300" s="239">
        <v>0</v>
      </c>
      <c r="BD300" s="239">
        <v>-79608</v>
      </c>
      <c r="BE300" s="239">
        <v>-7960777</v>
      </c>
      <c r="BF300" s="239">
        <v>0</v>
      </c>
      <c r="BG300" s="239">
        <v>0</v>
      </c>
      <c r="BH300" s="239">
        <v>0</v>
      </c>
      <c r="BI300" s="239">
        <v>0</v>
      </c>
      <c r="BJ300" s="239">
        <v>0</v>
      </c>
      <c r="BK300" s="239">
        <v>-633975</v>
      </c>
      <c r="BL300" s="239">
        <v>-621296</v>
      </c>
      <c r="BM300" s="239">
        <v>0</v>
      </c>
      <c r="BN300" s="239">
        <v>-12680</v>
      </c>
      <c r="BO300" s="239">
        <v>-1267951</v>
      </c>
      <c r="BP300" s="239">
        <v>-4614363</v>
      </c>
      <c r="BQ300" s="239">
        <v>-4522077</v>
      </c>
      <c r="BR300" s="239">
        <v>0</v>
      </c>
      <c r="BS300" s="239">
        <v>-92288</v>
      </c>
      <c r="BT300" s="239">
        <v>-9228728</v>
      </c>
      <c r="BU300" s="239">
        <v>-3779554</v>
      </c>
      <c r="BV300" s="239">
        <v>-3703962</v>
      </c>
      <c r="BW300" s="239">
        <v>0</v>
      </c>
      <c r="BX300" s="239">
        <v>-75591</v>
      </c>
      <c r="BY300" s="239">
        <v>-7559107</v>
      </c>
      <c r="BZ300" s="239">
        <v>-1677831</v>
      </c>
      <c r="CA300" s="239">
        <v>-1644275</v>
      </c>
      <c r="CB300" s="239">
        <v>0</v>
      </c>
      <c r="CC300" s="239">
        <v>-33557</v>
      </c>
      <c r="CD300" s="239">
        <v>-3355663</v>
      </c>
      <c r="CE300" s="239">
        <v>-2101723</v>
      </c>
      <c r="CF300" s="239">
        <v>-2059687</v>
      </c>
      <c r="CG300" s="239">
        <v>0</v>
      </c>
      <c r="CH300" s="239">
        <v>-42034</v>
      </c>
      <c r="CI300" s="239">
        <v>-4203444</v>
      </c>
      <c r="CJ300" s="239">
        <v>56225774</v>
      </c>
      <c r="CK300" s="239">
        <v>55101258</v>
      </c>
      <c r="CL300" s="239">
        <v>0</v>
      </c>
      <c r="CM300" s="239">
        <v>1124515</v>
      </c>
      <c r="CN300" s="239">
        <v>112451547</v>
      </c>
      <c r="CO300" s="239">
        <v>53786618</v>
      </c>
      <c r="CP300" s="239">
        <v>52710886</v>
      </c>
      <c r="CQ300" s="239">
        <v>0</v>
      </c>
      <c r="CR300" s="239">
        <v>1075732</v>
      </c>
      <c r="CS300" s="239">
        <v>107573236</v>
      </c>
      <c r="CT300" s="239">
        <v>-2439156</v>
      </c>
      <c r="CU300" s="239">
        <v>-2390372</v>
      </c>
      <c r="CV300" s="239">
        <v>0</v>
      </c>
      <c r="CW300" s="239">
        <v>-48783</v>
      </c>
      <c r="CX300" s="239">
        <v>-4878311</v>
      </c>
      <c r="CY300" s="239">
        <v>-4540879</v>
      </c>
      <c r="CZ300" s="239">
        <v>-4450059</v>
      </c>
      <c r="DA300" s="239">
        <v>0</v>
      </c>
      <c r="DB300" s="239">
        <v>-90817</v>
      </c>
      <c r="DC300" s="239">
        <v>-9081755</v>
      </c>
      <c r="DD300" s="214">
        <v>0.5</v>
      </c>
      <c r="DE300" s="214">
        <v>0.49</v>
      </c>
      <c r="DF300" s="214">
        <v>0</v>
      </c>
      <c r="DG300" s="214">
        <v>0.01</v>
      </c>
      <c r="DH300" s="214">
        <v>1</v>
      </c>
      <c r="DI300" s="214" t="s">
        <v>748</v>
      </c>
    </row>
    <row r="301" spans="2:113" s="214" customFormat="1" x14ac:dyDescent="0.2">
      <c r="B301" s="610" t="s">
        <v>685</v>
      </c>
      <c r="C301" s="610" t="s">
        <v>684</v>
      </c>
      <c r="D301" s="239">
        <v>32873182</v>
      </c>
      <c r="E301" s="239">
        <v>26298546</v>
      </c>
      <c r="F301" s="239">
        <v>6574636</v>
      </c>
      <c r="G301" s="239">
        <v>0</v>
      </c>
      <c r="H301" s="239">
        <v>65746364</v>
      </c>
      <c r="I301" s="239">
        <v>0</v>
      </c>
      <c r="J301" s="239">
        <v>0</v>
      </c>
      <c r="K301" s="239">
        <v>32873182</v>
      </c>
      <c r="L301" s="239">
        <v>214945</v>
      </c>
      <c r="M301" s="239">
        <v>214945</v>
      </c>
      <c r="N301" s="239">
        <v>0</v>
      </c>
      <c r="O301" s="239">
        <v>0</v>
      </c>
      <c r="P301" s="239">
        <v>14913</v>
      </c>
      <c r="Q301" s="239">
        <v>0</v>
      </c>
      <c r="R301" s="239">
        <v>14913</v>
      </c>
      <c r="S301" s="239">
        <v>0</v>
      </c>
      <c r="T301" s="239">
        <v>0</v>
      </c>
      <c r="U301" s="239">
        <v>0</v>
      </c>
      <c r="V301" s="239">
        <v>0</v>
      </c>
      <c r="W301" s="239">
        <v>560377</v>
      </c>
      <c r="X301" s="239">
        <v>448301</v>
      </c>
      <c r="Y301" s="239">
        <v>112075</v>
      </c>
      <c r="Z301" s="239">
        <v>0</v>
      </c>
      <c r="AA301" s="239">
        <v>1120753</v>
      </c>
      <c r="AB301" s="239">
        <v>-237122</v>
      </c>
      <c r="AC301" s="239">
        <v>-189698</v>
      </c>
      <c r="AD301" s="239">
        <v>-47424</v>
      </c>
      <c r="AE301" s="239">
        <v>0</v>
      </c>
      <c r="AF301" s="239">
        <v>-474244</v>
      </c>
      <c r="AG301" s="239">
        <v>-250000</v>
      </c>
      <c r="AH301" s="239">
        <v>-200000</v>
      </c>
      <c r="AI301" s="239">
        <v>-50000</v>
      </c>
      <c r="AJ301" s="239">
        <v>0</v>
      </c>
      <c r="AK301" s="239">
        <v>-500000</v>
      </c>
      <c r="AL301" s="239">
        <v>172868</v>
      </c>
      <c r="AM301" s="239">
        <v>138295</v>
      </c>
      <c r="AN301" s="239">
        <v>34574</v>
      </c>
      <c r="AO301" s="239">
        <v>0</v>
      </c>
      <c r="AP301" s="239">
        <v>345737</v>
      </c>
      <c r="AQ301" s="239">
        <v>-172868</v>
      </c>
      <c r="AR301" s="239">
        <v>-138295</v>
      </c>
      <c r="AS301" s="239">
        <v>-34574</v>
      </c>
      <c r="AT301" s="239">
        <v>0</v>
      </c>
      <c r="AU301" s="239">
        <v>-345737</v>
      </c>
      <c r="AV301" s="239">
        <v>-250000</v>
      </c>
      <c r="AW301" s="239">
        <v>-200000</v>
      </c>
      <c r="AX301" s="239">
        <v>-50000</v>
      </c>
      <c r="AY301" s="239">
        <v>0</v>
      </c>
      <c r="AZ301" s="239">
        <v>-500000</v>
      </c>
      <c r="BA301" s="239">
        <v>-4256940</v>
      </c>
      <c r="BB301" s="239">
        <v>-3405551</v>
      </c>
      <c r="BC301" s="239">
        <v>-851388</v>
      </c>
      <c r="BD301" s="239">
        <v>0</v>
      </c>
      <c r="BE301" s="239">
        <v>-8513879</v>
      </c>
      <c r="BF301" s="239">
        <v>1411602</v>
      </c>
      <c r="BG301" s="239">
        <v>1129281</v>
      </c>
      <c r="BH301" s="239">
        <v>282320</v>
      </c>
      <c r="BI301" s="239">
        <v>0</v>
      </c>
      <c r="BJ301" s="239">
        <v>2823203</v>
      </c>
      <c r="BK301" s="239">
        <v>-2126897</v>
      </c>
      <c r="BL301" s="239">
        <v>-1701517</v>
      </c>
      <c r="BM301" s="239">
        <v>-425379</v>
      </c>
      <c r="BN301" s="239">
        <v>0</v>
      </c>
      <c r="BO301" s="239">
        <v>-4253793</v>
      </c>
      <c r="BP301" s="239">
        <v>-4972235</v>
      </c>
      <c r="BQ301" s="239">
        <v>-3977787</v>
      </c>
      <c r="BR301" s="239">
        <v>-994447</v>
      </c>
      <c r="BS301" s="239">
        <v>0</v>
      </c>
      <c r="BT301" s="239">
        <v>-9944469</v>
      </c>
      <c r="BU301" s="239">
        <v>-4653827</v>
      </c>
      <c r="BV301" s="239">
        <v>-3723061</v>
      </c>
      <c r="BW301" s="239">
        <v>-930765</v>
      </c>
      <c r="BX301" s="239">
        <v>0</v>
      </c>
      <c r="BY301" s="239">
        <v>-9307653</v>
      </c>
      <c r="BZ301" s="239">
        <v>-1497409</v>
      </c>
      <c r="CA301" s="239">
        <v>-1197928</v>
      </c>
      <c r="CB301" s="239">
        <v>-299482</v>
      </c>
      <c r="CC301" s="239">
        <v>0</v>
      </c>
      <c r="CD301" s="239">
        <v>-2994819</v>
      </c>
      <c r="CE301" s="239">
        <v>-3156418</v>
      </c>
      <c r="CF301" s="239">
        <v>-2525133</v>
      </c>
      <c r="CG301" s="239">
        <v>-631283</v>
      </c>
      <c r="CH301" s="239">
        <v>0</v>
      </c>
      <c r="CI301" s="239">
        <v>-6312834</v>
      </c>
      <c r="CJ301" s="239">
        <v>34224014</v>
      </c>
      <c r="CK301" s="239">
        <v>27379211</v>
      </c>
      <c r="CL301" s="239">
        <v>6844803</v>
      </c>
      <c r="CM301" s="239">
        <v>0</v>
      </c>
      <c r="CN301" s="239">
        <v>68448028</v>
      </c>
      <c r="CO301" s="239">
        <v>32873182</v>
      </c>
      <c r="CP301" s="239">
        <v>26298546</v>
      </c>
      <c r="CQ301" s="239">
        <v>6574636</v>
      </c>
      <c r="CR301" s="239">
        <v>0</v>
      </c>
      <c r="CS301" s="239">
        <v>65746364</v>
      </c>
      <c r="CT301" s="239">
        <v>-1350832</v>
      </c>
      <c r="CU301" s="239">
        <v>-1080665</v>
      </c>
      <c r="CV301" s="239">
        <v>-270167</v>
      </c>
      <c r="CW301" s="239">
        <v>0</v>
      </c>
      <c r="CX301" s="239">
        <v>-2701664</v>
      </c>
      <c r="CY301" s="239">
        <v>-4507250</v>
      </c>
      <c r="CZ301" s="239">
        <v>-3605798</v>
      </c>
      <c r="DA301" s="239">
        <v>-901450</v>
      </c>
      <c r="DB301" s="239">
        <v>0</v>
      </c>
      <c r="DC301" s="239">
        <v>-9014498</v>
      </c>
      <c r="DD301" s="214">
        <v>0.5</v>
      </c>
      <c r="DE301" s="214">
        <v>0.4</v>
      </c>
      <c r="DF301" s="214">
        <v>0.1</v>
      </c>
      <c r="DG301" s="214">
        <v>0</v>
      </c>
      <c r="DH301" s="214">
        <v>1</v>
      </c>
      <c r="DI301" s="214" t="s">
        <v>1294</v>
      </c>
    </row>
    <row r="302" spans="2:113" s="214" customFormat="1" x14ac:dyDescent="0.2">
      <c r="B302" s="610" t="s">
        <v>687</v>
      </c>
      <c r="C302" s="610" t="s">
        <v>686</v>
      </c>
      <c r="D302" s="239">
        <v>29714609</v>
      </c>
      <c r="E302" s="239">
        <v>23771687</v>
      </c>
      <c r="F302" s="239">
        <v>5942922</v>
      </c>
      <c r="G302" s="239">
        <v>0</v>
      </c>
      <c r="H302" s="239">
        <v>59429218</v>
      </c>
      <c r="I302" s="239">
        <v>0</v>
      </c>
      <c r="J302" s="239">
        <v>0</v>
      </c>
      <c r="K302" s="239">
        <v>29714609</v>
      </c>
      <c r="L302" s="239">
        <v>171837</v>
      </c>
      <c r="M302" s="239">
        <v>171837</v>
      </c>
      <c r="N302" s="239">
        <v>0</v>
      </c>
      <c r="O302" s="239">
        <v>0</v>
      </c>
      <c r="P302" s="239">
        <v>0</v>
      </c>
      <c r="Q302" s="239">
        <v>0</v>
      </c>
      <c r="R302" s="239">
        <v>0</v>
      </c>
      <c r="S302" s="239">
        <v>0</v>
      </c>
      <c r="T302" s="239">
        <v>0</v>
      </c>
      <c r="U302" s="239">
        <v>0</v>
      </c>
      <c r="V302" s="239">
        <v>0</v>
      </c>
      <c r="W302" s="239">
        <v>1329113</v>
      </c>
      <c r="X302" s="239">
        <v>1063291</v>
      </c>
      <c r="Y302" s="239">
        <v>265823</v>
      </c>
      <c r="Z302" s="239">
        <v>0</v>
      </c>
      <c r="AA302" s="239">
        <v>2658227</v>
      </c>
      <c r="AB302" s="239">
        <v>-584442</v>
      </c>
      <c r="AC302" s="239">
        <v>-467553</v>
      </c>
      <c r="AD302" s="239">
        <v>-116888</v>
      </c>
      <c r="AE302" s="239">
        <v>0</v>
      </c>
      <c r="AF302" s="239">
        <v>-1168883</v>
      </c>
      <c r="AG302" s="239">
        <v>-1074721</v>
      </c>
      <c r="AH302" s="239">
        <v>-859776</v>
      </c>
      <c r="AI302" s="239">
        <v>-214944</v>
      </c>
      <c r="AJ302" s="239">
        <v>0</v>
      </c>
      <c r="AK302" s="239">
        <v>-2149441</v>
      </c>
      <c r="AL302" s="239">
        <v>329309</v>
      </c>
      <c r="AM302" s="239">
        <v>263447</v>
      </c>
      <c r="AN302" s="239">
        <v>65862</v>
      </c>
      <c r="AO302" s="239">
        <v>0</v>
      </c>
      <c r="AP302" s="239">
        <v>658618</v>
      </c>
      <c r="AQ302" s="239">
        <v>59364</v>
      </c>
      <c r="AR302" s="239">
        <v>47491</v>
      </c>
      <c r="AS302" s="239">
        <v>11873</v>
      </c>
      <c r="AT302" s="239">
        <v>0</v>
      </c>
      <c r="AU302" s="239">
        <v>118728</v>
      </c>
      <c r="AV302" s="239">
        <v>-686048</v>
      </c>
      <c r="AW302" s="239">
        <v>-548838</v>
      </c>
      <c r="AX302" s="239">
        <v>-137209</v>
      </c>
      <c r="AY302" s="239">
        <v>0</v>
      </c>
      <c r="AZ302" s="239">
        <v>-1372095</v>
      </c>
      <c r="BA302" s="239">
        <v>-7018005</v>
      </c>
      <c r="BB302" s="239">
        <v>-5614404</v>
      </c>
      <c r="BC302" s="239">
        <v>-1403601</v>
      </c>
      <c r="BD302" s="239">
        <v>0</v>
      </c>
      <c r="BE302" s="239">
        <v>-14036010</v>
      </c>
      <c r="BF302" s="239">
        <v>505516</v>
      </c>
      <c r="BG302" s="239">
        <v>404413</v>
      </c>
      <c r="BH302" s="239">
        <v>101103</v>
      </c>
      <c r="BI302" s="239">
        <v>0</v>
      </c>
      <c r="BJ302" s="239">
        <v>1011032</v>
      </c>
      <c r="BK302" s="239">
        <v>-3963912</v>
      </c>
      <c r="BL302" s="239">
        <v>-3171130</v>
      </c>
      <c r="BM302" s="239">
        <v>-792782</v>
      </c>
      <c r="BN302" s="239">
        <v>0</v>
      </c>
      <c r="BO302" s="239">
        <v>-7927824</v>
      </c>
      <c r="BP302" s="239">
        <v>-10476401</v>
      </c>
      <c r="BQ302" s="239">
        <v>-8381121</v>
      </c>
      <c r="BR302" s="239">
        <v>-2095280</v>
      </c>
      <c r="BS302" s="239">
        <v>0</v>
      </c>
      <c r="BT302" s="239">
        <v>-20952802</v>
      </c>
      <c r="BU302" s="239">
        <v>-4429741</v>
      </c>
      <c r="BV302" s="239">
        <v>-3543793</v>
      </c>
      <c r="BW302" s="239">
        <v>-885948</v>
      </c>
      <c r="BX302" s="239">
        <v>0</v>
      </c>
      <c r="BY302" s="239">
        <v>-8859482</v>
      </c>
      <c r="BZ302" s="239">
        <v>-1941192.2999999998</v>
      </c>
      <c r="CA302" s="239">
        <v>-1552955</v>
      </c>
      <c r="CB302" s="239">
        <v>-388239</v>
      </c>
      <c r="CC302" s="239">
        <v>0</v>
      </c>
      <c r="CD302" s="239">
        <v>-3882386.3</v>
      </c>
      <c r="CE302" s="239">
        <v>-2488548.7000000002</v>
      </c>
      <c r="CF302" s="239">
        <v>-1990838</v>
      </c>
      <c r="CG302" s="239">
        <v>-497709</v>
      </c>
      <c r="CH302" s="239">
        <v>0</v>
      </c>
      <c r="CI302" s="239">
        <v>-4977095.7</v>
      </c>
      <c r="CJ302" s="239">
        <v>33489703</v>
      </c>
      <c r="CK302" s="239">
        <v>26791762</v>
      </c>
      <c r="CL302" s="239">
        <v>6697941</v>
      </c>
      <c r="CM302" s="239">
        <v>0</v>
      </c>
      <c r="CN302" s="239">
        <v>66979406</v>
      </c>
      <c r="CO302" s="239">
        <v>29714609</v>
      </c>
      <c r="CP302" s="239">
        <v>23771687</v>
      </c>
      <c r="CQ302" s="239">
        <v>5942922</v>
      </c>
      <c r="CR302" s="239">
        <v>0</v>
      </c>
      <c r="CS302" s="239">
        <v>59429218</v>
      </c>
      <c r="CT302" s="239">
        <v>-3775094</v>
      </c>
      <c r="CU302" s="239">
        <v>-3020075</v>
      </c>
      <c r="CV302" s="239">
        <v>-755019</v>
      </c>
      <c r="CW302" s="239">
        <v>0</v>
      </c>
      <c r="CX302" s="239">
        <v>-7550188</v>
      </c>
      <c r="CY302" s="239">
        <v>-6263642.7000000002</v>
      </c>
      <c r="CZ302" s="239">
        <v>-5010913</v>
      </c>
      <c r="DA302" s="239">
        <v>-1252728</v>
      </c>
      <c r="DB302" s="239">
        <v>0</v>
      </c>
      <c r="DC302" s="239">
        <v>-12527283.699999999</v>
      </c>
      <c r="DD302" s="214">
        <v>0.5</v>
      </c>
      <c r="DE302" s="214">
        <v>0.4</v>
      </c>
      <c r="DF302" s="214">
        <v>0.1</v>
      </c>
      <c r="DG302" s="214">
        <v>0</v>
      </c>
      <c r="DH302" s="214">
        <v>1</v>
      </c>
      <c r="DI302" s="214" t="s">
        <v>1294</v>
      </c>
    </row>
    <row r="303" spans="2:113" s="214" customFormat="1" x14ac:dyDescent="0.2">
      <c r="B303" s="610" t="s">
        <v>689</v>
      </c>
      <c r="C303" s="610" t="s">
        <v>688</v>
      </c>
      <c r="D303" s="239">
        <v>11993641</v>
      </c>
      <c r="E303" s="239">
        <v>9594913</v>
      </c>
      <c r="F303" s="239">
        <v>2398728</v>
      </c>
      <c r="G303" s="239">
        <v>0</v>
      </c>
      <c r="H303" s="239">
        <v>23987282</v>
      </c>
      <c r="I303" s="239">
        <v>139126.76875000002</v>
      </c>
      <c r="J303" s="239">
        <v>139126.76875000002</v>
      </c>
      <c r="K303" s="239">
        <v>11854514.231249999</v>
      </c>
      <c r="L303" s="239">
        <v>203983</v>
      </c>
      <c r="M303" s="239">
        <v>203983</v>
      </c>
      <c r="N303" s="239">
        <v>213114</v>
      </c>
      <c r="O303" s="239">
        <v>213114</v>
      </c>
      <c r="P303" s="239">
        <v>125527</v>
      </c>
      <c r="Q303" s="239">
        <v>0</v>
      </c>
      <c r="R303" s="239">
        <v>125527</v>
      </c>
      <c r="S303" s="239">
        <v>139126.76875000002</v>
      </c>
      <c r="T303" s="239">
        <v>0</v>
      </c>
      <c r="U303" s="239">
        <v>0</v>
      </c>
      <c r="V303" s="239">
        <v>139126.76875000002</v>
      </c>
      <c r="W303" s="239">
        <v>708499</v>
      </c>
      <c r="X303" s="239">
        <v>566800</v>
      </c>
      <c r="Y303" s="239">
        <v>141700</v>
      </c>
      <c r="Z303" s="239">
        <v>0</v>
      </c>
      <c r="AA303" s="239">
        <v>1416999</v>
      </c>
      <c r="AB303" s="239">
        <v>-335394</v>
      </c>
      <c r="AC303" s="239">
        <v>-268316</v>
      </c>
      <c r="AD303" s="239">
        <v>-67079</v>
      </c>
      <c r="AE303" s="239">
        <v>0</v>
      </c>
      <c r="AF303" s="239">
        <v>-670789</v>
      </c>
      <c r="AG303" s="239">
        <v>-331540</v>
      </c>
      <c r="AH303" s="239">
        <v>-265233</v>
      </c>
      <c r="AI303" s="239">
        <v>-66309</v>
      </c>
      <c r="AJ303" s="239">
        <v>0</v>
      </c>
      <c r="AK303" s="239">
        <v>-663082</v>
      </c>
      <c r="AL303" s="239">
        <v>41449</v>
      </c>
      <c r="AM303" s="239">
        <v>33160</v>
      </c>
      <c r="AN303" s="239">
        <v>8290</v>
      </c>
      <c r="AO303" s="239">
        <v>0</v>
      </c>
      <c r="AP303" s="239">
        <v>82899</v>
      </c>
      <c r="AQ303" s="239">
        <v>-126087</v>
      </c>
      <c r="AR303" s="239">
        <v>-100870</v>
      </c>
      <c r="AS303" s="239">
        <v>-25217</v>
      </c>
      <c r="AT303" s="239">
        <v>0</v>
      </c>
      <c r="AU303" s="239">
        <v>-252174</v>
      </c>
      <c r="AV303" s="239">
        <v>-416178</v>
      </c>
      <c r="AW303" s="239">
        <v>-332943</v>
      </c>
      <c r="AX303" s="239">
        <v>-83236</v>
      </c>
      <c r="AY303" s="239">
        <v>0</v>
      </c>
      <c r="AZ303" s="239">
        <v>-832357</v>
      </c>
      <c r="BA303" s="239">
        <v>-975696</v>
      </c>
      <c r="BB303" s="239">
        <v>-780556</v>
      </c>
      <c r="BC303" s="239">
        <v>-195139</v>
      </c>
      <c r="BD303" s="239">
        <v>0</v>
      </c>
      <c r="BE303" s="239">
        <v>-1951391</v>
      </c>
      <c r="BF303" s="239">
        <v>300484</v>
      </c>
      <c r="BG303" s="239">
        <v>240388</v>
      </c>
      <c r="BH303" s="239">
        <v>60097</v>
      </c>
      <c r="BI303" s="239">
        <v>0</v>
      </c>
      <c r="BJ303" s="239">
        <v>600969</v>
      </c>
      <c r="BK303" s="239">
        <v>-1189570</v>
      </c>
      <c r="BL303" s="239">
        <v>-951656</v>
      </c>
      <c r="BM303" s="239">
        <v>-237914</v>
      </c>
      <c r="BN303" s="239">
        <v>0</v>
      </c>
      <c r="BO303" s="239">
        <v>-2379140</v>
      </c>
      <c r="BP303" s="239">
        <v>-1864782</v>
      </c>
      <c r="BQ303" s="239">
        <v>-1491824</v>
      </c>
      <c r="BR303" s="239">
        <v>-372956</v>
      </c>
      <c r="BS303" s="239">
        <v>0</v>
      </c>
      <c r="BT303" s="239">
        <v>-3729562</v>
      </c>
      <c r="BU303" s="239">
        <v>-209994</v>
      </c>
      <c r="BV303" s="239">
        <v>-167995</v>
      </c>
      <c r="BW303" s="239">
        <v>-41999</v>
      </c>
      <c r="BX303" s="239">
        <v>0</v>
      </c>
      <c r="BY303" s="239">
        <v>-419988</v>
      </c>
      <c r="BZ303" s="239">
        <v>13781</v>
      </c>
      <c r="CA303" s="239">
        <v>11025</v>
      </c>
      <c r="CB303" s="239">
        <v>2756</v>
      </c>
      <c r="CC303" s="239">
        <v>0</v>
      </c>
      <c r="CD303" s="239">
        <v>27562</v>
      </c>
      <c r="CE303" s="239">
        <v>-223775</v>
      </c>
      <c r="CF303" s="239">
        <v>-179020</v>
      </c>
      <c r="CG303" s="239">
        <v>-44755</v>
      </c>
      <c r="CH303" s="239">
        <v>0</v>
      </c>
      <c r="CI303" s="239">
        <v>-447550</v>
      </c>
      <c r="CJ303" s="239">
        <v>13165491</v>
      </c>
      <c r="CK303" s="239">
        <v>10532393</v>
      </c>
      <c r="CL303" s="239">
        <v>2633098</v>
      </c>
      <c r="CM303" s="239">
        <v>0</v>
      </c>
      <c r="CN303" s="239">
        <v>26330982</v>
      </c>
      <c r="CO303" s="239">
        <v>11993641</v>
      </c>
      <c r="CP303" s="239">
        <v>9594913</v>
      </c>
      <c r="CQ303" s="239">
        <v>2398728</v>
      </c>
      <c r="CR303" s="239">
        <v>0</v>
      </c>
      <c r="CS303" s="239">
        <v>23987282</v>
      </c>
      <c r="CT303" s="239">
        <v>-1171850</v>
      </c>
      <c r="CU303" s="239">
        <v>-937480</v>
      </c>
      <c r="CV303" s="239">
        <v>-234370</v>
      </c>
      <c r="CW303" s="239">
        <v>0</v>
      </c>
      <c r="CX303" s="239">
        <v>-2343700</v>
      </c>
      <c r="CY303" s="239">
        <v>-1395625</v>
      </c>
      <c r="CZ303" s="239">
        <v>-1116500</v>
      </c>
      <c r="DA303" s="239">
        <v>-279125</v>
      </c>
      <c r="DB303" s="239">
        <v>0</v>
      </c>
      <c r="DC303" s="239">
        <v>-2791250</v>
      </c>
      <c r="DD303" s="214">
        <v>0.5</v>
      </c>
      <c r="DE303" s="214">
        <v>0.4</v>
      </c>
      <c r="DF303" s="214">
        <v>0.1</v>
      </c>
      <c r="DG303" s="214">
        <v>0</v>
      </c>
      <c r="DH303" s="214">
        <v>1</v>
      </c>
      <c r="DI303" s="214" t="s">
        <v>1294</v>
      </c>
    </row>
    <row r="304" spans="2:113" s="214" customFormat="1" x14ac:dyDescent="0.2">
      <c r="B304" s="610" t="s">
        <v>691</v>
      </c>
      <c r="C304" s="610" t="s">
        <v>690</v>
      </c>
      <c r="D304" s="239">
        <v>17126416</v>
      </c>
      <c r="E304" s="239">
        <v>13701132</v>
      </c>
      <c r="F304" s="239">
        <v>3425283</v>
      </c>
      <c r="G304" s="239">
        <v>0</v>
      </c>
      <c r="H304" s="239">
        <v>34252831</v>
      </c>
      <c r="I304" s="239">
        <v>0</v>
      </c>
      <c r="J304" s="239">
        <v>0</v>
      </c>
      <c r="K304" s="239">
        <v>17126416</v>
      </c>
      <c r="L304" s="239">
        <v>180761</v>
      </c>
      <c r="M304" s="239">
        <v>180761</v>
      </c>
      <c r="N304" s="239">
        <v>0</v>
      </c>
      <c r="O304" s="239">
        <v>0</v>
      </c>
      <c r="P304" s="239">
        <v>0</v>
      </c>
      <c r="Q304" s="239">
        <v>0</v>
      </c>
      <c r="R304" s="239">
        <v>0</v>
      </c>
      <c r="S304" s="239">
        <v>0</v>
      </c>
      <c r="T304" s="239">
        <v>0</v>
      </c>
      <c r="U304" s="239">
        <v>0</v>
      </c>
      <c r="V304" s="239">
        <v>0</v>
      </c>
      <c r="W304" s="239">
        <v>1034372</v>
      </c>
      <c r="X304" s="239">
        <v>827497</v>
      </c>
      <c r="Y304" s="239">
        <v>206874</v>
      </c>
      <c r="Z304" s="239">
        <v>0</v>
      </c>
      <c r="AA304" s="239">
        <v>2068743</v>
      </c>
      <c r="AB304" s="239">
        <v>-259532</v>
      </c>
      <c r="AC304" s="239">
        <v>-207626</v>
      </c>
      <c r="AD304" s="239">
        <v>-51907</v>
      </c>
      <c r="AE304" s="239">
        <v>0</v>
      </c>
      <c r="AF304" s="239">
        <v>-519065</v>
      </c>
      <c r="AG304" s="239">
        <v>-212500</v>
      </c>
      <c r="AH304" s="239">
        <v>-170000</v>
      </c>
      <c r="AI304" s="239">
        <v>-42500</v>
      </c>
      <c r="AJ304" s="239">
        <v>0</v>
      </c>
      <c r="AK304" s="239">
        <v>-425000</v>
      </c>
      <c r="AL304" s="239">
        <v>130990</v>
      </c>
      <c r="AM304" s="239">
        <v>104792</v>
      </c>
      <c r="AN304" s="239">
        <v>26198</v>
      </c>
      <c r="AO304" s="239">
        <v>0</v>
      </c>
      <c r="AP304" s="239">
        <v>261980</v>
      </c>
      <c r="AQ304" s="239">
        <v>-143490</v>
      </c>
      <c r="AR304" s="239">
        <v>-114792</v>
      </c>
      <c r="AS304" s="239">
        <v>-28698</v>
      </c>
      <c r="AT304" s="239">
        <v>0</v>
      </c>
      <c r="AU304" s="239">
        <v>-286980</v>
      </c>
      <c r="AV304" s="239">
        <v>-225000</v>
      </c>
      <c r="AW304" s="239">
        <v>-180000</v>
      </c>
      <c r="AX304" s="239">
        <v>-45000</v>
      </c>
      <c r="AY304" s="239">
        <v>0</v>
      </c>
      <c r="AZ304" s="239">
        <v>-450000</v>
      </c>
      <c r="BA304" s="239">
        <v>-534000</v>
      </c>
      <c r="BB304" s="239">
        <v>-427200</v>
      </c>
      <c r="BC304" s="239">
        <v>-106800</v>
      </c>
      <c r="BD304" s="239">
        <v>0</v>
      </c>
      <c r="BE304" s="239">
        <v>-1068000</v>
      </c>
      <c r="BF304" s="239">
        <v>158135</v>
      </c>
      <c r="BG304" s="239">
        <v>126508</v>
      </c>
      <c r="BH304" s="239">
        <v>31627</v>
      </c>
      <c r="BI304" s="239">
        <v>0</v>
      </c>
      <c r="BJ304" s="239">
        <v>316270</v>
      </c>
      <c r="BK304" s="239">
        <v>-699135</v>
      </c>
      <c r="BL304" s="239">
        <v>-559308</v>
      </c>
      <c r="BM304" s="239">
        <v>-139827</v>
      </c>
      <c r="BN304" s="239">
        <v>0</v>
      </c>
      <c r="BO304" s="239">
        <v>-1398270</v>
      </c>
      <c r="BP304" s="239">
        <v>-1075000</v>
      </c>
      <c r="BQ304" s="239">
        <v>-860000</v>
      </c>
      <c r="BR304" s="239">
        <v>-215000</v>
      </c>
      <c r="BS304" s="239">
        <v>0</v>
      </c>
      <c r="BT304" s="239">
        <v>-2150000</v>
      </c>
      <c r="BU304" s="239">
        <v>275447</v>
      </c>
      <c r="BV304" s="239">
        <v>220358</v>
      </c>
      <c r="BW304" s="239">
        <v>55090</v>
      </c>
      <c r="BX304" s="239">
        <v>0</v>
      </c>
      <c r="BY304" s="239">
        <v>550895</v>
      </c>
      <c r="BZ304" s="239">
        <v>481078</v>
      </c>
      <c r="CA304" s="239">
        <v>384863</v>
      </c>
      <c r="CB304" s="239">
        <v>96216</v>
      </c>
      <c r="CC304" s="239">
        <v>0</v>
      </c>
      <c r="CD304" s="239">
        <v>962157</v>
      </c>
      <c r="CE304" s="239">
        <v>-205631</v>
      </c>
      <c r="CF304" s="239">
        <v>-164505</v>
      </c>
      <c r="CG304" s="239">
        <v>-41126</v>
      </c>
      <c r="CH304" s="239">
        <v>0</v>
      </c>
      <c r="CI304" s="239">
        <v>-411262</v>
      </c>
      <c r="CJ304" s="239">
        <v>18365580</v>
      </c>
      <c r="CK304" s="239">
        <v>14692464</v>
      </c>
      <c r="CL304" s="239">
        <v>3673116</v>
      </c>
      <c r="CM304" s="239">
        <v>0</v>
      </c>
      <c r="CN304" s="239">
        <v>36731160</v>
      </c>
      <c r="CO304" s="239">
        <v>17126416</v>
      </c>
      <c r="CP304" s="239">
        <v>13701132</v>
      </c>
      <c r="CQ304" s="239">
        <v>3425283</v>
      </c>
      <c r="CR304" s="239">
        <v>0</v>
      </c>
      <c r="CS304" s="239">
        <v>34252831</v>
      </c>
      <c r="CT304" s="239">
        <v>-1239164</v>
      </c>
      <c r="CU304" s="239">
        <v>-991332</v>
      </c>
      <c r="CV304" s="239">
        <v>-247833</v>
      </c>
      <c r="CW304" s="239">
        <v>0</v>
      </c>
      <c r="CX304" s="239">
        <v>-2478329</v>
      </c>
      <c r="CY304" s="239">
        <v>-1444795</v>
      </c>
      <c r="CZ304" s="239">
        <v>-1155837</v>
      </c>
      <c r="DA304" s="239">
        <v>-288959</v>
      </c>
      <c r="DB304" s="239">
        <v>0</v>
      </c>
      <c r="DC304" s="239">
        <v>-2889591</v>
      </c>
      <c r="DD304" s="214">
        <v>0.5</v>
      </c>
      <c r="DE304" s="214">
        <v>0.4</v>
      </c>
      <c r="DF304" s="214">
        <v>0.1</v>
      </c>
      <c r="DG304" s="214">
        <v>0</v>
      </c>
      <c r="DH304" s="214">
        <v>1</v>
      </c>
      <c r="DI304" s="214" t="s">
        <v>1294</v>
      </c>
    </row>
    <row r="305" spans="2:113" s="214" customFormat="1" x14ac:dyDescent="0.2">
      <c r="B305" s="610" t="s">
        <v>693</v>
      </c>
      <c r="C305" s="610" t="s">
        <v>692</v>
      </c>
      <c r="D305" s="239">
        <v>14529253</v>
      </c>
      <c r="E305" s="239">
        <v>11623403</v>
      </c>
      <c r="F305" s="239">
        <v>2615266</v>
      </c>
      <c r="G305" s="239">
        <v>290585</v>
      </c>
      <c r="H305" s="239">
        <v>29058507</v>
      </c>
      <c r="I305" s="239">
        <v>0</v>
      </c>
      <c r="J305" s="239">
        <v>0</v>
      </c>
      <c r="K305" s="239">
        <v>14529253</v>
      </c>
      <c r="L305" s="239">
        <v>208385</v>
      </c>
      <c r="M305" s="239">
        <v>208385</v>
      </c>
      <c r="N305" s="239">
        <v>0</v>
      </c>
      <c r="O305" s="239">
        <v>0</v>
      </c>
      <c r="P305" s="239">
        <v>173290</v>
      </c>
      <c r="Q305" s="239">
        <v>0</v>
      </c>
      <c r="R305" s="239">
        <v>173290</v>
      </c>
      <c r="S305" s="239">
        <v>0</v>
      </c>
      <c r="T305" s="239">
        <v>0</v>
      </c>
      <c r="U305" s="239">
        <v>0</v>
      </c>
      <c r="V305" s="239">
        <v>0</v>
      </c>
      <c r="W305" s="239">
        <v>865484</v>
      </c>
      <c r="X305" s="239">
        <v>692387</v>
      </c>
      <c r="Y305" s="239">
        <v>155787</v>
      </c>
      <c r="Z305" s="239">
        <v>17310</v>
      </c>
      <c r="AA305" s="239">
        <v>1730968</v>
      </c>
      <c r="AB305" s="239">
        <v>-175209</v>
      </c>
      <c r="AC305" s="239">
        <v>-140168</v>
      </c>
      <c r="AD305" s="239">
        <v>-31538</v>
      </c>
      <c r="AE305" s="239">
        <v>-3504</v>
      </c>
      <c r="AF305" s="239">
        <v>-350419</v>
      </c>
      <c r="AG305" s="239">
        <v>-233033</v>
      </c>
      <c r="AH305" s="239">
        <v>-186426</v>
      </c>
      <c r="AI305" s="239">
        <v>-41946</v>
      </c>
      <c r="AJ305" s="239">
        <v>-4661</v>
      </c>
      <c r="AK305" s="239">
        <v>-466066</v>
      </c>
      <c r="AL305" s="239">
        <v>90537</v>
      </c>
      <c r="AM305" s="239">
        <v>72430</v>
      </c>
      <c r="AN305" s="239">
        <v>16297</v>
      </c>
      <c r="AO305" s="239">
        <v>1811</v>
      </c>
      <c r="AP305" s="239">
        <v>181075</v>
      </c>
      <c r="AQ305" s="239">
        <v>-240246</v>
      </c>
      <c r="AR305" s="239">
        <v>-192197</v>
      </c>
      <c r="AS305" s="239">
        <v>-43244</v>
      </c>
      <c r="AT305" s="239">
        <v>-4805</v>
      </c>
      <c r="AU305" s="239">
        <v>-480492</v>
      </c>
      <c r="AV305" s="239">
        <v>-382742</v>
      </c>
      <c r="AW305" s="239">
        <v>-306193</v>
      </c>
      <c r="AX305" s="239">
        <v>-68893</v>
      </c>
      <c r="AY305" s="239">
        <v>-7655</v>
      </c>
      <c r="AZ305" s="239">
        <v>-765483</v>
      </c>
      <c r="BA305" s="239">
        <v>-409751</v>
      </c>
      <c r="BB305" s="239">
        <v>-327800</v>
      </c>
      <c r="BC305" s="239">
        <v>-73755</v>
      </c>
      <c r="BD305" s="239">
        <v>-8194</v>
      </c>
      <c r="BE305" s="239">
        <v>-819500</v>
      </c>
      <c r="BF305" s="239">
        <v>90356</v>
      </c>
      <c r="BG305" s="239">
        <v>72284</v>
      </c>
      <c r="BH305" s="239">
        <v>16264</v>
      </c>
      <c r="BI305" s="239">
        <v>1807</v>
      </c>
      <c r="BJ305" s="239">
        <v>180711</v>
      </c>
      <c r="BK305" s="239">
        <v>-253106</v>
      </c>
      <c r="BL305" s="239">
        <v>-202484</v>
      </c>
      <c r="BM305" s="239">
        <v>-45559</v>
      </c>
      <c r="BN305" s="239">
        <v>-5062</v>
      </c>
      <c r="BO305" s="239">
        <v>-506211</v>
      </c>
      <c r="BP305" s="239">
        <v>-572501</v>
      </c>
      <c r="BQ305" s="239">
        <v>-458000</v>
      </c>
      <c r="BR305" s="239">
        <v>-103050</v>
      </c>
      <c r="BS305" s="239">
        <v>-11449</v>
      </c>
      <c r="BT305" s="239">
        <v>-1145000</v>
      </c>
      <c r="BU305" s="239">
        <v>21016</v>
      </c>
      <c r="BV305" s="239">
        <v>16813</v>
      </c>
      <c r="BW305" s="239">
        <v>3783</v>
      </c>
      <c r="BX305" s="239">
        <v>420</v>
      </c>
      <c r="BY305" s="239">
        <v>42032</v>
      </c>
      <c r="BZ305" s="239">
        <v>13566</v>
      </c>
      <c r="CA305" s="239">
        <v>10852</v>
      </c>
      <c r="CB305" s="239">
        <v>2442</v>
      </c>
      <c r="CC305" s="239">
        <v>271</v>
      </c>
      <c r="CD305" s="239">
        <v>27131</v>
      </c>
      <c r="CE305" s="239">
        <v>7450</v>
      </c>
      <c r="CF305" s="239">
        <v>5961</v>
      </c>
      <c r="CG305" s="239">
        <v>1341</v>
      </c>
      <c r="CH305" s="239">
        <v>149</v>
      </c>
      <c r="CI305" s="239">
        <v>14901</v>
      </c>
      <c r="CJ305" s="239">
        <v>14555559</v>
      </c>
      <c r="CK305" s="239">
        <v>11644448</v>
      </c>
      <c r="CL305" s="239">
        <v>2620001</v>
      </c>
      <c r="CM305" s="239">
        <v>291111</v>
      </c>
      <c r="CN305" s="239">
        <v>29111119</v>
      </c>
      <c r="CO305" s="239">
        <v>14529253</v>
      </c>
      <c r="CP305" s="239">
        <v>11623403</v>
      </c>
      <c r="CQ305" s="239">
        <v>2615266</v>
      </c>
      <c r="CR305" s="239">
        <v>290585</v>
      </c>
      <c r="CS305" s="239">
        <v>29058507</v>
      </c>
      <c r="CT305" s="239">
        <v>-26306</v>
      </c>
      <c r="CU305" s="239">
        <v>-21045</v>
      </c>
      <c r="CV305" s="239">
        <v>-4735</v>
      </c>
      <c r="CW305" s="239">
        <v>-526</v>
      </c>
      <c r="CX305" s="239">
        <v>-52612</v>
      </c>
      <c r="CY305" s="239">
        <v>-18856</v>
      </c>
      <c r="CZ305" s="239">
        <v>-15084</v>
      </c>
      <c r="DA305" s="239">
        <v>-3394</v>
      </c>
      <c r="DB305" s="239">
        <v>-377</v>
      </c>
      <c r="DC305" s="239">
        <v>-37711</v>
      </c>
      <c r="DD305" s="214">
        <v>0.5</v>
      </c>
      <c r="DE305" s="214">
        <v>0.4</v>
      </c>
      <c r="DF305" s="214">
        <v>0.09</v>
      </c>
      <c r="DG305" s="214">
        <v>0.01</v>
      </c>
      <c r="DH305" s="214">
        <v>1</v>
      </c>
      <c r="DI305" s="214" t="s">
        <v>1294</v>
      </c>
    </row>
    <row r="306" spans="2:113" s="214" customFormat="1" x14ac:dyDescent="0.2">
      <c r="B306" s="610" t="s">
        <v>695</v>
      </c>
      <c r="C306" s="610" t="s">
        <v>694</v>
      </c>
      <c r="D306" s="239">
        <v>14084745</v>
      </c>
      <c r="E306" s="239">
        <v>11267796</v>
      </c>
      <c r="F306" s="239">
        <v>2816949</v>
      </c>
      <c r="G306" s="239">
        <v>0</v>
      </c>
      <c r="H306" s="239">
        <v>28169490</v>
      </c>
      <c r="I306" s="239">
        <v>0</v>
      </c>
      <c r="J306" s="239">
        <v>0</v>
      </c>
      <c r="K306" s="239">
        <v>14084745</v>
      </c>
      <c r="L306" s="239">
        <v>111686</v>
      </c>
      <c r="M306" s="239">
        <v>111686</v>
      </c>
      <c r="N306" s="239">
        <v>0</v>
      </c>
      <c r="O306" s="239">
        <v>0</v>
      </c>
      <c r="P306" s="239">
        <v>34314</v>
      </c>
      <c r="Q306" s="239">
        <v>0</v>
      </c>
      <c r="R306" s="239">
        <v>34314</v>
      </c>
      <c r="S306" s="239">
        <v>0</v>
      </c>
      <c r="T306" s="239">
        <v>0</v>
      </c>
      <c r="U306" s="239">
        <v>0</v>
      </c>
      <c r="V306" s="239">
        <v>0</v>
      </c>
      <c r="W306" s="239">
        <v>217477</v>
      </c>
      <c r="X306" s="239">
        <v>173981</v>
      </c>
      <c r="Y306" s="239">
        <v>43495</v>
      </c>
      <c r="Z306" s="239">
        <v>0</v>
      </c>
      <c r="AA306" s="239">
        <v>434953</v>
      </c>
      <c r="AB306" s="239">
        <v>-183702</v>
      </c>
      <c r="AC306" s="239">
        <v>-146962</v>
      </c>
      <c r="AD306" s="239">
        <v>-36741</v>
      </c>
      <c r="AE306" s="239">
        <v>0</v>
      </c>
      <c r="AF306" s="239">
        <v>-367405</v>
      </c>
      <c r="AG306" s="239">
        <v>-83010</v>
      </c>
      <c r="AH306" s="239">
        <v>-66408</v>
      </c>
      <c r="AI306" s="239">
        <v>-16602</v>
      </c>
      <c r="AJ306" s="239">
        <v>0</v>
      </c>
      <c r="AK306" s="239">
        <v>-166020</v>
      </c>
      <c r="AL306" s="239">
        <v>10866</v>
      </c>
      <c r="AM306" s="239">
        <v>8693</v>
      </c>
      <c r="AN306" s="239">
        <v>2173</v>
      </c>
      <c r="AO306" s="239">
        <v>0</v>
      </c>
      <c r="AP306" s="239">
        <v>21732</v>
      </c>
      <c r="AQ306" s="239">
        <v>-9266</v>
      </c>
      <c r="AR306" s="239">
        <v>-7413</v>
      </c>
      <c r="AS306" s="239">
        <v>-1853</v>
      </c>
      <c r="AT306" s="239">
        <v>0</v>
      </c>
      <c r="AU306" s="239">
        <v>-18532</v>
      </c>
      <c r="AV306" s="239">
        <v>-81410</v>
      </c>
      <c r="AW306" s="239">
        <v>-65128</v>
      </c>
      <c r="AX306" s="239">
        <v>-16282</v>
      </c>
      <c r="AY306" s="239">
        <v>0</v>
      </c>
      <c r="AZ306" s="239">
        <v>-162820</v>
      </c>
      <c r="BA306" s="239">
        <v>-875995.8</v>
      </c>
      <c r="BB306" s="239">
        <v>-700797</v>
      </c>
      <c r="BC306" s="239">
        <v>-175199</v>
      </c>
      <c r="BD306" s="239">
        <v>0</v>
      </c>
      <c r="BE306" s="239">
        <v>-1751991.8</v>
      </c>
      <c r="BF306" s="239">
        <v>168942</v>
      </c>
      <c r="BG306" s="239">
        <v>135154</v>
      </c>
      <c r="BH306" s="239">
        <v>33788</v>
      </c>
      <c r="BI306" s="239">
        <v>0</v>
      </c>
      <c r="BJ306" s="239">
        <v>337884</v>
      </c>
      <c r="BK306" s="239">
        <v>-462907</v>
      </c>
      <c r="BL306" s="239">
        <v>-370326</v>
      </c>
      <c r="BM306" s="239">
        <v>-92582</v>
      </c>
      <c r="BN306" s="239">
        <v>0</v>
      </c>
      <c r="BO306" s="239">
        <v>-925815</v>
      </c>
      <c r="BP306" s="239">
        <v>-1169960.8</v>
      </c>
      <c r="BQ306" s="239">
        <v>-935969</v>
      </c>
      <c r="BR306" s="239">
        <v>-233993</v>
      </c>
      <c r="BS306" s="239">
        <v>0</v>
      </c>
      <c r="BT306" s="239">
        <v>-2339922.7999999998</v>
      </c>
      <c r="BU306" s="239">
        <v>-1606766</v>
      </c>
      <c r="BV306" s="239">
        <v>-1285413</v>
      </c>
      <c r="BW306" s="239">
        <v>-321353</v>
      </c>
      <c r="BX306" s="239">
        <v>0</v>
      </c>
      <c r="BY306" s="239">
        <v>-3213532</v>
      </c>
      <c r="BZ306" s="239">
        <v>-951057</v>
      </c>
      <c r="CA306" s="239">
        <v>-760846</v>
      </c>
      <c r="CB306" s="239">
        <v>-190212</v>
      </c>
      <c r="CC306" s="239">
        <v>0</v>
      </c>
      <c r="CD306" s="239">
        <v>-1902115</v>
      </c>
      <c r="CE306" s="239">
        <v>-655709</v>
      </c>
      <c r="CF306" s="239">
        <v>-524567</v>
      </c>
      <c r="CG306" s="239">
        <v>-131141</v>
      </c>
      <c r="CH306" s="239">
        <v>0</v>
      </c>
      <c r="CI306" s="239">
        <v>-1311417</v>
      </c>
      <c r="CJ306" s="239">
        <v>14727302</v>
      </c>
      <c r="CK306" s="239">
        <v>11781842</v>
      </c>
      <c r="CL306" s="239">
        <v>2945460</v>
      </c>
      <c r="CM306" s="239">
        <v>0</v>
      </c>
      <c r="CN306" s="239">
        <v>29454604</v>
      </c>
      <c r="CO306" s="239">
        <v>14084745</v>
      </c>
      <c r="CP306" s="239">
        <v>11267796</v>
      </c>
      <c r="CQ306" s="239">
        <v>2816949</v>
      </c>
      <c r="CR306" s="239">
        <v>0</v>
      </c>
      <c r="CS306" s="239">
        <v>28169490</v>
      </c>
      <c r="CT306" s="239">
        <v>-642557</v>
      </c>
      <c r="CU306" s="239">
        <v>-514046</v>
      </c>
      <c r="CV306" s="239">
        <v>-128511</v>
      </c>
      <c r="CW306" s="239">
        <v>0</v>
      </c>
      <c r="CX306" s="239">
        <v>-1285114</v>
      </c>
      <c r="CY306" s="239">
        <v>-1298266</v>
      </c>
      <c r="CZ306" s="239">
        <v>-1038613</v>
      </c>
      <c r="DA306" s="239">
        <v>-259652</v>
      </c>
      <c r="DB306" s="239">
        <v>0</v>
      </c>
      <c r="DC306" s="239">
        <v>-2596531</v>
      </c>
      <c r="DD306" s="214">
        <v>0.5</v>
      </c>
      <c r="DE306" s="214">
        <v>0.4</v>
      </c>
      <c r="DF306" s="214">
        <v>0.1</v>
      </c>
      <c r="DG306" s="214">
        <v>0</v>
      </c>
      <c r="DH306" s="214">
        <v>1</v>
      </c>
      <c r="DI306" s="214" t="s">
        <v>1294</v>
      </c>
    </row>
    <row r="307" spans="2:113" s="214" customFormat="1" x14ac:dyDescent="0.2">
      <c r="B307" s="610" t="s">
        <v>697</v>
      </c>
      <c r="C307" s="610" t="s">
        <v>696</v>
      </c>
      <c r="D307" s="239">
        <v>28994027</v>
      </c>
      <c r="E307" s="239">
        <v>23195221</v>
      </c>
      <c r="F307" s="239">
        <v>5798805</v>
      </c>
      <c r="G307" s="239">
        <v>0</v>
      </c>
      <c r="H307" s="239">
        <v>57988053</v>
      </c>
      <c r="I307" s="239">
        <v>0</v>
      </c>
      <c r="J307" s="239">
        <v>0</v>
      </c>
      <c r="K307" s="239">
        <v>28994027</v>
      </c>
      <c r="L307" s="239">
        <v>154681</v>
      </c>
      <c r="M307" s="239">
        <v>154681</v>
      </c>
      <c r="N307" s="239">
        <v>0</v>
      </c>
      <c r="O307" s="239">
        <v>0</v>
      </c>
      <c r="P307" s="239">
        <v>0</v>
      </c>
      <c r="Q307" s="239">
        <v>0</v>
      </c>
      <c r="R307" s="239">
        <v>0</v>
      </c>
      <c r="S307" s="239">
        <v>0</v>
      </c>
      <c r="T307" s="239">
        <v>0</v>
      </c>
      <c r="U307" s="239">
        <v>0</v>
      </c>
      <c r="V307" s="239">
        <v>0</v>
      </c>
      <c r="W307" s="239">
        <v>249319</v>
      </c>
      <c r="X307" s="239">
        <v>199455</v>
      </c>
      <c r="Y307" s="239">
        <v>49864</v>
      </c>
      <c r="Z307" s="239">
        <v>0</v>
      </c>
      <c r="AA307" s="239">
        <v>498638</v>
      </c>
      <c r="AB307" s="239">
        <v>-103501</v>
      </c>
      <c r="AC307" s="239">
        <v>-82800</v>
      </c>
      <c r="AD307" s="239">
        <v>-20700</v>
      </c>
      <c r="AE307" s="239">
        <v>0</v>
      </c>
      <c r="AF307" s="239">
        <v>-207001</v>
      </c>
      <c r="AG307" s="239">
        <v>-78116.070000000007</v>
      </c>
      <c r="AH307" s="239">
        <v>-62492</v>
      </c>
      <c r="AI307" s="239">
        <v>-15624</v>
      </c>
      <c r="AJ307" s="239">
        <v>0</v>
      </c>
      <c r="AK307" s="239">
        <v>-156232.07</v>
      </c>
      <c r="AL307" s="239">
        <v>44322</v>
      </c>
      <c r="AM307" s="239">
        <v>35458</v>
      </c>
      <c r="AN307" s="239">
        <v>8865</v>
      </c>
      <c r="AO307" s="239">
        <v>0</v>
      </c>
      <c r="AP307" s="239">
        <v>88645</v>
      </c>
      <c r="AQ307" s="239">
        <v>-45617</v>
      </c>
      <c r="AR307" s="239">
        <v>-36494</v>
      </c>
      <c r="AS307" s="239">
        <v>-9124</v>
      </c>
      <c r="AT307" s="239">
        <v>0</v>
      </c>
      <c r="AU307" s="239">
        <v>-91235</v>
      </c>
      <c r="AV307" s="239">
        <v>-79411.070000000007</v>
      </c>
      <c r="AW307" s="239">
        <v>-63528</v>
      </c>
      <c r="AX307" s="239">
        <v>-15883</v>
      </c>
      <c r="AY307" s="239">
        <v>0</v>
      </c>
      <c r="AZ307" s="239">
        <v>-158822.07</v>
      </c>
      <c r="BA307" s="239">
        <v>-1407561.7</v>
      </c>
      <c r="BB307" s="239">
        <v>-1126048</v>
      </c>
      <c r="BC307" s="239">
        <v>-281512</v>
      </c>
      <c r="BD307" s="239">
        <v>0</v>
      </c>
      <c r="BE307" s="239">
        <v>-2815121.7</v>
      </c>
      <c r="BF307" s="239">
        <v>928472</v>
      </c>
      <c r="BG307" s="239">
        <v>742778</v>
      </c>
      <c r="BH307" s="239">
        <v>185694</v>
      </c>
      <c r="BI307" s="239">
        <v>0</v>
      </c>
      <c r="BJ307" s="239">
        <v>1856944</v>
      </c>
      <c r="BK307" s="239">
        <v>-1128065</v>
      </c>
      <c r="BL307" s="239">
        <v>-902452</v>
      </c>
      <c r="BM307" s="239">
        <v>-225613</v>
      </c>
      <c r="BN307" s="239">
        <v>0</v>
      </c>
      <c r="BO307" s="239">
        <v>-2256130</v>
      </c>
      <c r="BP307" s="239">
        <v>-1607154.7</v>
      </c>
      <c r="BQ307" s="239">
        <v>-1285722</v>
      </c>
      <c r="BR307" s="239">
        <v>-321431</v>
      </c>
      <c r="BS307" s="239">
        <v>0</v>
      </c>
      <c r="BT307" s="239">
        <v>-3214307.7</v>
      </c>
      <c r="BU307" s="239">
        <v>1114413</v>
      </c>
      <c r="BV307" s="239">
        <v>891530</v>
      </c>
      <c r="BW307" s="239">
        <v>222883</v>
      </c>
      <c r="BX307" s="239">
        <v>0</v>
      </c>
      <c r="BY307" s="239">
        <v>2228826</v>
      </c>
      <c r="BZ307" s="239">
        <v>569124</v>
      </c>
      <c r="CA307" s="239">
        <v>455300</v>
      </c>
      <c r="CB307" s="239">
        <v>113825</v>
      </c>
      <c r="CC307" s="239">
        <v>0</v>
      </c>
      <c r="CD307" s="239">
        <v>1138249</v>
      </c>
      <c r="CE307" s="239">
        <v>545289</v>
      </c>
      <c r="CF307" s="239">
        <v>436230</v>
      </c>
      <c r="CG307" s="239">
        <v>109058</v>
      </c>
      <c r="CH307" s="239">
        <v>0</v>
      </c>
      <c r="CI307" s="239">
        <v>1090577</v>
      </c>
      <c r="CJ307" s="239">
        <v>28838887</v>
      </c>
      <c r="CK307" s="239">
        <v>23071110</v>
      </c>
      <c r="CL307" s="239">
        <v>5767778</v>
      </c>
      <c r="CM307" s="239">
        <v>0</v>
      </c>
      <c r="CN307" s="239">
        <v>57677775</v>
      </c>
      <c r="CO307" s="239">
        <v>28994027</v>
      </c>
      <c r="CP307" s="239">
        <v>23195221</v>
      </c>
      <c r="CQ307" s="239">
        <v>5798805</v>
      </c>
      <c r="CR307" s="239">
        <v>0</v>
      </c>
      <c r="CS307" s="239">
        <v>57988053</v>
      </c>
      <c r="CT307" s="239">
        <v>155140</v>
      </c>
      <c r="CU307" s="239">
        <v>124111</v>
      </c>
      <c r="CV307" s="239">
        <v>31027</v>
      </c>
      <c r="CW307" s="239">
        <v>0</v>
      </c>
      <c r="CX307" s="239">
        <v>310278</v>
      </c>
      <c r="CY307" s="239">
        <v>700429</v>
      </c>
      <c r="CZ307" s="239">
        <v>560341</v>
      </c>
      <c r="DA307" s="239">
        <v>140085</v>
      </c>
      <c r="DB307" s="239">
        <v>0</v>
      </c>
      <c r="DC307" s="239">
        <v>1400855</v>
      </c>
      <c r="DD307" s="214">
        <v>0.5</v>
      </c>
      <c r="DE307" s="214">
        <v>0.4</v>
      </c>
      <c r="DF307" s="214">
        <v>0.1</v>
      </c>
      <c r="DG307" s="214">
        <v>0</v>
      </c>
      <c r="DH307" s="214">
        <v>1</v>
      </c>
      <c r="DI307" s="214" t="s">
        <v>1294</v>
      </c>
    </row>
    <row r="308" spans="2:113" s="214" customFormat="1" x14ac:dyDescent="0.2">
      <c r="B308" s="610" t="s">
        <v>699</v>
      </c>
      <c r="C308" s="610" t="s">
        <v>698</v>
      </c>
      <c r="D308" s="239">
        <v>42122001</v>
      </c>
      <c r="E308" s="239">
        <v>41279561</v>
      </c>
      <c r="F308" s="239">
        <v>0</v>
      </c>
      <c r="G308" s="239">
        <v>842440</v>
      </c>
      <c r="H308" s="239">
        <v>84244002</v>
      </c>
      <c r="I308" s="239">
        <v>0</v>
      </c>
      <c r="J308" s="239">
        <v>0</v>
      </c>
      <c r="K308" s="239">
        <v>42122001</v>
      </c>
      <c r="L308" s="239">
        <v>258585</v>
      </c>
      <c r="M308" s="239">
        <v>258585</v>
      </c>
      <c r="N308" s="239">
        <v>0</v>
      </c>
      <c r="O308" s="239">
        <v>0</v>
      </c>
      <c r="P308" s="239">
        <v>0</v>
      </c>
      <c r="Q308" s="239">
        <v>0</v>
      </c>
      <c r="R308" s="239">
        <v>0</v>
      </c>
      <c r="S308" s="239">
        <v>0</v>
      </c>
      <c r="T308" s="239">
        <v>0</v>
      </c>
      <c r="U308" s="239">
        <v>0</v>
      </c>
      <c r="V308" s="239">
        <v>0</v>
      </c>
      <c r="W308" s="239">
        <v>1225798</v>
      </c>
      <c r="X308" s="239">
        <v>1201283</v>
      </c>
      <c r="Y308" s="239">
        <v>0</v>
      </c>
      <c r="Z308" s="239">
        <v>24516</v>
      </c>
      <c r="AA308" s="239">
        <v>2451597</v>
      </c>
      <c r="AB308" s="239">
        <v>-823255</v>
      </c>
      <c r="AC308" s="239">
        <v>-806790</v>
      </c>
      <c r="AD308" s="239">
        <v>0</v>
      </c>
      <c r="AE308" s="239">
        <v>-16465</v>
      </c>
      <c r="AF308" s="239">
        <v>-1646510</v>
      </c>
      <c r="AG308" s="239">
        <v>-375000</v>
      </c>
      <c r="AH308" s="239">
        <v>-367500</v>
      </c>
      <c r="AI308" s="239">
        <v>0</v>
      </c>
      <c r="AJ308" s="239">
        <v>-7500</v>
      </c>
      <c r="AK308" s="239">
        <v>-750000</v>
      </c>
      <c r="AL308" s="239">
        <v>102957</v>
      </c>
      <c r="AM308" s="239">
        <v>100898</v>
      </c>
      <c r="AN308" s="239">
        <v>0</v>
      </c>
      <c r="AO308" s="239">
        <v>2059</v>
      </c>
      <c r="AP308" s="239">
        <v>205914</v>
      </c>
      <c r="AQ308" s="239">
        <v>0</v>
      </c>
      <c r="AR308" s="239">
        <v>0</v>
      </c>
      <c r="AS308" s="239">
        <v>0</v>
      </c>
      <c r="AT308" s="239">
        <v>0</v>
      </c>
      <c r="AU308" s="239">
        <v>0</v>
      </c>
      <c r="AV308" s="239">
        <v>-272043</v>
      </c>
      <c r="AW308" s="239">
        <v>-266602</v>
      </c>
      <c r="AX308" s="239">
        <v>0</v>
      </c>
      <c r="AY308" s="239">
        <v>-5441</v>
      </c>
      <c r="AZ308" s="239">
        <v>-544086</v>
      </c>
      <c r="BA308" s="239">
        <v>-3839500</v>
      </c>
      <c r="BB308" s="239">
        <v>-3762710</v>
      </c>
      <c r="BC308" s="239">
        <v>0</v>
      </c>
      <c r="BD308" s="239">
        <v>-76790</v>
      </c>
      <c r="BE308" s="239">
        <v>-7679000</v>
      </c>
      <c r="BF308" s="239">
        <v>3839500</v>
      </c>
      <c r="BG308" s="239">
        <v>3762710</v>
      </c>
      <c r="BH308" s="239">
        <v>0</v>
      </c>
      <c r="BI308" s="239">
        <v>76790</v>
      </c>
      <c r="BJ308" s="239">
        <v>7679000</v>
      </c>
      <c r="BK308" s="239">
        <v>-950000</v>
      </c>
      <c r="BL308" s="239">
        <v>-931000</v>
      </c>
      <c r="BM308" s="239">
        <v>0</v>
      </c>
      <c r="BN308" s="239">
        <v>-19000</v>
      </c>
      <c r="BO308" s="239">
        <v>-1900000</v>
      </c>
      <c r="BP308" s="239">
        <v>-950000</v>
      </c>
      <c r="BQ308" s="239">
        <v>-931000</v>
      </c>
      <c r="BR308" s="239">
        <v>0</v>
      </c>
      <c r="BS308" s="239">
        <v>-19000</v>
      </c>
      <c r="BT308" s="239">
        <v>-1900000</v>
      </c>
      <c r="BU308" s="239">
        <v>-3436655</v>
      </c>
      <c r="BV308" s="239">
        <v>-3367921</v>
      </c>
      <c r="BW308" s="239">
        <v>0</v>
      </c>
      <c r="BX308" s="239">
        <v>-68733</v>
      </c>
      <c r="BY308" s="239">
        <v>-6873309</v>
      </c>
      <c r="BZ308" s="239">
        <v>191720</v>
      </c>
      <c r="CA308" s="239">
        <v>187886</v>
      </c>
      <c r="CB308" s="239">
        <v>0</v>
      </c>
      <c r="CC308" s="239">
        <v>3834</v>
      </c>
      <c r="CD308" s="239">
        <v>383440</v>
      </c>
      <c r="CE308" s="239">
        <v>-3628375</v>
      </c>
      <c r="CF308" s="239">
        <v>-3555807</v>
      </c>
      <c r="CG308" s="239">
        <v>0</v>
      </c>
      <c r="CH308" s="239">
        <v>-72567</v>
      </c>
      <c r="CI308" s="239">
        <v>-7256749</v>
      </c>
      <c r="CJ308" s="239">
        <v>40895305</v>
      </c>
      <c r="CK308" s="239">
        <v>40077398</v>
      </c>
      <c r="CL308" s="239">
        <v>0</v>
      </c>
      <c r="CM308" s="239">
        <v>817906</v>
      </c>
      <c r="CN308" s="239">
        <v>81790609</v>
      </c>
      <c r="CO308" s="239">
        <v>42122001</v>
      </c>
      <c r="CP308" s="239">
        <v>41279561</v>
      </c>
      <c r="CQ308" s="239">
        <v>0</v>
      </c>
      <c r="CR308" s="239">
        <v>842440</v>
      </c>
      <c r="CS308" s="239">
        <v>84244002</v>
      </c>
      <c r="CT308" s="239">
        <v>1226696</v>
      </c>
      <c r="CU308" s="239">
        <v>1202163</v>
      </c>
      <c r="CV308" s="239">
        <v>0</v>
      </c>
      <c r="CW308" s="239">
        <v>24534</v>
      </c>
      <c r="CX308" s="239">
        <v>2453393</v>
      </c>
      <c r="CY308" s="239">
        <v>-2401679</v>
      </c>
      <c r="CZ308" s="239">
        <v>-2353644</v>
      </c>
      <c r="DA308" s="239">
        <v>0</v>
      </c>
      <c r="DB308" s="239">
        <v>-48033</v>
      </c>
      <c r="DC308" s="239">
        <v>-4803356</v>
      </c>
      <c r="DD308" s="214">
        <v>0.5</v>
      </c>
      <c r="DE308" s="214">
        <v>0.49</v>
      </c>
      <c r="DF308" s="214">
        <v>0</v>
      </c>
      <c r="DG308" s="214">
        <v>0.01</v>
      </c>
      <c r="DH308" s="214">
        <v>1</v>
      </c>
      <c r="DI308" s="214" t="s">
        <v>748</v>
      </c>
    </row>
    <row r="309" spans="2:113" s="214" customFormat="1" x14ac:dyDescent="0.2">
      <c r="B309" s="610" t="s">
        <v>701</v>
      </c>
      <c r="C309" s="610" t="s">
        <v>700</v>
      </c>
      <c r="D309" s="239">
        <v>4652803</v>
      </c>
      <c r="E309" s="239">
        <v>3722242</v>
      </c>
      <c r="F309" s="239">
        <v>837504</v>
      </c>
      <c r="G309" s="239">
        <v>93056</v>
      </c>
      <c r="H309" s="239">
        <v>9305605</v>
      </c>
      <c r="I309" s="239">
        <v>0</v>
      </c>
      <c r="J309" s="239">
        <v>0</v>
      </c>
      <c r="K309" s="239">
        <v>4652803</v>
      </c>
      <c r="L309" s="239">
        <v>83914</v>
      </c>
      <c r="M309" s="239">
        <v>83914</v>
      </c>
      <c r="N309" s="239">
        <v>0</v>
      </c>
      <c r="O309" s="239">
        <v>0</v>
      </c>
      <c r="P309" s="239">
        <v>0</v>
      </c>
      <c r="Q309" s="239">
        <v>0</v>
      </c>
      <c r="R309" s="239">
        <v>0</v>
      </c>
      <c r="S309" s="239">
        <v>0</v>
      </c>
      <c r="T309" s="239">
        <v>0</v>
      </c>
      <c r="U309" s="239">
        <v>0</v>
      </c>
      <c r="V309" s="239">
        <v>0</v>
      </c>
      <c r="W309" s="239">
        <v>324442</v>
      </c>
      <c r="X309" s="239">
        <v>259553</v>
      </c>
      <c r="Y309" s="239">
        <v>58399</v>
      </c>
      <c r="Z309" s="239">
        <v>6489</v>
      </c>
      <c r="AA309" s="239">
        <v>648883</v>
      </c>
      <c r="AB309" s="239">
        <v>-126403</v>
      </c>
      <c r="AC309" s="239">
        <v>-101122</v>
      </c>
      <c r="AD309" s="239">
        <v>-22752</v>
      </c>
      <c r="AE309" s="239">
        <v>-2528</v>
      </c>
      <c r="AF309" s="239">
        <v>-252805</v>
      </c>
      <c r="AG309" s="239">
        <v>-111385</v>
      </c>
      <c r="AH309" s="239">
        <v>-89106</v>
      </c>
      <c r="AI309" s="239">
        <v>-20049</v>
      </c>
      <c r="AJ309" s="239">
        <v>-2228</v>
      </c>
      <c r="AK309" s="239">
        <v>-222768</v>
      </c>
      <c r="AL309" s="239">
        <v>24419</v>
      </c>
      <c r="AM309" s="239">
        <v>19534</v>
      </c>
      <c r="AN309" s="239">
        <v>4395</v>
      </c>
      <c r="AO309" s="239">
        <v>488</v>
      </c>
      <c r="AP309" s="239">
        <v>48836</v>
      </c>
      <c r="AQ309" s="239">
        <v>-34074</v>
      </c>
      <c r="AR309" s="239">
        <v>-27259</v>
      </c>
      <c r="AS309" s="239">
        <v>-6133</v>
      </c>
      <c r="AT309" s="239">
        <v>-681</v>
      </c>
      <c r="AU309" s="239">
        <v>-68147</v>
      </c>
      <c r="AV309" s="239">
        <v>-121040</v>
      </c>
      <c r="AW309" s="239">
        <v>-96831</v>
      </c>
      <c r="AX309" s="239">
        <v>-21787</v>
      </c>
      <c r="AY309" s="239">
        <v>-2421</v>
      </c>
      <c r="AZ309" s="239">
        <v>-242079</v>
      </c>
      <c r="BA309" s="239">
        <v>-189626</v>
      </c>
      <c r="BB309" s="239">
        <v>-151700</v>
      </c>
      <c r="BC309" s="239">
        <v>-34132</v>
      </c>
      <c r="BD309" s="239">
        <v>-3792</v>
      </c>
      <c r="BE309" s="239">
        <v>-379250</v>
      </c>
      <c r="BF309" s="239">
        <v>48147</v>
      </c>
      <c r="BG309" s="239">
        <v>38518</v>
      </c>
      <c r="BH309" s="239">
        <v>8666</v>
      </c>
      <c r="BI309" s="239">
        <v>963</v>
      </c>
      <c r="BJ309" s="239">
        <v>96294</v>
      </c>
      <c r="BK309" s="239">
        <v>-640780</v>
      </c>
      <c r="BL309" s="239">
        <v>-512624</v>
      </c>
      <c r="BM309" s="239">
        <v>-115340</v>
      </c>
      <c r="BN309" s="239">
        <v>-12816</v>
      </c>
      <c r="BO309" s="239">
        <v>-1281560</v>
      </c>
      <c r="BP309" s="239">
        <v>-782259</v>
      </c>
      <c r="BQ309" s="239">
        <v>-625806</v>
      </c>
      <c r="BR309" s="239">
        <v>-140806</v>
      </c>
      <c r="BS309" s="239">
        <v>-15645</v>
      </c>
      <c r="BT309" s="239">
        <v>-1564516</v>
      </c>
      <c r="BU309" s="239">
        <v>115796</v>
      </c>
      <c r="BV309" s="239">
        <v>92636</v>
      </c>
      <c r="BW309" s="239">
        <v>20843</v>
      </c>
      <c r="BX309" s="239">
        <v>2316</v>
      </c>
      <c r="BY309" s="239">
        <v>231591</v>
      </c>
      <c r="BZ309" s="239">
        <v>353819</v>
      </c>
      <c r="CA309" s="239">
        <v>283056</v>
      </c>
      <c r="CB309" s="239">
        <v>63688</v>
      </c>
      <c r="CC309" s="239">
        <v>7076</v>
      </c>
      <c r="CD309" s="239">
        <v>707639</v>
      </c>
      <c r="CE309" s="239">
        <v>-238023</v>
      </c>
      <c r="CF309" s="239">
        <v>-190420</v>
      </c>
      <c r="CG309" s="239">
        <v>-42845</v>
      </c>
      <c r="CH309" s="239">
        <v>-4760</v>
      </c>
      <c r="CI309" s="239">
        <v>-476048</v>
      </c>
      <c r="CJ309" s="239">
        <v>5174059</v>
      </c>
      <c r="CK309" s="239">
        <v>4139246</v>
      </c>
      <c r="CL309" s="239">
        <v>931330</v>
      </c>
      <c r="CM309" s="239">
        <v>103481</v>
      </c>
      <c r="CN309" s="239">
        <v>10348116</v>
      </c>
      <c r="CO309" s="239">
        <v>4652803</v>
      </c>
      <c r="CP309" s="239">
        <v>3722242</v>
      </c>
      <c r="CQ309" s="239">
        <v>837504</v>
      </c>
      <c r="CR309" s="239">
        <v>93056</v>
      </c>
      <c r="CS309" s="239">
        <v>9305605</v>
      </c>
      <c r="CT309" s="239">
        <v>-521256</v>
      </c>
      <c r="CU309" s="239">
        <v>-417004</v>
      </c>
      <c r="CV309" s="239">
        <v>-93826</v>
      </c>
      <c r="CW309" s="239">
        <v>-10425</v>
      </c>
      <c r="CX309" s="239">
        <v>-1042511</v>
      </c>
      <c r="CY309" s="239">
        <v>-759279</v>
      </c>
      <c r="CZ309" s="239">
        <v>-607424</v>
      </c>
      <c r="DA309" s="239">
        <v>-136671</v>
      </c>
      <c r="DB309" s="239">
        <v>-15185</v>
      </c>
      <c r="DC309" s="239">
        <v>-1518559</v>
      </c>
      <c r="DD309" s="214">
        <v>0.5</v>
      </c>
      <c r="DE309" s="214">
        <v>0.4</v>
      </c>
      <c r="DF309" s="214">
        <v>0.09</v>
      </c>
      <c r="DG309" s="214">
        <v>0.01</v>
      </c>
      <c r="DH309" s="214">
        <v>1</v>
      </c>
      <c r="DI309" s="214" t="s">
        <v>1294</v>
      </c>
    </row>
    <row r="310" spans="2:113" s="214" customFormat="1" x14ac:dyDescent="0.2">
      <c r="B310" s="610" t="s">
        <v>703</v>
      </c>
      <c r="C310" s="610" t="s">
        <v>702</v>
      </c>
      <c r="D310" s="239">
        <v>13366188</v>
      </c>
      <c r="E310" s="239">
        <v>10692951</v>
      </c>
      <c r="F310" s="239">
        <v>2405914</v>
      </c>
      <c r="G310" s="239">
        <v>267324</v>
      </c>
      <c r="H310" s="239">
        <v>26732377</v>
      </c>
      <c r="I310" s="239">
        <v>0</v>
      </c>
      <c r="J310" s="239">
        <v>0</v>
      </c>
      <c r="K310" s="239">
        <v>13366188</v>
      </c>
      <c r="L310" s="239">
        <v>208248</v>
      </c>
      <c r="M310" s="239">
        <v>208248</v>
      </c>
      <c r="N310" s="239">
        <v>0</v>
      </c>
      <c r="O310" s="239">
        <v>0</v>
      </c>
      <c r="P310" s="239">
        <v>95790</v>
      </c>
      <c r="Q310" s="239">
        <v>0</v>
      </c>
      <c r="R310" s="239">
        <v>95790</v>
      </c>
      <c r="S310" s="239">
        <v>0</v>
      </c>
      <c r="T310" s="239">
        <v>0</v>
      </c>
      <c r="U310" s="239">
        <v>0</v>
      </c>
      <c r="V310" s="239">
        <v>0</v>
      </c>
      <c r="W310" s="239">
        <v>798309</v>
      </c>
      <c r="X310" s="239">
        <v>638646</v>
      </c>
      <c r="Y310" s="239">
        <v>143695</v>
      </c>
      <c r="Z310" s="239">
        <v>15966</v>
      </c>
      <c r="AA310" s="239">
        <v>1596616</v>
      </c>
      <c r="AB310" s="239">
        <v>-317067</v>
      </c>
      <c r="AC310" s="239">
        <v>-253653</v>
      </c>
      <c r="AD310" s="239">
        <v>-57072</v>
      </c>
      <c r="AE310" s="239">
        <v>-6341</v>
      </c>
      <c r="AF310" s="239">
        <v>-634133</v>
      </c>
      <c r="AG310" s="239">
        <v>-787000</v>
      </c>
      <c r="AH310" s="239">
        <v>-629600</v>
      </c>
      <c r="AI310" s="239">
        <v>-141660</v>
      </c>
      <c r="AJ310" s="239">
        <v>-15740</v>
      </c>
      <c r="AK310" s="239">
        <v>-1574000</v>
      </c>
      <c r="AL310" s="239">
        <v>316192</v>
      </c>
      <c r="AM310" s="239">
        <v>252954</v>
      </c>
      <c r="AN310" s="239">
        <v>56915</v>
      </c>
      <c r="AO310" s="239">
        <v>6324</v>
      </c>
      <c r="AP310" s="239">
        <v>632385</v>
      </c>
      <c r="AQ310" s="239">
        <v>2808</v>
      </c>
      <c r="AR310" s="239">
        <v>2246</v>
      </c>
      <c r="AS310" s="239">
        <v>505</v>
      </c>
      <c r="AT310" s="239">
        <v>56</v>
      </c>
      <c r="AU310" s="239">
        <v>5615</v>
      </c>
      <c r="AV310" s="239">
        <v>-468000</v>
      </c>
      <c r="AW310" s="239">
        <v>-374400</v>
      </c>
      <c r="AX310" s="239">
        <v>-84240</v>
      </c>
      <c r="AY310" s="239">
        <v>-9360</v>
      </c>
      <c r="AZ310" s="239">
        <v>-936000</v>
      </c>
      <c r="BA310" s="239">
        <v>-1575708</v>
      </c>
      <c r="BB310" s="239">
        <v>-1260567</v>
      </c>
      <c r="BC310" s="239">
        <v>-283628</v>
      </c>
      <c r="BD310" s="239">
        <v>-31514</v>
      </c>
      <c r="BE310" s="239">
        <v>-3151417</v>
      </c>
      <c r="BF310" s="239">
        <v>246986</v>
      </c>
      <c r="BG310" s="239">
        <v>197588</v>
      </c>
      <c r="BH310" s="239">
        <v>44457</v>
      </c>
      <c r="BI310" s="239">
        <v>4940</v>
      </c>
      <c r="BJ310" s="239">
        <v>493971</v>
      </c>
      <c r="BK310" s="239">
        <v>-1579836</v>
      </c>
      <c r="BL310" s="239">
        <v>-1263870</v>
      </c>
      <c r="BM310" s="239">
        <v>-284371</v>
      </c>
      <c r="BN310" s="239">
        <v>-31597</v>
      </c>
      <c r="BO310" s="239">
        <v>-3159674</v>
      </c>
      <c r="BP310" s="239">
        <v>-2908558</v>
      </c>
      <c r="BQ310" s="239">
        <v>-2326849</v>
      </c>
      <c r="BR310" s="239">
        <v>-523542</v>
      </c>
      <c r="BS310" s="239">
        <v>-58171</v>
      </c>
      <c r="BT310" s="239">
        <v>-5817120</v>
      </c>
      <c r="BU310" s="239">
        <v>1016280</v>
      </c>
      <c r="BV310" s="239">
        <v>813025</v>
      </c>
      <c r="BW310" s="239">
        <v>182931</v>
      </c>
      <c r="BX310" s="239">
        <v>20326</v>
      </c>
      <c r="BY310" s="239">
        <v>2032562</v>
      </c>
      <c r="BZ310" s="239">
        <v>695443</v>
      </c>
      <c r="CA310" s="239">
        <v>556354</v>
      </c>
      <c r="CB310" s="239">
        <v>125180</v>
      </c>
      <c r="CC310" s="239">
        <v>13909</v>
      </c>
      <c r="CD310" s="239">
        <v>1390886</v>
      </c>
      <c r="CE310" s="239">
        <v>320837</v>
      </c>
      <c r="CF310" s="239">
        <v>256671</v>
      </c>
      <c r="CG310" s="239">
        <v>57751</v>
      </c>
      <c r="CH310" s="239">
        <v>6417</v>
      </c>
      <c r="CI310" s="239">
        <v>641676</v>
      </c>
      <c r="CJ310" s="239">
        <v>13708689</v>
      </c>
      <c r="CK310" s="239">
        <v>10966951</v>
      </c>
      <c r="CL310" s="239">
        <v>2467564</v>
      </c>
      <c r="CM310" s="239">
        <v>274174</v>
      </c>
      <c r="CN310" s="239">
        <v>27417378</v>
      </c>
      <c r="CO310" s="239">
        <v>13366188</v>
      </c>
      <c r="CP310" s="239">
        <v>10692951</v>
      </c>
      <c r="CQ310" s="239">
        <v>2405914</v>
      </c>
      <c r="CR310" s="239">
        <v>267324</v>
      </c>
      <c r="CS310" s="239">
        <v>26732377</v>
      </c>
      <c r="CT310" s="239">
        <v>-342501</v>
      </c>
      <c r="CU310" s="239">
        <v>-274000</v>
      </c>
      <c r="CV310" s="239">
        <v>-61650</v>
      </c>
      <c r="CW310" s="239">
        <v>-6850</v>
      </c>
      <c r="CX310" s="239">
        <v>-685001</v>
      </c>
      <c r="CY310" s="239">
        <v>-21664</v>
      </c>
      <c r="CZ310" s="239">
        <v>-17329</v>
      </c>
      <c r="DA310" s="239">
        <v>-3899</v>
      </c>
      <c r="DB310" s="239">
        <v>-433</v>
      </c>
      <c r="DC310" s="239">
        <v>-43325</v>
      </c>
      <c r="DD310" s="214">
        <v>0.5</v>
      </c>
      <c r="DE310" s="214">
        <v>0.4</v>
      </c>
      <c r="DF310" s="214">
        <v>0.09</v>
      </c>
      <c r="DG310" s="214">
        <v>0.01</v>
      </c>
      <c r="DH310" s="214">
        <v>1</v>
      </c>
      <c r="DI310" s="214" t="s">
        <v>1294</v>
      </c>
    </row>
    <row r="311" spans="2:113" s="214" customFormat="1" x14ac:dyDescent="0.2">
      <c r="B311" s="610" t="s">
        <v>705</v>
      </c>
      <c r="C311" s="610" t="s">
        <v>704</v>
      </c>
      <c r="D311" s="239">
        <v>14354492</v>
      </c>
      <c r="E311" s="239">
        <v>11483593</v>
      </c>
      <c r="F311" s="239">
        <v>2583808</v>
      </c>
      <c r="G311" s="239">
        <v>287090</v>
      </c>
      <c r="H311" s="239">
        <v>28708983</v>
      </c>
      <c r="I311" s="239">
        <v>0</v>
      </c>
      <c r="J311" s="239">
        <v>0</v>
      </c>
      <c r="K311" s="239">
        <v>14354492</v>
      </c>
      <c r="L311" s="239">
        <v>132639</v>
      </c>
      <c r="M311" s="239">
        <v>132639</v>
      </c>
      <c r="N311" s="239">
        <v>0</v>
      </c>
      <c r="O311" s="239">
        <v>0</v>
      </c>
      <c r="P311" s="239">
        <v>0</v>
      </c>
      <c r="Q311" s="239">
        <v>0</v>
      </c>
      <c r="R311" s="239">
        <v>0</v>
      </c>
      <c r="S311" s="239">
        <v>0</v>
      </c>
      <c r="T311" s="239">
        <v>0</v>
      </c>
      <c r="U311" s="239">
        <v>0</v>
      </c>
      <c r="V311" s="239">
        <v>0</v>
      </c>
      <c r="W311" s="239">
        <v>1883536</v>
      </c>
      <c r="X311" s="239">
        <v>1506830</v>
      </c>
      <c r="Y311" s="239">
        <v>339037</v>
      </c>
      <c r="Z311" s="239">
        <v>37671</v>
      </c>
      <c r="AA311" s="239">
        <v>3767074</v>
      </c>
      <c r="AB311" s="239">
        <v>-533322</v>
      </c>
      <c r="AC311" s="239">
        <v>-426657</v>
      </c>
      <c r="AD311" s="239">
        <v>-95998</v>
      </c>
      <c r="AE311" s="239">
        <v>-10666</v>
      </c>
      <c r="AF311" s="239">
        <v>-1066643</v>
      </c>
      <c r="AG311" s="239">
        <v>-748631</v>
      </c>
      <c r="AH311" s="239">
        <v>-598906</v>
      </c>
      <c r="AI311" s="239">
        <v>-134755</v>
      </c>
      <c r="AJ311" s="239">
        <v>-14973</v>
      </c>
      <c r="AK311" s="239">
        <v>-1497265</v>
      </c>
      <c r="AL311" s="239">
        <v>400844</v>
      </c>
      <c r="AM311" s="239">
        <v>320675</v>
      </c>
      <c r="AN311" s="239">
        <v>72152</v>
      </c>
      <c r="AO311" s="239">
        <v>8017</v>
      </c>
      <c r="AP311" s="239">
        <v>801688</v>
      </c>
      <c r="AQ311" s="239">
        <v>-240541</v>
      </c>
      <c r="AR311" s="239">
        <v>-192432</v>
      </c>
      <c r="AS311" s="239">
        <v>-43297</v>
      </c>
      <c r="AT311" s="239">
        <v>-4811</v>
      </c>
      <c r="AU311" s="239">
        <v>-481081</v>
      </c>
      <c r="AV311" s="239">
        <v>-588328</v>
      </c>
      <c r="AW311" s="239">
        <v>-470663</v>
      </c>
      <c r="AX311" s="239">
        <v>-105900</v>
      </c>
      <c r="AY311" s="239">
        <v>-11767</v>
      </c>
      <c r="AZ311" s="239">
        <v>-1176658</v>
      </c>
      <c r="BA311" s="239">
        <v>-996890</v>
      </c>
      <c r="BB311" s="239">
        <v>-797513</v>
      </c>
      <c r="BC311" s="239">
        <v>-179441</v>
      </c>
      <c r="BD311" s="239">
        <v>-19937</v>
      </c>
      <c r="BE311" s="239">
        <v>-1993781</v>
      </c>
      <c r="BF311" s="239">
        <v>0</v>
      </c>
      <c r="BG311" s="239">
        <v>0</v>
      </c>
      <c r="BH311" s="239">
        <v>0</v>
      </c>
      <c r="BI311" s="239">
        <v>0</v>
      </c>
      <c r="BJ311" s="239">
        <v>0</v>
      </c>
      <c r="BK311" s="239">
        <v>-1167136</v>
      </c>
      <c r="BL311" s="239">
        <v>-933710</v>
      </c>
      <c r="BM311" s="239">
        <v>-210085</v>
      </c>
      <c r="BN311" s="239">
        <v>-23343</v>
      </c>
      <c r="BO311" s="239">
        <v>-2334274</v>
      </c>
      <c r="BP311" s="239">
        <v>-2164026</v>
      </c>
      <c r="BQ311" s="239">
        <v>-1731223</v>
      </c>
      <c r="BR311" s="239">
        <v>-389526</v>
      </c>
      <c r="BS311" s="239">
        <v>-43280</v>
      </c>
      <c r="BT311" s="239">
        <v>-4328055</v>
      </c>
      <c r="BU311" s="239">
        <v>-1291741</v>
      </c>
      <c r="BV311" s="239">
        <v>-1033392</v>
      </c>
      <c r="BW311" s="239">
        <v>-232513</v>
      </c>
      <c r="BX311" s="239">
        <v>-25835</v>
      </c>
      <c r="BY311" s="239">
        <v>-2583481</v>
      </c>
      <c r="BZ311" s="239">
        <v>-777141</v>
      </c>
      <c r="CA311" s="239">
        <v>-621713</v>
      </c>
      <c r="CB311" s="239">
        <v>-139885</v>
      </c>
      <c r="CC311" s="239">
        <v>-15543</v>
      </c>
      <c r="CD311" s="239">
        <v>-1554282</v>
      </c>
      <c r="CE311" s="239">
        <v>-514600</v>
      </c>
      <c r="CF311" s="239">
        <v>-411679</v>
      </c>
      <c r="CG311" s="239">
        <v>-92628</v>
      </c>
      <c r="CH311" s="239">
        <v>-10292</v>
      </c>
      <c r="CI311" s="239">
        <v>-1029199</v>
      </c>
      <c r="CJ311" s="239">
        <v>15608592</v>
      </c>
      <c r="CK311" s="239">
        <v>12486874</v>
      </c>
      <c r="CL311" s="239">
        <v>2809547</v>
      </c>
      <c r="CM311" s="239">
        <v>312172</v>
      </c>
      <c r="CN311" s="239">
        <v>31217185</v>
      </c>
      <c r="CO311" s="239">
        <v>14354492</v>
      </c>
      <c r="CP311" s="239">
        <v>11483593</v>
      </c>
      <c r="CQ311" s="239">
        <v>2583808</v>
      </c>
      <c r="CR311" s="239">
        <v>287090</v>
      </c>
      <c r="CS311" s="239">
        <v>28708983</v>
      </c>
      <c r="CT311" s="239">
        <v>-1254100</v>
      </c>
      <c r="CU311" s="239">
        <v>-1003281</v>
      </c>
      <c r="CV311" s="239">
        <v>-225739</v>
      </c>
      <c r="CW311" s="239">
        <v>-25082</v>
      </c>
      <c r="CX311" s="239">
        <v>-2508202</v>
      </c>
      <c r="CY311" s="239">
        <v>-1768700</v>
      </c>
      <c r="CZ311" s="239">
        <v>-1414960</v>
      </c>
      <c r="DA311" s="239">
        <v>-318367</v>
      </c>
      <c r="DB311" s="239">
        <v>-35374</v>
      </c>
      <c r="DC311" s="239">
        <v>-3537401</v>
      </c>
      <c r="DD311" s="214">
        <v>0.5</v>
      </c>
      <c r="DE311" s="214">
        <v>0.4</v>
      </c>
      <c r="DF311" s="214">
        <v>0.09</v>
      </c>
      <c r="DG311" s="214">
        <v>0.01</v>
      </c>
      <c r="DH311" s="214">
        <v>1</v>
      </c>
      <c r="DI311" s="214" t="s">
        <v>1294</v>
      </c>
    </row>
    <row r="312" spans="2:113" s="214" customFormat="1" x14ac:dyDescent="0.2">
      <c r="B312" s="610" t="s">
        <v>707</v>
      </c>
      <c r="C312" s="610" t="s">
        <v>706</v>
      </c>
      <c r="D312" s="239">
        <v>6696553</v>
      </c>
      <c r="E312" s="239">
        <v>5357243</v>
      </c>
      <c r="F312" s="239">
        <v>1339311</v>
      </c>
      <c r="G312" s="239">
        <v>0</v>
      </c>
      <c r="H312" s="239">
        <v>13393107</v>
      </c>
      <c r="I312" s="239">
        <v>0</v>
      </c>
      <c r="J312" s="239">
        <v>0</v>
      </c>
      <c r="K312" s="239">
        <v>6696553</v>
      </c>
      <c r="L312" s="239">
        <v>105817</v>
      </c>
      <c r="M312" s="239">
        <v>105817</v>
      </c>
      <c r="N312" s="239">
        <v>0</v>
      </c>
      <c r="O312" s="239">
        <v>0</v>
      </c>
      <c r="P312" s="239">
        <v>20244</v>
      </c>
      <c r="Q312" s="239">
        <v>0</v>
      </c>
      <c r="R312" s="239">
        <v>20244</v>
      </c>
      <c r="S312" s="239">
        <v>0</v>
      </c>
      <c r="T312" s="239">
        <v>0</v>
      </c>
      <c r="U312" s="239">
        <v>0</v>
      </c>
      <c r="V312" s="239">
        <v>0</v>
      </c>
      <c r="W312" s="239">
        <v>71969</v>
      </c>
      <c r="X312" s="239">
        <v>57576</v>
      </c>
      <c r="Y312" s="239">
        <v>14394</v>
      </c>
      <c r="Z312" s="239">
        <v>0</v>
      </c>
      <c r="AA312" s="239">
        <v>143939</v>
      </c>
      <c r="AB312" s="239">
        <v>-183787</v>
      </c>
      <c r="AC312" s="239">
        <v>-147029</v>
      </c>
      <c r="AD312" s="239">
        <v>-36757</v>
      </c>
      <c r="AE312" s="239">
        <v>0</v>
      </c>
      <c r="AF312" s="239">
        <v>-367573</v>
      </c>
      <c r="AG312" s="239">
        <v>-152784</v>
      </c>
      <c r="AH312" s="239">
        <v>-122226</v>
      </c>
      <c r="AI312" s="239">
        <v>-30557</v>
      </c>
      <c r="AJ312" s="239">
        <v>0</v>
      </c>
      <c r="AK312" s="239">
        <v>-305567</v>
      </c>
      <c r="AL312" s="239">
        <v>42296</v>
      </c>
      <c r="AM312" s="239">
        <v>33837</v>
      </c>
      <c r="AN312" s="239">
        <v>8459</v>
      </c>
      <c r="AO312" s="239">
        <v>0</v>
      </c>
      <c r="AP312" s="239">
        <v>84592</v>
      </c>
      <c r="AQ312" s="239">
        <v>-52127</v>
      </c>
      <c r="AR312" s="239">
        <v>-41701</v>
      </c>
      <c r="AS312" s="239">
        <v>-10425</v>
      </c>
      <c r="AT312" s="239">
        <v>0</v>
      </c>
      <c r="AU312" s="239">
        <v>-104253</v>
      </c>
      <c r="AV312" s="239">
        <v>-162615</v>
      </c>
      <c r="AW312" s="239">
        <v>-130090</v>
      </c>
      <c r="AX312" s="239">
        <v>-32523</v>
      </c>
      <c r="AY312" s="239">
        <v>0</v>
      </c>
      <c r="AZ312" s="239">
        <v>-325228</v>
      </c>
      <c r="BA312" s="239">
        <v>-285000</v>
      </c>
      <c r="BB312" s="239">
        <v>-227999</v>
      </c>
      <c r="BC312" s="239">
        <v>-57001</v>
      </c>
      <c r="BD312" s="239">
        <v>0</v>
      </c>
      <c r="BE312" s="239">
        <v>-570000</v>
      </c>
      <c r="BF312" s="239">
        <v>30307</v>
      </c>
      <c r="BG312" s="239">
        <v>24245</v>
      </c>
      <c r="BH312" s="239">
        <v>6061</v>
      </c>
      <c r="BI312" s="239">
        <v>0</v>
      </c>
      <c r="BJ312" s="239">
        <v>60613</v>
      </c>
      <c r="BK312" s="239">
        <v>-716462</v>
      </c>
      <c r="BL312" s="239">
        <v>-573169</v>
      </c>
      <c r="BM312" s="239">
        <v>-143292</v>
      </c>
      <c r="BN312" s="239">
        <v>0</v>
      </c>
      <c r="BO312" s="239">
        <v>-1432923</v>
      </c>
      <c r="BP312" s="239">
        <v>-971155</v>
      </c>
      <c r="BQ312" s="239">
        <v>-776923</v>
      </c>
      <c r="BR312" s="239">
        <v>-194232</v>
      </c>
      <c r="BS312" s="239">
        <v>0</v>
      </c>
      <c r="BT312" s="239">
        <v>-1942310</v>
      </c>
      <c r="BU312" s="239">
        <v>-127661</v>
      </c>
      <c r="BV312" s="239">
        <v>-102128</v>
      </c>
      <c r="BW312" s="239">
        <v>-25532</v>
      </c>
      <c r="BX312" s="239">
        <v>0</v>
      </c>
      <c r="BY312" s="239">
        <v>-255321</v>
      </c>
      <c r="BZ312" s="239">
        <v>0</v>
      </c>
      <c r="CA312" s="239">
        <v>0</v>
      </c>
      <c r="CB312" s="239">
        <v>0</v>
      </c>
      <c r="CC312" s="239">
        <v>0</v>
      </c>
      <c r="CD312" s="239">
        <v>0</v>
      </c>
      <c r="CE312" s="239">
        <v>-127661</v>
      </c>
      <c r="CF312" s="239">
        <v>-102128</v>
      </c>
      <c r="CG312" s="239">
        <v>-25532</v>
      </c>
      <c r="CH312" s="239">
        <v>0</v>
      </c>
      <c r="CI312" s="239">
        <v>-255321</v>
      </c>
      <c r="CJ312" s="239">
        <v>8139076</v>
      </c>
      <c r="CK312" s="239">
        <v>6511260</v>
      </c>
      <c r="CL312" s="239">
        <v>1627815</v>
      </c>
      <c r="CM312" s="239">
        <v>0</v>
      </c>
      <c r="CN312" s="239">
        <v>16278151</v>
      </c>
      <c r="CO312" s="239">
        <v>6696553</v>
      </c>
      <c r="CP312" s="239">
        <v>5357243</v>
      </c>
      <c r="CQ312" s="239">
        <v>1339311</v>
      </c>
      <c r="CR312" s="239">
        <v>0</v>
      </c>
      <c r="CS312" s="239">
        <v>13393107</v>
      </c>
      <c r="CT312" s="239">
        <v>-1442523</v>
      </c>
      <c r="CU312" s="239">
        <v>-1154017</v>
      </c>
      <c r="CV312" s="239">
        <v>-288504</v>
      </c>
      <c r="CW312" s="239">
        <v>0</v>
      </c>
      <c r="CX312" s="239">
        <v>-2885044</v>
      </c>
      <c r="CY312" s="239">
        <v>-1570184</v>
      </c>
      <c r="CZ312" s="239">
        <v>-1256145</v>
      </c>
      <c r="DA312" s="239">
        <v>-314036</v>
      </c>
      <c r="DB312" s="239">
        <v>0</v>
      </c>
      <c r="DC312" s="239">
        <v>-3140365</v>
      </c>
      <c r="DD312" s="214">
        <v>0.5</v>
      </c>
      <c r="DE312" s="214">
        <v>0.4</v>
      </c>
      <c r="DF312" s="214">
        <v>0.1</v>
      </c>
      <c r="DG312" s="214">
        <v>0</v>
      </c>
      <c r="DH312" s="214">
        <v>1</v>
      </c>
      <c r="DI312" s="214" t="s">
        <v>1294</v>
      </c>
    </row>
    <row r="313" spans="2:113" s="214" customFormat="1" x14ac:dyDescent="0.2">
      <c r="B313" s="610" t="s">
        <v>709</v>
      </c>
      <c r="C313" s="610" t="s">
        <v>708</v>
      </c>
      <c r="D313" s="239">
        <v>15609517</v>
      </c>
      <c r="E313" s="239">
        <v>12487613</v>
      </c>
      <c r="F313" s="239">
        <v>3121903</v>
      </c>
      <c r="G313" s="239">
        <v>0</v>
      </c>
      <c r="H313" s="239">
        <v>31219033</v>
      </c>
      <c r="I313" s="239">
        <v>0</v>
      </c>
      <c r="J313" s="239">
        <v>0</v>
      </c>
      <c r="K313" s="239">
        <v>15609517</v>
      </c>
      <c r="L313" s="239">
        <v>163844</v>
      </c>
      <c r="M313" s="239">
        <v>163844</v>
      </c>
      <c r="N313" s="239">
        <v>0</v>
      </c>
      <c r="O313" s="239">
        <v>0</v>
      </c>
      <c r="P313" s="239">
        <v>294335</v>
      </c>
      <c r="Q313" s="239">
        <v>0</v>
      </c>
      <c r="R313" s="239">
        <v>294335</v>
      </c>
      <c r="S313" s="239">
        <v>0</v>
      </c>
      <c r="T313" s="239">
        <v>0</v>
      </c>
      <c r="U313" s="239">
        <v>0</v>
      </c>
      <c r="V313" s="239">
        <v>0</v>
      </c>
      <c r="W313" s="239">
        <v>367806</v>
      </c>
      <c r="X313" s="239">
        <v>294244</v>
      </c>
      <c r="Y313" s="239">
        <v>73561</v>
      </c>
      <c r="Z313" s="239">
        <v>0</v>
      </c>
      <c r="AA313" s="239">
        <v>735611</v>
      </c>
      <c r="AB313" s="239">
        <v>-112634</v>
      </c>
      <c r="AC313" s="239">
        <v>-90107</v>
      </c>
      <c r="AD313" s="239">
        <v>-22527</v>
      </c>
      <c r="AE313" s="239">
        <v>0</v>
      </c>
      <c r="AF313" s="239">
        <v>-225268</v>
      </c>
      <c r="AG313" s="239">
        <v>-205538</v>
      </c>
      <c r="AH313" s="239">
        <v>-164430</v>
      </c>
      <c r="AI313" s="239">
        <v>-41108</v>
      </c>
      <c r="AJ313" s="239">
        <v>0</v>
      </c>
      <c r="AK313" s="239">
        <v>-411076</v>
      </c>
      <c r="AL313" s="239">
        <v>33649</v>
      </c>
      <c r="AM313" s="239">
        <v>26920</v>
      </c>
      <c r="AN313" s="239">
        <v>6730</v>
      </c>
      <c r="AO313" s="239">
        <v>0</v>
      </c>
      <c r="AP313" s="239">
        <v>67299</v>
      </c>
      <c r="AQ313" s="239">
        <v>50486</v>
      </c>
      <c r="AR313" s="239">
        <v>40389</v>
      </c>
      <c r="AS313" s="239">
        <v>10097</v>
      </c>
      <c r="AT313" s="239">
        <v>0</v>
      </c>
      <c r="AU313" s="239">
        <v>100972</v>
      </c>
      <c r="AV313" s="239">
        <v>-121403</v>
      </c>
      <c r="AW313" s="239">
        <v>-97121</v>
      </c>
      <c r="AX313" s="239">
        <v>-24281</v>
      </c>
      <c r="AY313" s="239">
        <v>0</v>
      </c>
      <c r="AZ313" s="239">
        <v>-242805</v>
      </c>
      <c r="BA313" s="239">
        <v>-1427245</v>
      </c>
      <c r="BB313" s="239">
        <v>-1141795</v>
      </c>
      <c r="BC313" s="239">
        <v>-285448</v>
      </c>
      <c r="BD313" s="239">
        <v>0</v>
      </c>
      <c r="BE313" s="239">
        <v>-2854488</v>
      </c>
      <c r="BF313" s="239">
        <v>160296</v>
      </c>
      <c r="BG313" s="239">
        <v>128236</v>
      </c>
      <c r="BH313" s="239">
        <v>32059</v>
      </c>
      <c r="BI313" s="239">
        <v>0</v>
      </c>
      <c r="BJ313" s="239">
        <v>320591</v>
      </c>
      <c r="BK313" s="239">
        <v>-252503</v>
      </c>
      <c r="BL313" s="239">
        <v>-202002</v>
      </c>
      <c r="BM313" s="239">
        <v>-50501</v>
      </c>
      <c r="BN313" s="239">
        <v>0</v>
      </c>
      <c r="BO313" s="239">
        <v>-505006</v>
      </c>
      <c r="BP313" s="239">
        <v>-1519452</v>
      </c>
      <c r="BQ313" s="239">
        <v>-1215561</v>
      </c>
      <c r="BR313" s="239">
        <v>-303890</v>
      </c>
      <c r="BS313" s="239">
        <v>0</v>
      </c>
      <c r="BT313" s="239">
        <v>-3038903</v>
      </c>
      <c r="BU313" s="239">
        <v>-387026</v>
      </c>
      <c r="BV313" s="239">
        <v>-309621</v>
      </c>
      <c r="BW313" s="239">
        <v>-77405</v>
      </c>
      <c r="BX313" s="239">
        <v>0</v>
      </c>
      <c r="BY313" s="239">
        <v>-774052</v>
      </c>
      <c r="BZ313" s="239">
        <v>220955</v>
      </c>
      <c r="CA313" s="239">
        <v>176764</v>
      </c>
      <c r="CB313" s="239">
        <v>44191</v>
      </c>
      <c r="CC313" s="239">
        <v>0</v>
      </c>
      <c r="CD313" s="239">
        <v>441910</v>
      </c>
      <c r="CE313" s="239">
        <v>-607981</v>
      </c>
      <c r="CF313" s="239">
        <v>-486385</v>
      </c>
      <c r="CG313" s="239">
        <v>-121596</v>
      </c>
      <c r="CH313" s="239">
        <v>0</v>
      </c>
      <c r="CI313" s="239">
        <v>-1215962</v>
      </c>
      <c r="CJ313" s="239">
        <v>16625797</v>
      </c>
      <c r="CK313" s="239">
        <v>13300638</v>
      </c>
      <c r="CL313" s="239">
        <v>3325159</v>
      </c>
      <c r="CM313" s="239">
        <v>0</v>
      </c>
      <c r="CN313" s="239">
        <v>33251594</v>
      </c>
      <c r="CO313" s="239">
        <v>15609517</v>
      </c>
      <c r="CP313" s="239">
        <v>12487613</v>
      </c>
      <c r="CQ313" s="239">
        <v>3121903</v>
      </c>
      <c r="CR313" s="239">
        <v>0</v>
      </c>
      <c r="CS313" s="239">
        <v>31219033</v>
      </c>
      <c r="CT313" s="239">
        <v>-1016280</v>
      </c>
      <c r="CU313" s="239">
        <v>-813025</v>
      </c>
      <c r="CV313" s="239">
        <v>-203256</v>
      </c>
      <c r="CW313" s="239">
        <v>0</v>
      </c>
      <c r="CX313" s="239">
        <v>-2032561</v>
      </c>
      <c r="CY313" s="239">
        <v>-1624261</v>
      </c>
      <c r="CZ313" s="239">
        <v>-1299410</v>
      </c>
      <c r="DA313" s="239">
        <v>-324852</v>
      </c>
      <c r="DB313" s="239">
        <v>0</v>
      </c>
      <c r="DC313" s="239">
        <v>-3248523</v>
      </c>
      <c r="DD313" s="214">
        <v>0.5</v>
      </c>
      <c r="DE313" s="214">
        <v>0.4</v>
      </c>
      <c r="DF313" s="214">
        <v>0.1</v>
      </c>
      <c r="DG313" s="214">
        <v>0</v>
      </c>
      <c r="DH313" s="214">
        <v>1</v>
      </c>
      <c r="DI313" s="214" t="s">
        <v>1294</v>
      </c>
    </row>
    <row r="314" spans="2:113" s="214" customFormat="1" x14ac:dyDescent="0.2">
      <c r="B314" s="610" t="s">
        <v>711</v>
      </c>
      <c r="C314" s="610" t="s">
        <v>710</v>
      </c>
      <c r="D314" s="239">
        <v>4909002</v>
      </c>
      <c r="E314" s="239">
        <v>3927202</v>
      </c>
      <c r="F314" s="239">
        <v>883620</v>
      </c>
      <c r="G314" s="239">
        <v>98180</v>
      </c>
      <c r="H314" s="239">
        <v>9818004</v>
      </c>
      <c r="I314" s="239">
        <v>0</v>
      </c>
      <c r="J314" s="239">
        <v>0</v>
      </c>
      <c r="K314" s="239">
        <v>4909002</v>
      </c>
      <c r="L314" s="239">
        <v>74735</v>
      </c>
      <c r="M314" s="239">
        <v>74735</v>
      </c>
      <c r="N314" s="239">
        <v>0</v>
      </c>
      <c r="O314" s="239">
        <v>0</v>
      </c>
      <c r="P314" s="239">
        <v>26745</v>
      </c>
      <c r="Q314" s="239">
        <v>0</v>
      </c>
      <c r="R314" s="239">
        <v>26745</v>
      </c>
      <c r="S314" s="239">
        <v>0</v>
      </c>
      <c r="T314" s="239">
        <v>0</v>
      </c>
      <c r="U314" s="239">
        <v>0</v>
      </c>
      <c r="V314" s="239">
        <v>0</v>
      </c>
      <c r="W314" s="239">
        <v>292825</v>
      </c>
      <c r="X314" s="239">
        <v>234260</v>
      </c>
      <c r="Y314" s="239">
        <v>52709</v>
      </c>
      <c r="Z314" s="239">
        <v>5857</v>
      </c>
      <c r="AA314" s="239">
        <v>585651</v>
      </c>
      <c r="AB314" s="239">
        <v>-127984</v>
      </c>
      <c r="AC314" s="239">
        <v>-102388</v>
      </c>
      <c r="AD314" s="239">
        <v>-23037</v>
      </c>
      <c r="AE314" s="239">
        <v>-2560</v>
      </c>
      <c r="AF314" s="239">
        <v>-255969</v>
      </c>
      <c r="AG314" s="239">
        <v>-42500</v>
      </c>
      <c r="AH314" s="239">
        <v>-34000</v>
      </c>
      <c r="AI314" s="239">
        <v>-7650</v>
      </c>
      <c r="AJ314" s="239">
        <v>-850</v>
      </c>
      <c r="AK314" s="239">
        <v>-85000</v>
      </c>
      <c r="AL314" s="239">
        <v>13493</v>
      </c>
      <c r="AM314" s="239">
        <v>10795</v>
      </c>
      <c r="AN314" s="239">
        <v>2429</v>
      </c>
      <c r="AO314" s="239">
        <v>270</v>
      </c>
      <c r="AP314" s="239">
        <v>26987</v>
      </c>
      <c r="AQ314" s="239">
        <v>-40993</v>
      </c>
      <c r="AR314" s="239">
        <v>-32795</v>
      </c>
      <c r="AS314" s="239">
        <v>-7379</v>
      </c>
      <c r="AT314" s="239">
        <v>-820</v>
      </c>
      <c r="AU314" s="239">
        <v>-81987</v>
      </c>
      <c r="AV314" s="239">
        <v>-70000</v>
      </c>
      <c r="AW314" s="239">
        <v>-56000</v>
      </c>
      <c r="AX314" s="239">
        <v>-12600</v>
      </c>
      <c r="AY314" s="239">
        <v>-1400</v>
      </c>
      <c r="AZ314" s="239">
        <v>-140000</v>
      </c>
      <c r="BA314" s="239">
        <v>-3973021</v>
      </c>
      <c r="BB314" s="239">
        <v>-3178416</v>
      </c>
      <c r="BC314" s="239">
        <v>-715144</v>
      </c>
      <c r="BD314" s="239">
        <v>-79460</v>
      </c>
      <c r="BE314" s="239">
        <v>-7946041</v>
      </c>
      <c r="BF314" s="239">
        <v>3614399</v>
      </c>
      <c r="BG314" s="239">
        <v>2891519</v>
      </c>
      <c r="BH314" s="239">
        <v>650592</v>
      </c>
      <c r="BI314" s="239">
        <v>72288</v>
      </c>
      <c r="BJ314" s="239">
        <v>7228798</v>
      </c>
      <c r="BK314" s="239">
        <v>-575136</v>
      </c>
      <c r="BL314" s="239">
        <v>-460110</v>
      </c>
      <c r="BM314" s="239">
        <v>-103525</v>
      </c>
      <c r="BN314" s="239">
        <v>-11503</v>
      </c>
      <c r="BO314" s="239">
        <v>-1150274</v>
      </c>
      <c r="BP314" s="239">
        <v>-933758</v>
      </c>
      <c r="BQ314" s="239">
        <v>-747007</v>
      </c>
      <c r="BR314" s="239">
        <v>-168077</v>
      </c>
      <c r="BS314" s="239">
        <v>-18675</v>
      </c>
      <c r="BT314" s="239">
        <v>-1867517</v>
      </c>
      <c r="BU314" s="239">
        <v>-3006414</v>
      </c>
      <c r="BV314" s="239">
        <v>-2405130</v>
      </c>
      <c r="BW314" s="239">
        <v>-541154</v>
      </c>
      <c r="BX314" s="239">
        <v>-60128</v>
      </c>
      <c r="BY314" s="239">
        <v>-6012826</v>
      </c>
      <c r="BZ314" s="239">
        <v>-187410</v>
      </c>
      <c r="CA314" s="239">
        <v>-149928</v>
      </c>
      <c r="CB314" s="239">
        <v>-33734</v>
      </c>
      <c r="CC314" s="239">
        <v>-3748</v>
      </c>
      <c r="CD314" s="239">
        <v>-374820</v>
      </c>
      <c r="CE314" s="239">
        <v>-2819004</v>
      </c>
      <c r="CF314" s="239">
        <v>-2255202</v>
      </c>
      <c r="CG314" s="239">
        <v>-507420</v>
      </c>
      <c r="CH314" s="239">
        <v>-56380</v>
      </c>
      <c r="CI314" s="239">
        <v>-5638006</v>
      </c>
      <c r="CJ314" s="239">
        <v>5759475</v>
      </c>
      <c r="CK314" s="239">
        <v>4607581</v>
      </c>
      <c r="CL314" s="239">
        <v>1036706</v>
      </c>
      <c r="CM314" s="239">
        <v>115190</v>
      </c>
      <c r="CN314" s="239">
        <v>11518952</v>
      </c>
      <c r="CO314" s="239">
        <v>4909002</v>
      </c>
      <c r="CP314" s="239">
        <v>3927202</v>
      </c>
      <c r="CQ314" s="239">
        <v>883620</v>
      </c>
      <c r="CR314" s="239">
        <v>98180</v>
      </c>
      <c r="CS314" s="239">
        <v>9818004</v>
      </c>
      <c r="CT314" s="239">
        <v>-850473</v>
      </c>
      <c r="CU314" s="239">
        <v>-680379</v>
      </c>
      <c r="CV314" s="239">
        <v>-153086</v>
      </c>
      <c r="CW314" s="239">
        <v>-17010</v>
      </c>
      <c r="CX314" s="239">
        <v>-1700948</v>
      </c>
      <c r="CY314" s="239">
        <v>-3669477</v>
      </c>
      <c r="CZ314" s="239">
        <v>-2935581</v>
      </c>
      <c r="DA314" s="239">
        <v>-660506</v>
      </c>
      <c r="DB314" s="239">
        <v>-73390</v>
      </c>
      <c r="DC314" s="239">
        <v>-7338954</v>
      </c>
      <c r="DD314" s="214">
        <v>0.5</v>
      </c>
      <c r="DE314" s="214">
        <v>0.4</v>
      </c>
      <c r="DF314" s="214">
        <v>0.09</v>
      </c>
      <c r="DG314" s="214">
        <v>0.01</v>
      </c>
      <c r="DH314" s="214">
        <v>1</v>
      </c>
      <c r="DI314" s="214" t="s">
        <v>1294</v>
      </c>
    </row>
    <row r="315" spans="2:113" s="214" customFormat="1" x14ac:dyDescent="0.2">
      <c r="B315" s="610" t="s">
        <v>713</v>
      </c>
      <c r="C315" s="610" t="s">
        <v>712</v>
      </c>
      <c r="D315" s="239">
        <v>798557731</v>
      </c>
      <c r="E315" s="239">
        <v>479134639</v>
      </c>
      <c r="F315" s="239">
        <v>319423092</v>
      </c>
      <c r="G315" s="239">
        <v>0</v>
      </c>
      <c r="H315" s="239">
        <v>1597115462</v>
      </c>
      <c r="I315" s="239">
        <v>0</v>
      </c>
      <c r="J315" s="239">
        <v>0</v>
      </c>
      <c r="K315" s="239">
        <v>798557731</v>
      </c>
      <c r="L315" s="239">
        <v>3129174</v>
      </c>
      <c r="M315" s="239">
        <v>3129174</v>
      </c>
      <c r="N315" s="239">
        <v>0</v>
      </c>
      <c r="O315" s="239">
        <v>0</v>
      </c>
      <c r="P315" s="239">
        <v>0</v>
      </c>
      <c r="Q315" s="239">
        <v>0</v>
      </c>
      <c r="R315" s="239">
        <v>0</v>
      </c>
      <c r="S315" s="239">
        <v>0</v>
      </c>
      <c r="T315" s="239">
        <v>0</v>
      </c>
      <c r="U315" s="239">
        <v>0</v>
      </c>
      <c r="V315" s="239">
        <v>0</v>
      </c>
      <c r="W315" s="239">
        <v>23695155</v>
      </c>
      <c r="X315" s="239">
        <v>14217093</v>
      </c>
      <c r="Y315" s="239">
        <v>9478062</v>
      </c>
      <c r="Z315" s="239">
        <v>0</v>
      </c>
      <c r="AA315" s="239">
        <v>47390310</v>
      </c>
      <c r="AB315" s="239">
        <v>-58093098</v>
      </c>
      <c r="AC315" s="239">
        <v>-34855859</v>
      </c>
      <c r="AD315" s="239">
        <v>-23237239</v>
      </c>
      <c r="AE315" s="239">
        <v>0</v>
      </c>
      <c r="AF315" s="239">
        <v>-116186196</v>
      </c>
      <c r="AG315" s="239">
        <v>-15499822</v>
      </c>
      <c r="AH315" s="239">
        <v>-9299894</v>
      </c>
      <c r="AI315" s="239">
        <v>-6199929</v>
      </c>
      <c r="AJ315" s="239">
        <v>0</v>
      </c>
      <c r="AK315" s="239">
        <v>-30999645</v>
      </c>
      <c r="AL315" s="239">
        <v>0</v>
      </c>
      <c r="AM315" s="239">
        <v>0</v>
      </c>
      <c r="AN315" s="239">
        <v>0</v>
      </c>
      <c r="AO315" s="239">
        <v>0</v>
      </c>
      <c r="AP315" s="239">
        <v>0</v>
      </c>
      <c r="AQ315" s="239">
        <v>100000</v>
      </c>
      <c r="AR315" s="239">
        <v>60000</v>
      </c>
      <c r="AS315" s="239">
        <v>40000</v>
      </c>
      <c r="AT315" s="239">
        <v>0</v>
      </c>
      <c r="AU315" s="239">
        <v>200000</v>
      </c>
      <c r="AV315" s="239">
        <v>-15399822</v>
      </c>
      <c r="AW315" s="239">
        <v>-9239894</v>
      </c>
      <c r="AX315" s="239">
        <v>-6159929</v>
      </c>
      <c r="AY315" s="239">
        <v>0</v>
      </c>
      <c r="AZ315" s="239">
        <v>-30799645</v>
      </c>
      <c r="BA315" s="239">
        <v>-148500000</v>
      </c>
      <c r="BB315" s="239">
        <v>-89100000</v>
      </c>
      <c r="BC315" s="239">
        <v>-59400000</v>
      </c>
      <c r="BD315" s="239">
        <v>0</v>
      </c>
      <c r="BE315" s="239">
        <v>-297000000</v>
      </c>
      <c r="BF315" s="239">
        <v>0</v>
      </c>
      <c r="BG315" s="239">
        <v>0</v>
      </c>
      <c r="BH315" s="239">
        <v>0</v>
      </c>
      <c r="BI315" s="239">
        <v>0</v>
      </c>
      <c r="BJ315" s="239">
        <v>0</v>
      </c>
      <c r="BK315" s="239">
        <v>-48000000</v>
      </c>
      <c r="BL315" s="239">
        <v>-28800000</v>
      </c>
      <c r="BM315" s="239">
        <v>-19200000</v>
      </c>
      <c r="BN315" s="239">
        <v>0</v>
      </c>
      <c r="BO315" s="239">
        <v>-96000000</v>
      </c>
      <c r="BP315" s="239">
        <v>-196500000</v>
      </c>
      <c r="BQ315" s="239">
        <v>-117900000</v>
      </c>
      <c r="BR315" s="239">
        <v>-78600000</v>
      </c>
      <c r="BS315" s="239">
        <v>0</v>
      </c>
      <c r="BT315" s="239">
        <v>-393000000</v>
      </c>
      <c r="BU315" s="239">
        <v>-104825695.60100031</v>
      </c>
      <c r="BV315" s="239">
        <v>-62895417</v>
      </c>
      <c r="BW315" s="239">
        <v>-41930278</v>
      </c>
      <c r="BX315" s="239">
        <v>0</v>
      </c>
      <c r="BY315" s="239">
        <v>-209651390.60100031</v>
      </c>
      <c r="BZ315" s="239">
        <v>-265882</v>
      </c>
      <c r="CA315" s="239">
        <v>-159529</v>
      </c>
      <c r="CB315" s="239">
        <v>-106353</v>
      </c>
      <c r="CC315" s="239">
        <v>0</v>
      </c>
      <c r="CD315" s="239">
        <v>-531764</v>
      </c>
      <c r="CE315" s="239">
        <v>-104559813.60100031</v>
      </c>
      <c r="CF315" s="239">
        <v>-62735888</v>
      </c>
      <c r="CG315" s="239">
        <v>-41823925</v>
      </c>
      <c r="CH315" s="239">
        <v>0</v>
      </c>
      <c r="CI315" s="239">
        <v>-209119626.60100031</v>
      </c>
      <c r="CJ315" s="239">
        <v>903242352</v>
      </c>
      <c r="CK315" s="239">
        <v>541945412</v>
      </c>
      <c r="CL315" s="239">
        <v>361296941</v>
      </c>
      <c r="CM315" s="239">
        <v>0</v>
      </c>
      <c r="CN315" s="239">
        <v>1806484705</v>
      </c>
      <c r="CO315" s="239">
        <v>798557731</v>
      </c>
      <c r="CP315" s="239">
        <v>479134639</v>
      </c>
      <c r="CQ315" s="239">
        <v>319423092</v>
      </c>
      <c r="CR315" s="239">
        <v>0</v>
      </c>
      <c r="CS315" s="239">
        <v>1597115462</v>
      </c>
      <c r="CT315" s="239">
        <v>-104684621</v>
      </c>
      <c r="CU315" s="239">
        <v>-62810773</v>
      </c>
      <c r="CV315" s="239">
        <v>-41873849</v>
      </c>
      <c r="CW315" s="239">
        <v>0</v>
      </c>
      <c r="CX315" s="239">
        <v>-209369243</v>
      </c>
      <c r="CY315" s="239">
        <v>-209244434.60100031</v>
      </c>
      <c r="CZ315" s="239">
        <v>-125546661</v>
      </c>
      <c r="DA315" s="239">
        <v>-83697774</v>
      </c>
      <c r="DB315" s="239">
        <v>0</v>
      </c>
      <c r="DC315" s="239">
        <v>-418488869.60100031</v>
      </c>
      <c r="DD315" s="214">
        <v>0.5</v>
      </c>
      <c r="DE315" s="214">
        <v>0.3</v>
      </c>
      <c r="DF315" s="214">
        <v>0.2</v>
      </c>
      <c r="DG315" s="214">
        <v>0</v>
      </c>
      <c r="DH315" s="214">
        <v>1</v>
      </c>
      <c r="DI315" s="214" t="s">
        <v>1297</v>
      </c>
    </row>
    <row r="316" spans="2:113" s="214" customFormat="1" x14ac:dyDescent="0.2">
      <c r="B316" s="610" t="s">
        <v>715</v>
      </c>
      <c r="C316" s="610" t="s">
        <v>714</v>
      </c>
      <c r="D316" s="239">
        <v>7634548</v>
      </c>
      <c r="E316" s="239">
        <v>6107639</v>
      </c>
      <c r="F316" s="239">
        <v>1374219</v>
      </c>
      <c r="G316" s="239">
        <v>152691</v>
      </c>
      <c r="H316" s="239">
        <v>15269097</v>
      </c>
      <c r="I316" s="239">
        <v>0</v>
      </c>
      <c r="J316" s="239">
        <v>0</v>
      </c>
      <c r="K316" s="239">
        <v>7634548</v>
      </c>
      <c r="L316" s="239">
        <v>107702</v>
      </c>
      <c r="M316" s="239">
        <v>107702</v>
      </c>
      <c r="N316" s="239">
        <v>0</v>
      </c>
      <c r="O316" s="239">
        <v>0</v>
      </c>
      <c r="P316" s="239">
        <v>0</v>
      </c>
      <c r="Q316" s="239">
        <v>0</v>
      </c>
      <c r="R316" s="239">
        <v>0</v>
      </c>
      <c r="S316" s="239">
        <v>0</v>
      </c>
      <c r="T316" s="239">
        <v>0</v>
      </c>
      <c r="U316" s="239">
        <v>0</v>
      </c>
      <c r="V316" s="239">
        <v>0</v>
      </c>
      <c r="W316" s="239">
        <v>909709</v>
      </c>
      <c r="X316" s="239">
        <v>727766</v>
      </c>
      <c r="Y316" s="239">
        <v>163747</v>
      </c>
      <c r="Z316" s="239">
        <v>18194</v>
      </c>
      <c r="AA316" s="239">
        <v>1819416</v>
      </c>
      <c r="AB316" s="239">
        <v>-65875</v>
      </c>
      <c r="AC316" s="239">
        <v>-52701</v>
      </c>
      <c r="AD316" s="239">
        <v>-11858</v>
      </c>
      <c r="AE316" s="239">
        <v>-1318</v>
      </c>
      <c r="AF316" s="239">
        <v>-131752</v>
      </c>
      <c r="AG316" s="239">
        <v>-877000</v>
      </c>
      <c r="AH316" s="239">
        <v>-701600</v>
      </c>
      <c r="AI316" s="239">
        <v>-157860</v>
      </c>
      <c r="AJ316" s="239">
        <v>-17540</v>
      </c>
      <c r="AK316" s="239">
        <v>-1754000</v>
      </c>
      <c r="AL316" s="239">
        <v>146802</v>
      </c>
      <c r="AM316" s="239">
        <v>117441</v>
      </c>
      <c r="AN316" s="239">
        <v>26424</v>
      </c>
      <c r="AO316" s="239">
        <v>2936</v>
      </c>
      <c r="AP316" s="239">
        <v>293603</v>
      </c>
      <c r="AQ316" s="239">
        <v>-121302</v>
      </c>
      <c r="AR316" s="239">
        <v>-97041</v>
      </c>
      <c r="AS316" s="239">
        <v>-21834</v>
      </c>
      <c r="AT316" s="239">
        <v>-2426</v>
      </c>
      <c r="AU316" s="239">
        <v>-242603</v>
      </c>
      <c r="AV316" s="239">
        <v>-851500</v>
      </c>
      <c r="AW316" s="239">
        <v>-681200</v>
      </c>
      <c r="AX316" s="239">
        <v>-153270</v>
      </c>
      <c r="AY316" s="239">
        <v>-17030</v>
      </c>
      <c r="AZ316" s="239">
        <v>-1703000</v>
      </c>
      <c r="BA316" s="239">
        <v>-859111</v>
      </c>
      <c r="BB316" s="239">
        <v>-687287</v>
      </c>
      <c r="BC316" s="239">
        <v>-154640</v>
      </c>
      <c r="BD316" s="239">
        <v>-17182</v>
      </c>
      <c r="BE316" s="239">
        <v>-1718220</v>
      </c>
      <c r="BF316" s="239">
        <v>292893</v>
      </c>
      <c r="BG316" s="239">
        <v>234314</v>
      </c>
      <c r="BH316" s="239">
        <v>52721</v>
      </c>
      <c r="BI316" s="239">
        <v>5858</v>
      </c>
      <c r="BJ316" s="239">
        <v>585786</v>
      </c>
      <c r="BK316" s="239">
        <v>-1078208</v>
      </c>
      <c r="BL316" s="239">
        <v>-862567</v>
      </c>
      <c r="BM316" s="239">
        <v>-194078</v>
      </c>
      <c r="BN316" s="239">
        <v>-21564</v>
      </c>
      <c r="BO316" s="239">
        <v>-2156417</v>
      </c>
      <c r="BP316" s="239">
        <v>-1644426</v>
      </c>
      <c r="BQ316" s="239">
        <v>-1315540</v>
      </c>
      <c r="BR316" s="239">
        <v>-295997</v>
      </c>
      <c r="BS316" s="239">
        <v>-32888</v>
      </c>
      <c r="BT316" s="239">
        <v>-3288851</v>
      </c>
      <c r="BU316" s="239">
        <v>690296</v>
      </c>
      <c r="BV316" s="239">
        <v>552237</v>
      </c>
      <c r="BW316" s="239">
        <v>124253</v>
      </c>
      <c r="BX316" s="239">
        <v>13806</v>
      </c>
      <c r="BY316" s="239">
        <v>1380592</v>
      </c>
      <c r="BZ316" s="239">
        <v>301216</v>
      </c>
      <c r="CA316" s="239">
        <v>240973</v>
      </c>
      <c r="CB316" s="239">
        <v>54219</v>
      </c>
      <c r="CC316" s="239">
        <v>6024</v>
      </c>
      <c r="CD316" s="239">
        <v>602432</v>
      </c>
      <c r="CE316" s="239">
        <v>389080</v>
      </c>
      <c r="CF316" s="239">
        <v>311264</v>
      </c>
      <c r="CG316" s="239">
        <v>70034</v>
      </c>
      <c r="CH316" s="239">
        <v>7782</v>
      </c>
      <c r="CI316" s="239">
        <v>778160</v>
      </c>
      <c r="CJ316" s="239">
        <v>7706586</v>
      </c>
      <c r="CK316" s="239">
        <v>6165269</v>
      </c>
      <c r="CL316" s="239">
        <v>1387185</v>
      </c>
      <c r="CM316" s="239">
        <v>154132</v>
      </c>
      <c r="CN316" s="239">
        <v>15413172</v>
      </c>
      <c r="CO316" s="239">
        <v>7634548</v>
      </c>
      <c r="CP316" s="239">
        <v>6107639</v>
      </c>
      <c r="CQ316" s="239">
        <v>1374219</v>
      </c>
      <c r="CR316" s="239">
        <v>152691</v>
      </c>
      <c r="CS316" s="239">
        <v>15269097</v>
      </c>
      <c r="CT316" s="239">
        <v>-72038</v>
      </c>
      <c r="CU316" s="239">
        <v>-57630</v>
      </c>
      <c r="CV316" s="239">
        <v>-12966</v>
      </c>
      <c r="CW316" s="239">
        <v>-1441</v>
      </c>
      <c r="CX316" s="239">
        <v>-144075</v>
      </c>
      <c r="CY316" s="239">
        <v>317042</v>
      </c>
      <c r="CZ316" s="239">
        <v>253634</v>
      </c>
      <c r="DA316" s="239">
        <v>57068</v>
      </c>
      <c r="DB316" s="239">
        <v>6341</v>
      </c>
      <c r="DC316" s="239">
        <v>634085</v>
      </c>
      <c r="DD316" s="214">
        <v>0.5</v>
      </c>
      <c r="DE316" s="214">
        <v>0.4</v>
      </c>
      <c r="DF316" s="214">
        <v>0.09</v>
      </c>
      <c r="DG316" s="214">
        <v>0.01</v>
      </c>
      <c r="DH316" s="214">
        <v>1</v>
      </c>
      <c r="DI316" s="214" t="s">
        <v>1294</v>
      </c>
    </row>
    <row r="317" spans="2:113" s="214" customFormat="1" x14ac:dyDescent="0.2">
      <c r="B317" s="610" t="s">
        <v>717</v>
      </c>
      <c r="C317" s="610" t="s">
        <v>716</v>
      </c>
      <c r="D317" s="239">
        <v>38112468</v>
      </c>
      <c r="E317" s="239">
        <v>37350219</v>
      </c>
      <c r="F317" s="239">
        <v>0</v>
      </c>
      <c r="G317" s="239">
        <v>762249</v>
      </c>
      <c r="H317" s="239">
        <v>76224936</v>
      </c>
      <c r="I317" s="239">
        <v>0</v>
      </c>
      <c r="J317" s="239">
        <v>0</v>
      </c>
      <c r="K317" s="239">
        <v>38112468</v>
      </c>
      <c r="L317" s="239">
        <v>387365</v>
      </c>
      <c r="M317" s="239">
        <v>387365</v>
      </c>
      <c r="N317" s="239">
        <v>0</v>
      </c>
      <c r="O317" s="239">
        <v>0</v>
      </c>
      <c r="P317" s="239">
        <v>0</v>
      </c>
      <c r="Q317" s="239">
        <v>0</v>
      </c>
      <c r="R317" s="239">
        <v>0</v>
      </c>
      <c r="S317" s="239">
        <v>0</v>
      </c>
      <c r="T317" s="239">
        <v>0</v>
      </c>
      <c r="U317" s="239">
        <v>0</v>
      </c>
      <c r="V317" s="239">
        <v>0</v>
      </c>
      <c r="W317" s="239">
        <v>2993884</v>
      </c>
      <c r="X317" s="239">
        <v>2934007</v>
      </c>
      <c r="Y317" s="239">
        <v>0</v>
      </c>
      <c r="Z317" s="239">
        <v>59878</v>
      </c>
      <c r="AA317" s="239">
        <v>5987769</v>
      </c>
      <c r="AB317" s="239">
        <v>-177409</v>
      </c>
      <c r="AC317" s="239">
        <v>-173860</v>
      </c>
      <c r="AD317" s="239">
        <v>0</v>
      </c>
      <c r="AE317" s="239">
        <v>-3548</v>
      </c>
      <c r="AF317" s="239">
        <v>-354817</v>
      </c>
      <c r="AG317" s="239">
        <v>-4113827</v>
      </c>
      <c r="AH317" s="239">
        <v>-1228016</v>
      </c>
      <c r="AI317" s="239">
        <v>0</v>
      </c>
      <c r="AJ317" s="239">
        <v>-53958</v>
      </c>
      <c r="AK317" s="239">
        <v>-5395801</v>
      </c>
      <c r="AL317" s="239">
        <v>673373</v>
      </c>
      <c r="AM317" s="239">
        <v>659906</v>
      </c>
      <c r="AN317" s="239">
        <v>0</v>
      </c>
      <c r="AO317" s="239">
        <v>13467</v>
      </c>
      <c r="AP317" s="239">
        <v>1346746</v>
      </c>
      <c r="AQ317" s="239">
        <v>-961233</v>
      </c>
      <c r="AR317" s="239">
        <v>-942009</v>
      </c>
      <c r="AS317" s="239">
        <v>0</v>
      </c>
      <c r="AT317" s="239">
        <v>-19225</v>
      </c>
      <c r="AU317" s="239">
        <v>-1922467</v>
      </c>
      <c r="AV317" s="239">
        <v>-4401687</v>
      </c>
      <c r="AW317" s="239">
        <v>-1510119</v>
      </c>
      <c r="AX317" s="239">
        <v>0</v>
      </c>
      <c r="AY317" s="239">
        <v>-59716</v>
      </c>
      <c r="AZ317" s="239">
        <v>-5971522</v>
      </c>
      <c r="BA317" s="239">
        <v>-1448232</v>
      </c>
      <c r="BB317" s="239">
        <v>-1419268</v>
      </c>
      <c r="BC317" s="239">
        <v>0</v>
      </c>
      <c r="BD317" s="239">
        <v>-28964</v>
      </c>
      <c r="BE317" s="239">
        <v>-2896464</v>
      </c>
      <c r="BF317" s="239">
        <v>1448232</v>
      </c>
      <c r="BG317" s="239">
        <v>1419267</v>
      </c>
      <c r="BH317" s="239">
        <v>0</v>
      </c>
      <c r="BI317" s="239">
        <v>28965</v>
      </c>
      <c r="BJ317" s="239">
        <v>2896464</v>
      </c>
      <c r="BK317" s="239">
        <v>-1452577</v>
      </c>
      <c r="BL317" s="239">
        <v>-1423525</v>
      </c>
      <c r="BM317" s="239">
        <v>0</v>
      </c>
      <c r="BN317" s="239">
        <v>-29052</v>
      </c>
      <c r="BO317" s="239">
        <v>-2905154</v>
      </c>
      <c r="BP317" s="239">
        <v>-1452577</v>
      </c>
      <c r="BQ317" s="239">
        <v>-1423526</v>
      </c>
      <c r="BR317" s="239">
        <v>0</v>
      </c>
      <c r="BS317" s="239">
        <v>-29051</v>
      </c>
      <c r="BT317" s="239">
        <v>-2905154</v>
      </c>
      <c r="BU317" s="239">
        <v>-5880624</v>
      </c>
      <c r="BV317" s="239">
        <v>-5763012</v>
      </c>
      <c r="BW317" s="239">
        <v>0</v>
      </c>
      <c r="BX317" s="239">
        <v>-117612</v>
      </c>
      <c r="BY317" s="239">
        <v>-11761248</v>
      </c>
      <c r="BZ317" s="239">
        <v>-3534280</v>
      </c>
      <c r="CA317" s="239">
        <v>-3463595</v>
      </c>
      <c r="CB317" s="239">
        <v>0</v>
      </c>
      <c r="CC317" s="239">
        <v>-70686</v>
      </c>
      <c r="CD317" s="239">
        <v>-7068561</v>
      </c>
      <c r="CE317" s="239">
        <v>-2346344</v>
      </c>
      <c r="CF317" s="239">
        <v>-2299417</v>
      </c>
      <c r="CG317" s="239">
        <v>0</v>
      </c>
      <c r="CH317" s="239">
        <v>-46926</v>
      </c>
      <c r="CI317" s="239">
        <v>-4692687</v>
      </c>
      <c r="CJ317" s="239">
        <v>40601340</v>
      </c>
      <c r="CK317" s="239">
        <v>39789313</v>
      </c>
      <c r="CL317" s="239">
        <v>0</v>
      </c>
      <c r="CM317" s="239">
        <v>812027</v>
      </c>
      <c r="CN317" s="239">
        <v>81202680</v>
      </c>
      <c r="CO317" s="239">
        <v>38112468</v>
      </c>
      <c r="CP317" s="239">
        <v>37350219</v>
      </c>
      <c r="CQ317" s="239">
        <v>0</v>
      </c>
      <c r="CR317" s="239">
        <v>762249</v>
      </c>
      <c r="CS317" s="239">
        <v>76224936</v>
      </c>
      <c r="CT317" s="239">
        <v>-2488872</v>
      </c>
      <c r="CU317" s="239">
        <v>-2439094</v>
      </c>
      <c r="CV317" s="239">
        <v>0</v>
      </c>
      <c r="CW317" s="239">
        <v>-49778</v>
      </c>
      <c r="CX317" s="239">
        <v>-4977744</v>
      </c>
      <c r="CY317" s="239">
        <v>-4835216</v>
      </c>
      <c r="CZ317" s="239">
        <v>-4738511</v>
      </c>
      <c r="DA317" s="239">
        <v>0</v>
      </c>
      <c r="DB317" s="239">
        <v>-96704</v>
      </c>
      <c r="DC317" s="239">
        <v>-9670431</v>
      </c>
      <c r="DD317" s="214">
        <v>0.5</v>
      </c>
      <c r="DE317" s="214">
        <v>0.49</v>
      </c>
      <c r="DF317" s="214">
        <v>0</v>
      </c>
      <c r="DG317" s="214">
        <v>0.01</v>
      </c>
      <c r="DH317" s="214">
        <v>1</v>
      </c>
      <c r="DI317" s="214" t="s">
        <v>1296</v>
      </c>
    </row>
    <row r="318" spans="2:113" s="214" customFormat="1" x14ac:dyDescent="0.2">
      <c r="B318" s="610" t="s">
        <v>719</v>
      </c>
      <c r="C318" s="610" t="s">
        <v>718</v>
      </c>
      <c r="D318" s="239">
        <v>69539837</v>
      </c>
      <c r="E318" s="239">
        <v>68149041</v>
      </c>
      <c r="F318" s="239">
        <v>0</v>
      </c>
      <c r="G318" s="239">
        <v>1390797</v>
      </c>
      <c r="H318" s="239">
        <v>139079675</v>
      </c>
      <c r="I318" s="239">
        <v>0</v>
      </c>
      <c r="J318" s="239">
        <v>0</v>
      </c>
      <c r="K318" s="239">
        <v>69539837</v>
      </c>
      <c r="L318" s="239">
        <v>622066</v>
      </c>
      <c r="M318" s="239">
        <v>622066</v>
      </c>
      <c r="N318" s="239">
        <v>0</v>
      </c>
      <c r="O318" s="239">
        <v>0</v>
      </c>
      <c r="P318" s="239">
        <v>922623</v>
      </c>
      <c r="Q318" s="239">
        <v>0</v>
      </c>
      <c r="R318" s="239">
        <v>922623</v>
      </c>
      <c r="S318" s="239">
        <v>0</v>
      </c>
      <c r="T318" s="239">
        <v>0</v>
      </c>
      <c r="U318" s="239">
        <v>0</v>
      </c>
      <c r="V318" s="239">
        <v>0</v>
      </c>
      <c r="W318" s="239">
        <v>2464658</v>
      </c>
      <c r="X318" s="239">
        <v>2415364</v>
      </c>
      <c r="Y318" s="239">
        <v>0</v>
      </c>
      <c r="Z318" s="239">
        <v>49293</v>
      </c>
      <c r="AA318" s="239">
        <v>4929315</v>
      </c>
      <c r="AB318" s="239">
        <v>-1049573</v>
      </c>
      <c r="AC318" s="239">
        <v>-1028581</v>
      </c>
      <c r="AD318" s="239">
        <v>0</v>
      </c>
      <c r="AE318" s="239">
        <v>-20991</v>
      </c>
      <c r="AF318" s="239">
        <v>-2099145</v>
      </c>
      <c r="AG318" s="239">
        <v>-417850</v>
      </c>
      <c r="AH318" s="239">
        <v>-409493</v>
      </c>
      <c r="AI318" s="239">
        <v>0</v>
      </c>
      <c r="AJ318" s="239">
        <v>-8357</v>
      </c>
      <c r="AK318" s="239">
        <v>-835700</v>
      </c>
      <c r="AL318" s="239">
        <v>562197</v>
      </c>
      <c r="AM318" s="239">
        <v>550954</v>
      </c>
      <c r="AN318" s="239">
        <v>0</v>
      </c>
      <c r="AO318" s="239">
        <v>11244</v>
      </c>
      <c r="AP318" s="239">
        <v>1124395</v>
      </c>
      <c r="AQ318" s="239">
        <v>-509547</v>
      </c>
      <c r="AR318" s="239">
        <v>-499357</v>
      </c>
      <c r="AS318" s="239">
        <v>0</v>
      </c>
      <c r="AT318" s="239">
        <v>-10191</v>
      </c>
      <c r="AU318" s="239">
        <v>-1019095</v>
      </c>
      <c r="AV318" s="239">
        <v>-365200</v>
      </c>
      <c r="AW318" s="239">
        <v>-357896</v>
      </c>
      <c r="AX318" s="239">
        <v>0</v>
      </c>
      <c r="AY318" s="239">
        <v>-7304</v>
      </c>
      <c r="AZ318" s="239">
        <v>-730400</v>
      </c>
      <c r="BA318" s="239">
        <v>-1727795</v>
      </c>
      <c r="BB318" s="239">
        <v>-1693239</v>
      </c>
      <c r="BC318" s="239">
        <v>0</v>
      </c>
      <c r="BD318" s="239">
        <v>-34555</v>
      </c>
      <c r="BE318" s="239">
        <v>-3455589</v>
      </c>
      <c r="BF318" s="239">
        <v>1727794</v>
      </c>
      <c r="BG318" s="239">
        <v>1693239</v>
      </c>
      <c r="BH318" s="239">
        <v>0</v>
      </c>
      <c r="BI318" s="239">
        <v>34556</v>
      </c>
      <c r="BJ318" s="239">
        <v>3455589</v>
      </c>
      <c r="BK318" s="239">
        <v>-1783969</v>
      </c>
      <c r="BL318" s="239">
        <v>-1748289</v>
      </c>
      <c r="BM318" s="239">
        <v>0</v>
      </c>
      <c r="BN318" s="239">
        <v>-35679</v>
      </c>
      <c r="BO318" s="239">
        <v>-3567937</v>
      </c>
      <c r="BP318" s="239">
        <v>-1783970</v>
      </c>
      <c r="BQ318" s="239">
        <v>-1748289</v>
      </c>
      <c r="BR318" s="239">
        <v>0</v>
      </c>
      <c r="BS318" s="239">
        <v>-35678</v>
      </c>
      <c r="BT318" s="239">
        <v>-3567937</v>
      </c>
      <c r="BU318" s="239">
        <v>-4221563</v>
      </c>
      <c r="BV318" s="239">
        <v>-4137131</v>
      </c>
      <c r="BW318" s="239">
        <v>0</v>
      </c>
      <c r="BX318" s="239">
        <v>-84431</v>
      </c>
      <c r="BY318" s="239">
        <v>-8443125</v>
      </c>
      <c r="BZ318" s="239">
        <v>-565945</v>
      </c>
      <c r="CA318" s="239">
        <v>-554627</v>
      </c>
      <c r="CB318" s="239">
        <v>0</v>
      </c>
      <c r="CC318" s="239">
        <v>-11319</v>
      </c>
      <c r="CD318" s="239">
        <v>-1131891</v>
      </c>
      <c r="CE318" s="239">
        <v>-3655618</v>
      </c>
      <c r="CF318" s="239">
        <v>-3582504</v>
      </c>
      <c r="CG318" s="239">
        <v>0</v>
      </c>
      <c r="CH318" s="239">
        <v>-73112</v>
      </c>
      <c r="CI318" s="239">
        <v>-7311234</v>
      </c>
      <c r="CJ318" s="239">
        <v>69930792</v>
      </c>
      <c r="CK318" s="239">
        <v>68532176</v>
      </c>
      <c r="CL318" s="239">
        <v>0</v>
      </c>
      <c r="CM318" s="239">
        <v>1398616</v>
      </c>
      <c r="CN318" s="239">
        <v>139861584</v>
      </c>
      <c r="CO318" s="239">
        <v>69539837</v>
      </c>
      <c r="CP318" s="239">
        <v>68149041</v>
      </c>
      <c r="CQ318" s="239">
        <v>0</v>
      </c>
      <c r="CR318" s="239">
        <v>1390797</v>
      </c>
      <c r="CS318" s="239">
        <v>139079675</v>
      </c>
      <c r="CT318" s="239">
        <v>-390955</v>
      </c>
      <c r="CU318" s="239">
        <v>-383135</v>
      </c>
      <c r="CV318" s="239">
        <v>0</v>
      </c>
      <c r="CW318" s="239">
        <v>-7819</v>
      </c>
      <c r="CX318" s="239">
        <v>-781909</v>
      </c>
      <c r="CY318" s="239">
        <v>-4046573</v>
      </c>
      <c r="CZ318" s="239">
        <v>-3965639</v>
      </c>
      <c r="DA318" s="239">
        <v>0</v>
      </c>
      <c r="DB318" s="239">
        <v>-80931</v>
      </c>
      <c r="DC318" s="239">
        <v>-8093143</v>
      </c>
      <c r="DD318" s="214">
        <v>0.5</v>
      </c>
      <c r="DE318" s="214">
        <v>0.49</v>
      </c>
      <c r="DF318" s="214">
        <v>0</v>
      </c>
      <c r="DG318" s="214">
        <v>0.01</v>
      </c>
      <c r="DH318" s="214">
        <v>1</v>
      </c>
      <c r="DI318" s="214" t="s">
        <v>748</v>
      </c>
    </row>
    <row r="319" spans="2:113" s="214" customFormat="1" x14ac:dyDescent="0.2">
      <c r="B319" s="610" t="s">
        <v>721</v>
      </c>
      <c r="C319" s="610" t="s">
        <v>720</v>
      </c>
      <c r="D319" s="239">
        <v>27329883</v>
      </c>
      <c r="E319" s="239">
        <v>21863907</v>
      </c>
      <c r="F319" s="239">
        <v>4919379</v>
      </c>
      <c r="G319" s="239">
        <v>546598</v>
      </c>
      <c r="H319" s="239">
        <v>54659767</v>
      </c>
      <c r="I319" s="239">
        <v>0</v>
      </c>
      <c r="J319" s="239">
        <v>0</v>
      </c>
      <c r="K319" s="239">
        <v>27329883</v>
      </c>
      <c r="L319" s="239">
        <v>198414</v>
      </c>
      <c r="M319" s="239">
        <v>198414</v>
      </c>
      <c r="N319" s="239">
        <v>0</v>
      </c>
      <c r="O319" s="239">
        <v>0</v>
      </c>
      <c r="P319" s="239">
        <v>285775</v>
      </c>
      <c r="Q319" s="239">
        <v>0</v>
      </c>
      <c r="R319" s="239">
        <v>285775</v>
      </c>
      <c r="S319" s="239">
        <v>0</v>
      </c>
      <c r="T319" s="239">
        <v>0</v>
      </c>
      <c r="U319" s="239">
        <v>0</v>
      </c>
      <c r="V319" s="239">
        <v>0</v>
      </c>
      <c r="W319" s="239">
        <v>1222769</v>
      </c>
      <c r="X319" s="239">
        <v>978214</v>
      </c>
      <c r="Y319" s="239">
        <v>220098</v>
      </c>
      <c r="Z319" s="239">
        <v>24455</v>
      </c>
      <c r="AA319" s="239">
        <v>2445536</v>
      </c>
      <c r="AB319" s="239">
        <v>-557201</v>
      </c>
      <c r="AC319" s="239">
        <v>-445761</v>
      </c>
      <c r="AD319" s="239">
        <v>-100296</v>
      </c>
      <c r="AE319" s="239">
        <v>-11144</v>
      </c>
      <c r="AF319" s="239">
        <v>-1114402</v>
      </c>
      <c r="AG319" s="239">
        <v>-665118</v>
      </c>
      <c r="AH319" s="239">
        <v>-532095</v>
      </c>
      <c r="AI319" s="239">
        <v>-119721</v>
      </c>
      <c r="AJ319" s="239">
        <v>-13302</v>
      </c>
      <c r="AK319" s="239">
        <v>-1330236</v>
      </c>
      <c r="AL319" s="239">
        <v>48567</v>
      </c>
      <c r="AM319" s="239">
        <v>38853</v>
      </c>
      <c r="AN319" s="239">
        <v>8742</v>
      </c>
      <c r="AO319" s="239">
        <v>971</v>
      </c>
      <c r="AP319" s="239">
        <v>97133</v>
      </c>
      <c r="AQ319" s="239">
        <v>-117680</v>
      </c>
      <c r="AR319" s="239">
        <v>-94145</v>
      </c>
      <c r="AS319" s="239">
        <v>-21183</v>
      </c>
      <c r="AT319" s="239">
        <v>-2354</v>
      </c>
      <c r="AU319" s="239">
        <v>-235362</v>
      </c>
      <c r="AV319" s="239">
        <v>-734231</v>
      </c>
      <c r="AW319" s="239">
        <v>-587387</v>
      </c>
      <c r="AX319" s="239">
        <v>-132162</v>
      </c>
      <c r="AY319" s="239">
        <v>-14685</v>
      </c>
      <c r="AZ319" s="239">
        <v>-1468465</v>
      </c>
      <c r="BA319" s="239">
        <v>-2410375</v>
      </c>
      <c r="BB319" s="239">
        <v>-1928299</v>
      </c>
      <c r="BC319" s="239">
        <v>-433868</v>
      </c>
      <c r="BD319" s="239">
        <v>-48208</v>
      </c>
      <c r="BE319" s="239">
        <v>-4820750</v>
      </c>
      <c r="BF319" s="239">
        <v>651084</v>
      </c>
      <c r="BG319" s="239">
        <v>520868</v>
      </c>
      <c r="BH319" s="239">
        <v>117195</v>
      </c>
      <c r="BI319" s="239">
        <v>13022</v>
      </c>
      <c r="BJ319" s="239">
        <v>1302169</v>
      </c>
      <c r="BK319" s="239">
        <v>-1408920</v>
      </c>
      <c r="BL319" s="239">
        <v>-1127136</v>
      </c>
      <c r="BM319" s="239">
        <v>-253606</v>
      </c>
      <c r="BN319" s="239">
        <v>-28178</v>
      </c>
      <c r="BO319" s="239">
        <v>-2817840</v>
      </c>
      <c r="BP319" s="239">
        <v>-3168211</v>
      </c>
      <c r="BQ319" s="239">
        <v>-2534567</v>
      </c>
      <c r="BR319" s="239">
        <v>-570279</v>
      </c>
      <c r="BS319" s="239">
        <v>-63364</v>
      </c>
      <c r="BT319" s="239">
        <v>-6336421</v>
      </c>
      <c r="BU319" s="239">
        <v>40347</v>
      </c>
      <c r="BV319" s="239">
        <v>32278</v>
      </c>
      <c r="BW319" s="239">
        <v>7262</v>
      </c>
      <c r="BX319" s="239">
        <v>807</v>
      </c>
      <c r="BY319" s="239">
        <v>80694</v>
      </c>
      <c r="BZ319" s="239">
        <v>2032806</v>
      </c>
      <c r="CA319" s="239">
        <v>1626245</v>
      </c>
      <c r="CB319" s="239">
        <v>365905</v>
      </c>
      <c r="CC319" s="239">
        <v>40656</v>
      </c>
      <c r="CD319" s="239">
        <v>4065612</v>
      </c>
      <c r="CE319" s="239">
        <v>-1992459</v>
      </c>
      <c r="CF319" s="239">
        <v>-1593967</v>
      </c>
      <c r="CG319" s="239">
        <v>-358643</v>
      </c>
      <c r="CH319" s="239">
        <v>-39849</v>
      </c>
      <c r="CI319" s="239">
        <v>-3984918</v>
      </c>
      <c r="CJ319" s="239">
        <v>28352303</v>
      </c>
      <c r="CK319" s="239">
        <v>22681842</v>
      </c>
      <c r="CL319" s="239">
        <v>5103414</v>
      </c>
      <c r="CM319" s="239">
        <v>567046</v>
      </c>
      <c r="CN319" s="239">
        <v>56704605</v>
      </c>
      <c r="CO319" s="239">
        <v>27329883</v>
      </c>
      <c r="CP319" s="239">
        <v>21863907</v>
      </c>
      <c r="CQ319" s="239">
        <v>4919379</v>
      </c>
      <c r="CR319" s="239">
        <v>546598</v>
      </c>
      <c r="CS319" s="239">
        <v>54659767</v>
      </c>
      <c r="CT319" s="239">
        <v>-1022420</v>
      </c>
      <c r="CU319" s="239">
        <v>-817935</v>
      </c>
      <c r="CV319" s="239">
        <v>-184035</v>
      </c>
      <c r="CW319" s="239">
        <v>-20448</v>
      </c>
      <c r="CX319" s="239">
        <v>-2044838</v>
      </c>
      <c r="CY319" s="239">
        <v>-3014879</v>
      </c>
      <c r="CZ319" s="239">
        <v>-2411902</v>
      </c>
      <c r="DA319" s="239">
        <v>-542678</v>
      </c>
      <c r="DB319" s="239">
        <v>-60297</v>
      </c>
      <c r="DC319" s="239">
        <v>-6029756</v>
      </c>
      <c r="DD319" s="214">
        <v>0.5</v>
      </c>
      <c r="DE319" s="214">
        <v>0.4</v>
      </c>
      <c r="DF319" s="214">
        <v>0.09</v>
      </c>
      <c r="DG319" s="214">
        <v>0.01</v>
      </c>
      <c r="DH319" s="214">
        <v>1</v>
      </c>
      <c r="DI319" s="214" t="s">
        <v>1294</v>
      </c>
    </row>
    <row r="320" spans="2:113" s="214" customFormat="1" x14ac:dyDescent="0.2">
      <c r="B320" s="610" t="s">
        <v>723</v>
      </c>
      <c r="C320" s="610" t="s">
        <v>722</v>
      </c>
      <c r="D320" s="239">
        <v>39604594</v>
      </c>
      <c r="E320" s="239">
        <v>38812503</v>
      </c>
      <c r="F320" s="239">
        <v>0</v>
      </c>
      <c r="G320" s="239">
        <v>792092</v>
      </c>
      <c r="H320" s="239">
        <v>79209189</v>
      </c>
      <c r="I320" s="239">
        <v>0</v>
      </c>
      <c r="J320" s="239">
        <v>0</v>
      </c>
      <c r="K320" s="239">
        <v>39604594</v>
      </c>
      <c r="L320" s="239">
        <v>246447</v>
      </c>
      <c r="M320" s="239">
        <v>246447</v>
      </c>
      <c r="N320" s="239">
        <v>0</v>
      </c>
      <c r="O320" s="239">
        <v>0</v>
      </c>
      <c r="P320" s="239">
        <v>7296</v>
      </c>
      <c r="Q320" s="239">
        <v>0</v>
      </c>
      <c r="R320" s="239">
        <v>7296</v>
      </c>
      <c r="S320" s="239">
        <v>0</v>
      </c>
      <c r="T320" s="239">
        <v>0</v>
      </c>
      <c r="U320" s="239">
        <v>0</v>
      </c>
      <c r="V320" s="239">
        <v>0</v>
      </c>
      <c r="W320" s="239">
        <v>1585215</v>
      </c>
      <c r="X320" s="239">
        <v>1553511</v>
      </c>
      <c r="Y320" s="239">
        <v>0</v>
      </c>
      <c r="Z320" s="239">
        <v>31704</v>
      </c>
      <c r="AA320" s="239">
        <v>3170430</v>
      </c>
      <c r="AB320" s="239">
        <v>-662127</v>
      </c>
      <c r="AC320" s="239">
        <v>-648884</v>
      </c>
      <c r="AD320" s="239">
        <v>0</v>
      </c>
      <c r="AE320" s="239">
        <v>-13243</v>
      </c>
      <c r="AF320" s="239">
        <v>-1324254</v>
      </c>
      <c r="AG320" s="239">
        <v>-891754.1</v>
      </c>
      <c r="AH320" s="239">
        <v>-873919</v>
      </c>
      <c r="AI320" s="239">
        <v>0</v>
      </c>
      <c r="AJ320" s="239">
        <v>-17836</v>
      </c>
      <c r="AK320" s="239">
        <v>-1783509.1</v>
      </c>
      <c r="AL320" s="239">
        <v>510807</v>
      </c>
      <c r="AM320" s="239">
        <v>500590</v>
      </c>
      <c r="AN320" s="239">
        <v>0</v>
      </c>
      <c r="AO320" s="239">
        <v>10216</v>
      </c>
      <c r="AP320" s="239">
        <v>1021613</v>
      </c>
      <c r="AQ320" s="239">
        <v>-110807</v>
      </c>
      <c r="AR320" s="239">
        <v>-108590</v>
      </c>
      <c r="AS320" s="239">
        <v>0</v>
      </c>
      <c r="AT320" s="239">
        <v>-2216</v>
      </c>
      <c r="AU320" s="239">
        <v>-221613</v>
      </c>
      <c r="AV320" s="239">
        <v>-491754.1</v>
      </c>
      <c r="AW320" s="239">
        <v>-481919</v>
      </c>
      <c r="AX320" s="239">
        <v>0</v>
      </c>
      <c r="AY320" s="239">
        <v>-9836</v>
      </c>
      <c r="AZ320" s="239">
        <v>-983509.10000000009</v>
      </c>
      <c r="BA320" s="239">
        <v>-2456108</v>
      </c>
      <c r="BB320" s="239">
        <v>-2406986</v>
      </c>
      <c r="BC320" s="239">
        <v>0</v>
      </c>
      <c r="BD320" s="239">
        <v>-49121</v>
      </c>
      <c r="BE320" s="239">
        <v>-4912215</v>
      </c>
      <c r="BF320" s="239">
        <v>0</v>
      </c>
      <c r="BG320" s="239">
        <v>0</v>
      </c>
      <c r="BH320" s="239">
        <v>0</v>
      </c>
      <c r="BI320" s="239">
        <v>0</v>
      </c>
      <c r="BJ320" s="239">
        <v>0</v>
      </c>
      <c r="BK320" s="239">
        <v>500000</v>
      </c>
      <c r="BL320" s="239">
        <v>490000</v>
      </c>
      <c r="BM320" s="239">
        <v>0</v>
      </c>
      <c r="BN320" s="239">
        <v>10000</v>
      </c>
      <c r="BO320" s="239">
        <v>1000000</v>
      </c>
      <c r="BP320" s="239">
        <v>-1956108</v>
      </c>
      <c r="BQ320" s="239">
        <v>-1916986</v>
      </c>
      <c r="BR320" s="239">
        <v>0</v>
      </c>
      <c r="BS320" s="239">
        <v>-39121</v>
      </c>
      <c r="BT320" s="239">
        <v>-3912215</v>
      </c>
      <c r="BU320" s="239">
        <v>522602</v>
      </c>
      <c r="BV320" s="239">
        <v>512149</v>
      </c>
      <c r="BW320" s="239">
        <v>0</v>
      </c>
      <c r="BX320" s="239">
        <v>10452</v>
      </c>
      <c r="BY320" s="239">
        <v>1045203</v>
      </c>
      <c r="BZ320" s="239">
        <v>1670188</v>
      </c>
      <c r="CA320" s="239">
        <v>1636785</v>
      </c>
      <c r="CB320" s="239">
        <v>0</v>
      </c>
      <c r="CC320" s="239">
        <v>33404</v>
      </c>
      <c r="CD320" s="239">
        <v>3340377</v>
      </c>
      <c r="CE320" s="239">
        <v>-1147586</v>
      </c>
      <c r="CF320" s="239">
        <v>-1124636</v>
      </c>
      <c r="CG320" s="239">
        <v>0</v>
      </c>
      <c r="CH320" s="239">
        <v>-22952</v>
      </c>
      <c r="CI320" s="239">
        <v>-2295174</v>
      </c>
      <c r="CJ320" s="239">
        <v>39030589</v>
      </c>
      <c r="CK320" s="239">
        <v>38249977</v>
      </c>
      <c r="CL320" s="239">
        <v>0</v>
      </c>
      <c r="CM320" s="239">
        <v>780612</v>
      </c>
      <c r="CN320" s="239">
        <v>78061178</v>
      </c>
      <c r="CO320" s="239">
        <v>39604594</v>
      </c>
      <c r="CP320" s="239">
        <v>38812503</v>
      </c>
      <c r="CQ320" s="239">
        <v>0</v>
      </c>
      <c r="CR320" s="239">
        <v>792092</v>
      </c>
      <c r="CS320" s="239">
        <v>79209189</v>
      </c>
      <c r="CT320" s="239">
        <v>574005</v>
      </c>
      <c r="CU320" s="239">
        <v>562526</v>
      </c>
      <c r="CV320" s="239">
        <v>0</v>
      </c>
      <c r="CW320" s="239">
        <v>11480</v>
      </c>
      <c r="CX320" s="239">
        <v>1148011</v>
      </c>
      <c r="CY320" s="239">
        <v>-573581</v>
      </c>
      <c r="CZ320" s="239">
        <v>-562110</v>
      </c>
      <c r="DA320" s="239">
        <v>0</v>
      </c>
      <c r="DB320" s="239">
        <v>-11472</v>
      </c>
      <c r="DC320" s="239">
        <v>-1147163</v>
      </c>
      <c r="DD320" s="214">
        <v>0.5</v>
      </c>
      <c r="DE320" s="214">
        <v>0.49</v>
      </c>
      <c r="DF320" s="214">
        <v>0</v>
      </c>
      <c r="DG320" s="214">
        <v>0.01</v>
      </c>
      <c r="DH320" s="214">
        <v>1</v>
      </c>
      <c r="DI320" s="214" t="s">
        <v>748</v>
      </c>
    </row>
    <row r="321" spans="2:113" s="214" customFormat="1" x14ac:dyDescent="0.2">
      <c r="B321" s="610" t="s">
        <v>725</v>
      </c>
      <c r="C321" s="610" t="s">
        <v>724</v>
      </c>
      <c r="D321" s="239">
        <v>34068803</v>
      </c>
      <c r="E321" s="239">
        <v>33387427</v>
      </c>
      <c r="F321" s="239">
        <v>0</v>
      </c>
      <c r="G321" s="239">
        <v>681376</v>
      </c>
      <c r="H321" s="239">
        <v>68137606</v>
      </c>
      <c r="I321" s="239">
        <v>0</v>
      </c>
      <c r="J321" s="239">
        <v>0</v>
      </c>
      <c r="K321" s="239">
        <v>34068803</v>
      </c>
      <c r="L321" s="239">
        <v>339401</v>
      </c>
      <c r="M321" s="239">
        <v>339401</v>
      </c>
      <c r="N321" s="239">
        <v>9353</v>
      </c>
      <c r="O321" s="239">
        <v>9353</v>
      </c>
      <c r="P321" s="239">
        <v>0</v>
      </c>
      <c r="Q321" s="239">
        <v>0</v>
      </c>
      <c r="R321" s="239">
        <v>0</v>
      </c>
      <c r="S321" s="239">
        <v>0</v>
      </c>
      <c r="T321" s="239">
        <v>0</v>
      </c>
      <c r="U321" s="239">
        <v>0</v>
      </c>
      <c r="V321" s="239">
        <v>0</v>
      </c>
      <c r="W321" s="239">
        <v>2671479</v>
      </c>
      <c r="X321" s="239">
        <v>2618049</v>
      </c>
      <c r="Y321" s="239">
        <v>0</v>
      </c>
      <c r="Z321" s="239">
        <v>53430</v>
      </c>
      <c r="AA321" s="239">
        <v>5342958</v>
      </c>
      <c r="AB321" s="239">
        <v>-436921</v>
      </c>
      <c r="AC321" s="239">
        <v>-428183</v>
      </c>
      <c r="AD321" s="239">
        <v>0</v>
      </c>
      <c r="AE321" s="239">
        <v>-8738</v>
      </c>
      <c r="AF321" s="239">
        <v>-873842</v>
      </c>
      <c r="AG321" s="239">
        <v>-1749677</v>
      </c>
      <c r="AH321" s="239">
        <v>-1714684</v>
      </c>
      <c r="AI321" s="239">
        <v>0</v>
      </c>
      <c r="AJ321" s="239">
        <v>-34993</v>
      </c>
      <c r="AK321" s="239">
        <v>-3499354</v>
      </c>
      <c r="AL321" s="239">
        <v>729695</v>
      </c>
      <c r="AM321" s="239">
        <v>715101</v>
      </c>
      <c r="AN321" s="239">
        <v>0</v>
      </c>
      <c r="AO321" s="239">
        <v>14594</v>
      </c>
      <c r="AP321" s="239">
        <v>1459390</v>
      </c>
      <c r="AQ321" s="239">
        <v>-637116</v>
      </c>
      <c r="AR321" s="239">
        <v>-624374</v>
      </c>
      <c r="AS321" s="239">
        <v>0</v>
      </c>
      <c r="AT321" s="239">
        <v>-12742</v>
      </c>
      <c r="AU321" s="239">
        <v>-1274232</v>
      </c>
      <c r="AV321" s="239">
        <v>-1657098</v>
      </c>
      <c r="AW321" s="239">
        <v>-1623957</v>
      </c>
      <c r="AX321" s="239">
        <v>0</v>
      </c>
      <c r="AY321" s="239">
        <v>-33141</v>
      </c>
      <c r="AZ321" s="239">
        <v>-3314196</v>
      </c>
      <c r="BA321" s="239">
        <v>-2684011</v>
      </c>
      <c r="BB321" s="239">
        <v>-2630330</v>
      </c>
      <c r="BC321" s="239">
        <v>0</v>
      </c>
      <c r="BD321" s="239">
        <v>-53680</v>
      </c>
      <c r="BE321" s="239">
        <v>-5368021</v>
      </c>
      <c r="BF321" s="239">
        <v>125658</v>
      </c>
      <c r="BG321" s="239">
        <v>123145</v>
      </c>
      <c r="BH321" s="239">
        <v>0</v>
      </c>
      <c r="BI321" s="239">
        <v>2513</v>
      </c>
      <c r="BJ321" s="239">
        <v>251316</v>
      </c>
      <c r="BK321" s="239">
        <v>-405557</v>
      </c>
      <c r="BL321" s="239">
        <v>-397446</v>
      </c>
      <c r="BM321" s="239">
        <v>0</v>
      </c>
      <c r="BN321" s="239">
        <v>-8111</v>
      </c>
      <c r="BO321" s="239">
        <v>-811114</v>
      </c>
      <c r="BP321" s="239">
        <v>-2963910</v>
      </c>
      <c r="BQ321" s="239">
        <v>-2904631</v>
      </c>
      <c r="BR321" s="239">
        <v>0</v>
      </c>
      <c r="BS321" s="239">
        <v>-59278</v>
      </c>
      <c r="BT321" s="239">
        <v>-5927819</v>
      </c>
      <c r="BU321" s="239">
        <v>-2354955</v>
      </c>
      <c r="BV321" s="239">
        <v>-2307855</v>
      </c>
      <c r="BW321" s="239">
        <v>0</v>
      </c>
      <c r="BX321" s="239">
        <v>-47099</v>
      </c>
      <c r="BY321" s="239">
        <v>-4709909</v>
      </c>
      <c r="BZ321" s="239">
        <v>-453705</v>
      </c>
      <c r="CA321" s="239">
        <v>-444630</v>
      </c>
      <c r="CB321" s="239">
        <v>0</v>
      </c>
      <c r="CC321" s="239">
        <v>-9074</v>
      </c>
      <c r="CD321" s="239">
        <v>-907409</v>
      </c>
      <c r="CE321" s="239">
        <v>-1901250</v>
      </c>
      <c r="CF321" s="239">
        <v>-1863225</v>
      </c>
      <c r="CG321" s="239">
        <v>0</v>
      </c>
      <c r="CH321" s="239">
        <v>-38025</v>
      </c>
      <c r="CI321" s="239">
        <v>-3802500</v>
      </c>
      <c r="CJ321" s="239">
        <v>34398524</v>
      </c>
      <c r="CK321" s="239">
        <v>33710555</v>
      </c>
      <c r="CL321" s="239">
        <v>0</v>
      </c>
      <c r="CM321" s="239">
        <v>687971</v>
      </c>
      <c r="CN321" s="239">
        <v>68797050</v>
      </c>
      <c r="CO321" s="239">
        <v>34068803</v>
      </c>
      <c r="CP321" s="239">
        <v>33387427</v>
      </c>
      <c r="CQ321" s="239">
        <v>0</v>
      </c>
      <c r="CR321" s="239">
        <v>681376</v>
      </c>
      <c r="CS321" s="239">
        <v>68137606</v>
      </c>
      <c r="CT321" s="239">
        <v>-329721</v>
      </c>
      <c r="CU321" s="239">
        <v>-323128</v>
      </c>
      <c r="CV321" s="239">
        <v>0</v>
      </c>
      <c r="CW321" s="239">
        <v>-6595</v>
      </c>
      <c r="CX321" s="239">
        <v>-659444</v>
      </c>
      <c r="CY321" s="239">
        <v>-2230971</v>
      </c>
      <c r="CZ321" s="239">
        <v>-2186353</v>
      </c>
      <c r="DA321" s="239">
        <v>0</v>
      </c>
      <c r="DB321" s="239">
        <v>-44620</v>
      </c>
      <c r="DC321" s="239">
        <v>-4461944</v>
      </c>
      <c r="DD321" s="214">
        <v>0.5</v>
      </c>
      <c r="DE321" s="214">
        <v>0.49</v>
      </c>
      <c r="DF321" s="214">
        <v>0</v>
      </c>
      <c r="DG321" s="214">
        <v>0.01</v>
      </c>
      <c r="DH321" s="214">
        <v>1</v>
      </c>
      <c r="DI321" s="214" t="s">
        <v>1296</v>
      </c>
    </row>
    <row r="322" spans="2:113" s="214" customFormat="1" x14ac:dyDescent="0.2">
      <c r="B322" s="610" t="s">
        <v>727</v>
      </c>
      <c r="C322" s="610" t="s">
        <v>726</v>
      </c>
      <c r="D322" s="239">
        <v>24643579</v>
      </c>
      <c r="E322" s="239">
        <v>19714864</v>
      </c>
      <c r="F322" s="239">
        <v>4928716</v>
      </c>
      <c r="G322" s="239">
        <v>0</v>
      </c>
      <c r="H322" s="239">
        <v>49287159</v>
      </c>
      <c r="I322" s="239">
        <v>0</v>
      </c>
      <c r="J322" s="239">
        <v>0</v>
      </c>
      <c r="K322" s="239">
        <v>24643579</v>
      </c>
      <c r="L322" s="239">
        <v>136159</v>
      </c>
      <c r="M322" s="239">
        <v>136159</v>
      </c>
      <c r="N322" s="239">
        <v>0</v>
      </c>
      <c r="O322" s="239">
        <v>0</v>
      </c>
      <c r="P322" s="239">
        <v>0</v>
      </c>
      <c r="Q322" s="239">
        <v>0</v>
      </c>
      <c r="R322" s="239">
        <v>0</v>
      </c>
      <c r="S322" s="239">
        <v>0</v>
      </c>
      <c r="T322" s="239">
        <v>0</v>
      </c>
      <c r="U322" s="239">
        <v>0</v>
      </c>
      <c r="V322" s="239">
        <v>0</v>
      </c>
      <c r="W322" s="239">
        <v>1345353</v>
      </c>
      <c r="X322" s="239">
        <v>1076283</v>
      </c>
      <c r="Y322" s="239">
        <v>269071</v>
      </c>
      <c r="Z322" s="239">
        <v>0</v>
      </c>
      <c r="AA322" s="239">
        <v>2690707</v>
      </c>
      <c r="AB322" s="239">
        <v>-499777</v>
      </c>
      <c r="AC322" s="239">
        <v>-399822</v>
      </c>
      <c r="AD322" s="239">
        <v>-99956</v>
      </c>
      <c r="AE322" s="239">
        <v>0</v>
      </c>
      <c r="AF322" s="239">
        <v>-999555</v>
      </c>
      <c r="AG322" s="239">
        <v>-450500</v>
      </c>
      <c r="AH322" s="239">
        <v>-360400</v>
      </c>
      <c r="AI322" s="239">
        <v>-90100</v>
      </c>
      <c r="AJ322" s="239">
        <v>0</v>
      </c>
      <c r="AK322" s="239">
        <v>-901000</v>
      </c>
      <c r="AL322" s="239">
        <v>0</v>
      </c>
      <c r="AM322" s="239">
        <v>0</v>
      </c>
      <c r="AN322" s="239">
        <v>0</v>
      </c>
      <c r="AO322" s="239">
        <v>0</v>
      </c>
      <c r="AP322" s="239">
        <v>0</v>
      </c>
      <c r="AQ322" s="239">
        <v>-65000</v>
      </c>
      <c r="AR322" s="239">
        <v>-52000</v>
      </c>
      <c r="AS322" s="239">
        <v>-13000</v>
      </c>
      <c r="AT322" s="239">
        <v>0</v>
      </c>
      <c r="AU322" s="239">
        <v>-130000</v>
      </c>
      <c r="AV322" s="239">
        <v>-515500</v>
      </c>
      <c r="AW322" s="239">
        <v>-412400</v>
      </c>
      <c r="AX322" s="239">
        <v>-103100</v>
      </c>
      <c r="AY322" s="239">
        <v>0</v>
      </c>
      <c r="AZ322" s="239">
        <v>-1031000</v>
      </c>
      <c r="BA322" s="239">
        <v>-3465000</v>
      </c>
      <c r="BB322" s="239">
        <v>-2772000</v>
      </c>
      <c r="BC322" s="239">
        <v>-693000</v>
      </c>
      <c r="BD322" s="239">
        <v>0</v>
      </c>
      <c r="BE322" s="239">
        <v>-6930000</v>
      </c>
      <c r="BF322" s="239">
        <v>578523</v>
      </c>
      <c r="BG322" s="239">
        <v>462818</v>
      </c>
      <c r="BH322" s="239">
        <v>115705</v>
      </c>
      <c r="BI322" s="239">
        <v>0</v>
      </c>
      <c r="BJ322" s="239">
        <v>1157046</v>
      </c>
      <c r="BK322" s="239">
        <v>-165967</v>
      </c>
      <c r="BL322" s="239">
        <v>-132774</v>
      </c>
      <c r="BM322" s="239">
        <v>-33194</v>
      </c>
      <c r="BN322" s="239">
        <v>0</v>
      </c>
      <c r="BO322" s="239">
        <v>-331935</v>
      </c>
      <c r="BP322" s="239">
        <v>-3052444</v>
      </c>
      <c r="BQ322" s="239">
        <v>-2441956</v>
      </c>
      <c r="BR322" s="239">
        <v>-610489</v>
      </c>
      <c r="BS322" s="239">
        <v>0</v>
      </c>
      <c r="BT322" s="239">
        <v>-6104889</v>
      </c>
      <c r="BU322" s="239">
        <v>-2107698</v>
      </c>
      <c r="BV322" s="239">
        <v>-1686159</v>
      </c>
      <c r="BW322" s="239">
        <v>-421540</v>
      </c>
      <c r="BX322" s="239">
        <v>0</v>
      </c>
      <c r="BY322" s="239">
        <v>-4215397</v>
      </c>
      <c r="BZ322" s="239">
        <v>-1738558</v>
      </c>
      <c r="CA322" s="239">
        <v>-1390846</v>
      </c>
      <c r="CB322" s="239">
        <v>-347712</v>
      </c>
      <c r="CC322" s="239">
        <v>0</v>
      </c>
      <c r="CD322" s="239">
        <v>-3477116</v>
      </c>
      <c r="CE322" s="239">
        <v>-369140</v>
      </c>
      <c r="CF322" s="239">
        <v>-295313</v>
      </c>
      <c r="CG322" s="239">
        <v>-73828</v>
      </c>
      <c r="CH322" s="239">
        <v>0</v>
      </c>
      <c r="CI322" s="239">
        <v>-738281</v>
      </c>
      <c r="CJ322" s="239">
        <v>22869948</v>
      </c>
      <c r="CK322" s="239">
        <v>18295959</v>
      </c>
      <c r="CL322" s="239">
        <v>4573990</v>
      </c>
      <c r="CM322" s="239">
        <v>0</v>
      </c>
      <c r="CN322" s="239">
        <v>45739897</v>
      </c>
      <c r="CO322" s="239">
        <v>24643579</v>
      </c>
      <c r="CP322" s="239">
        <v>19714864</v>
      </c>
      <c r="CQ322" s="239">
        <v>4928716</v>
      </c>
      <c r="CR322" s="239">
        <v>0</v>
      </c>
      <c r="CS322" s="239">
        <v>49287159</v>
      </c>
      <c r="CT322" s="239">
        <v>1773631</v>
      </c>
      <c r="CU322" s="239">
        <v>1418905</v>
      </c>
      <c r="CV322" s="239">
        <v>354726</v>
      </c>
      <c r="CW322" s="239">
        <v>0</v>
      </c>
      <c r="CX322" s="239">
        <v>3547262</v>
      </c>
      <c r="CY322" s="239">
        <v>1404491</v>
      </c>
      <c r="CZ322" s="239">
        <v>1123592</v>
      </c>
      <c r="DA322" s="239">
        <v>280898</v>
      </c>
      <c r="DB322" s="239">
        <v>0</v>
      </c>
      <c r="DC322" s="239">
        <v>2808981</v>
      </c>
      <c r="DD322" s="214">
        <v>0.5</v>
      </c>
      <c r="DE322" s="214">
        <v>0.4</v>
      </c>
      <c r="DF322" s="214">
        <v>0.1</v>
      </c>
      <c r="DG322" s="214">
        <v>0</v>
      </c>
      <c r="DH322" s="214">
        <v>1</v>
      </c>
      <c r="DI322" s="214" t="s">
        <v>1294</v>
      </c>
    </row>
    <row r="323" spans="2:113" s="214" customFormat="1" x14ac:dyDescent="0.2">
      <c r="B323" s="610" t="s">
        <v>729</v>
      </c>
      <c r="C323" s="610" t="s">
        <v>728</v>
      </c>
      <c r="D323" s="239">
        <v>28598363</v>
      </c>
      <c r="E323" s="239">
        <v>28026395</v>
      </c>
      <c r="F323" s="239">
        <v>0</v>
      </c>
      <c r="G323" s="239">
        <v>571967</v>
      </c>
      <c r="H323" s="239">
        <v>57196725</v>
      </c>
      <c r="I323" s="239">
        <v>0</v>
      </c>
      <c r="J323" s="239">
        <v>0</v>
      </c>
      <c r="K323" s="239">
        <v>28598363</v>
      </c>
      <c r="L323" s="239">
        <v>185021</v>
      </c>
      <c r="M323" s="239">
        <v>185021</v>
      </c>
      <c r="N323" s="239">
        <v>0</v>
      </c>
      <c r="O323" s="239">
        <v>0</v>
      </c>
      <c r="P323" s="239">
        <v>6412</v>
      </c>
      <c r="Q323" s="239">
        <v>0</v>
      </c>
      <c r="R323" s="239">
        <v>6412</v>
      </c>
      <c r="S323" s="239">
        <v>0</v>
      </c>
      <c r="T323" s="239">
        <v>0</v>
      </c>
      <c r="U323" s="239">
        <v>0</v>
      </c>
      <c r="V323" s="239">
        <v>0</v>
      </c>
      <c r="W323" s="239">
        <v>1421541</v>
      </c>
      <c r="X323" s="239">
        <v>1393111</v>
      </c>
      <c r="Y323" s="239">
        <v>0</v>
      </c>
      <c r="Z323" s="239">
        <v>28431</v>
      </c>
      <c r="AA323" s="239">
        <v>2843083</v>
      </c>
      <c r="AB323" s="239">
        <v>-1142369</v>
      </c>
      <c r="AC323" s="239">
        <v>-1119522</v>
      </c>
      <c r="AD323" s="239">
        <v>0</v>
      </c>
      <c r="AE323" s="239">
        <v>-22847</v>
      </c>
      <c r="AF323" s="239">
        <v>-2284738</v>
      </c>
      <c r="AG323" s="239">
        <v>-270895</v>
      </c>
      <c r="AH323" s="239">
        <v>-265478</v>
      </c>
      <c r="AI323" s="239">
        <v>0</v>
      </c>
      <c r="AJ323" s="239">
        <v>-5418</v>
      </c>
      <c r="AK323" s="239">
        <v>-541791</v>
      </c>
      <c r="AL323" s="239">
        <v>97712</v>
      </c>
      <c r="AM323" s="239">
        <v>95758</v>
      </c>
      <c r="AN323" s="239">
        <v>0</v>
      </c>
      <c r="AO323" s="239">
        <v>1954</v>
      </c>
      <c r="AP323" s="239">
        <v>195424</v>
      </c>
      <c r="AQ323" s="239">
        <v>-250000</v>
      </c>
      <c r="AR323" s="239">
        <v>-245000</v>
      </c>
      <c r="AS323" s="239">
        <v>0</v>
      </c>
      <c r="AT323" s="239">
        <v>-5000</v>
      </c>
      <c r="AU323" s="239">
        <v>-500000</v>
      </c>
      <c r="AV323" s="239">
        <v>-423183</v>
      </c>
      <c r="AW323" s="239">
        <v>-414720</v>
      </c>
      <c r="AX323" s="239">
        <v>0</v>
      </c>
      <c r="AY323" s="239">
        <v>-8464</v>
      </c>
      <c r="AZ323" s="239">
        <v>-846367</v>
      </c>
      <c r="BA323" s="239">
        <v>-809500</v>
      </c>
      <c r="BB323" s="239">
        <v>-793310</v>
      </c>
      <c r="BC323" s="239">
        <v>0</v>
      </c>
      <c r="BD323" s="239">
        <v>-16190</v>
      </c>
      <c r="BE323" s="239">
        <v>-1619000</v>
      </c>
      <c r="BF323" s="239">
        <v>581332</v>
      </c>
      <c r="BG323" s="239">
        <v>569706</v>
      </c>
      <c r="BH323" s="239">
        <v>0</v>
      </c>
      <c r="BI323" s="239">
        <v>11627</v>
      </c>
      <c r="BJ323" s="239">
        <v>1162665</v>
      </c>
      <c r="BK323" s="239">
        <v>-396832</v>
      </c>
      <c r="BL323" s="239">
        <v>-388896</v>
      </c>
      <c r="BM323" s="239">
        <v>0</v>
      </c>
      <c r="BN323" s="239">
        <v>-7937</v>
      </c>
      <c r="BO323" s="239">
        <v>-793665</v>
      </c>
      <c r="BP323" s="239">
        <v>-625000</v>
      </c>
      <c r="BQ323" s="239">
        <v>-612500</v>
      </c>
      <c r="BR323" s="239">
        <v>0</v>
      </c>
      <c r="BS323" s="239">
        <v>-12500</v>
      </c>
      <c r="BT323" s="239">
        <v>-1250000</v>
      </c>
      <c r="BU323" s="239">
        <v>-71000</v>
      </c>
      <c r="BV323" s="239">
        <v>-69580</v>
      </c>
      <c r="BW323" s="239">
        <v>0</v>
      </c>
      <c r="BX323" s="239">
        <v>-1420</v>
      </c>
      <c r="BY323" s="239">
        <v>-142000</v>
      </c>
      <c r="BZ323" s="239">
        <v>-1384295</v>
      </c>
      <c r="CA323" s="239">
        <v>-1356609</v>
      </c>
      <c r="CB323" s="239">
        <v>0</v>
      </c>
      <c r="CC323" s="239">
        <v>-27686</v>
      </c>
      <c r="CD323" s="239">
        <v>-2768590</v>
      </c>
      <c r="CE323" s="239">
        <v>1313295</v>
      </c>
      <c r="CF323" s="239">
        <v>1287029</v>
      </c>
      <c r="CG323" s="239">
        <v>0</v>
      </c>
      <c r="CH323" s="239">
        <v>26266</v>
      </c>
      <c r="CI323" s="239">
        <v>2626590</v>
      </c>
      <c r="CJ323" s="239">
        <v>28149385</v>
      </c>
      <c r="CK323" s="239">
        <v>27586398</v>
      </c>
      <c r="CL323" s="239">
        <v>0</v>
      </c>
      <c r="CM323" s="239">
        <v>562988</v>
      </c>
      <c r="CN323" s="239">
        <v>56298771</v>
      </c>
      <c r="CO323" s="239">
        <v>28598363</v>
      </c>
      <c r="CP323" s="239">
        <v>28026395</v>
      </c>
      <c r="CQ323" s="239">
        <v>0</v>
      </c>
      <c r="CR323" s="239">
        <v>571967</v>
      </c>
      <c r="CS323" s="239">
        <v>57196725</v>
      </c>
      <c r="CT323" s="239">
        <v>448978</v>
      </c>
      <c r="CU323" s="239">
        <v>439997</v>
      </c>
      <c r="CV323" s="239">
        <v>0</v>
      </c>
      <c r="CW323" s="239">
        <v>8979</v>
      </c>
      <c r="CX323" s="239">
        <v>897954</v>
      </c>
      <c r="CY323" s="239">
        <v>1762273</v>
      </c>
      <c r="CZ323" s="239">
        <v>1727026</v>
      </c>
      <c r="DA323" s="239">
        <v>0</v>
      </c>
      <c r="DB323" s="239">
        <v>35245</v>
      </c>
      <c r="DC323" s="239">
        <v>3524544</v>
      </c>
      <c r="DD323" s="214">
        <v>0.5</v>
      </c>
      <c r="DE323" s="214">
        <v>0.49</v>
      </c>
      <c r="DF323" s="214">
        <v>0</v>
      </c>
      <c r="DG323" s="214">
        <v>0.01</v>
      </c>
      <c r="DH323" s="214">
        <v>1</v>
      </c>
      <c r="DI323" s="214" t="s">
        <v>748</v>
      </c>
    </row>
    <row r="324" spans="2:113" s="214" customFormat="1" x14ac:dyDescent="0.2">
      <c r="B324" s="610" t="s">
        <v>731</v>
      </c>
      <c r="C324" s="610" t="s">
        <v>730</v>
      </c>
      <c r="D324" s="239">
        <v>34257252</v>
      </c>
      <c r="E324" s="239">
        <v>33572106</v>
      </c>
      <c r="F324" s="239">
        <v>0</v>
      </c>
      <c r="G324" s="239">
        <v>685145</v>
      </c>
      <c r="H324" s="239">
        <v>68514503</v>
      </c>
      <c r="I324" s="239">
        <v>0</v>
      </c>
      <c r="J324" s="239">
        <v>0</v>
      </c>
      <c r="K324" s="239">
        <v>34257252</v>
      </c>
      <c r="L324" s="239">
        <v>346763</v>
      </c>
      <c r="M324" s="239">
        <v>346763</v>
      </c>
      <c r="N324" s="239">
        <v>807</v>
      </c>
      <c r="O324" s="239">
        <v>807</v>
      </c>
      <c r="P324" s="239">
        <v>0</v>
      </c>
      <c r="Q324" s="239">
        <v>0</v>
      </c>
      <c r="R324" s="239">
        <v>0</v>
      </c>
      <c r="S324" s="239">
        <v>0</v>
      </c>
      <c r="T324" s="239">
        <v>0</v>
      </c>
      <c r="U324" s="239">
        <v>0</v>
      </c>
      <c r="V324" s="239">
        <v>0</v>
      </c>
      <c r="W324" s="239">
        <v>3821424.76</v>
      </c>
      <c r="X324" s="239">
        <v>3744995</v>
      </c>
      <c r="Y324" s="239">
        <v>0</v>
      </c>
      <c r="Z324" s="239">
        <v>76428</v>
      </c>
      <c r="AA324" s="239">
        <v>7642847.7599999998</v>
      </c>
      <c r="AB324" s="239">
        <v>-791950.54</v>
      </c>
      <c r="AC324" s="239">
        <v>-776112</v>
      </c>
      <c r="AD324" s="239">
        <v>0</v>
      </c>
      <c r="AE324" s="239">
        <v>-15839</v>
      </c>
      <c r="AF324" s="239">
        <v>-1583901.54</v>
      </c>
      <c r="AG324" s="239">
        <v>-1242890</v>
      </c>
      <c r="AH324" s="239">
        <v>-1218033</v>
      </c>
      <c r="AI324" s="239">
        <v>0</v>
      </c>
      <c r="AJ324" s="239">
        <v>-24858</v>
      </c>
      <c r="AK324" s="239">
        <v>-2485781</v>
      </c>
      <c r="AL324" s="239">
        <v>207631</v>
      </c>
      <c r="AM324" s="239">
        <v>203478</v>
      </c>
      <c r="AN324" s="239">
        <v>0</v>
      </c>
      <c r="AO324" s="239">
        <v>4153</v>
      </c>
      <c r="AP324" s="239">
        <v>415262</v>
      </c>
      <c r="AQ324" s="239">
        <v>-682152</v>
      </c>
      <c r="AR324" s="239">
        <v>-668508</v>
      </c>
      <c r="AS324" s="239">
        <v>0</v>
      </c>
      <c r="AT324" s="239">
        <v>-13643</v>
      </c>
      <c r="AU324" s="239">
        <v>-1364303</v>
      </c>
      <c r="AV324" s="239">
        <v>-1717411</v>
      </c>
      <c r="AW324" s="239">
        <v>-1683063</v>
      </c>
      <c r="AX324" s="239">
        <v>0</v>
      </c>
      <c r="AY324" s="239">
        <v>-34348</v>
      </c>
      <c r="AZ324" s="239">
        <v>-3434822</v>
      </c>
      <c r="BA324" s="239">
        <v>-4053078</v>
      </c>
      <c r="BB324" s="239">
        <v>-3972017</v>
      </c>
      <c r="BC324" s="239">
        <v>0</v>
      </c>
      <c r="BD324" s="239">
        <v>-81062</v>
      </c>
      <c r="BE324" s="239">
        <v>-8106157</v>
      </c>
      <c r="BF324" s="239">
        <v>1368499</v>
      </c>
      <c r="BG324" s="239">
        <v>1341130</v>
      </c>
      <c r="BH324" s="239">
        <v>0</v>
      </c>
      <c r="BI324" s="239">
        <v>27370</v>
      </c>
      <c r="BJ324" s="239">
        <v>2736999</v>
      </c>
      <c r="BK324" s="239">
        <v>-3423394</v>
      </c>
      <c r="BL324" s="239">
        <v>-3354926</v>
      </c>
      <c r="BM324" s="239">
        <v>0</v>
      </c>
      <c r="BN324" s="239">
        <v>-68468</v>
      </c>
      <c r="BO324" s="239">
        <v>-6846788</v>
      </c>
      <c r="BP324" s="239">
        <v>-6107973</v>
      </c>
      <c r="BQ324" s="239">
        <v>-5985813</v>
      </c>
      <c r="BR324" s="239">
        <v>0</v>
      </c>
      <c r="BS324" s="239">
        <v>-122160</v>
      </c>
      <c r="BT324" s="239">
        <v>-12215946</v>
      </c>
      <c r="BU324" s="239">
        <v>-3915030</v>
      </c>
      <c r="BV324" s="239">
        <v>-3836729</v>
      </c>
      <c r="BW324" s="239">
        <v>0</v>
      </c>
      <c r="BX324" s="239">
        <v>-78301</v>
      </c>
      <c r="BY324" s="239">
        <v>-7830060</v>
      </c>
      <c r="BZ324" s="239">
        <v>-933192.3</v>
      </c>
      <c r="CA324" s="239">
        <v>-914528</v>
      </c>
      <c r="CB324" s="239">
        <v>0</v>
      </c>
      <c r="CC324" s="239">
        <v>-18664</v>
      </c>
      <c r="CD324" s="239">
        <v>-1866384.3</v>
      </c>
      <c r="CE324" s="239">
        <v>-2981837.7</v>
      </c>
      <c r="CF324" s="239">
        <v>-2922201</v>
      </c>
      <c r="CG324" s="239">
        <v>0</v>
      </c>
      <c r="CH324" s="239">
        <v>-59637</v>
      </c>
      <c r="CI324" s="239">
        <v>-5963675.7000000002</v>
      </c>
      <c r="CJ324" s="239">
        <v>38068632</v>
      </c>
      <c r="CK324" s="239">
        <v>37307259</v>
      </c>
      <c r="CL324" s="239">
        <v>0</v>
      </c>
      <c r="CM324" s="239">
        <v>761373</v>
      </c>
      <c r="CN324" s="239">
        <v>76137264</v>
      </c>
      <c r="CO324" s="239">
        <v>34257252</v>
      </c>
      <c r="CP324" s="239">
        <v>33572106</v>
      </c>
      <c r="CQ324" s="239">
        <v>0</v>
      </c>
      <c r="CR324" s="239">
        <v>685145</v>
      </c>
      <c r="CS324" s="239">
        <v>68514503</v>
      </c>
      <c r="CT324" s="239">
        <v>-3811380</v>
      </c>
      <c r="CU324" s="239">
        <v>-3735153</v>
      </c>
      <c r="CV324" s="239">
        <v>0</v>
      </c>
      <c r="CW324" s="239">
        <v>-76228</v>
      </c>
      <c r="CX324" s="239">
        <v>-7622761</v>
      </c>
      <c r="CY324" s="239">
        <v>-6793217.7000000002</v>
      </c>
      <c r="CZ324" s="239">
        <v>-6657354</v>
      </c>
      <c r="DA324" s="239">
        <v>0</v>
      </c>
      <c r="DB324" s="239">
        <v>-135865</v>
      </c>
      <c r="DC324" s="239">
        <v>-13586436.699999999</v>
      </c>
      <c r="DD324" s="214">
        <v>0.5</v>
      </c>
      <c r="DE324" s="214">
        <v>0.49</v>
      </c>
      <c r="DF324" s="214">
        <v>0</v>
      </c>
      <c r="DG324" s="214">
        <v>0.01</v>
      </c>
      <c r="DH324" s="214">
        <v>1</v>
      </c>
      <c r="DI324" s="214" t="s">
        <v>1296</v>
      </c>
    </row>
    <row r="325" spans="2:113" s="214" customFormat="1" x14ac:dyDescent="0.2">
      <c r="B325" s="610" t="s">
        <v>733</v>
      </c>
      <c r="C325" s="610" t="s">
        <v>732</v>
      </c>
      <c r="D325" s="239">
        <v>19946825</v>
      </c>
      <c r="E325" s="239">
        <v>15957459</v>
      </c>
      <c r="F325" s="239">
        <v>3590428</v>
      </c>
      <c r="G325" s="239">
        <v>398936</v>
      </c>
      <c r="H325" s="239">
        <v>39893648</v>
      </c>
      <c r="I325" s="239">
        <v>0</v>
      </c>
      <c r="J325" s="239">
        <v>0</v>
      </c>
      <c r="K325" s="239">
        <v>19946825</v>
      </c>
      <c r="L325" s="239">
        <v>138095</v>
      </c>
      <c r="M325" s="239">
        <v>138095</v>
      </c>
      <c r="N325" s="239">
        <v>0</v>
      </c>
      <c r="O325" s="239">
        <v>0</v>
      </c>
      <c r="P325" s="239">
        <v>0</v>
      </c>
      <c r="Q325" s="239">
        <v>0</v>
      </c>
      <c r="R325" s="239">
        <v>0</v>
      </c>
      <c r="S325" s="239">
        <v>0</v>
      </c>
      <c r="T325" s="239">
        <v>0</v>
      </c>
      <c r="U325" s="239">
        <v>0</v>
      </c>
      <c r="V325" s="239">
        <v>0</v>
      </c>
      <c r="W325" s="239">
        <v>379948</v>
      </c>
      <c r="X325" s="239">
        <v>303958</v>
      </c>
      <c r="Y325" s="239">
        <v>68391</v>
      </c>
      <c r="Z325" s="239">
        <v>7599</v>
      </c>
      <c r="AA325" s="239">
        <v>759896</v>
      </c>
      <c r="AB325" s="239">
        <v>-142586</v>
      </c>
      <c r="AC325" s="239">
        <v>-114069</v>
      </c>
      <c r="AD325" s="239">
        <v>-25665</v>
      </c>
      <c r="AE325" s="239">
        <v>-2852</v>
      </c>
      <c r="AF325" s="239">
        <v>-285172</v>
      </c>
      <c r="AG325" s="239">
        <v>-147384</v>
      </c>
      <c r="AH325" s="239">
        <v>-117907</v>
      </c>
      <c r="AI325" s="239">
        <v>-26529</v>
      </c>
      <c r="AJ325" s="239">
        <v>-2948</v>
      </c>
      <c r="AK325" s="239">
        <v>-294768</v>
      </c>
      <c r="AL325" s="239">
        <v>147384</v>
      </c>
      <c r="AM325" s="239">
        <v>117907</v>
      </c>
      <c r="AN325" s="239">
        <v>26529</v>
      </c>
      <c r="AO325" s="239">
        <v>2948</v>
      </c>
      <c r="AP325" s="239">
        <v>294768</v>
      </c>
      <c r="AQ325" s="239">
        <v>-147384</v>
      </c>
      <c r="AR325" s="239">
        <v>-117907</v>
      </c>
      <c r="AS325" s="239">
        <v>-26529</v>
      </c>
      <c r="AT325" s="239">
        <v>-2948</v>
      </c>
      <c r="AU325" s="239">
        <v>-294768</v>
      </c>
      <c r="AV325" s="239">
        <v>-147384</v>
      </c>
      <c r="AW325" s="239">
        <v>-117907</v>
      </c>
      <c r="AX325" s="239">
        <v>-26529</v>
      </c>
      <c r="AY325" s="239">
        <v>-2948</v>
      </c>
      <c r="AZ325" s="239">
        <v>-294768</v>
      </c>
      <c r="BA325" s="239">
        <v>-3044816</v>
      </c>
      <c r="BB325" s="239">
        <v>-2435853</v>
      </c>
      <c r="BC325" s="239">
        <v>-548067</v>
      </c>
      <c r="BD325" s="239">
        <v>-60896</v>
      </c>
      <c r="BE325" s="239">
        <v>-6089632</v>
      </c>
      <c r="BF325" s="239">
        <v>1450130</v>
      </c>
      <c r="BG325" s="239">
        <v>1160105</v>
      </c>
      <c r="BH325" s="239">
        <v>261024</v>
      </c>
      <c r="BI325" s="239">
        <v>29003</v>
      </c>
      <c r="BJ325" s="239">
        <v>2900262</v>
      </c>
      <c r="BK325" s="239">
        <v>-72899</v>
      </c>
      <c r="BL325" s="239">
        <v>-58319</v>
      </c>
      <c r="BM325" s="239">
        <v>-13122</v>
      </c>
      <c r="BN325" s="239">
        <v>-1458</v>
      </c>
      <c r="BO325" s="239">
        <v>-145798</v>
      </c>
      <c r="BP325" s="239">
        <v>-1667585</v>
      </c>
      <c r="BQ325" s="239">
        <v>-1334067</v>
      </c>
      <c r="BR325" s="239">
        <v>-300165</v>
      </c>
      <c r="BS325" s="239">
        <v>-33351</v>
      </c>
      <c r="BT325" s="239">
        <v>-3335168</v>
      </c>
      <c r="BU325" s="239">
        <v>-3733069</v>
      </c>
      <c r="BV325" s="239">
        <v>-2986455</v>
      </c>
      <c r="BW325" s="239">
        <v>-671952</v>
      </c>
      <c r="BX325" s="239">
        <v>-74661</v>
      </c>
      <c r="BY325" s="239">
        <v>-7466137</v>
      </c>
      <c r="BZ325" s="239">
        <v>-1641622</v>
      </c>
      <c r="CA325" s="239">
        <v>-1313297</v>
      </c>
      <c r="CB325" s="239">
        <v>-295492</v>
      </c>
      <c r="CC325" s="239">
        <v>-32832</v>
      </c>
      <c r="CD325" s="239">
        <v>-3283243</v>
      </c>
      <c r="CE325" s="239">
        <v>-2091447</v>
      </c>
      <c r="CF325" s="239">
        <v>-1673158</v>
      </c>
      <c r="CG325" s="239">
        <v>-376460</v>
      </c>
      <c r="CH325" s="239">
        <v>-41829</v>
      </c>
      <c r="CI325" s="239">
        <v>-4182894</v>
      </c>
      <c r="CJ325" s="239">
        <v>20257197</v>
      </c>
      <c r="CK325" s="239">
        <v>16205758</v>
      </c>
      <c r="CL325" s="239">
        <v>3646295</v>
      </c>
      <c r="CM325" s="239">
        <v>405144</v>
      </c>
      <c r="CN325" s="239">
        <v>40514394</v>
      </c>
      <c r="CO325" s="239">
        <v>19946825</v>
      </c>
      <c r="CP325" s="239">
        <v>15957459</v>
      </c>
      <c r="CQ325" s="239">
        <v>3590428</v>
      </c>
      <c r="CR325" s="239">
        <v>398936</v>
      </c>
      <c r="CS325" s="239">
        <v>39893648</v>
      </c>
      <c r="CT325" s="239">
        <v>-310372</v>
      </c>
      <c r="CU325" s="239">
        <v>-248299</v>
      </c>
      <c r="CV325" s="239">
        <v>-55867</v>
      </c>
      <c r="CW325" s="239">
        <v>-6208</v>
      </c>
      <c r="CX325" s="239">
        <v>-620746</v>
      </c>
      <c r="CY325" s="239">
        <v>-2401819</v>
      </c>
      <c r="CZ325" s="239">
        <v>-1921457</v>
      </c>
      <c r="DA325" s="239">
        <v>-432327</v>
      </c>
      <c r="DB325" s="239">
        <v>-48037</v>
      </c>
      <c r="DC325" s="239">
        <v>-4803640</v>
      </c>
      <c r="DD325" s="214">
        <v>0.5</v>
      </c>
      <c r="DE325" s="214">
        <v>0.4</v>
      </c>
      <c r="DF325" s="214">
        <v>0.09</v>
      </c>
      <c r="DG325" s="214">
        <v>0.01</v>
      </c>
      <c r="DH325" s="214">
        <v>1</v>
      </c>
      <c r="DI325" s="214" t="s">
        <v>1294</v>
      </c>
    </row>
    <row r="326" spans="2:113" s="214" customFormat="1" x14ac:dyDescent="0.2">
      <c r="B326" s="610" t="s">
        <v>735</v>
      </c>
      <c r="C326" s="610" t="s">
        <v>734</v>
      </c>
      <c r="D326" s="239">
        <v>15563302</v>
      </c>
      <c r="E326" s="239">
        <v>12450642</v>
      </c>
      <c r="F326" s="239">
        <v>3112661</v>
      </c>
      <c r="G326" s="239">
        <v>0</v>
      </c>
      <c r="H326" s="239">
        <v>31126605</v>
      </c>
      <c r="I326" s="239">
        <v>0</v>
      </c>
      <c r="J326" s="239">
        <v>0</v>
      </c>
      <c r="K326" s="239">
        <v>15563302</v>
      </c>
      <c r="L326" s="239">
        <v>132241</v>
      </c>
      <c r="M326" s="239">
        <v>132241</v>
      </c>
      <c r="N326" s="239">
        <v>0</v>
      </c>
      <c r="O326" s="239">
        <v>0</v>
      </c>
      <c r="P326" s="239">
        <v>0</v>
      </c>
      <c r="Q326" s="239">
        <v>0</v>
      </c>
      <c r="R326" s="239">
        <v>0</v>
      </c>
      <c r="S326" s="239">
        <v>0</v>
      </c>
      <c r="T326" s="239">
        <v>0</v>
      </c>
      <c r="U326" s="239">
        <v>0</v>
      </c>
      <c r="V326" s="239">
        <v>0</v>
      </c>
      <c r="W326" s="239">
        <v>411093</v>
      </c>
      <c r="X326" s="239">
        <v>328875</v>
      </c>
      <c r="Y326" s="239">
        <v>82219</v>
      </c>
      <c r="Z326" s="239">
        <v>0</v>
      </c>
      <c r="AA326" s="239">
        <v>822187</v>
      </c>
      <c r="AB326" s="239">
        <v>-236004</v>
      </c>
      <c r="AC326" s="239">
        <v>-188803</v>
      </c>
      <c r="AD326" s="239">
        <v>-47201</v>
      </c>
      <c r="AE326" s="239">
        <v>0</v>
      </c>
      <c r="AF326" s="239">
        <v>-472008</v>
      </c>
      <c r="AG326" s="239">
        <v>-432338</v>
      </c>
      <c r="AH326" s="239">
        <v>-345871</v>
      </c>
      <c r="AI326" s="239">
        <v>-86468</v>
      </c>
      <c r="AJ326" s="239">
        <v>0</v>
      </c>
      <c r="AK326" s="239">
        <v>-864677</v>
      </c>
      <c r="AL326" s="239">
        <v>12323</v>
      </c>
      <c r="AM326" s="239">
        <v>9859</v>
      </c>
      <c r="AN326" s="239">
        <v>2465</v>
      </c>
      <c r="AO326" s="239">
        <v>0</v>
      </c>
      <c r="AP326" s="239">
        <v>24647</v>
      </c>
      <c r="AQ326" s="239">
        <v>-145191</v>
      </c>
      <c r="AR326" s="239">
        <v>-116153</v>
      </c>
      <c r="AS326" s="239">
        <v>-29038</v>
      </c>
      <c r="AT326" s="239">
        <v>0</v>
      </c>
      <c r="AU326" s="239">
        <v>-290382</v>
      </c>
      <c r="AV326" s="239">
        <v>-565206</v>
      </c>
      <c r="AW326" s="239">
        <v>-452165</v>
      </c>
      <c r="AX326" s="239">
        <v>-113041</v>
      </c>
      <c r="AY326" s="239">
        <v>0</v>
      </c>
      <c r="AZ326" s="239">
        <v>-1130412</v>
      </c>
      <c r="BA326" s="239">
        <v>-1363131</v>
      </c>
      <c r="BB326" s="239">
        <v>-1090505</v>
      </c>
      <c r="BC326" s="239">
        <v>-272626</v>
      </c>
      <c r="BD326" s="239">
        <v>0</v>
      </c>
      <c r="BE326" s="239">
        <v>-2726262</v>
      </c>
      <c r="BF326" s="239">
        <v>94730</v>
      </c>
      <c r="BG326" s="239">
        <v>75784</v>
      </c>
      <c r="BH326" s="239">
        <v>18946</v>
      </c>
      <c r="BI326" s="239">
        <v>0</v>
      </c>
      <c r="BJ326" s="239">
        <v>189460</v>
      </c>
      <c r="BK326" s="239">
        <v>-43466</v>
      </c>
      <c r="BL326" s="239">
        <v>-34772</v>
      </c>
      <c r="BM326" s="239">
        <v>-8693</v>
      </c>
      <c r="BN326" s="239">
        <v>0</v>
      </c>
      <c r="BO326" s="239">
        <v>-86931</v>
      </c>
      <c r="BP326" s="239">
        <v>-1311867</v>
      </c>
      <c r="BQ326" s="239">
        <v>-1049493</v>
      </c>
      <c r="BR326" s="239">
        <v>-262373</v>
      </c>
      <c r="BS326" s="239">
        <v>0</v>
      </c>
      <c r="BT326" s="239">
        <v>-2623733</v>
      </c>
      <c r="BU326" s="239">
        <v>-548011</v>
      </c>
      <c r="BV326" s="239">
        <v>-438408</v>
      </c>
      <c r="BW326" s="239">
        <v>-109602</v>
      </c>
      <c r="BX326" s="239">
        <v>0</v>
      </c>
      <c r="BY326" s="239">
        <v>-1096021</v>
      </c>
      <c r="BZ326" s="239">
        <v>-247269</v>
      </c>
      <c r="CA326" s="239">
        <v>-197816</v>
      </c>
      <c r="CB326" s="239">
        <v>-49454</v>
      </c>
      <c r="CC326" s="239">
        <v>0</v>
      </c>
      <c r="CD326" s="239">
        <v>-494539</v>
      </c>
      <c r="CE326" s="239">
        <v>-300742</v>
      </c>
      <c r="CF326" s="239">
        <v>-240592</v>
      </c>
      <c r="CG326" s="239">
        <v>-60148</v>
      </c>
      <c r="CH326" s="239">
        <v>0</v>
      </c>
      <c r="CI326" s="239">
        <v>-601482</v>
      </c>
      <c r="CJ326" s="239">
        <v>15498369</v>
      </c>
      <c r="CK326" s="239">
        <v>12398695</v>
      </c>
      <c r="CL326" s="239">
        <v>3099674</v>
      </c>
      <c r="CM326" s="239">
        <v>0</v>
      </c>
      <c r="CN326" s="239">
        <v>30996738</v>
      </c>
      <c r="CO326" s="239">
        <v>15563302</v>
      </c>
      <c r="CP326" s="239">
        <v>12450642</v>
      </c>
      <c r="CQ326" s="239">
        <v>3112661</v>
      </c>
      <c r="CR326" s="239">
        <v>0</v>
      </c>
      <c r="CS326" s="239">
        <v>31126605</v>
      </c>
      <c r="CT326" s="239">
        <v>64933</v>
      </c>
      <c r="CU326" s="239">
        <v>51947</v>
      </c>
      <c r="CV326" s="239">
        <v>12987</v>
      </c>
      <c r="CW326" s="239">
        <v>0</v>
      </c>
      <c r="CX326" s="239">
        <v>129867</v>
      </c>
      <c r="CY326" s="239">
        <v>-235809</v>
      </c>
      <c r="CZ326" s="239">
        <v>-188645</v>
      </c>
      <c r="DA326" s="239">
        <v>-47161</v>
      </c>
      <c r="DB326" s="239">
        <v>0</v>
      </c>
      <c r="DC326" s="239">
        <v>-471615</v>
      </c>
      <c r="DD326" s="214">
        <v>0.5</v>
      </c>
      <c r="DE326" s="214">
        <v>0.4</v>
      </c>
      <c r="DF326" s="214">
        <v>0.1</v>
      </c>
      <c r="DG326" s="214">
        <v>0</v>
      </c>
      <c r="DH326" s="214">
        <v>1</v>
      </c>
      <c r="DI326" s="214" t="s">
        <v>1294</v>
      </c>
    </row>
    <row r="327" spans="2:113" s="214" customFormat="1" x14ac:dyDescent="0.2">
      <c r="B327" s="610" t="s">
        <v>737</v>
      </c>
      <c r="C327" s="610" t="s">
        <v>736</v>
      </c>
      <c r="D327" s="239">
        <v>19305674</v>
      </c>
      <c r="E327" s="239">
        <v>15444538</v>
      </c>
      <c r="F327" s="239">
        <v>3475021</v>
      </c>
      <c r="G327" s="239">
        <v>386113</v>
      </c>
      <c r="H327" s="239">
        <v>38611346</v>
      </c>
      <c r="I327" s="239">
        <v>0</v>
      </c>
      <c r="J327" s="239">
        <v>0</v>
      </c>
      <c r="K327" s="239">
        <v>19305674</v>
      </c>
      <c r="L327" s="239">
        <v>188085</v>
      </c>
      <c r="M327" s="239">
        <v>188085</v>
      </c>
      <c r="N327" s="239">
        <v>0</v>
      </c>
      <c r="O327" s="239">
        <v>0</v>
      </c>
      <c r="P327" s="239">
        <v>29428</v>
      </c>
      <c r="Q327" s="239">
        <v>0</v>
      </c>
      <c r="R327" s="239">
        <v>29428</v>
      </c>
      <c r="S327" s="239">
        <v>0</v>
      </c>
      <c r="T327" s="239">
        <v>0</v>
      </c>
      <c r="U327" s="239">
        <v>0</v>
      </c>
      <c r="V327" s="239">
        <v>0</v>
      </c>
      <c r="W327" s="239">
        <v>398303</v>
      </c>
      <c r="X327" s="239">
        <v>318643</v>
      </c>
      <c r="Y327" s="239">
        <v>71695</v>
      </c>
      <c r="Z327" s="239">
        <v>7966</v>
      </c>
      <c r="AA327" s="239">
        <v>796607</v>
      </c>
      <c r="AB327" s="239">
        <v>-230191</v>
      </c>
      <c r="AC327" s="239">
        <v>-184154</v>
      </c>
      <c r="AD327" s="239">
        <v>-41435</v>
      </c>
      <c r="AE327" s="239">
        <v>-4604</v>
      </c>
      <c r="AF327" s="239">
        <v>-460384</v>
      </c>
      <c r="AG327" s="239">
        <v>-97500</v>
      </c>
      <c r="AH327" s="239">
        <v>-78000</v>
      </c>
      <c r="AI327" s="239">
        <v>-17550</v>
      </c>
      <c r="AJ327" s="239">
        <v>-1950</v>
      </c>
      <c r="AK327" s="239">
        <v>-195000</v>
      </c>
      <c r="AL327" s="239">
        <v>97500</v>
      </c>
      <c r="AM327" s="239">
        <v>78000</v>
      </c>
      <c r="AN327" s="239">
        <v>17550</v>
      </c>
      <c r="AO327" s="239">
        <v>1950</v>
      </c>
      <c r="AP327" s="239">
        <v>195000</v>
      </c>
      <c r="AQ327" s="239">
        <v>-97500</v>
      </c>
      <c r="AR327" s="239">
        <v>-78000</v>
      </c>
      <c r="AS327" s="239">
        <v>-17550</v>
      </c>
      <c r="AT327" s="239">
        <v>-1950</v>
      </c>
      <c r="AU327" s="239">
        <v>-195000</v>
      </c>
      <c r="AV327" s="239">
        <v>-97500</v>
      </c>
      <c r="AW327" s="239">
        <v>-78000</v>
      </c>
      <c r="AX327" s="239">
        <v>-17550</v>
      </c>
      <c r="AY327" s="239">
        <v>-1950</v>
      </c>
      <c r="AZ327" s="239">
        <v>-195000</v>
      </c>
      <c r="BA327" s="239">
        <v>-2943068</v>
      </c>
      <c r="BB327" s="239">
        <v>-2354453</v>
      </c>
      <c r="BC327" s="239">
        <v>-529751</v>
      </c>
      <c r="BD327" s="239">
        <v>-58861</v>
      </c>
      <c r="BE327" s="239">
        <v>-5886133</v>
      </c>
      <c r="BF327" s="239">
        <v>1849224</v>
      </c>
      <c r="BG327" s="239">
        <v>1479380</v>
      </c>
      <c r="BH327" s="239">
        <v>332861</v>
      </c>
      <c r="BI327" s="239">
        <v>36985</v>
      </c>
      <c r="BJ327" s="239">
        <v>3698450</v>
      </c>
      <c r="BK327" s="239">
        <v>-290786</v>
      </c>
      <c r="BL327" s="239">
        <v>-232629</v>
      </c>
      <c r="BM327" s="239">
        <v>-52341</v>
      </c>
      <c r="BN327" s="239">
        <v>-5816</v>
      </c>
      <c r="BO327" s="239">
        <v>-581572</v>
      </c>
      <c r="BP327" s="239">
        <v>-1384630</v>
      </c>
      <c r="BQ327" s="239">
        <v>-1107702</v>
      </c>
      <c r="BR327" s="239">
        <v>-249231</v>
      </c>
      <c r="BS327" s="239">
        <v>-27692</v>
      </c>
      <c r="BT327" s="239">
        <v>-2769255</v>
      </c>
      <c r="BU327" s="239">
        <v>-3202000</v>
      </c>
      <c r="BV327" s="239">
        <v>-2561600</v>
      </c>
      <c r="BW327" s="239">
        <v>-576360</v>
      </c>
      <c r="BX327" s="239">
        <v>-64040</v>
      </c>
      <c r="BY327" s="239">
        <v>-6404000</v>
      </c>
      <c r="BZ327" s="239">
        <v>-1094144</v>
      </c>
      <c r="CA327" s="239">
        <v>-875315</v>
      </c>
      <c r="CB327" s="239">
        <v>-196946</v>
      </c>
      <c r="CC327" s="239">
        <v>-21883</v>
      </c>
      <c r="CD327" s="239">
        <v>-2188288</v>
      </c>
      <c r="CE327" s="239">
        <v>-2107856</v>
      </c>
      <c r="CF327" s="239">
        <v>-1686285</v>
      </c>
      <c r="CG327" s="239">
        <v>-379414</v>
      </c>
      <c r="CH327" s="239">
        <v>-42157</v>
      </c>
      <c r="CI327" s="239">
        <v>-4215712</v>
      </c>
      <c r="CJ327" s="239">
        <v>19274981</v>
      </c>
      <c r="CK327" s="239">
        <v>15419984</v>
      </c>
      <c r="CL327" s="239">
        <v>3469496</v>
      </c>
      <c r="CM327" s="239">
        <v>385500</v>
      </c>
      <c r="CN327" s="239">
        <v>38549961</v>
      </c>
      <c r="CO327" s="239">
        <v>19305674</v>
      </c>
      <c r="CP327" s="239">
        <v>15444538</v>
      </c>
      <c r="CQ327" s="239">
        <v>3475021</v>
      </c>
      <c r="CR327" s="239">
        <v>386113</v>
      </c>
      <c r="CS327" s="239">
        <v>38611346</v>
      </c>
      <c r="CT327" s="239">
        <v>30693</v>
      </c>
      <c r="CU327" s="239">
        <v>24554</v>
      </c>
      <c r="CV327" s="239">
        <v>5525</v>
      </c>
      <c r="CW327" s="239">
        <v>613</v>
      </c>
      <c r="CX327" s="239">
        <v>61385</v>
      </c>
      <c r="CY327" s="239">
        <v>-2077163</v>
      </c>
      <c r="CZ327" s="239">
        <v>-1661731</v>
      </c>
      <c r="DA327" s="239">
        <v>-373889</v>
      </c>
      <c r="DB327" s="239">
        <v>-41544</v>
      </c>
      <c r="DC327" s="239">
        <v>-4154327</v>
      </c>
      <c r="DD327" s="214">
        <v>0.5</v>
      </c>
      <c r="DE327" s="214">
        <v>0.4</v>
      </c>
      <c r="DF327" s="214">
        <v>0.09</v>
      </c>
      <c r="DG327" s="214">
        <v>0.01</v>
      </c>
      <c r="DH327" s="214">
        <v>1</v>
      </c>
      <c r="DI327" s="214" t="s">
        <v>1294</v>
      </c>
    </row>
    <row r="328" spans="2:113" s="214" customFormat="1" x14ac:dyDescent="0.2">
      <c r="B328" s="610" t="s">
        <v>739</v>
      </c>
      <c r="C328" s="610" t="s">
        <v>738</v>
      </c>
      <c r="D328" s="239">
        <v>34676809</v>
      </c>
      <c r="E328" s="239">
        <v>27741448</v>
      </c>
      <c r="F328" s="239">
        <v>6241826</v>
      </c>
      <c r="G328" s="239">
        <v>693536</v>
      </c>
      <c r="H328" s="239">
        <v>69353619</v>
      </c>
      <c r="I328" s="239">
        <v>0</v>
      </c>
      <c r="J328" s="239">
        <v>0</v>
      </c>
      <c r="K328" s="239">
        <v>34676809</v>
      </c>
      <c r="L328" s="239">
        <v>243439</v>
      </c>
      <c r="M328" s="239">
        <v>243439</v>
      </c>
      <c r="N328" s="239">
        <v>0</v>
      </c>
      <c r="O328" s="239">
        <v>0</v>
      </c>
      <c r="P328" s="239">
        <v>0</v>
      </c>
      <c r="Q328" s="239">
        <v>0</v>
      </c>
      <c r="R328" s="239">
        <v>0</v>
      </c>
      <c r="S328" s="239">
        <v>0</v>
      </c>
      <c r="T328" s="239">
        <v>0</v>
      </c>
      <c r="U328" s="239">
        <v>0</v>
      </c>
      <c r="V328" s="239">
        <v>0</v>
      </c>
      <c r="W328" s="239">
        <v>1940466</v>
      </c>
      <c r="X328" s="239">
        <v>1552373</v>
      </c>
      <c r="Y328" s="239">
        <v>349284</v>
      </c>
      <c r="Z328" s="239">
        <v>38809</v>
      </c>
      <c r="AA328" s="239">
        <v>3880932</v>
      </c>
      <c r="AB328" s="239">
        <v>-1414829</v>
      </c>
      <c r="AC328" s="239">
        <v>-1131864</v>
      </c>
      <c r="AD328" s="239">
        <v>-254669</v>
      </c>
      <c r="AE328" s="239">
        <v>-28297</v>
      </c>
      <c r="AF328" s="239">
        <v>-2829659</v>
      </c>
      <c r="AG328" s="239">
        <v>-1091507</v>
      </c>
      <c r="AH328" s="239">
        <v>-873206</v>
      </c>
      <c r="AI328" s="239">
        <v>-196471</v>
      </c>
      <c r="AJ328" s="239">
        <v>-21831</v>
      </c>
      <c r="AK328" s="239">
        <v>-2183015</v>
      </c>
      <c r="AL328" s="239">
        <v>248149</v>
      </c>
      <c r="AM328" s="239">
        <v>198520</v>
      </c>
      <c r="AN328" s="239">
        <v>44667</v>
      </c>
      <c r="AO328" s="239">
        <v>4963</v>
      </c>
      <c r="AP328" s="239">
        <v>496299</v>
      </c>
      <c r="AQ328" s="239">
        <v>-251499</v>
      </c>
      <c r="AR328" s="239">
        <v>-201200</v>
      </c>
      <c r="AS328" s="239">
        <v>-45270</v>
      </c>
      <c r="AT328" s="239">
        <v>-5030</v>
      </c>
      <c r="AU328" s="239">
        <v>-502999</v>
      </c>
      <c r="AV328" s="239">
        <v>-1094857</v>
      </c>
      <c r="AW328" s="239">
        <v>-875886</v>
      </c>
      <c r="AX328" s="239">
        <v>-197074</v>
      </c>
      <c r="AY328" s="239">
        <v>-21898</v>
      </c>
      <c r="AZ328" s="239">
        <v>-2189715</v>
      </c>
      <c r="BA328" s="239">
        <v>-3400075</v>
      </c>
      <c r="BB328" s="239">
        <v>-2720060</v>
      </c>
      <c r="BC328" s="239">
        <v>-612014</v>
      </c>
      <c r="BD328" s="239">
        <v>-68002</v>
      </c>
      <c r="BE328" s="239">
        <v>-6800151</v>
      </c>
      <c r="BF328" s="239">
        <v>151428</v>
      </c>
      <c r="BG328" s="239">
        <v>121143</v>
      </c>
      <c r="BH328" s="239">
        <v>27257</v>
      </c>
      <c r="BI328" s="239">
        <v>3029</v>
      </c>
      <c r="BJ328" s="239">
        <v>302857</v>
      </c>
      <c r="BK328" s="239">
        <v>-261767</v>
      </c>
      <c r="BL328" s="239">
        <v>-209414</v>
      </c>
      <c r="BM328" s="239">
        <v>-47118</v>
      </c>
      <c r="BN328" s="239">
        <v>-5235</v>
      </c>
      <c r="BO328" s="239">
        <v>-523534</v>
      </c>
      <c r="BP328" s="239">
        <v>-3510414</v>
      </c>
      <c r="BQ328" s="239">
        <v>-2808331</v>
      </c>
      <c r="BR328" s="239">
        <v>-631875</v>
      </c>
      <c r="BS328" s="239">
        <v>-70208</v>
      </c>
      <c r="BT328" s="239">
        <v>-7020828</v>
      </c>
      <c r="BU328" s="239">
        <v>3424500</v>
      </c>
      <c r="BV328" s="239">
        <v>2739600</v>
      </c>
      <c r="BW328" s="239">
        <v>616410</v>
      </c>
      <c r="BX328" s="239">
        <v>68490</v>
      </c>
      <c r="BY328" s="239">
        <v>6849000</v>
      </c>
      <c r="BZ328" s="239">
        <v>5863047</v>
      </c>
      <c r="CA328" s="239">
        <v>4690438</v>
      </c>
      <c r="CB328" s="239">
        <v>1055349</v>
      </c>
      <c r="CC328" s="239">
        <v>117261</v>
      </c>
      <c r="CD328" s="239">
        <v>11726095</v>
      </c>
      <c r="CE328" s="239">
        <v>-2438547</v>
      </c>
      <c r="CF328" s="239">
        <v>-1950838</v>
      </c>
      <c r="CG328" s="239">
        <v>-438939</v>
      </c>
      <c r="CH328" s="239">
        <v>-48771</v>
      </c>
      <c r="CI328" s="239">
        <v>-4877095</v>
      </c>
      <c r="CJ328" s="239">
        <v>36004519</v>
      </c>
      <c r="CK328" s="239">
        <v>28803616</v>
      </c>
      <c r="CL328" s="239">
        <v>6480814</v>
      </c>
      <c r="CM328" s="239">
        <v>720090</v>
      </c>
      <c r="CN328" s="239">
        <v>72009039</v>
      </c>
      <c r="CO328" s="239">
        <v>34676809</v>
      </c>
      <c r="CP328" s="239">
        <v>27741448</v>
      </c>
      <c r="CQ328" s="239">
        <v>6241826</v>
      </c>
      <c r="CR328" s="239">
        <v>693536</v>
      </c>
      <c r="CS328" s="239">
        <v>69353619</v>
      </c>
      <c r="CT328" s="239">
        <v>-1327710</v>
      </c>
      <c r="CU328" s="239">
        <v>-1062168</v>
      </c>
      <c r="CV328" s="239">
        <v>-238988</v>
      </c>
      <c r="CW328" s="239">
        <v>-26554</v>
      </c>
      <c r="CX328" s="239">
        <v>-2655420</v>
      </c>
      <c r="CY328" s="239">
        <v>-3766257</v>
      </c>
      <c r="CZ328" s="239">
        <v>-3013006</v>
      </c>
      <c r="DA328" s="239">
        <v>-677927</v>
      </c>
      <c r="DB328" s="239">
        <v>-75325</v>
      </c>
      <c r="DC328" s="239">
        <v>-7532515</v>
      </c>
      <c r="DD328" s="214">
        <v>0.5</v>
      </c>
      <c r="DE328" s="214">
        <v>0.4</v>
      </c>
      <c r="DF328" s="214">
        <v>0.09</v>
      </c>
      <c r="DG328" s="214">
        <v>0.01</v>
      </c>
      <c r="DH328" s="214">
        <v>1</v>
      </c>
      <c r="DI328" s="214" t="s">
        <v>1294</v>
      </c>
    </row>
    <row r="329" spans="2:113" s="214" customFormat="1" x14ac:dyDescent="0.2">
      <c r="B329" s="610" t="s">
        <v>741</v>
      </c>
      <c r="C329" s="610" t="s">
        <v>740</v>
      </c>
      <c r="D329" s="239">
        <v>11358919</v>
      </c>
      <c r="E329" s="239">
        <v>9087136</v>
      </c>
      <c r="F329" s="239">
        <v>2044606</v>
      </c>
      <c r="G329" s="239">
        <v>227178</v>
      </c>
      <c r="H329" s="239">
        <v>22717839</v>
      </c>
      <c r="I329" s="239">
        <v>0</v>
      </c>
      <c r="J329" s="239">
        <v>0</v>
      </c>
      <c r="K329" s="239">
        <v>11358919</v>
      </c>
      <c r="L329" s="239">
        <v>153550</v>
      </c>
      <c r="M329" s="239">
        <v>153550</v>
      </c>
      <c r="N329" s="239">
        <v>0</v>
      </c>
      <c r="O329" s="239">
        <v>0</v>
      </c>
      <c r="P329" s="239">
        <v>0</v>
      </c>
      <c r="Q329" s="239">
        <v>0</v>
      </c>
      <c r="R329" s="239">
        <v>0</v>
      </c>
      <c r="S329" s="239">
        <v>0</v>
      </c>
      <c r="T329" s="239">
        <v>0</v>
      </c>
      <c r="U329" s="239">
        <v>0</v>
      </c>
      <c r="V329" s="239">
        <v>0</v>
      </c>
      <c r="W329" s="239">
        <v>585691</v>
      </c>
      <c r="X329" s="239">
        <v>468552</v>
      </c>
      <c r="Y329" s="239">
        <v>105424</v>
      </c>
      <c r="Z329" s="239">
        <v>11714</v>
      </c>
      <c r="AA329" s="239">
        <v>1171381</v>
      </c>
      <c r="AB329" s="239">
        <v>-1008299</v>
      </c>
      <c r="AC329" s="239">
        <v>-806640</v>
      </c>
      <c r="AD329" s="239">
        <v>-181494</v>
      </c>
      <c r="AE329" s="239">
        <v>-20166</v>
      </c>
      <c r="AF329" s="239">
        <v>-2016599</v>
      </c>
      <c r="AG329" s="239">
        <v>-196157.85</v>
      </c>
      <c r="AH329" s="239">
        <v>-156925</v>
      </c>
      <c r="AI329" s="239">
        <v>-35308</v>
      </c>
      <c r="AJ329" s="239">
        <v>-3923</v>
      </c>
      <c r="AK329" s="239">
        <v>-392313.85</v>
      </c>
      <c r="AL329" s="239">
        <v>54020</v>
      </c>
      <c r="AM329" s="239">
        <v>43216</v>
      </c>
      <c r="AN329" s="239">
        <v>9724</v>
      </c>
      <c r="AO329" s="239">
        <v>1080</v>
      </c>
      <c r="AP329" s="239">
        <v>108040</v>
      </c>
      <c r="AQ329" s="239">
        <v>-202744</v>
      </c>
      <c r="AR329" s="239">
        <v>-162196</v>
      </c>
      <c r="AS329" s="239">
        <v>-36494</v>
      </c>
      <c r="AT329" s="239">
        <v>-4055</v>
      </c>
      <c r="AU329" s="239">
        <v>-405489</v>
      </c>
      <c r="AV329" s="239">
        <v>-344881.85</v>
      </c>
      <c r="AW329" s="239">
        <v>-275905</v>
      </c>
      <c r="AX329" s="239">
        <v>-62078</v>
      </c>
      <c r="AY329" s="239">
        <v>-6898</v>
      </c>
      <c r="AZ329" s="239">
        <v>-689762.85</v>
      </c>
      <c r="BA329" s="239">
        <v>-965043.68</v>
      </c>
      <c r="BB329" s="239">
        <v>-772035</v>
      </c>
      <c r="BC329" s="239">
        <v>-173708</v>
      </c>
      <c r="BD329" s="239">
        <v>-19301</v>
      </c>
      <c r="BE329" s="239">
        <v>-1930087.6</v>
      </c>
      <c r="BF329" s="239">
        <v>0</v>
      </c>
      <c r="BG329" s="239">
        <v>0</v>
      </c>
      <c r="BH329" s="239">
        <v>0</v>
      </c>
      <c r="BI329" s="239">
        <v>0</v>
      </c>
      <c r="BJ329" s="239">
        <v>0</v>
      </c>
      <c r="BK329" s="239">
        <v>-595910</v>
      </c>
      <c r="BL329" s="239">
        <v>-476728</v>
      </c>
      <c r="BM329" s="239">
        <v>-107264</v>
      </c>
      <c r="BN329" s="239">
        <v>-11918</v>
      </c>
      <c r="BO329" s="239">
        <v>-1191820</v>
      </c>
      <c r="BP329" s="239">
        <v>-1560953.6800000002</v>
      </c>
      <c r="BQ329" s="239">
        <v>-1248763</v>
      </c>
      <c r="BR329" s="239">
        <v>-280972</v>
      </c>
      <c r="BS329" s="239">
        <v>-31219</v>
      </c>
      <c r="BT329" s="239">
        <v>-3121907.6</v>
      </c>
      <c r="BU329" s="239">
        <v>355997</v>
      </c>
      <c r="BV329" s="239">
        <v>284798</v>
      </c>
      <c r="BW329" s="239">
        <v>64080</v>
      </c>
      <c r="BX329" s="239">
        <v>7120</v>
      </c>
      <c r="BY329" s="239">
        <v>711995</v>
      </c>
      <c r="BZ329" s="239">
        <v>384639</v>
      </c>
      <c r="CA329" s="239">
        <v>307711</v>
      </c>
      <c r="CB329" s="239">
        <v>69235</v>
      </c>
      <c r="CC329" s="239">
        <v>7693</v>
      </c>
      <c r="CD329" s="239">
        <v>769278</v>
      </c>
      <c r="CE329" s="239">
        <v>-28642</v>
      </c>
      <c r="CF329" s="239">
        <v>-22913</v>
      </c>
      <c r="CG329" s="239">
        <v>-5155</v>
      </c>
      <c r="CH329" s="239">
        <v>-573</v>
      </c>
      <c r="CI329" s="239">
        <v>-57283</v>
      </c>
      <c r="CJ329" s="239">
        <v>13237798</v>
      </c>
      <c r="CK329" s="239">
        <v>10590239</v>
      </c>
      <c r="CL329" s="239">
        <v>2382804</v>
      </c>
      <c r="CM329" s="239">
        <v>264756</v>
      </c>
      <c r="CN329" s="239">
        <v>26475597</v>
      </c>
      <c r="CO329" s="239">
        <v>11358919</v>
      </c>
      <c r="CP329" s="239">
        <v>9087136</v>
      </c>
      <c r="CQ329" s="239">
        <v>2044606</v>
      </c>
      <c r="CR329" s="239">
        <v>227178</v>
      </c>
      <c r="CS329" s="239">
        <v>22717839</v>
      </c>
      <c r="CT329" s="239">
        <v>-1878879</v>
      </c>
      <c r="CU329" s="239">
        <v>-1503103</v>
      </c>
      <c r="CV329" s="239">
        <v>-338198</v>
      </c>
      <c r="CW329" s="239">
        <v>-37578</v>
      </c>
      <c r="CX329" s="239">
        <v>-3757758</v>
      </c>
      <c r="CY329" s="239">
        <v>-1907521</v>
      </c>
      <c r="CZ329" s="239">
        <v>-1526016</v>
      </c>
      <c r="DA329" s="239">
        <v>-343353</v>
      </c>
      <c r="DB329" s="239">
        <v>-38151</v>
      </c>
      <c r="DC329" s="239">
        <v>-3815041</v>
      </c>
      <c r="DD329" s="214">
        <v>0.5</v>
      </c>
      <c r="DE329" s="214">
        <v>0.4</v>
      </c>
      <c r="DF329" s="214">
        <v>0.09</v>
      </c>
      <c r="DG329" s="214">
        <v>0.01</v>
      </c>
      <c r="DH329" s="214">
        <v>1</v>
      </c>
      <c r="DI329" s="214" t="s">
        <v>1294</v>
      </c>
    </row>
    <row r="330" spans="2:113" s="214" customFormat="1" x14ac:dyDescent="0.2">
      <c r="B330" s="610" t="s">
        <v>743</v>
      </c>
      <c r="C330" s="610" t="s">
        <v>742</v>
      </c>
      <c r="D330" s="239">
        <v>13900352</v>
      </c>
      <c r="E330" s="239">
        <v>11120281</v>
      </c>
      <c r="F330" s="239">
        <v>2502063</v>
      </c>
      <c r="G330" s="239">
        <v>278007</v>
      </c>
      <c r="H330" s="239">
        <v>27800703</v>
      </c>
      <c r="I330" s="239">
        <v>0</v>
      </c>
      <c r="J330" s="239">
        <v>0</v>
      </c>
      <c r="K330" s="239">
        <v>13900352</v>
      </c>
      <c r="L330" s="239">
        <v>135893</v>
      </c>
      <c r="M330" s="239">
        <v>135893</v>
      </c>
      <c r="N330" s="239">
        <v>0</v>
      </c>
      <c r="O330" s="239">
        <v>0</v>
      </c>
      <c r="P330" s="239">
        <v>0</v>
      </c>
      <c r="Q330" s="239">
        <v>0</v>
      </c>
      <c r="R330" s="239">
        <v>0</v>
      </c>
      <c r="S330" s="239">
        <v>0</v>
      </c>
      <c r="T330" s="239">
        <v>0</v>
      </c>
      <c r="U330" s="239">
        <v>0</v>
      </c>
      <c r="V330" s="239">
        <v>0</v>
      </c>
      <c r="W330" s="239">
        <v>1246712</v>
      </c>
      <c r="X330" s="239">
        <v>997369</v>
      </c>
      <c r="Y330" s="239">
        <v>224408</v>
      </c>
      <c r="Z330" s="239">
        <v>24934</v>
      </c>
      <c r="AA330" s="239">
        <v>2493423</v>
      </c>
      <c r="AB330" s="239">
        <v>-83829</v>
      </c>
      <c r="AC330" s="239">
        <v>-67064</v>
      </c>
      <c r="AD330" s="239">
        <v>-15089</v>
      </c>
      <c r="AE330" s="239">
        <v>-1677</v>
      </c>
      <c r="AF330" s="239">
        <v>-167659</v>
      </c>
      <c r="AG330" s="239">
        <v>-634976</v>
      </c>
      <c r="AH330" s="239">
        <v>-507982</v>
      </c>
      <c r="AI330" s="239">
        <v>-114296</v>
      </c>
      <c r="AJ330" s="239">
        <v>-12700</v>
      </c>
      <c r="AK330" s="239">
        <v>-1269954</v>
      </c>
      <c r="AL330" s="239">
        <v>156801</v>
      </c>
      <c r="AM330" s="239">
        <v>125440</v>
      </c>
      <c r="AN330" s="239">
        <v>28224</v>
      </c>
      <c r="AO330" s="239">
        <v>3136</v>
      </c>
      <c r="AP330" s="239">
        <v>313601</v>
      </c>
      <c r="AQ330" s="239">
        <v>-156801</v>
      </c>
      <c r="AR330" s="239">
        <v>-125440</v>
      </c>
      <c r="AS330" s="239">
        <v>-28224</v>
      </c>
      <c r="AT330" s="239">
        <v>-3136</v>
      </c>
      <c r="AU330" s="239">
        <v>-313601</v>
      </c>
      <c r="AV330" s="239">
        <v>-634976</v>
      </c>
      <c r="AW330" s="239">
        <v>-507982</v>
      </c>
      <c r="AX330" s="239">
        <v>-114296</v>
      </c>
      <c r="AY330" s="239">
        <v>-12700</v>
      </c>
      <c r="AZ330" s="239">
        <v>-1269954</v>
      </c>
      <c r="BA330" s="239">
        <v>-1552392</v>
      </c>
      <c r="BB330" s="239">
        <v>-1241913</v>
      </c>
      <c r="BC330" s="239">
        <v>-279430</v>
      </c>
      <c r="BD330" s="239">
        <v>-31048</v>
      </c>
      <c r="BE330" s="239">
        <v>-3104783</v>
      </c>
      <c r="BF330" s="239">
        <v>453433</v>
      </c>
      <c r="BG330" s="239">
        <v>362747</v>
      </c>
      <c r="BH330" s="239">
        <v>81618</v>
      </c>
      <c r="BI330" s="239">
        <v>9069</v>
      </c>
      <c r="BJ330" s="239">
        <v>906867</v>
      </c>
      <c r="BK330" s="239">
        <v>-378496</v>
      </c>
      <c r="BL330" s="239">
        <v>-302796</v>
      </c>
      <c r="BM330" s="239">
        <v>-68129</v>
      </c>
      <c r="BN330" s="239">
        <v>-7570</v>
      </c>
      <c r="BO330" s="239">
        <v>-756991</v>
      </c>
      <c r="BP330" s="239">
        <v>-1477455</v>
      </c>
      <c r="BQ330" s="239">
        <v>-1181962</v>
      </c>
      <c r="BR330" s="239">
        <v>-265941</v>
      </c>
      <c r="BS330" s="239">
        <v>-29549</v>
      </c>
      <c r="BT330" s="239">
        <v>-2954907</v>
      </c>
      <c r="BU330" s="239">
        <v>-2254026</v>
      </c>
      <c r="BV330" s="239">
        <v>-1803222</v>
      </c>
      <c r="BW330" s="239">
        <v>-405725</v>
      </c>
      <c r="BX330" s="239">
        <v>-45081</v>
      </c>
      <c r="BY330" s="239">
        <v>-4508054</v>
      </c>
      <c r="BZ330" s="239">
        <v>-1234503</v>
      </c>
      <c r="CA330" s="239">
        <v>-987602</v>
      </c>
      <c r="CB330" s="239">
        <v>-222211</v>
      </c>
      <c r="CC330" s="239">
        <v>-24690</v>
      </c>
      <c r="CD330" s="239">
        <v>-2469006</v>
      </c>
      <c r="CE330" s="239">
        <v>-1019523</v>
      </c>
      <c r="CF330" s="239">
        <v>-815620</v>
      </c>
      <c r="CG330" s="239">
        <v>-183514</v>
      </c>
      <c r="CH330" s="239">
        <v>-20391</v>
      </c>
      <c r="CI330" s="239">
        <v>-2039048</v>
      </c>
      <c r="CJ330" s="239">
        <v>14546272</v>
      </c>
      <c r="CK330" s="239">
        <v>11637018</v>
      </c>
      <c r="CL330" s="239">
        <v>2618329</v>
      </c>
      <c r="CM330" s="239">
        <v>290925</v>
      </c>
      <c r="CN330" s="239">
        <v>29092544</v>
      </c>
      <c r="CO330" s="239">
        <v>13900352</v>
      </c>
      <c r="CP330" s="239">
        <v>11120281</v>
      </c>
      <c r="CQ330" s="239">
        <v>2502063</v>
      </c>
      <c r="CR330" s="239">
        <v>278007</v>
      </c>
      <c r="CS330" s="239">
        <v>27800703</v>
      </c>
      <c r="CT330" s="239">
        <v>-645920</v>
      </c>
      <c r="CU330" s="239">
        <v>-516737</v>
      </c>
      <c r="CV330" s="239">
        <v>-116266</v>
      </c>
      <c r="CW330" s="239">
        <v>-12918</v>
      </c>
      <c r="CX330" s="239">
        <v>-1291841</v>
      </c>
      <c r="CY330" s="239">
        <v>-1665443</v>
      </c>
      <c r="CZ330" s="239">
        <v>-1332357</v>
      </c>
      <c r="DA330" s="239">
        <v>-299780</v>
      </c>
      <c r="DB330" s="239">
        <v>-33309</v>
      </c>
      <c r="DC330" s="239">
        <v>-3330889</v>
      </c>
      <c r="DD330" s="214">
        <v>0.5</v>
      </c>
      <c r="DE330" s="214">
        <v>0.4</v>
      </c>
      <c r="DF330" s="214">
        <v>0.09</v>
      </c>
      <c r="DG330" s="214">
        <v>0.01</v>
      </c>
      <c r="DH330" s="214">
        <v>1</v>
      </c>
      <c r="DI330" s="214" t="s">
        <v>1294</v>
      </c>
    </row>
    <row r="331" spans="2:113" s="214" customFormat="1" x14ac:dyDescent="0.2">
      <c r="B331" s="610" t="s">
        <v>745</v>
      </c>
      <c r="C331" s="610" t="s">
        <v>744</v>
      </c>
      <c r="D331" s="239">
        <v>51235421</v>
      </c>
      <c r="E331" s="239">
        <v>50210712</v>
      </c>
      <c r="F331" s="239">
        <v>0</v>
      </c>
      <c r="G331" s="239">
        <v>1024708</v>
      </c>
      <c r="H331" s="239">
        <v>102470841</v>
      </c>
      <c r="I331" s="239">
        <v>0</v>
      </c>
      <c r="J331" s="239">
        <v>0</v>
      </c>
      <c r="K331" s="239">
        <v>51235421</v>
      </c>
      <c r="L331" s="239">
        <v>295442</v>
      </c>
      <c r="M331" s="239">
        <v>295442</v>
      </c>
      <c r="N331" s="239">
        <v>0</v>
      </c>
      <c r="O331" s="239">
        <v>0</v>
      </c>
      <c r="P331" s="239">
        <v>0</v>
      </c>
      <c r="Q331" s="239">
        <v>0</v>
      </c>
      <c r="R331" s="239">
        <v>0</v>
      </c>
      <c r="S331" s="239">
        <v>0</v>
      </c>
      <c r="T331" s="239">
        <v>0</v>
      </c>
      <c r="U331" s="239">
        <v>0</v>
      </c>
      <c r="V331" s="239">
        <v>0</v>
      </c>
      <c r="W331" s="239">
        <v>1841368</v>
      </c>
      <c r="X331" s="239">
        <v>1804540</v>
      </c>
      <c r="Y331" s="239">
        <v>0</v>
      </c>
      <c r="Z331" s="239">
        <v>36827</v>
      </c>
      <c r="AA331" s="239">
        <v>3682735</v>
      </c>
      <c r="AB331" s="239">
        <v>-666028</v>
      </c>
      <c r="AC331" s="239">
        <v>-652708</v>
      </c>
      <c r="AD331" s="239">
        <v>0</v>
      </c>
      <c r="AE331" s="239">
        <v>-13321</v>
      </c>
      <c r="AF331" s="239">
        <v>-1332057</v>
      </c>
      <c r="AG331" s="239">
        <v>-1167120.7</v>
      </c>
      <c r="AH331" s="239">
        <v>-1143777</v>
      </c>
      <c r="AI331" s="239">
        <v>0</v>
      </c>
      <c r="AJ331" s="239">
        <v>-23342</v>
      </c>
      <c r="AK331" s="239">
        <v>-2334239.7000000002</v>
      </c>
      <c r="AL331" s="239">
        <v>395997</v>
      </c>
      <c r="AM331" s="239">
        <v>388077</v>
      </c>
      <c r="AN331" s="239">
        <v>0</v>
      </c>
      <c r="AO331" s="239">
        <v>7920</v>
      </c>
      <c r="AP331" s="239">
        <v>791994</v>
      </c>
      <c r="AQ331" s="239">
        <v>-184671</v>
      </c>
      <c r="AR331" s="239">
        <v>-180977</v>
      </c>
      <c r="AS331" s="239">
        <v>0</v>
      </c>
      <c r="AT331" s="239">
        <v>-3693</v>
      </c>
      <c r="AU331" s="239">
        <v>-369341</v>
      </c>
      <c r="AV331" s="239">
        <v>-955794.7</v>
      </c>
      <c r="AW331" s="239">
        <v>-936677</v>
      </c>
      <c r="AX331" s="239">
        <v>0</v>
      </c>
      <c r="AY331" s="239">
        <v>-19115</v>
      </c>
      <c r="AZ331" s="239">
        <v>-1911586.7000000002</v>
      </c>
      <c r="BA331" s="239">
        <v>-6450707</v>
      </c>
      <c r="BB331" s="239">
        <v>-6321693</v>
      </c>
      <c r="BC331" s="239">
        <v>0</v>
      </c>
      <c r="BD331" s="239">
        <v>-129015</v>
      </c>
      <c r="BE331" s="239">
        <v>-12901415</v>
      </c>
      <c r="BF331" s="239">
        <v>1980657</v>
      </c>
      <c r="BG331" s="239">
        <v>1941043</v>
      </c>
      <c r="BH331" s="239">
        <v>0</v>
      </c>
      <c r="BI331" s="239">
        <v>39613</v>
      </c>
      <c r="BJ331" s="239">
        <v>3961313</v>
      </c>
      <c r="BK331" s="239">
        <v>-1097713</v>
      </c>
      <c r="BL331" s="239">
        <v>-1075758</v>
      </c>
      <c r="BM331" s="239">
        <v>0</v>
      </c>
      <c r="BN331" s="239">
        <v>-21954</v>
      </c>
      <c r="BO331" s="239">
        <v>-2195425</v>
      </c>
      <c r="BP331" s="239">
        <v>-5567763</v>
      </c>
      <c r="BQ331" s="239">
        <v>-5456408</v>
      </c>
      <c r="BR331" s="239">
        <v>0</v>
      </c>
      <c r="BS331" s="239">
        <v>-111356</v>
      </c>
      <c r="BT331" s="239">
        <v>-11135527</v>
      </c>
      <c r="BU331" s="239">
        <v>-2500018</v>
      </c>
      <c r="BV331" s="239">
        <v>-2450017</v>
      </c>
      <c r="BW331" s="239">
        <v>0</v>
      </c>
      <c r="BX331" s="239">
        <v>-50000</v>
      </c>
      <c r="BY331" s="239">
        <v>-5000035</v>
      </c>
      <c r="BZ331" s="239">
        <v>338814</v>
      </c>
      <c r="CA331" s="239">
        <v>332037</v>
      </c>
      <c r="CB331" s="239">
        <v>0</v>
      </c>
      <c r="CC331" s="239">
        <v>6776</v>
      </c>
      <c r="CD331" s="239">
        <v>677627</v>
      </c>
      <c r="CE331" s="239">
        <v>-2838832</v>
      </c>
      <c r="CF331" s="239">
        <v>-2782054</v>
      </c>
      <c r="CG331" s="239">
        <v>0</v>
      </c>
      <c r="CH331" s="239">
        <v>-56776</v>
      </c>
      <c r="CI331" s="239">
        <v>-5677662</v>
      </c>
      <c r="CJ331" s="239">
        <v>50561025</v>
      </c>
      <c r="CK331" s="239">
        <v>49549804</v>
      </c>
      <c r="CL331" s="239">
        <v>0</v>
      </c>
      <c r="CM331" s="239">
        <v>1011220</v>
      </c>
      <c r="CN331" s="239">
        <v>101122049</v>
      </c>
      <c r="CO331" s="239">
        <v>51235421</v>
      </c>
      <c r="CP331" s="239">
        <v>50210712</v>
      </c>
      <c r="CQ331" s="239">
        <v>0</v>
      </c>
      <c r="CR331" s="239">
        <v>1024708</v>
      </c>
      <c r="CS331" s="239">
        <v>102470841</v>
      </c>
      <c r="CT331" s="239">
        <v>674396</v>
      </c>
      <c r="CU331" s="239">
        <v>660908</v>
      </c>
      <c r="CV331" s="239">
        <v>0</v>
      </c>
      <c r="CW331" s="239">
        <v>13488</v>
      </c>
      <c r="CX331" s="239">
        <v>1348792</v>
      </c>
      <c r="CY331" s="239">
        <v>-2164436</v>
      </c>
      <c r="CZ331" s="239">
        <v>-2121146</v>
      </c>
      <c r="DA331" s="239">
        <v>0</v>
      </c>
      <c r="DB331" s="239">
        <v>-43288</v>
      </c>
      <c r="DC331" s="239">
        <v>-4328870</v>
      </c>
      <c r="DD331" s="214">
        <v>0.5</v>
      </c>
      <c r="DE331" s="214">
        <v>0.49</v>
      </c>
      <c r="DF331" s="214">
        <v>0</v>
      </c>
      <c r="DG331" s="214">
        <v>0.01</v>
      </c>
      <c r="DH331" s="214">
        <v>1</v>
      </c>
      <c r="DI331" s="214" t="s">
        <v>748</v>
      </c>
    </row>
    <row r="332" spans="2:113" s="214" customFormat="1" x14ac:dyDescent="0.2">
      <c r="B332" s="610" t="s">
        <v>1286</v>
      </c>
      <c r="C332" s="610" t="s">
        <v>1278</v>
      </c>
      <c r="D332" s="239">
        <v>11208657846.779999</v>
      </c>
      <c r="E332" s="239">
        <v>9072772098</v>
      </c>
      <c r="F332" s="239">
        <v>2012022903</v>
      </c>
      <c r="G332" s="239">
        <v>123862860</v>
      </c>
      <c r="H332" s="239">
        <v>22417315707.779999</v>
      </c>
      <c r="I332" s="239">
        <v>9683586.6302083358</v>
      </c>
      <c r="J332" s="239">
        <v>9683586.6302083358</v>
      </c>
      <c r="K332" s="239">
        <v>11198974260.149792</v>
      </c>
      <c r="L332" s="239">
        <v>84154322</v>
      </c>
      <c r="M332" s="239">
        <v>84154322</v>
      </c>
      <c r="N332" s="239">
        <v>13817176</v>
      </c>
      <c r="O332" s="239">
        <v>13817176</v>
      </c>
      <c r="P332" s="239">
        <v>36045395</v>
      </c>
      <c r="Q332" s="239">
        <v>1605927</v>
      </c>
      <c r="R332" s="239">
        <v>37651322</v>
      </c>
      <c r="S332" s="239">
        <v>9398310.2280416712</v>
      </c>
      <c r="T332" s="239">
        <v>254328.21164583336</v>
      </c>
      <c r="U332" s="239">
        <v>30948.190520833334</v>
      </c>
      <c r="V332" s="239">
        <v>9683586.6302083358</v>
      </c>
      <c r="W332" s="239">
        <v>645112884.62</v>
      </c>
      <c r="X332" s="239">
        <v>545569181</v>
      </c>
      <c r="Y332" s="239">
        <v>91076220</v>
      </c>
      <c r="Z332" s="239">
        <v>8467489</v>
      </c>
      <c r="AA332" s="239">
        <v>1290225774.6200001</v>
      </c>
      <c r="AB332" s="239">
        <v>-371535379.54000002</v>
      </c>
      <c r="AC332" s="239">
        <v>-283017446</v>
      </c>
      <c r="AD332" s="239">
        <v>-85509338</v>
      </c>
      <c r="AE332" s="239">
        <v>-3008626</v>
      </c>
      <c r="AF332" s="239">
        <v>-743070789.53999996</v>
      </c>
      <c r="AG332" s="239">
        <v>-328297335.30499995</v>
      </c>
      <c r="AH332" s="239">
        <v>-270706125.86899996</v>
      </c>
      <c r="AI332" s="239">
        <v>-50622355.936000004</v>
      </c>
      <c r="AJ332" s="239">
        <v>-4074445.16</v>
      </c>
      <c r="AK332" s="239">
        <v>-653700260.7900002</v>
      </c>
      <c r="AL332" s="239">
        <v>92437415.49000001</v>
      </c>
      <c r="AM332" s="239">
        <v>78243149</v>
      </c>
      <c r="AN332" s="239">
        <v>12982366</v>
      </c>
      <c r="AO332" s="239">
        <v>1211913</v>
      </c>
      <c r="AP332" s="239">
        <v>184874843.49000001</v>
      </c>
      <c r="AQ332" s="239">
        <v>-99204579.129999995</v>
      </c>
      <c r="AR332" s="239">
        <v>-87680152</v>
      </c>
      <c r="AS332" s="239">
        <v>-10026732</v>
      </c>
      <c r="AT332" s="239">
        <v>-1497708</v>
      </c>
      <c r="AU332" s="239">
        <v>-198409171.13</v>
      </c>
      <c r="AV332" s="239">
        <v>-335064498.94499999</v>
      </c>
      <c r="AW332" s="239">
        <v>-280143128.86899996</v>
      </c>
      <c r="AX332" s="239">
        <v>-47666721.936000004</v>
      </c>
      <c r="AY332" s="239">
        <v>-4360240.16</v>
      </c>
      <c r="AZ332" s="239">
        <v>-667234588.43000019</v>
      </c>
      <c r="BA332" s="239">
        <v>-1257613308.9399998</v>
      </c>
      <c r="BB332" s="239">
        <v>-1009122947</v>
      </c>
      <c r="BC332" s="239">
        <v>-234978802</v>
      </c>
      <c r="BD332" s="239">
        <v>-13511582</v>
      </c>
      <c r="BE332" s="239">
        <v>-2515226637.7000003</v>
      </c>
      <c r="BF332" s="239">
        <v>381720228.70999998</v>
      </c>
      <c r="BG332" s="239">
        <v>323953338</v>
      </c>
      <c r="BH332" s="239">
        <v>52758548</v>
      </c>
      <c r="BI332" s="239">
        <v>5008365</v>
      </c>
      <c r="BJ332" s="239">
        <v>763440479.71000004</v>
      </c>
      <c r="BK332" s="239">
        <v>-525319874.25</v>
      </c>
      <c r="BL332" s="239">
        <v>-430815221</v>
      </c>
      <c r="BM332" s="239">
        <v>-88054474</v>
      </c>
      <c r="BN332" s="239">
        <v>-6450195</v>
      </c>
      <c r="BO332" s="239">
        <v>-1050639764.25</v>
      </c>
      <c r="BP332" s="239">
        <v>-1401212954.4799998</v>
      </c>
      <c r="BQ332" s="239">
        <v>-1115984830</v>
      </c>
      <c r="BR332" s="239">
        <v>-270274728</v>
      </c>
      <c r="BS332" s="239">
        <v>-14953412</v>
      </c>
      <c r="BT332" s="239">
        <v>-2802425922.2400002</v>
      </c>
      <c r="BU332" s="239">
        <v>-714560125.60100031</v>
      </c>
      <c r="BV332" s="239">
        <v>-568354327</v>
      </c>
      <c r="BW332" s="239">
        <v>-139010194</v>
      </c>
      <c r="BX332" s="239">
        <v>-7195598</v>
      </c>
      <c r="BY332" s="239">
        <v>-1429120244.6010003</v>
      </c>
      <c r="BZ332" s="239">
        <v>-224018136.73000002</v>
      </c>
      <c r="CA332" s="239">
        <v>-181744396</v>
      </c>
      <c r="CB332" s="239">
        <v>-40170368</v>
      </c>
      <c r="CC332" s="239">
        <v>-2103380</v>
      </c>
      <c r="CD332" s="239">
        <v>-448036280.73000002</v>
      </c>
      <c r="CE332" s="239">
        <v>-490541988.87100029</v>
      </c>
      <c r="CF332" s="239">
        <v>-386609931</v>
      </c>
      <c r="CG332" s="239">
        <v>-98839826</v>
      </c>
      <c r="CH332" s="239">
        <v>-5092218</v>
      </c>
      <c r="CI332" s="239">
        <v>-981083963.87100041</v>
      </c>
      <c r="CJ332" s="239">
        <v>11560060423</v>
      </c>
      <c r="CK332" s="239">
        <v>9359944299</v>
      </c>
      <c r="CL332" s="239">
        <v>2071930587</v>
      </c>
      <c r="CM332" s="239">
        <v>128185574</v>
      </c>
      <c r="CN332" s="239">
        <v>23120120883</v>
      </c>
      <c r="CO332" s="239">
        <v>11208657846.779999</v>
      </c>
      <c r="CP332" s="239">
        <v>9072772098</v>
      </c>
      <c r="CQ332" s="239">
        <v>2012022903</v>
      </c>
      <c r="CR332" s="239">
        <v>123862860</v>
      </c>
      <c r="CS332" s="239">
        <v>22417315707.779999</v>
      </c>
      <c r="CT332" s="239">
        <v>-351402576.22000003</v>
      </c>
      <c r="CU332" s="239">
        <v>-287172201</v>
      </c>
      <c r="CV332" s="239">
        <v>-59907684</v>
      </c>
      <c r="CW332" s="239">
        <v>-4322714</v>
      </c>
      <c r="CX332" s="239">
        <v>-702805175.21999991</v>
      </c>
      <c r="CY332" s="239">
        <v>-841434221.09100044</v>
      </c>
      <c r="CZ332" s="239">
        <v>-673281993</v>
      </c>
      <c r="DA332" s="239">
        <v>-158747510</v>
      </c>
      <c r="DB332" s="239">
        <v>-9404725</v>
      </c>
      <c r="DC332" s="239">
        <v>-1682868449.0910006</v>
      </c>
    </row>
  </sheetData>
  <mergeCells count="24">
    <mergeCell ref="AV2:AZ2"/>
    <mergeCell ref="D2:H2"/>
    <mergeCell ref="I2:J2"/>
    <mergeCell ref="L2:M2"/>
    <mergeCell ref="N2:O2"/>
    <mergeCell ref="P2:R2"/>
    <mergeCell ref="S2:V2"/>
    <mergeCell ref="W2:AA2"/>
    <mergeCell ref="AB2:AF2"/>
    <mergeCell ref="AG2:AK2"/>
    <mergeCell ref="AL2:AP2"/>
    <mergeCell ref="AQ2:AU2"/>
    <mergeCell ref="DD2:DH2"/>
    <mergeCell ref="BA2:BE2"/>
    <mergeCell ref="BF2:BJ2"/>
    <mergeCell ref="BK2:BO2"/>
    <mergeCell ref="BP2:BT2"/>
    <mergeCell ref="BU2:BY2"/>
    <mergeCell ref="BZ2:CD2"/>
    <mergeCell ref="CE2:CI2"/>
    <mergeCell ref="CJ2:CN2"/>
    <mergeCell ref="CO2:CS2"/>
    <mergeCell ref="CT2:CX2"/>
    <mergeCell ref="CY2:D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I57"/>
  <sheetViews>
    <sheetView showGridLines="0" zoomScale="80" zoomScaleNormal="80" zoomScaleSheetLayoutView="90" workbookViewId="0">
      <selection activeCell="A2" sqref="A2:Y2"/>
    </sheetView>
  </sheetViews>
  <sheetFormatPr defaultColWidth="9.140625" defaultRowHeight="15" x14ac:dyDescent="0.2"/>
  <cols>
    <col min="1" max="2" width="1.7109375" style="5" customWidth="1"/>
    <col min="3" max="3" width="13.28515625" style="5" bestFit="1" customWidth="1"/>
    <col min="4" max="4" width="9.140625" style="5"/>
    <col min="5" max="5" width="11.42578125" style="5" bestFit="1" customWidth="1"/>
    <col min="6" max="8" width="9.140625" style="5"/>
    <col min="9" max="9" width="13" style="5" bestFit="1" customWidth="1"/>
    <col min="10" max="10" width="3.7109375" style="5" customWidth="1"/>
    <col min="11" max="11" width="9.28515625" style="5" customWidth="1"/>
    <col min="12" max="12" width="9.85546875" style="5" customWidth="1"/>
    <col min="13" max="13" width="3.7109375" style="5" customWidth="1"/>
    <col min="14" max="15" width="9.140625" style="5"/>
    <col min="16" max="16" width="3.7109375" style="5" customWidth="1"/>
    <col min="17" max="18" width="9.140625" style="5"/>
    <col min="19" max="19" width="6.140625" style="5" customWidth="1"/>
    <col min="20" max="21" width="9.140625" style="5"/>
    <col min="22" max="22" width="3.7109375" style="5" customWidth="1"/>
    <col min="23" max="24" width="9.140625" style="5"/>
    <col min="25" max="25" width="1.7109375" style="5" customWidth="1"/>
    <col min="26" max="26" width="14" style="316" customWidth="1"/>
    <col min="27" max="27" width="10.140625" style="114" hidden="1" customWidth="1"/>
    <col min="28" max="28" width="9.140625" style="5" hidden="1" customWidth="1"/>
    <col min="29" max="29" width="22.85546875" style="5" hidden="1" customWidth="1"/>
    <col min="30" max="31" width="10.140625" style="5" hidden="1" customWidth="1"/>
    <col min="32" max="32" width="17.5703125" style="5" hidden="1" customWidth="1"/>
    <col min="33" max="33" width="10.7109375" style="5" bestFit="1" customWidth="1"/>
    <col min="34" max="34" width="9.140625" style="5"/>
    <col min="35" max="35" width="16.28515625" style="5" bestFit="1" customWidth="1"/>
    <col min="36" max="16384" width="9.140625" style="5"/>
  </cols>
  <sheetData>
    <row r="1" spans="1:35" x14ac:dyDescent="0.2">
      <c r="A1" s="11"/>
      <c r="B1" s="12"/>
      <c r="C1" s="12" t="s">
        <v>1024</v>
      </c>
      <c r="D1" s="12"/>
      <c r="E1" s="12"/>
      <c r="F1" s="403">
        <v>327</v>
      </c>
      <c r="G1" s="12"/>
      <c r="H1" s="12"/>
      <c r="I1" s="12"/>
      <c r="J1" s="12"/>
      <c r="K1" s="12"/>
      <c r="L1" s="12"/>
      <c r="M1" s="12"/>
      <c r="N1" s="12"/>
      <c r="O1" s="12"/>
      <c r="P1" s="12"/>
      <c r="Q1" s="12"/>
      <c r="R1" s="671"/>
      <c r="S1" s="671"/>
      <c r="T1" s="12"/>
      <c r="U1" s="12"/>
      <c r="V1" s="12"/>
      <c r="W1" s="12"/>
      <c r="X1" s="12"/>
      <c r="Y1" s="13"/>
    </row>
    <row r="2" spans="1:35" ht="15.75" x14ac:dyDescent="0.25">
      <c r="A2" s="672" t="s">
        <v>40</v>
      </c>
      <c r="B2" s="673"/>
      <c r="C2" s="673"/>
      <c r="D2" s="673"/>
      <c r="E2" s="673"/>
      <c r="F2" s="673"/>
      <c r="G2" s="673"/>
      <c r="H2" s="673"/>
      <c r="I2" s="673"/>
      <c r="J2" s="673"/>
      <c r="K2" s="673"/>
      <c r="L2" s="673"/>
      <c r="M2" s="673"/>
      <c r="N2" s="673"/>
      <c r="O2" s="673"/>
      <c r="P2" s="673"/>
      <c r="Q2" s="673"/>
      <c r="R2" s="673"/>
      <c r="S2" s="673"/>
      <c r="T2" s="673"/>
      <c r="U2" s="673"/>
      <c r="V2" s="673"/>
      <c r="W2" s="673"/>
      <c r="X2" s="673"/>
      <c r="Y2" s="674"/>
    </row>
    <row r="3" spans="1:35" ht="15.75" x14ac:dyDescent="0.25">
      <c r="A3" s="672" t="s">
        <v>982</v>
      </c>
      <c r="B3" s="673"/>
      <c r="C3" s="673"/>
      <c r="D3" s="673"/>
      <c r="E3" s="673"/>
      <c r="F3" s="673"/>
      <c r="G3" s="673"/>
      <c r="H3" s="673"/>
      <c r="I3" s="673"/>
      <c r="J3" s="673"/>
      <c r="K3" s="673"/>
      <c r="L3" s="673"/>
      <c r="M3" s="673"/>
      <c r="N3" s="673"/>
      <c r="O3" s="673"/>
      <c r="P3" s="673"/>
      <c r="Q3" s="673"/>
      <c r="R3" s="673"/>
      <c r="S3" s="673"/>
      <c r="T3" s="673"/>
      <c r="U3" s="673"/>
      <c r="V3" s="673"/>
      <c r="W3" s="673"/>
      <c r="X3" s="673"/>
      <c r="Y3" s="674"/>
    </row>
    <row r="4" spans="1:35" x14ac:dyDescent="0.2">
      <c r="A4" s="675"/>
      <c r="B4" s="676"/>
      <c r="C4" s="676"/>
      <c r="D4" s="676"/>
      <c r="E4" s="676"/>
      <c r="F4" s="676"/>
      <c r="G4" s="676"/>
      <c r="H4" s="676"/>
      <c r="I4" s="676"/>
      <c r="J4" s="676"/>
      <c r="K4" s="676"/>
      <c r="L4" s="676"/>
      <c r="M4" s="676"/>
      <c r="N4" s="676"/>
      <c r="O4" s="676"/>
      <c r="P4" s="676"/>
      <c r="Q4" s="676"/>
      <c r="R4" s="676"/>
      <c r="S4" s="676"/>
      <c r="T4" s="676"/>
      <c r="U4" s="676"/>
      <c r="V4" s="676"/>
      <c r="W4" s="676"/>
      <c r="X4" s="676"/>
      <c r="Y4" s="677"/>
    </row>
    <row r="5" spans="1:35" x14ac:dyDescent="0.2">
      <c r="A5" s="675"/>
      <c r="B5" s="676"/>
      <c r="C5" s="676"/>
      <c r="D5" s="676"/>
      <c r="E5" s="676"/>
      <c r="F5" s="676"/>
      <c r="G5" s="676"/>
      <c r="H5" s="676"/>
      <c r="I5" s="676"/>
      <c r="J5" s="676"/>
      <c r="K5" s="676"/>
      <c r="L5" s="676"/>
      <c r="M5" s="676"/>
      <c r="N5" s="676"/>
      <c r="O5" s="676"/>
      <c r="P5" s="676"/>
      <c r="Q5" s="676"/>
      <c r="R5" s="676"/>
      <c r="S5" s="676"/>
      <c r="T5" s="676"/>
      <c r="U5" s="676"/>
      <c r="V5" s="676"/>
      <c r="W5" s="676"/>
      <c r="X5" s="676"/>
      <c r="Y5" s="677"/>
    </row>
    <row r="6" spans="1:35" s="213" customFormat="1" x14ac:dyDescent="0.2">
      <c r="A6" s="43"/>
      <c r="B6" s="78"/>
      <c r="C6" s="78"/>
      <c r="D6" s="78"/>
      <c r="E6" s="78"/>
      <c r="F6" s="78"/>
      <c r="G6" s="78"/>
      <c r="H6" s="78"/>
      <c r="I6" s="78"/>
      <c r="J6" s="78"/>
      <c r="K6" s="78"/>
      <c r="L6" s="78"/>
      <c r="M6" s="78"/>
      <c r="N6" s="78"/>
      <c r="O6" s="78"/>
      <c r="P6" s="78"/>
      <c r="Q6" s="78"/>
      <c r="R6" s="78"/>
      <c r="S6" s="78"/>
      <c r="T6" s="78"/>
      <c r="U6" s="78"/>
      <c r="V6" s="78"/>
      <c r="W6" s="78"/>
      <c r="X6" s="78"/>
      <c r="Y6" s="79"/>
      <c r="Z6" s="317"/>
      <c r="AA6" s="315"/>
    </row>
    <row r="7" spans="1:35" ht="15.75" x14ac:dyDescent="0.25">
      <c r="A7" s="678"/>
      <c r="B7" s="679"/>
      <c r="C7" s="679"/>
      <c r="D7" s="679"/>
      <c r="E7" s="679"/>
      <c r="F7" s="679"/>
      <c r="G7" s="679"/>
      <c r="H7" s="679"/>
      <c r="I7" s="679"/>
      <c r="J7" s="679"/>
      <c r="K7" s="679"/>
      <c r="L7" s="679"/>
      <c r="M7" s="679"/>
      <c r="N7" s="679"/>
      <c r="O7" s="679"/>
      <c r="P7" s="679"/>
      <c r="Q7" s="679"/>
      <c r="R7" s="679"/>
      <c r="S7" s="679"/>
      <c r="T7" s="679"/>
      <c r="U7" s="679"/>
      <c r="V7" s="679"/>
      <c r="W7" s="679"/>
      <c r="X7" s="679"/>
      <c r="Y7" s="680"/>
    </row>
    <row r="8" spans="1:35" ht="15.75" thickBot="1" x14ac:dyDescent="0.25">
      <c r="A8" s="659"/>
      <c r="B8" s="660"/>
      <c r="C8" s="660"/>
      <c r="D8" s="660"/>
      <c r="E8" s="660"/>
      <c r="F8" s="660"/>
      <c r="G8" s="660"/>
      <c r="H8" s="660"/>
      <c r="I8" s="660"/>
      <c r="J8" s="660"/>
      <c r="K8" s="660"/>
      <c r="L8" s="660"/>
      <c r="M8" s="660"/>
      <c r="N8" s="660"/>
      <c r="O8" s="660"/>
      <c r="P8" s="660"/>
      <c r="Q8" s="660"/>
      <c r="R8" s="660"/>
      <c r="S8" s="660"/>
      <c r="T8" s="660"/>
      <c r="U8" s="660"/>
      <c r="V8" s="660"/>
      <c r="W8" s="660"/>
      <c r="X8" s="660"/>
      <c r="Y8" s="661"/>
    </row>
    <row r="9" spans="1:35" x14ac:dyDescent="0.2">
      <c r="A9" s="11"/>
      <c r="B9" s="12"/>
      <c r="C9" s="12"/>
      <c r="D9" s="12"/>
      <c r="E9" s="12"/>
      <c r="F9" s="12"/>
      <c r="G9" s="12"/>
      <c r="H9" s="12"/>
      <c r="I9" s="12"/>
      <c r="J9" s="12"/>
      <c r="K9" s="12"/>
      <c r="L9" s="12"/>
      <c r="M9" s="12"/>
      <c r="N9" s="12"/>
      <c r="O9" s="12"/>
      <c r="P9" s="12"/>
      <c r="Q9" s="12"/>
      <c r="R9" s="12"/>
      <c r="S9" s="12"/>
      <c r="T9" s="12"/>
      <c r="U9" s="12"/>
      <c r="V9" s="12"/>
      <c r="W9" s="12"/>
      <c r="X9" s="12"/>
      <c r="Y9" s="13"/>
    </row>
    <row r="10" spans="1:35" x14ac:dyDescent="0.2">
      <c r="A10" s="347"/>
      <c r="B10" s="38"/>
      <c r="C10" s="38"/>
      <c r="D10" s="38"/>
      <c r="E10" s="662" t="s">
        <v>44</v>
      </c>
      <c r="F10" s="662"/>
      <c r="G10" s="662"/>
      <c r="H10" s="662"/>
      <c r="I10" s="662"/>
      <c r="J10" s="662"/>
      <c r="K10" s="38"/>
      <c r="L10" s="33"/>
      <c r="M10" s="33"/>
      <c r="N10" s="33"/>
      <c r="O10" s="34"/>
      <c r="P10" s="38"/>
      <c r="Q10" s="38"/>
      <c r="R10" s="38"/>
      <c r="S10" s="38"/>
      <c r="T10" s="38"/>
      <c r="U10" s="38"/>
      <c r="V10" s="38"/>
      <c r="W10" s="38"/>
      <c r="X10" s="38"/>
      <c r="Y10" s="39"/>
      <c r="AE10" s="252"/>
    </row>
    <row r="11" spans="1:35" ht="15.75" x14ac:dyDescent="0.25">
      <c r="A11" s="347"/>
      <c r="B11" s="38"/>
      <c r="C11" s="38"/>
      <c r="D11" s="38"/>
      <c r="E11" s="38"/>
      <c r="F11" s="34"/>
      <c r="G11" s="34"/>
      <c r="H11" s="34"/>
      <c r="I11" s="34"/>
      <c r="J11" s="34"/>
      <c r="K11" s="34"/>
      <c r="L11" s="33"/>
      <c r="M11" s="33"/>
      <c r="N11" s="33"/>
      <c r="O11" s="34"/>
      <c r="P11" s="38"/>
      <c r="Q11" s="38"/>
      <c r="R11" s="38"/>
      <c r="S11" s="38"/>
      <c r="T11" s="38"/>
      <c r="U11" s="38"/>
      <c r="V11" s="38"/>
      <c r="W11" s="38"/>
      <c r="X11" s="38"/>
      <c r="Y11" s="39"/>
      <c r="Z11" s="321"/>
      <c r="AE11" s="252"/>
      <c r="AI11" s="71"/>
    </row>
    <row r="12" spans="1:35" x14ac:dyDescent="0.2">
      <c r="A12" s="347"/>
      <c r="B12" s="38"/>
      <c r="C12" s="38"/>
      <c r="D12" s="38"/>
      <c r="E12" s="38"/>
      <c r="F12" s="35"/>
      <c r="G12" s="35"/>
      <c r="H12" s="35"/>
      <c r="I12" s="35"/>
      <c r="J12" s="35"/>
      <c r="K12" s="35"/>
      <c r="L12" s="36"/>
      <c r="M12" s="36"/>
      <c r="N12" s="36"/>
      <c r="O12" s="35"/>
      <c r="P12" s="38"/>
      <c r="Q12" s="38"/>
      <c r="R12" s="38"/>
      <c r="S12" s="38"/>
      <c r="T12" s="38"/>
      <c r="U12" s="38"/>
      <c r="V12" s="38"/>
      <c r="W12" s="38"/>
      <c r="X12" s="38"/>
      <c r="Y12" s="39"/>
      <c r="AE12" s="253"/>
    </row>
    <row r="13" spans="1:35" x14ac:dyDescent="0.2">
      <c r="A13" s="347"/>
      <c r="B13" s="38"/>
      <c r="C13" s="38"/>
      <c r="D13" s="38"/>
      <c r="E13" s="38"/>
      <c r="F13" s="35"/>
      <c r="G13" s="35"/>
      <c r="H13" s="35"/>
      <c r="I13" s="35"/>
      <c r="J13" s="35"/>
      <c r="K13" s="35"/>
      <c r="L13" s="36"/>
      <c r="M13" s="36"/>
      <c r="N13" s="36"/>
      <c r="O13" s="35"/>
      <c r="P13" s="38"/>
      <c r="Q13" s="38"/>
      <c r="R13" s="38"/>
      <c r="S13" s="38"/>
      <c r="T13" s="38"/>
      <c r="U13" s="38"/>
      <c r="V13" s="38"/>
      <c r="W13" s="38"/>
      <c r="X13" s="38"/>
      <c r="Y13" s="39"/>
      <c r="AE13" s="252"/>
    </row>
    <row r="14" spans="1:35" x14ac:dyDescent="0.2">
      <c r="A14" s="347"/>
      <c r="B14" s="38"/>
      <c r="C14" s="38"/>
      <c r="D14" s="38"/>
      <c r="E14" s="38"/>
      <c r="F14" s="35"/>
      <c r="G14" s="35"/>
      <c r="H14" s="35"/>
      <c r="I14" s="35"/>
      <c r="J14" s="35"/>
      <c r="K14" s="35"/>
      <c r="L14" s="36"/>
      <c r="M14" s="36"/>
      <c r="N14" s="36"/>
      <c r="O14" s="35"/>
      <c r="P14" s="38"/>
      <c r="Q14" s="38"/>
      <c r="R14" s="38"/>
      <c r="S14" s="38"/>
      <c r="T14" s="38"/>
      <c r="U14" s="38"/>
      <c r="V14" s="38"/>
      <c r="W14" s="38"/>
      <c r="X14" s="38"/>
      <c r="Y14" s="39"/>
      <c r="AE14" s="252"/>
    </row>
    <row r="15" spans="1:35" hidden="1" x14ac:dyDescent="0.2">
      <c r="A15" s="347"/>
      <c r="B15" s="38"/>
      <c r="C15" s="38"/>
      <c r="D15" s="38"/>
      <c r="E15" s="37"/>
      <c r="F15" s="35"/>
      <c r="G15" s="38"/>
      <c r="H15" s="35"/>
      <c r="I15" s="38"/>
      <c r="J15" s="35"/>
      <c r="K15" s="35"/>
      <c r="L15" s="663" t="str">
        <f>VLOOKUP(F1,Data!$A$8:$B$335,2,FALSE)</f>
        <v>England</v>
      </c>
      <c r="M15" s="663"/>
      <c r="N15" s="663"/>
      <c r="O15" s="663"/>
      <c r="P15" s="663"/>
      <c r="Q15" s="664"/>
      <c r="R15" s="38"/>
      <c r="S15" s="38"/>
      <c r="T15" s="38"/>
      <c r="U15" s="38"/>
      <c r="V15" s="38"/>
      <c r="W15" s="38"/>
      <c r="X15" s="38"/>
      <c r="Y15" s="39"/>
      <c r="AE15" s="252"/>
    </row>
    <row r="16" spans="1:35" hidden="1" x14ac:dyDescent="0.2">
      <c r="A16" s="347"/>
      <c r="B16" s="38"/>
      <c r="C16" s="38"/>
      <c r="D16" s="38"/>
      <c r="E16" s="37"/>
      <c r="F16" s="35"/>
      <c r="G16" s="38"/>
      <c r="H16" s="35"/>
      <c r="I16" s="38"/>
      <c r="J16" s="35"/>
      <c r="K16" s="35"/>
      <c r="L16" s="663" t="str">
        <f>VLOOKUP(F1,datar,3,FALSE)</f>
        <v>E0000</v>
      </c>
      <c r="M16" s="665"/>
      <c r="N16" s="665"/>
      <c r="O16" s="665"/>
      <c r="P16" s="665"/>
      <c r="Q16" s="666"/>
      <c r="R16" s="38"/>
      <c r="S16" s="38"/>
      <c r="T16" s="38"/>
      <c r="U16" s="38"/>
      <c r="V16" s="38"/>
      <c r="W16" s="38"/>
      <c r="X16" s="38"/>
      <c r="Y16" s="39"/>
      <c r="AE16" s="253"/>
    </row>
    <row r="17" spans="1:35" ht="15.75" thickBot="1" x14ac:dyDescent="0.25">
      <c r="A17" s="40"/>
      <c r="B17" s="41"/>
      <c r="C17" s="41"/>
      <c r="D17" s="41"/>
      <c r="E17" s="41"/>
      <c r="F17" s="41"/>
      <c r="G17" s="41"/>
      <c r="H17" s="41"/>
      <c r="I17" s="41"/>
      <c r="J17" s="41"/>
      <c r="K17" s="41"/>
      <c r="L17" s="41"/>
      <c r="M17" s="41"/>
      <c r="N17" s="41"/>
      <c r="O17" s="41"/>
      <c r="P17" s="41"/>
      <c r="Q17" s="41"/>
      <c r="R17" s="41"/>
      <c r="S17" s="41"/>
      <c r="T17" s="41"/>
      <c r="U17" s="41"/>
      <c r="V17" s="41"/>
      <c r="W17" s="589"/>
      <c r="X17" s="591"/>
      <c r="Y17" s="42"/>
    </row>
    <row r="18" spans="1:35" x14ac:dyDescent="0.2">
      <c r="A18" s="7"/>
      <c r="B18" s="6"/>
      <c r="C18" s="6"/>
      <c r="D18" s="6"/>
      <c r="E18" s="6"/>
      <c r="F18" s="6"/>
      <c r="G18" s="6"/>
      <c r="H18" s="6"/>
      <c r="I18" s="6"/>
      <c r="J18" s="6"/>
      <c r="K18" s="6"/>
      <c r="L18" s="6"/>
      <c r="M18" s="6"/>
      <c r="N18" s="6"/>
      <c r="O18" s="6"/>
      <c r="P18" s="6"/>
      <c r="Q18" s="6"/>
      <c r="R18" s="6"/>
      <c r="S18" s="6"/>
      <c r="T18" s="6"/>
      <c r="U18" s="6"/>
      <c r="V18" s="6"/>
      <c r="W18" s="6"/>
      <c r="X18" s="6"/>
      <c r="Y18" s="8"/>
      <c r="AB18" s="81"/>
      <c r="AC18" s="80"/>
      <c r="AD18" s="81"/>
      <c r="AE18" s="82"/>
      <c r="AF18" s="4"/>
      <c r="AG18" s="4"/>
      <c r="AH18" s="4"/>
      <c r="AI18" s="83"/>
    </row>
    <row r="19" spans="1:35" ht="15.75" x14ac:dyDescent="0.2">
      <c r="A19" s="7"/>
      <c r="B19" s="6"/>
      <c r="C19" s="669" t="s">
        <v>41</v>
      </c>
      <c r="D19" s="669"/>
      <c r="E19" s="669"/>
      <c r="F19" s="669"/>
      <c r="G19" s="669"/>
      <c r="H19" s="74"/>
      <c r="I19" s="74"/>
      <c r="J19" s="6"/>
      <c r="K19" s="6"/>
      <c r="L19" s="6"/>
      <c r="M19" s="6"/>
      <c r="N19" s="6"/>
      <c r="O19" s="6"/>
      <c r="P19" s="6"/>
      <c r="Q19" s="6"/>
      <c r="R19" s="6"/>
      <c r="S19" s="6"/>
      <c r="T19" s="6"/>
      <c r="U19" s="6"/>
      <c r="V19" s="6"/>
      <c r="W19" s="6"/>
      <c r="X19" s="6"/>
      <c r="Y19" s="8"/>
      <c r="AB19" s="81"/>
      <c r="AC19" s="81"/>
      <c r="AD19" s="81"/>
      <c r="AE19" s="4"/>
      <c r="AF19" s="4"/>
      <c r="AG19" s="4"/>
      <c r="AH19" s="4"/>
      <c r="AI19" s="83"/>
    </row>
    <row r="20" spans="1:35" ht="15.75" x14ac:dyDescent="0.2">
      <c r="A20" s="7"/>
      <c r="B20" s="6"/>
      <c r="C20" s="144"/>
      <c r="D20" s="144"/>
      <c r="E20" s="144"/>
      <c r="F20" s="144"/>
      <c r="G20" s="144"/>
      <c r="H20" s="74"/>
      <c r="I20" s="74"/>
      <c r="J20" s="6"/>
      <c r="K20" s="6"/>
      <c r="L20" s="6"/>
      <c r="M20" s="6"/>
      <c r="N20" s="6"/>
      <c r="O20" s="6"/>
      <c r="P20" s="6"/>
      <c r="Q20" s="6"/>
      <c r="R20" s="6"/>
      <c r="S20" s="6"/>
      <c r="T20" s="6"/>
      <c r="U20" s="6"/>
      <c r="V20" s="6"/>
      <c r="W20" s="6"/>
      <c r="X20" s="6"/>
      <c r="Y20" s="8"/>
      <c r="AB20" s="81"/>
      <c r="AC20" s="106"/>
      <c r="AD20" s="81"/>
      <c r="AE20" s="4"/>
      <c r="AF20" s="4"/>
      <c r="AG20" s="4"/>
      <c r="AH20" s="4"/>
      <c r="AI20" s="83"/>
    </row>
    <row r="21" spans="1:35" ht="16.5" thickBot="1" x14ac:dyDescent="0.3">
      <c r="A21" s="7"/>
      <c r="B21" s="6"/>
      <c r="C21" s="115" t="s">
        <v>48</v>
      </c>
      <c r="D21" s="74"/>
      <c r="E21" s="74"/>
      <c r="F21" s="74"/>
      <c r="G21" s="74"/>
      <c r="H21" s="74"/>
      <c r="I21" s="74"/>
      <c r="J21" s="6"/>
      <c r="K21" s="670" t="s">
        <v>20</v>
      </c>
      <c r="L21" s="670"/>
      <c r="M21" s="6"/>
      <c r="N21" s="6"/>
      <c r="O21" s="6"/>
      <c r="P21" s="6"/>
      <c r="Q21" s="6"/>
      <c r="R21" s="9"/>
      <c r="S21" s="6"/>
      <c r="T21" s="6"/>
      <c r="U21" s="6"/>
      <c r="V21" s="6"/>
      <c r="W21" s="6"/>
      <c r="X21" s="6"/>
      <c r="Y21" s="8"/>
      <c r="AB21" s="81"/>
      <c r="AC21" s="106"/>
      <c r="AD21" s="81"/>
      <c r="AE21" s="4"/>
      <c r="AF21" s="4"/>
      <c r="AG21" s="4"/>
      <c r="AH21" s="4"/>
      <c r="AI21" s="83"/>
    </row>
    <row r="22" spans="1:35" ht="16.5" thickBot="1" x14ac:dyDescent="0.25">
      <c r="A22" s="7"/>
      <c r="B22" s="6"/>
      <c r="C22" s="658" t="s">
        <v>966</v>
      </c>
      <c r="D22" s="667"/>
      <c r="E22" s="667"/>
      <c r="F22" s="667"/>
      <c r="G22" s="667"/>
      <c r="H22" s="667"/>
      <c r="I22" s="667"/>
      <c r="J22" s="6"/>
      <c r="K22" s="651">
        <f>VLOOKUP($L$16,Datasheet1!$B$6:$R$332,3,FALSE)</f>
        <v>22728504721.779999</v>
      </c>
      <c r="L22" s="652"/>
      <c r="M22" s="64"/>
      <c r="N22" s="64"/>
      <c r="O22" s="6"/>
      <c r="P22" s="65"/>
      <c r="Q22" s="65"/>
      <c r="R22" s="66"/>
      <c r="S22" s="64"/>
      <c r="T22" s="64"/>
      <c r="U22" s="64"/>
      <c r="V22" s="64"/>
      <c r="W22" s="64"/>
      <c r="X22" s="64"/>
      <c r="Y22" s="8"/>
      <c r="AB22" s="204"/>
      <c r="AC22" s="97"/>
      <c r="AD22" s="97"/>
      <c r="AE22" s="98"/>
      <c r="AF22" s="98"/>
      <c r="AG22" s="71"/>
      <c r="AH22" s="71"/>
      <c r="AI22" s="71"/>
    </row>
    <row r="23" spans="1:35" ht="15.75" x14ac:dyDescent="0.2">
      <c r="A23" s="7"/>
      <c r="B23" s="6"/>
      <c r="C23" s="658"/>
      <c r="D23" s="667"/>
      <c r="E23" s="667"/>
      <c r="F23" s="667"/>
      <c r="G23" s="667"/>
      <c r="H23" s="667"/>
      <c r="I23" s="667"/>
      <c r="J23" s="64"/>
      <c r="K23" s="64"/>
      <c r="L23" s="64"/>
      <c r="M23" s="64"/>
      <c r="N23" s="64"/>
      <c r="O23" s="6"/>
      <c r="P23" s="65"/>
      <c r="Q23" s="65"/>
      <c r="R23" s="66"/>
      <c r="S23" s="64"/>
      <c r="T23" s="64"/>
      <c r="U23" s="64"/>
      <c r="V23" s="64"/>
      <c r="W23" s="64"/>
      <c r="X23" s="64"/>
      <c r="Y23" s="8"/>
      <c r="Z23" s="318"/>
      <c r="AB23" s="204"/>
      <c r="AC23" s="96"/>
      <c r="AD23" s="97"/>
      <c r="AE23" s="100"/>
      <c r="AF23" s="98"/>
      <c r="AG23" s="71"/>
      <c r="AH23" s="71"/>
      <c r="AI23" s="71"/>
    </row>
    <row r="24" spans="1:35" x14ac:dyDescent="0.2">
      <c r="A24" s="7"/>
      <c r="B24" s="6"/>
      <c r="C24" s="667"/>
      <c r="D24" s="667"/>
      <c r="E24" s="667"/>
      <c r="F24" s="667"/>
      <c r="G24" s="667"/>
      <c r="H24" s="667"/>
      <c r="I24" s="667"/>
      <c r="J24" s="6"/>
      <c r="K24" s="64"/>
      <c r="L24" s="64"/>
      <c r="M24" s="64"/>
      <c r="N24" s="64"/>
      <c r="O24" s="6"/>
      <c r="P24" s="65"/>
      <c r="Q24" s="65"/>
      <c r="R24" s="65"/>
      <c r="S24" s="64"/>
      <c r="T24" s="64"/>
      <c r="U24" s="64"/>
      <c r="V24" s="64"/>
      <c r="W24" s="64"/>
      <c r="X24" s="64"/>
      <c r="Y24" s="8"/>
      <c r="AB24" s="71"/>
      <c r="AC24" s="96"/>
      <c r="AD24" s="98"/>
      <c r="AE24" s="100"/>
      <c r="AF24" s="98"/>
      <c r="AG24" s="71"/>
      <c r="AH24" s="71"/>
    </row>
    <row r="25" spans="1:35" x14ac:dyDescent="0.2">
      <c r="A25" s="7"/>
      <c r="B25" s="6"/>
      <c r="C25" s="74"/>
      <c r="D25" s="74"/>
      <c r="E25" s="74"/>
      <c r="F25" s="74"/>
      <c r="G25" s="74"/>
      <c r="H25" s="74"/>
      <c r="I25" s="74"/>
      <c r="J25" s="10"/>
      <c r="K25" s="64"/>
      <c r="L25" s="64"/>
      <c r="M25" s="64"/>
      <c r="N25" s="64"/>
      <c r="O25" s="6"/>
      <c r="P25" s="65"/>
      <c r="Q25" s="65"/>
      <c r="R25" s="65"/>
      <c r="S25" s="64"/>
      <c r="T25" s="64"/>
      <c r="U25" s="64"/>
      <c r="V25" s="64"/>
      <c r="W25" s="64"/>
      <c r="X25" s="64"/>
      <c r="Y25" s="8"/>
      <c r="AB25" s="71"/>
      <c r="AC25" s="96"/>
      <c r="AD25" s="98"/>
      <c r="AE25" s="100"/>
      <c r="AF25" s="98"/>
      <c r="AG25" s="71"/>
      <c r="AH25" s="71"/>
    </row>
    <row r="26" spans="1:35" ht="16.5" thickBot="1" x14ac:dyDescent="0.25">
      <c r="A26" s="7"/>
      <c r="B26" s="6"/>
      <c r="C26" s="668" t="s">
        <v>15</v>
      </c>
      <c r="D26" s="668"/>
      <c r="E26" s="668"/>
      <c r="F26" s="668"/>
      <c r="G26" s="668"/>
      <c r="H26" s="668"/>
      <c r="I26" s="668"/>
      <c r="J26" s="6"/>
      <c r="K26" s="64"/>
      <c r="L26" s="64"/>
      <c r="M26" s="64"/>
      <c r="N26" s="64"/>
      <c r="O26" s="6"/>
      <c r="P26" s="65"/>
      <c r="Q26" s="65"/>
      <c r="R26" s="65"/>
      <c r="S26" s="64"/>
      <c r="T26" s="64"/>
      <c r="U26" s="64"/>
      <c r="V26" s="64"/>
      <c r="W26" s="64"/>
      <c r="X26" s="64"/>
      <c r="Y26" s="8"/>
      <c r="AB26" s="71"/>
      <c r="AC26" s="96"/>
      <c r="AD26" s="98"/>
      <c r="AE26" s="100"/>
      <c r="AF26" s="98"/>
      <c r="AG26" s="71"/>
      <c r="AH26" s="71"/>
    </row>
    <row r="27" spans="1:35" ht="16.5" thickBot="1" x14ac:dyDescent="0.25">
      <c r="A27" s="7"/>
      <c r="B27" s="6"/>
      <c r="C27" s="74" t="s">
        <v>967</v>
      </c>
      <c r="D27" s="74"/>
      <c r="E27" s="74"/>
      <c r="F27" s="74"/>
      <c r="G27" s="74"/>
      <c r="H27" s="74"/>
      <c r="I27" s="74"/>
      <c r="J27" s="6"/>
      <c r="K27" s="651">
        <f>VLOOKUP($L$16,Datasheet1!$B$6:$R$332,4,FALSE)</f>
        <v>21601181</v>
      </c>
      <c r="L27" s="652"/>
      <c r="M27" s="64"/>
      <c r="N27" s="64"/>
      <c r="O27" s="6"/>
      <c r="P27" s="65"/>
      <c r="Q27" s="65"/>
      <c r="R27" s="65"/>
      <c r="S27" s="64"/>
      <c r="T27" s="64"/>
      <c r="U27" s="64"/>
      <c r="V27" s="64"/>
      <c r="W27" s="64"/>
      <c r="X27" s="64"/>
      <c r="Y27" s="8"/>
      <c r="AB27" s="71"/>
      <c r="AC27" s="96"/>
      <c r="AD27" s="98"/>
      <c r="AE27" s="98"/>
      <c r="AF27" s="98"/>
      <c r="AG27" s="71"/>
      <c r="AH27" s="71"/>
    </row>
    <row r="28" spans="1:35" ht="15.75" thickBot="1" x14ac:dyDescent="0.25">
      <c r="A28" s="7"/>
      <c r="B28" s="6"/>
      <c r="C28" s="74"/>
      <c r="D28" s="74"/>
      <c r="E28" s="74"/>
      <c r="F28" s="74"/>
      <c r="G28" s="74"/>
      <c r="H28" s="74"/>
      <c r="I28" s="74"/>
      <c r="J28" s="6"/>
      <c r="K28" s="64"/>
      <c r="L28" s="64"/>
      <c r="M28" s="64"/>
      <c r="N28" s="64"/>
      <c r="O28" s="67"/>
      <c r="P28" s="65"/>
      <c r="Q28" s="65"/>
      <c r="R28" s="65"/>
      <c r="S28" s="64"/>
      <c r="T28" s="64"/>
      <c r="U28" s="64"/>
      <c r="V28" s="64"/>
      <c r="W28" s="64"/>
      <c r="X28" s="64"/>
      <c r="Y28" s="8"/>
      <c r="AB28" s="71"/>
      <c r="AC28" s="99"/>
      <c r="AD28" s="71"/>
      <c r="AE28" s="71"/>
      <c r="AF28" s="71"/>
      <c r="AG28" s="71"/>
      <c r="AH28" s="71"/>
    </row>
    <row r="29" spans="1:35" ht="16.5" thickBot="1" x14ac:dyDescent="0.25">
      <c r="A29" s="7"/>
      <c r="B29" s="6"/>
      <c r="C29" s="74" t="s">
        <v>968</v>
      </c>
      <c r="D29" s="74"/>
      <c r="E29" s="74"/>
      <c r="F29" s="74"/>
      <c r="G29" s="74"/>
      <c r="H29" s="74"/>
      <c r="I29" s="74"/>
      <c r="J29" s="6"/>
      <c r="K29" s="651">
        <f>VLOOKUP($L$16,Datasheet1!$B$6:$R$332,5,FALSE)</f>
        <v>186219375</v>
      </c>
      <c r="L29" s="652"/>
      <c r="M29" s="64"/>
      <c r="N29" s="64"/>
      <c r="O29" s="67"/>
      <c r="P29" s="65"/>
      <c r="Q29" s="65"/>
      <c r="R29" s="65"/>
      <c r="S29" s="64"/>
      <c r="T29" s="64"/>
      <c r="U29" s="64"/>
      <c r="V29" s="64"/>
      <c r="W29" s="64"/>
      <c r="X29" s="64"/>
      <c r="Y29" s="8"/>
      <c r="AB29" s="71"/>
      <c r="AC29" s="71"/>
      <c r="AD29" s="71"/>
      <c r="AE29" s="71"/>
      <c r="AF29" s="71"/>
      <c r="AG29" s="71"/>
      <c r="AH29" s="71"/>
    </row>
    <row r="30" spans="1:35" x14ac:dyDescent="0.2">
      <c r="A30" s="7"/>
      <c r="B30" s="6"/>
      <c r="C30" s="74"/>
      <c r="D30" s="74"/>
      <c r="E30" s="74"/>
      <c r="F30" s="74"/>
      <c r="G30" s="74"/>
      <c r="H30" s="74"/>
      <c r="I30" s="74"/>
      <c r="J30" s="6"/>
      <c r="K30" s="64"/>
      <c r="L30" s="64"/>
      <c r="M30" s="64"/>
      <c r="N30" s="64"/>
      <c r="O30" s="67"/>
      <c r="P30" s="65"/>
      <c r="Q30" s="65"/>
      <c r="R30" s="65"/>
      <c r="S30" s="64"/>
      <c r="T30" s="64"/>
      <c r="U30" s="64"/>
      <c r="V30" s="64"/>
      <c r="W30" s="64"/>
      <c r="X30" s="64"/>
      <c r="Y30" s="8"/>
    </row>
    <row r="31" spans="1:35" ht="16.5" thickBot="1" x14ac:dyDescent="0.25">
      <c r="A31" s="7"/>
      <c r="B31" s="6"/>
      <c r="C31" s="115" t="s">
        <v>49</v>
      </c>
      <c r="D31" s="115"/>
      <c r="E31" s="115"/>
      <c r="F31" s="115"/>
      <c r="G31" s="74"/>
      <c r="H31" s="74"/>
      <c r="I31" s="74"/>
      <c r="J31" s="6"/>
      <c r="K31" s="64"/>
      <c r="L31" s="64"/>
      <c r="M31" s="64"/>
      <c r="N31" s="64"/>
      <c r="O31" s="67"/>
      <c r="P31" s="65"/>
      <c r="Q31" s="65"/>
      <c r="R31" s="65"/>
      <c r="S31" s="64"/>
      <c r="T31" s="64"/>
      <c r="U31" s="64"/>
      <c r="V31" s="64"/>
      <c r="W31" s="64"/>
      <c r="X31" s="64"/>
      <c r="Y31" s="8"/>
    </row>
    <row r="32" spans="1:35" ht="16.5" thickBot="1" x14ac:dyDescent="0.3">
      <c r="A32" s="7"/>
      <c r="B32" s="6"/>
      <c r="C32" s="74" t="s">
        <v>31</v>
      </c>
      <c r="D32" s="74"/>
      <c r="E32" s="74"/>
      <c r="F32" s="74"/>
      <c r="G32" s="74"/>
      <c r="H32" s="74"/>
      <c r="I32" s="74"/>
      <c r="J32" s="6"/>
      <c r="K32" s="651">
        <f>VLOOKUP($L$16,Datasheet1!$B$6:$R$332,6,FALSE)</f>
        <v>83999996</v>
      </c>
      <c r="L32" s="652"/>
      <c r="M32" s="64"/>
      <c r="N32" s="64"/>
      <c r="O32" s="75"/>
      <c r="P32" s="65"/>
      <c r="Q32" s="65"/>
      <c r="R32" s="65"/>
      <c r="S32" s="64"/>
      <c r="T32" s="64"/>
      <c r="U32" s="64"/>
      <c r="V32" s="64"/>
      <c r="W32" s="64"/>
      <c r="X32" s="64"/>
      <c r="Y32" s="8"/>
      <c r="Z32" s="321"/>
      <c r="AA32" s="320"/>
    </row>
    <row r="33" spans="1:33" ht="16.5" thickBot="1" x14ac:dyDescent="0.25">
      <c r="A33" s="7"/>
      <c r="B33" s="6"/>
      <c r="C33" s="74"/>
      <c r="D33" s="74"/>
      <c r="E33" s="74"/>
      <c r="F33" s="74"/>
      <c r="G33" s="74"/>
      <c r="H33" s="74"/>
      <c r="I33" s="74"/>
      <c r="J33" s="6"/>
      <c r="K33" s="76"/>
      <c r="L33" s="64"/>
      <c r="M33" s="64"/>
      <c r="N33" s="64"/>
      <c r="O33" s="67"/>
      <c r="P33" s="65"/>
      <c r="Q33" s="65"/>
      <c r="R33" s="65"/>
      <c r="S33" s="64"/>
      <c r="T33" s="64"/>
      <c r="U33" s="64"/>
      <c r="V33" s="64"/>
      <c r="W33" s="64"/>
      <c r="X33" s="64"/>
      <c r="Y33" s="8"/>
      <c r="AA33" s="380" t="s">
        <v>1124</v>
      </c>
    </row>
    <row r="34" spans="1:33" ht="16.5" thickBot="1" x14ac:dyDescent="0.25">
      <c r="A34" s="7"/>
      <c r="B34" s="6"/>
      <c r="C34" s="74" t="s">
        <v>969</v>
      </c>
      <c r="D34" s="74"/>
      <c r="E34" s="74"/>
      <c r="F34" s="74"/>
      <c r="G34" s="74"/>
      <c r="H34" s="74"/>
      <c r="I34" s="74"/>
      <c r="J34" s="6"/>
      <c r="K34" s="651">
        <f>VLOOKUP($L$16,Datasheet1!$B$6:$R$332,7,FALSE)</f>
        <v>154326</v>
      </c>
      <c r="L34" s="652"/>
      <c r="M34" s="64"/>
      <c r="N34" s="64"/>
      <c r="O34" s="67"/>
      <c r="P34" s="65"/>
      <c r="Q34" s="65"/>
      <c r="R34" s="65"/>
      <c r="S34" s="64"/>
      <c r="T34" s="64"/>
      <c r="U34" s="64"/>
      <c r="V34" s="64"/>
      <c r="W34" s="64"/>
      <c r="X34" s="64"/>
      <c r="Y34" s="8"/>
      <c r="AA34" s="574">
        <f>ROUND(K34,0)</f>
        <v>154326</v>
      </c>
      <c r="AB34" s="575"/>
      <c r="AC34" s="576">
        <f>K34</f>
        <v>154326</v>
      </c>
      <c r="AD34" s="213"/>
      <c r="AE34" s="576">
        <f>AC34-AA34</f>
        <v>0</v>
      </c>
      <c r="AF34" s="213"/>
      <c r="AG34" s="213" t="str">
        <f>IF(AE34&lt;&gt;0,"Please remove pence. All figures shown in whole £s","")</f>
        <v/>
      </c>
    </row>
    <row r="35" spans="1:33" ht="16.5" thickBot="1" x14ac:dyDescent="0.25">
      <c r="A35" s="7"/>
      <c r="B35" s="6"/>
      <c r="C35" s="74"/>
      <c r="D35" s="74"/>
      <c r="E35" s="74"/>
      <c r="F35" s="74"/>
      <c r="G35" s="74"/>
      <c r="H35" s="74"/>
      <c r="I35" s="74"/>
      <c r="J35" s="6"/>
      <c r="K35" s="76"/>
      <c r="L35" s="64"/>
      <c r="M35" s="64"/>
      <c r="N35" s="64"/>
      <c r="O35" s="67"/>
      <c r="P35" s="65"/>
      <c r="Q35" s="65"/>
      <c r="R35" s="65"/>
      <c r="S35" s="64"/>
      <c r="T35" s="64"/>
      <c r="U35" s="64"/>
      <c r="V35" s="64"/>
      <c r="W35" s="64"/>
      <c r="X35" s="64"/>
      <c r="Y35" s="8"/>
      <c r="AA35" s="315"/>
      <c r="AB35" s="213"/>
      <c r="AC35" s="213"/>
      <c r="AD35" s="213"/>
      <c r="AE35" s="213"/>
      <c r="AF35" s="213"/>
      <c r="AG35" s="213"/>
    </row>
    <row r="36" spans="1:33" ht="16.5" thickBot="1" x14ac:dyDescent="0.25">
      <c r="A36" s="7"/>
      <c r="B36" s="6"/>
      <c r="C36" s="74" t="s">
        <v>970</v>
      </c>
      <c r="D36" s="74"/>
      <c r="E36" s="74"/>
      <c r="F36" s="74"/>
      <c r="G36" s="74"/>
      <c r="H36" s="74"/>
      <c r="I36" s="74"/>
      <c r="J36" s="6"/>
      <c r="K36" s="651">
        <f>VLOOKUP($L$16,Datasheet1!$B$6:$R$332,8,FALSE)</f>
        <v>84154322</v>
      </c>
      <c r="L36" s="652"/>
      <c r="M36" s="64"/>
      <c r="N36" s="64"/>
      <c r="O36" s="67"/>
      <c r="P36" s="65"/>
      <c r="Q36" s="65"/>
      <c r="R36" s="65"/>
      <c r="S36" s="64"/>
      <c r="T36" s="64"/>
      <c r="U36" s="64"/>
      <c r="V36" s="64"/>
      <c r="W36" s="64"/>
      <c r="X36" s="64"/>
      <c r="Y36" s="8"/>
      <c r="AA36" s="315"/>
      <c r="AB36" s="213"/>
      <c r="AC36" s="213"/>
      <c r="AD36" s="213"/>
      <c r="AE36" s="213"/>
      <c r="AF36" s="213"/>
      <c r="AG36" s="213"/>
    </row>
    <row r="37" spans="1:33" ht="15.75" x14ac:dyDescent="0.2">
      <c r="A37" s="7"/>
      <c r="B37" s="6"/>
      <c r="C37" s="74"/>
      <c r="D37" s="74"/>
      <c r="E37" s="74"/>
      <c r="F37" s="74"/>
      <c r="G37" s="74"/>
      <c r="H37" s="74"/>
      <c r="I37" s="74"/>
      <c r="J37" s="6"/>
      <c r="K37" s="76"/>
      <c r="L37" s="64"/>
      <c r="M37" s="64"/>
      <c r="N37" s="64"/>
      <c r="O37" s="67"/>
      <c r="P37" s="65"/>
      <c r="Q37" s="65"/>
      <c r="R37" s="65"/>
      <c r="S37" s="64"/>
      <c r="T37" s="64"/>
      <c r="U37" s="64"/>
      <c r="V37" s="64"/>
      <c r="W37" s="64"/>
      <c r="X37" s="64"/>
      <c r="Y37" s="8"/>
      <c r="AA37" s="315"/>
      <c r="AB37" s="213"/>
      <c r="AC37" s="213"/>
      <c r="AD37" s="213"/>
      <c r="AE37" s="213"/>
      <c r="AF37" s="213"/>
      <c r="AG37" s="213"/>
    </row>
    <row r="38" spans="1:33" ht="16.5" thickBot="1" x14ac:dyDescent="0.25">
      <c r="A38" s="7"/>
      <c r="B38" s="6"/>
      <c r="C38" s="115" t="s">
        <v>32</v>
      </c>
      <c r="D38" s="74"/>
      <c r="E38" s="74"/>
      <c r="F38" s="74"/>
      <c r="G38" s="74"/>
      <c r="H38" s="74"/>
      <c r="I38" s="74"/>
      <c r="J38" s="6"/>
      <c r="K38" s="76"/>
      <c r="L38" s="64"/>
      <c r="M38" s="64"/>
      <c r="N38" s="64"/>
      <c r="O38" s="67"/>
      <c r="P38" s="65"/>
      <c r="Q38" s="65"/>
      <c r="R38" s="65"/>
      <c r="S38" s="64"/>
      <c r="T38" s="64"/>
      <c r="U38" s="64"/>
      <c r="V38" s="64"/>
      <c r="W38" s="64"/>
      <c r="X38" s="64"/>
      <c r="Y38" s="8"/>
      <c r="AA38" s="315"/>
      <c r="AB38" s="213"/>
      <c r="AC38" s="213"/>
      <c r="AD38" s="213"/>
      <c r="AE38" s="213"/>
      <c r="AF38" s="213"/>
      <c r="AG38" s="213"/>
    </row>
    <row r="39" spans="1:33" ht="16.5" thickBot="1" x14ac:dyDescent="0.3">
      <c r="A39" s="7"/>
      <c r="B39" s="6"/>
      <c r="C39" s="74" t="s">
        <v>1279</v>
      </c>
      <c r="D39" s="74"/>
      <c r="E39" s="74"/>
      <c r="F39" s="74"/>
      <c r="G39" s="74"/>
      <c r="H39" s="74"/>
      <c r="I39" s="74"/>
      <c r="J39" s="6"/>
      <c r="K39" s="651">
        <f>VLOOKUP($L$16,Datasheet1!$B$6:$R$332,9,FALSE)</f>
        <v>10948000</v>
      </c>
      <c r="L39" s="652"/>
      <c r="M39" s="64"/>
      <c r="N39" s="64"/>
      <c r="O39" s="67"/>
      <c r="P39" s="65"/>
      <c r="Q39" s="65"/>
      <c r="R39" s="65"/>
      <c r="S39" s="64"/>
      <c r="T39" s="64"/>
      <c r="U39" s="64"/>
      <c r="V39" s="64"/>
      <c r="W39" s="64"/>
      <c r="X39" s="64"/>
      <c r="Y39" s="8"/>
      <c r="Z39" s="321"/>
      <c r="AA39" s="320"/>
      <c r="AB39" s="213"/>
      <c r="AC39" s="213"/>
      <c r="AD39" s="213"/>
      <c r="AE39" s="213"/>
      <c r="AF39" s="213"/>
      <c r="AG39" s="213"/>
    </row>
    <row r="40" spans="1:33" ht="15.75" x14ac:dyDescent="0.2">
      <c r="A40" s="7"/>
      <c r="B40" s="6"/>
      <c r="C40" s="74"/>
      <c r="D40" s="74"/>
      <c r="E40" s="74"/>
      <c r="F40" s="74"/>
      <c r="G40" s="74"/>
      <c r="H40" s="74"/>
      <c r="I40" s="74"/>
      <c r="J40" s="6"/>
      <c r="K40" s="76"/>
      <c r="L40" s="64"/>
      <c r="M40" s="64"/>
      <c r="N40" s="64"/>
      <c r="O40" s="67"/>
      <c r="P40" s="65"/>
      <c r="Q40" s="65"/>
      <c r="R40" s="65"/>
      <c r="S40" s="64"/>
      <c r="T40" s="64"/>
      <c r="U40" s="64"/>
      <c r="V40" s="64"/>
      <c r="W40" s="64"/>
      <c r="X40" s="64"/>
      <c r="Y40" s="8"/>
      <c r="AA40" s="315"/>
      <c r="AB40" s="213"/>
      <c r="AC40" s="213"/>
      <c r="AD40" s="213"/>
      <c r="AE40" s="213"/>
      <c r="AF40" s="213"/>
      <c r="AG40" s="213"/>
    </row>
    <row r="41" spans="1:33" ht="16.5" thickBot="1" x14ac:dyDescent="0.25">
      <c r="A41" s="7"/>
      <c r="B41" s="6"/>
      <c r="C41" s="115" t="s">
        <v>39</v>
      </c>
      <c r="D41" s="74"/>
      <c r="E41" s="74"/>
      <c r="F41" s="74"/>
      <c r="G41" s="74"/>
      <c r="H41" s="74"/>
      <c r="I41" s="74"/>
      <c r="J41" s="6"/>
      <c r="K41" s="64"/>
      <c r="L41" s="64"/>
      <c r="M41" s="64"/>
      <c r="N41" s="64"/>
      <c r="O41" s="67"/>
      <c r="P41" s="65"/>
      <c r="Q41" s="65"/>
      <c r="R41" s="65"/>
      <c r="S41" s="64"/>
      <c r="T41" s="64"/>
      <c r="U41" s="64"/>
      <c r="V41" s="64"/>
      <c r="W41" s="64"/>
      <c r="X41" s="64"/>
      <c r="Y41" s="8"/>
      <c r="AA41" s="315"/>
      <c r="AB41" s="213"/>
      <c r="AC41" s="213"/>
      <c r="AD41" s="213"/>
      <c r="AE41" s="213"/>
      <c r="AF41" s="213"/>
      <c r="AG41" s="213"/>
    </row>
    <row r="42" spans="1:33" ht="16.5" thickBot="1" x14ac:dyDescent="0.25">
      <c r="A42" s="7"/>
      <c r="B42" s="6"/>
      <c r="C42" s="74" t="s">
        <v>971</v>
      </c>
      <c r="D42" s="74"/>
      <c r="E42" s="74"/>
      <c r="F42" s="74"/>
      <c r="G42" s="74"/>
      <c r="H42" s="74"/>
      <c r="I42" s="74"/>
      <c r="J42" s="6"/>
      <c r="K42" s="651">
        <f>VLOOKUP($L$16,Datasheet1!$B$6:$R$332,10,FALSE)</f>
        <v>13817176</v>
      </c>
      <c r="L42" s="652"/>
      <c r="M42" s="64"/>
      <c r="N42" s="64"/>
      <c r="O42" s="67"/>
      <c r="P42" s="65"/>
      <c r="Q42" s="65"/>
      <c r="R42" s="65"/>
      <c r="S42" s="64"/>
      <c r="T42" s="64"/>
      <c r="U42" s="64"/>
      <c r="V42" s="64"/>
      <c r="W42" s="64"/>
      <c r="X42" s="64"/>
      <c r="Y42" s="8"/>
      <c r="AA42" s="315"/>
      <c r="AB42" s="213"/>
      <c r="AC42" s="213"/>
      <c r="AD42" s="213"/>
      <c r="AE42" s="213"/>
      <c r="AF42" s="213"/>
      <c r="AG42" s="213"/>
    </row>
    <row r="43" spans="1:33" ht="15.75" thickBot="1" x14ac:dyDescent="0.25">
      <c r="A43" s="7"/>
      <c r="B43" s="6"/>
      <c r="C43" s="74"/>
      <c r="D43" s="74"/>
      <c r="E43" s="74"/>
      <c r="F43" s="74"/>
      <c r="G43" s="74"/>
      <c r="H43" s="74"/>
      <c r="I43" s="74"/>
      <c r="J43" s="6"/>
      <c r="K43" s="64"/>
      <c r="L43" s="64"/>
      <c r="M43" s="64"/>
      <c r="N43" s="64"/>
      <c r="O43" s="67"/>
      <c r="P43" s="65"/>
      <c r="Q43" s="653"/>
      <c r="R43" s="653"/>
      <c r="S43" s="653"/>
      <c r="T43" s="653"/>
      <c r="U43" s="653"/>
      <c r="V43" s="653"/>
      <c r="W43" s="653"/>
      <c r="X43" s="64"/>
      <c r="Y43" s="8"/>
      <c r="AA43" s="315"/>
      <c r="AB43" s="213"/>
      <c r="AC43" s="213"/>
      <c r="AD43" s="213"/>
      <c r="AE43" s="213"/>
      <c r="AF43" s="213"/>
      <c r="AG43" s="213"/>
    </row>
    <row r="44" spans="1:33" ht="16.5" thickBot="1" x14ac:dyDescent="0.25">
      <c r="A44" s="7"/>
      <c r="B44" s="6"/>
      <c r="C44" s="658" t="s">
        <v>972</v>
      </c>
      <c r="D44" s="658"/>
      <c r="E44" s="658"/>
      <c r="F44" s="658"/>
      <c r="G44" s="658"/>
      <c r="H44" s="658"/>
      <c r="I44" s="658"/>
      <c r="J44" s="6"/>
      <c r="K44" s="651">
        <f>VLOOKUP($L$16,Datasheet1!$B$6:$R$332,11,FALSE)</f>
        <v>37651322</v>
      </c>
      <c r="L44" s="652"/>
      <c r="M44" s="64"/>
      <c r="N44" s="64"/>
      <c r="O44" s="67"/>
      <c r="P44" s="65"/>
      <c r="Q44" s="65"/>
      <c r="R44" s="65"/>
      <c r="S44" s="64"/>
      <c r="T44" s="64"/>
      <c r="U44" s="64"/>
      <c r="V44" s="64"/>
      <c r="W44" s="64"/>
      <c r="X44" s="64"/>
      <c r="Y44" s="8"/>
      <c r="AA44" s="315"/>
      <c r="AB44" s="213"/>
      <c r="AC44" s="213"/>
      <c r="AD44" s="213"/>
      <c r="AE44" s="213"/>
      <c r="AF44" s="213"/>
      <c r="AG44" s="213"/>
    </row>
    <row r="45" spans="1:33" x14ac:dyDescent="0.2">
      <c r="A45" s="7"/>
      <c r="B45" s="6"/>
      <c r="C45" s="658"/>
      <c r="D45" s="658"/>
      <c r="E45" s="658"/>
      <c r="F45" s="658"/>
      <c r="G45" s="658"/>
      <c r="H45" s="658"/>
      <c r="I45" s="658"/>
      <c r="J45" s="6"/>
      <c r="K45" s="64"/>
      <c r="L45" s="64"/>
      <c r="M45" s="64"/>
      <c r="N45" s="64"/>
      <c r="O45" s="67"/>
      <c r="P45" s="65"/>
      <c r="Q45" s="65"/>
      <c r="R45" s="65"/>
      <c r="S45" s="64"/>
      <c r="T45" s="64"/>
      <c r="U45" s="64"/>
      <c r="V45" s="64"/>
      <c r="W45" s="64"/>
      <c r="X45" s="64"/>
      <c r="Y45" s="8"/>
      <c r="AA45" s="315"/>
      <c r="AB45" s="213"/>
      <c r="AC45" s="213"/>
      <c r="AD45" s="213"/>
      <c r="AE45" s="213"/>
      <c r="AF45" s="213"/>
      <c r="AG45" s="213"/>
    </row>
    <row r="46" spans="1:33" x14ac:dyDescent="0.2">
      <c r="A46" s="7"/>
      <c r="B46" s="6"/>
      <c r="C46" s="147"/>
      <c r="D46" s="147"/>
      <c r="E46" s="147"/>
      <c r="F46" s="147"/>
      <c r="G46" s="147"/>
      <c r="H46" s="147"/>
      <c r="I46" s="147"/>
      <c r="J46" s="6"/>
      <c r="K46" s="64"/>
      <c r="L46" s="64"/>
      <c r="M46" s="64"/>
      <c r="N46" s="64"/>
      <c r="O46" s="67"/>
      <c r="P46" s="65"/>
      <c r="Q46" s="65"/>
      <c r="R46" s="65"/>
      <c r="S46" s="64"/>
      <c r="T46" s="64"/>
      <c r="U46" s="64"/>
      <c r="V46" s="64"/>
      <c r="W46" s="64"/>
      <c r="X46" s="64"/>
      <c r="Y46" s="8"/>
      <c r="AA46" s="315"/>
      <c r="AB46" s="213"/>
      <c r="AC46" s="213"/>
      <c r="AD46" s="213"/>
      <c r="AE46" s="213"/>
      <c r="AF46" s="213"/>
      <c r="AG46" s="213"/>
    </row>
    <row r="47" spans="1:33" ht="15.75" thickBot="1" x14ac:dyDescent="0.25">
      <c r="A47" s="7"/>
      <c r="B47" s="6"/>
      <c r="C47" s="74" t="s">
        <v>43</v>
      </c>
      <c r="D47" s="74"/>
      <c r="E47" s="74"/>
      <c r="F47" s="74"/>
      <c r="G47" s="74"/>
      <c r="H47" s="74"/>
      <c r="I47" s="74"/>
      <c r="J47" s="6"/>
      <c r="K47" s="64"/>
      <c r="L47" s="64"/>
      <c r="M47" s="64"/>
      <c r="N47" s="64"/>
      <c r="O47" s="67"/>
      <c r="P47" s="65"/>
      <c r="Q47" s="65"/>
      <c r="R47" s="65"/>
      <c r="S47" s="64"/>
      <c r="T47" s="64"/>
      <c r="U47" s="64"/>
      <c r="V47" s="64"/>
      <c r="W47" s="64"/>
      <c r="X47" s="64"/>
      <c r="Y47" s="8"/>
      <c r="AA47" s="315"/>
      <c r="AB47" s="213"/>
      <c r="AC47" s="213"/>
      <c r="AD47" s="213"/>
      <c r="AE47" s="213"/>
      <c r="AF47" s="213"/>
      <c r="AG47" s="213"/>
    </row>
    <row r="48" spans="1:33" ht="16.5" thickBot="1" x14ac:dyDescent="0.25">
      <c r="A48" s="7"/>
      <c r="B48" s="6"/>
      <c r="C48" s="74" t="s">
        <v>68</v>
      </c>
      <c r="D48" s="74"/>
      <c r="E48" s="74"/>
      <c r="F48" s="74"/>
      <c r="G48" s="74"/>
      <c r="H48" s="74"/>
      <c r="I48" s="74"/>
      <c r="J48" s="6"/>
      <c r="K48" s="651">
        <f>VLOOKUP($L$16,Datasheet1!$B$6:$R$332,12,FALSE)</f>
        <v>36045395</v>
      </c>
      <c r="L48" s="652"/>
      <c r="M48" s="64"/>
      <c r="N48" s="64"/>
      <c r="O48" s="67"/>
      <c r="P48" s="65"/>
      <c r="Q48" s="65"/>
      <c r="R48" s="65"/>
      <c r="S48" s="64"/>
      <c r="T48" s="64"/>
      <c r="U48" s="64"/>
      <c r="V48" s="64"/>
      <c r="W48" s="64"/>
      <c r="X48" s="64"/>
      <c r="Y48" s="8"/>
      <c r="AA48" s="574">
        <f>ROUND(K48,0)</f>
        <v>36045395</v>
      </c>
      <c r="AB48" s="575"/>
      <c r="AC48" s="576">
        <f>K48</f>
        <v>36045395</v>
      </c>
      <c r="AD48" s="213"/>
      <c r="AE48" s="576">
        <f>AC48-AA48</f>
        <v>0</v>
      </c>
      <c r="AF48" s="213"/>
      <c r="AG48" s="213" t="str">
        <f>IF(AE48&lt;&gt;0,"Please remove pence. All figures shown in whole £s","")</f>
        <v/>
      </c>
    </row>
    <row r="49" spans="1:27" ht="15.75" thickBot="1" x14ac:dyDescent="0.25">
      <c r="A49" s="555"/>
      <c r="B49" s="506"/>
      <c r="C49" s="556"/>
      <c r="D49" s="556"/>
      <c r="E49" s="556"/>
      <c r="F49" s="556"/>
      <c r="G49" s="556"/>
      <c r="H49" s="556"/>
      <c r="I49" s="556"/>
      <c r="J49" s="506"/>
      <c r="K49" s="539"/>
      <c r="L49" s="539"/>
      <c r="M49" s="64"/>
      <c r="N49" s="64"/>
      <c r="O49" s="67"/>
      <c r="P49" s="65"/>
      <c r="Q49" s="65"/>
      <c r="R49" s="65"/>
      <c r="S49" s="64"/>
      <c r="T49" s="64"/>
      <c r="U49" s="64"/>
      <c r="V49" s="64"/>
      <c r="W49" s="64"/>
      <c r="X49" s="64"/>
      <c r="Y49" s="8"/>
    </row>
    <row r="50" spans="1:27" ht="16.5" thickBot="1" x14ac:dyDescent="0.25">
      <c r="A50" s="7"/>
      <c r="B50" s="6"/>
      <c r="C50" s="74" t="s">
        <v>69</v>
      </c>
      <c r="D50" s="74"/>
      <c r="E50" s="74"/>
      <c r="F50" s="74"/>
      <c r="G50" s="74"/>
      <c r="H50" s="74"/>
      <c r="I50" s="74"/>
      <c r="J50" s="6"/>
      <c r="K50" s="651">
        <f>VLOOKUP($L$16,Datasheet1!$B$6:$R$332,13,FALSE)</f>
        <v>1605927</v>
      </c>
      <c r="L50" s="652"/>
      <c r="M50" s="64"/>
      <c r="N50" s="64"/>
      <c r="O50" s="67"/>
      <c r="P50" s="65"/>
      <c r="Q50" s="65"/>
      <c r="R50" s="65"/>
      <c r="S50" s="64"/>
      <c r="T50" s="64"/>
      <c r="U50" s="64"/>
      <c r="V50" s="64"/>
      <c r="W50" s="64"/>
      <c r="X50" s="64"/>
      <c r="Y50" s="8"/>
    </row>
    <row r="51" spans="1:27" ht="15.75" x14ac:dyDescent="0.2">
      <c r="A51" s="7"/>
      <c r="B51" s="6"/>
      <c r="C51" s="74"/>
      <c r="D51" s="74"/>
      <c r="E51" s="74"/>
      <c r="F51" s="74"/>
      <c r="G51" s="74"/>
      <c r="H51" s="74"/>
      <c r="I51" s="74"/>
      <c r="J51" s="6"/>
      <c r="K51" s="654" t="str">
        <f>IF(+K48+K50-K44=0,"","Lines 10 &amp; 11 should equal line 9, please check your figures")</f>
        <v/>
      </c>
      <c r="L51" s="655"/>
      <c r="M51" s="655"/>
      <c r="N51" s="655"/>
      <c r="O51" s="655"/>
      <c r="P51" s="655"/>
      <c r="Q51" s="655"/>
      <c r="R51" s="655"/>
      <c r="S51" s="655"/>
      <c r="T51" s="655"/>
      <c r="U51" s="655"/>
      <c r="V51" s="655"/>
      <c r="W51" s="655"/>
      <c r="X51" s="64"/>
      <c r="Y51" s="8"/>
    </row>
    <row r="52" spans="1:27" ht="16.5" thickBot="1" x14ac:dyDescent="0.25">
      <c r="A52" s="7"/>
      <c r="B52" s="6"/>
      <c r="C52" s="115" t="s">
        <v>38</v>
      </c>
      <c r="D52" s="115"/>
      <c r="E52" s="115"/>
      <c r="F52" s="115"/>
      <c r="G52" s="115"/>
      <c r="H52" s="74"/>
      <c r="I52" s="74"/>
      <c r="J52" s="6"/>
      <c r="K52" s="64"/>
      <c r="L52" s="64"/>
      <c r="M52" s="64"/>
      <c r="N52" s="64"/>
      <c r="O52" s="67"/>
      <c r="P52" s="65"/>
      <c r="Q52" s="65"/>
      <c r="R52" s="65"/>
      <c r="S52" s="64"/>
      <c r="T52" s="64"/>
      <c r="U52" s="64"/>
      <c r="V52" s="64"/>
      <c r="W52" s="64"/>
      <c r="X52" s="64"/>
      <c r="Y52" s="8"/>
    </row>
    <row r="53" spans="1:27" ht="16.5" thickBot="1" x14ac:dyDescent="0.25">
      <c r="A53" s="7"/>
      <c r="B53" s="6"/>
      <c r="C53" s="74" t="s">
        <v>973</v>
      </c>
      <c r="D53" s="74"/>
      <c r="E53" s="74"/>
      <c r="F53" s="74"/>
      <c r="G53" s="74"/>
      <c r="H53" s="74"/>
      <c r="I53" s="74"/>
      <c r="J53" s="6"/>
      <c r="K53" s="651">
        <f>VLOOKUP($L$16,Datasheet1!$B$6:$R$332,14,FALSE)</f>
        <v>22417315707.779999</v>
      </c>
      <c r="L53" s="652"/>
      <c r="M53" s="64"/>
      <c r="N53" s="657"/>
      <c r="O53" s="657"/>
      <c r="P53" s="656"/>
      <c r="Q53" s="656"/>
      <c r="R53" s="656"/>
      <c r="S53" s="75"/>
      <c r="T53" s="68"/>
      <c r="U53" s="68"/>
      <c r="V53" s="68"/>
      <c r="W53" s="68"/>
      <c r="X53" s="64"/>
      <c r="Y53" s="8"/>
    </row>
    <row r="54" spans="1:27" ht="15.75" thickBot="1" x14ac:dyDescent="0.25">
      <c r="A54" s="117"/>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8"/>
    </row>
    <row r="55" spans="1:27" s="563" customFormat="1" ht="15.75" x14ac:dyDescent="0.25">
      <c r="A55" s="564"/>
      <c r="B55" s="562"/>
      <c r="C55" s="565"/>
      <c r="D55" s="565"/>
      <c r="E55" s="565"/>
      <c r="F55" s="565"/>
      <c r="G55" s="565"/>
      <c r="H55" s="565"/>
      <c r="I55" s="565"/>
      <c r="J55" s="565"/>
      <c r="K55" s="565"/>
      <c r="L55" s="565"/>
      <c r="M55" s="565"/>
      <c r="N55" s="565"/>
      <c r="O55" s="565"/>
      <c r="P55" s="565"/>
      <c r="Q55" s="565"/>
      <c r="R55" s="565"/>
      <c r="S55" s="565"/>
      <c r="T55" s="565"/>
      <c r="U55" s="565"/>
      <c r="V55" s="565"/>
      <c r="W55" s="565"/>
      <c r="X55" s="565"/>
      <c r="Y55" s="566"/>
      <c r="Z55" s="561"/>
      <c r="AA55" s="562"/>
    </row>
    <row r="56" spans="1:27" s="563" customFormat="1" x14ac:dyDescent="0.2">
      <c r="A56" s="567"/>
      <c r="B56" s="568"/>
      <c r="C56" s="568"/>
      <c r="D56" s="568"/>
      <c r="E56" s="568"/>
      <c r="F56" s="568"/>
      <c r="G56" s="568"/>
      <c r="H56" s="568"/>
      <c r="I56" s="568"/>
      <c r="J56" s="568"/>
      <c r="K56" s="568"/>
      <c r="L56" s="568"/>
      <c r="M56" s="568"/>
      <c r="N56" s="568"/>
      <c r="O56" s="568"/>
      <c r="P56" s="568"/>
      <c r="Q56" s="568"/>
      <c r="R56" s="568"/>
      <c r="S56" s="568"/>
      <c r="T56" s="568"/>
      <c r="U56" s="568"/>
      <c r="V56" s="568"/>
      <c r="W56" s="568"/>
      <c r="X56" s="568"/>
      <c r="Y56" s="569"/>
      <c r="Z56" s="561"/>
      <c r="AA56" s="562"/>
    </row>
    <row r="57" spans="1:27" s="560" customFormat="1" x14ac:dyDescent="0.2">
      <c r="Z57" s="558"/>
      <c r="AA57" s="559"/>
    </row>
  </sheetData>
  <mergeCells count="31">
    <mergeCell ref="R1:S1"/>
    <mergeCell ref="A2:Y2"/>
    <mergeCell ref="A5:Y5"/>
    <mergeCell ref="A3:Y3"/>
    <mergeCell ref="A7:Y7"/>
    <mergeCell ref="A4:Y4"/>
    <mergeCell ref="A8:Y8"/>
    <mergeCell ref="E10:J10"/>
    <mergeCell ref="L15:Q15"/>
    <mergeCell ref="L16:Q16"/>
    <mergeCell ref="K27:L27"/>
    <mergeCell ref="C22:I24"/>
    <mergeCell ref="K22:L22"/>
    <mergeCell ref="C26:I26"/>
    <mergeCell ref="C19:G19"/>
    <mergeCell ref="K21:L21"/>
    <mergeCell ref="K32:L32"/>
    <mergeCell ref="K29:L29"/>
    <mergeCell ref="K42:L42"/>
    <mergeCell ref="C44:I45"/>
    <mergeCell ref="K44:L44"/>
    <mergeCell ref="K34:L34"/>
    <mergeCell ref="K36:L36"/>
    <mergeCell ref="K48:L48"/>
    <mergeCell ref="K50:L50"/>
    <mergeCell ref="K53:L53"/>
    <mergeCell ref="K39:L39"/>
    <mergeCell ref="Q43:W43"/>
    <mergeCell ref="K51:W51"/>
    <mergeCell ref="P53:R53"/>
    <mergeCell ref="N53:O53"/>
  </mergeCells>
  <phoneticPr fontId="5" type="noConversion"/>
  <dataValidations count="1">
    <dataValidation type="whole" operator="greaterThanOrEqual" allowBlank="1" showInputMessage="1" showErrorMessage="1" error="This cell must be positive" sqref="K27:L27 K34:L34 K36:L36 K39:L39 K22:L22 K50:L50 K29:L29 K32:L32 K42:L42 K44:L44 K48:L48 K53:L53">
      <formula1>0</formula1>
    </dataValidation>
  </dataValidations>
  <printOptions horizontalCentered="1"/>
  <pageMargins left="0.39370078740157483" right="0.39370078740157483" top="0.39370078740157483" bottom="0.39370078740157483" header="0.39370078740157483" footer="0.39370078740157483"/>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9</xdr:row>
                    <xdr:rowOff>9525</xdr:rowOff>
                  </from>
                  <to>
                    <xdr:col>16</xdr:col>
                    <xdr:colOff>581025</xdr:colOff>
                    <xdr:row>13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V87"/>
  <sheetViews>
    <sheetView showGridLines="0" zoomScale="89" zoomScaleNormal="89" zoomScaleSheetLayoutView="100" workbookViewId="0">
      <selection activeCell="O18" sqref="O18:P18"/>
    </sheetView>
  </sheetViews>
  <sheetFormatPr defaultColWidth="9.140625" defaultRowHeight="15" x14ac:dyDescent="0.2"/>
  <cols>
    <col min="1" max="2" width="1.7109375" style="24" customWidth="1"/>
    <col min="3" max="3" width="21.42578125" style="24" customWidth="1"/>
    <col min="4" max="4" width="11" style="24" customWidth="1"/>
    <col min="5" max="5" width="21.42578125" style="24" customWidth="1"/>
    <col min="6" max="6" width="3.7109375" style="24" customWidth="1"/>
    <col min="7" max="8" width="10.7109375" style="24" customWidth="1"/>
    <col min="9" max="9" width="5.5703125" style="24" customWidth="1"/>
    <col min="10" max="10" width="5.42578125" style="24" customWidth="1"/>
    <col min="11" max="12" width="10.5703125" style="24" customWidth="1"/>
    <col min="13" max="14" width="5.42578125" style="24" customWidth="1"/>
    <col min="15" max="16" width="10.7109375" style="24" customWidth="1"/>
    <col min="17" max="18" width="5.42578125" style="24" customWidth="1"/>
    <col min="19" max="19" width="9.140625" style="24"/>
    <col min="20" max="20" width="10.28515625" style="24" customWidth="1"/>
    <col min="21" max="22" width="1.7109375" style="24" customWidth="1"/>
    <col min="23" max="16384" width="9.140625" style="24"/>
  </cols>
  <sheetData>
    <row r="1" spans="1:22" x14ac:dyDescent="0.2">
      <c r="A1" s="57"/>
      <c r="B1" s="58"/>
      <c r="C1" s="58"/>
      <c r="D1" s="58"/>
      <c r="E1" s="58"/>
      <c r="F1" s="58"/>
      <c r="G1" s="58"/>
      <c r="H1" s="58"/>
      <c r="I1" s="58"/>
      <c r="J1" s="58"/>
      <c r="K1" s="58"/>
      <c r="L1" s="58"/>
      <c r="M1" s="58"/>
      <c r="N1" s="58"/>
      <c r="O1" s="58"/>
      <c r="P1" s="58"/>
      <c r="Q1" s="58"/>
      <c r="R1" s="58"/>
      <c r="S1" s="58"/>
      <c r="T1" s="52"/>
      <c r="U1" s="52"/>
      <c r="V1" s="59"/>
    </row>
    <row r="2" spans="1:22" ht="15.75" x14ac:dyDescent="0.25">
      <c r="A2" s="698" t="s">
        <v>40</v>
      </c>
      <c r="B2" s="699"/>
      <c r="C2" s="699"/>
      <c r="D2" s="699"/>
      <c r="E2" s="699"/>
      <c r="F2" s="699"/>
      <c r="G2" s="699"/>
      <c r="H2" s="699"/>
      <c r="I2" s="699"/>
      <c r="J2" s="699"/>
      <c r="K2" s="699"/>
      <c r="L2" s="699"/>
      <c r="M2" s="699"/>
      <c r="N2" s="699"/>
      <c r="O2" s="699"/>
      <c r="P2" s="699"/>
      <c r="Q2" s="699"/>
      <c r="R2" s="699"/>
      <c r="S2" s="699"/>
      <c r="T2" s="699"/>
      <c r="U2" s="699"/>
      <c r="V2" s="700"/>
    </row>
    <row r="3" spans="1:22" ht="15.75" x14ac:dyDescent="0.25">
      <c r="A3" s="672" t="s">
        <v>982</v>
      </c>
      <c r="B3" s="699"/>
      <c r="C3" s="699"/>
      <c r="D3" s="699"/>
      <c r="E3" s="699"/>
      <c r="F3" s="699"/>
      <c r="G3" s="699"/>
      <c r="H3" s="699"/>
      <c r="I3" s="699"/>
      <c r="J3" s="699"/>
      <c r="K3" s="699"/>
      <c r="L3" s="699"/>
      <c r="M3" s="699"/>
      <c r="N3" s="699"/>
      <c r="O3" s="699"/>
      <c r="P3" s="699"/>
      <c r="Q3" s="699"/>
      <c r="R3" s="699"/>
      <c r="S3" s="699"/>
      <c r="T3" s="699"/>
      <c r="U3" s="699"/>
      <c r="V3" s="700"/>
    </row>
    <row r="4" spans="1:22" ht="15.75" x14ac:dyDescent="0.25">
      <c r="A4" s="84"/>
      <c r="B4" s="78"/>
      <c r="C4" s="78"/>
      <c r="D4" s="78"/>
      <c r="E4" s="78"/>
      <c r="F4" s="78"/>
      <c r="G4" s="78"/>
      <c r="H4" s="78"/>
      <c r="I4" s="78"/>
      <c r="J4" s="78"/>
      <c r="K4" s="78"/>
      <c r="L4" s="78"/>
      <c r="M4" s="78"/>
      <c r="N4" s="78"/>
      <c r="O4" s="78"/>
      <c r="P4" s="78"/>
      <c r="Q4" s="78"/>
      <c r="R4" s="78"/>
      <c r="S4" s="78"/>
      <c r="T4" s="78"/>
      <c r="U4" s="78"/>
      <c r="V4" s="79"/>
    </row>
    <row r="5" spans="1:22" x14ac:dyDescent="0.2">
      <c r="A5" s="675"/>
      <c r="B5" s="676"/>
      <c r="C5" s="676"/>
      <c r="D5" s="676"/>
      <c r="E5" s="676"/>
      <c r="F5" s="676"/>
      <c r="G5" s="676"/>
      <c r="H5" s="676"/>
      <c r="I5" s="676"/>
      <c r="J5" s="676"/>
      <c r="K5" s="676"/>
      <c r="L5" s="676"/>
      <c r="M5" s="676"/>
      <c r="N5" s="676"/>
      <c r="O5" s="676"/>
      <c r="P5" s="676"/>
      <c r="Q5" s="676"/>
      <c r="R5" s="676"/>
      <c r="S5" s="676"/>
      <c r="T5" s="676"/>
      <c r="U5" s="676"/>
      <c r="V5" s="677"/>
    </row>
    <row r="6" spans="1:22" x14ac:dyDescent="0.2">
      <c r="A6" s="77"/>
      <c r="B6" s="78"/>
      <c r="C6" s="78"/>
      <c r="D6" s="78"/>
      <c r="E6" s="78"/>
      <c r="F6" s="78"/>
      <c r="G6" s="78"/>
      <c r="H6" s="78"/>
      <c r="I6" s="78"/>
      <c r="J6" s="78"/>
      <c r="K6" s="78"/>
      <c r="L6" s="78"/>
      <c r="M6" s="78"/>
      <c r="N6" s="78"/>
      <c r="O6" s="78"/>
      <c r="P6" s="78"/>
      <c r="Q6" s="78"/>
      <c r="R6" s="78"/>
      <c r="S6" s="78"/>
      <c r="T6" s="78"/>
      <c r="U6" s="78"/>
      <c r="V6" s="79"/>
    </row>
    <row r="7" spans="1:22" x14ac:dyDescent="0.2">
      <c r="A7" s="675"/>
      <c r="B7" s="676"/>
      <c r="C7" s="676"/>
      <c r="D7" s="676"/>
      <c r="E7" s="676"/>
      <c r="F7" s="676"/>
      <c r="G7" s="676"/>
      <c r="H7" s="676"/>
      <c r="I7" s="676"/>
      <c r="J7" s="676"/>
      <c r="K7" s="676"/>
      <c r="L7" s="676"/>
      <c r="M7" s="676"/>
      <c r="N7" s="676"/>
      <c r="O7" s="676"/>
      <c r="P7" s="676"/>
      <c r="Q7" s="676"/>
      <c r="R7" s="676"/>
      <c r="S7" s="676"/>
      <c r="T7" s="676"/>
      <c r="U7" s="676"/>
      <c r="V7" s="677"/>
    </row>
    <row r="8" spans="1:22" ht="15.75" thickBot="1" x14ac:dyDescent="0.25">
      <c r="A8" s="60"/>
      <c r="B8" s="61"/>
      <c r="C8" s="61"/>
      <c r="D8" s="61"/>
      <c r="E8" s="61"/>
      <c r="F8" s="61"/>
      <c r="G8" s="61"/>
      <c r="H8" s="61"/>
      <c r="I8" s="61"/>
      <c r="J8" s="61"/>
      <c r="K8" s="61"/>
      <c r="L8" s="61"/>
      <c r="M8" s="61"/>
      <c r="N8" s="61"/>
      <c r="O8" s="61"/>
      <c r="P8" s="61"/>
      <c r="Q8" s="61"/>
      <c r="R8" s="61"/>
      <c r="S8" s="592"/>
      <c r="T8" s="590"/>
      <c r="U8" s="51"/>
      <c r="V8" s="62"/>
    </row>
    <row r="9" spans="1:22" ht="15.75" customHeight="1" x14ac:dyDescent="0.2">
      <c r="A9" s="14"/>
      <c r="B9" s="2"/>
      <c r="C9" s="702"/>
      <c r="D9" s="702"/>
      <c r="E9" s="702"/>
      <c r="F9" s="702"/>
      <c r="G9" s="702"/>
      <c r="H9" s="2"/>
      <c r="I9" s="2"/>
      <c r="J9" s="2"/>
      <c r="K9" s="2"/>
      <c r="L9" s="2"/>
      <c r="M9" s="2"/>
      <c r="N9" s="2"/>
      <c r="O9" s="2"/>
      <c r="P9" s="2"/>
      <c r="Q9" s="2"/>
      <c r="R9" s="2"/>
      <c r="S9" s="2"/>
      <c r="T9" s="2"/>
      <c r="U9" s="2"/>
      <c r="V9" s="47"/>
    </row>
    <row r="10" spans="1:22" ht="18" x14ac:dyDescent="0.25">
      <c r="A10" s="32"/>
      <c r="B10" s="18"/>
      <c r="C10" s="501" t="str">
        <f>+CONCATENATE("Local Authority : ",+'Part 1'!$L$15)</f>
        <v>Local Authority : England</v>
      </c>
      <c r="D10" s="63"/>
      <c r="E10" s="503"/>
      <c r="F10" s="503"/>
      <c r="G10" s="503"/>
      <c r="H10" s="18"/>
      <c r="I10" s="18"/>
      <c r="J10" s="18"/>
      <c r="K10" s="18"/>
      <c r="L10" s="18"/>
      <c r="M10" s="18"/>
      <c r="N10" s="18"/>
      <c r="O10" s="18"/>
      <c r="P10" s="18"/>
      <c r="Q10" s="18"/>
      <c r="R10" s="18"/>
      <c r="S10" s="18"/>
      <c r="T10" s="18"/>
      <c r="U10" s="18"/>
      <c r="V10" s="19"/>
    </row>
    <row r="11" spans="1:22" ht="15.75" x14ac:dyDescent="0.25">
      <c r="A11" s="28"/>
      <c r="B11" s="503"/>
      <c r="C11" s="503"/>
      <c r="D11" s="503"/>
      <c r="E11" s="29"/>
      <c r="F11" s="31"/>
      <c r="G11" s="31"/>
      <c r="H11" s="31"/>
      <c r="I11" s="31"/>
      <c r="J11" s="18"/>
      <c r="K11" s="18"/>
      <c r="L11" s="18"/>
      <c r="M11" s="18"/>
      <c r="N11" s="18"/>
      <c r="O11" s="18"/>
      <c r="P11" s="18"/>
      <c r="Q11" s="18"/>
      <c r="R11" s="18"/>
      <c r="S11" s="18"/>
      <c r="T11" s="18"/>
      <c r="U11" s="18"/>
      <c r="V11" s="19"/>
    </row>
    <row r="12" spans="1:22" ht="15.75" x14ac:dyDescent="0.25">
      <c r="A12" s="28"/>
      <c r="B12" s="503"/>
      <c r="C12" s="503" t="s">
        <v>0</v>
      </c>
      <c r="D12" s="503"/>
      <c r="E12" s="29"/>
      <c r="F12" s="31"/>
      <c r="G12" s="31"/>
      <c r="H12" s="31"/>
      <c r="I12" s="31"/>
      <c r="J12" s="18"/>
      <c r="K12" s="18"/>
      <c r="L12" s="18"/>
      <c r="M12" s="18"/>
      <c r="N12" s="18"/>
      <c r="O12" s="18"/>
      <c r="P12" s="18"/>
      <c r="Q12" s="18"/>
      <c r="R12" s="18"/>
      <c r="S12" s="18"/>
      <c r="T12" s="18"/>
      <c r="U12" s="18"/>
      <c r="V12" s="19"/>
    </row>
    <row r="13" spans="1:22" ht="15.75" x14ac:dyDescent="0.2">
      <c r="A13" s="30"/>
      <c r="B13" s="29"/>
      <c r="C13" s="717"/>
      <c r="D13" s="717"/>
      <c r="E13" s="717"/>
      <c r="F13" s="717"/>
      <c r="G13" s="717"/>
      <c r="H13" s="717"/>
      <c r="I13" s="498"/>
      <c r="J13" s="498"/>
      <c r="K13" s="709" t="s">
        <v>23</v>
      </c>
      <c r="L13" s="710"/>
      <c r="M13" s="53"/>
      <c r="N13" s="53"/>
      <c r="O13" s="709" t="s">
        <v>24</v>
      </c>
      <c r="P13" s="710"/>
      <c r="Q13" s="18"/>
      <c r="R13" s="18"/>
      <c r="S13" s="709" t="s">
        <v>25</v>
      </c>
      <c r="T13" s="710"/>
      <c r="U13" s="53"/>
      <c r="V13" s="19"/>
    </row>
    <row r="14" spans="1:22" ht="15.75" customHeight="1" x14ac:dyDescent="0.25">
      <c r="A14" s="30"/>
      <c r="B14" s="29"/>
      <c r="C14" s="29"/>
      <c r="D14" s="29"/>
      <c r="E14" s="29"/>
      <c r="F14" s="29"/>
      <c r="G14" s="711"/>
      <c r="H14" s="712"/>
      <c r="I14" s="500"/>
      <c r="J14" s="496"/>
      <c r="K14" s="716" t="s">
        <v>54</v>
      </c>
      <c r="L14" s="716"/>
      <c r="M14" s="50"/>
      <c r="N14" s="50"/>
      <c r="O14" s="711" t="s">
        <v>52</v>
      </c>
      <c r="P14" s="711"/>
      <c r="Q14" s="18"/>
      <c r="R14" s="50"/>
      <c r="S14" s="711" t="s">
        <v>945</v>
      </c>
      <c r="T14" s="712"/>
      <c r="U14" s="50"/>
      <c r="V14" s="19"/>
    </row>
    <row r="15" spans="1:22" ht="15.75" x14ac:dyDescent="0.25">
      <c r="A15" s="30"/>
      <c r="B15" s="29"/>
      <c r="C15" s="29"/>
      <c r="D15" s="29"/>
      <c r="E15" s="29"/>
      <c r="F15" s="29"/>
      <c r="G15" s="713"/>
      <c r="H15" s="713"/>
      <c r="I15" s="500"/>
      <c r="J15" s="496"/>
      <c r="K15" s="716"/>
      <c r="L15" s="716"/>
      <c r="M15" s="50"/>
      <c r="N15" s="50"/>
      <c r="O15" s="711"/>
      <c r="P15" s="711"/>
      <c r="Q15" s="18"/>
      <c r="R15" s="18"/>
      <c r="S15" s="712"/>
      <c r="T15" s="712"/>
      <c r="U15" s="18"/>
      <c r="V15" s="19"/>
    </row>
    <row r="16" spans="1:22" ht="30" customHeight="1" x14ac:dyDescent="0.25">
      <c r="A16" s="30"/>
      <c r="B16" s="29"/>
      <c r="C16" s="29"/>
      <c r="D16" s="29"/>
      <c r="E16" s="29"/>
      <c r="F16" s="29"/>
      <c r="G16" s="708"/>
      <c r="H16" s="708"/>
      <c r="I16" s="500"/>
      <c r="J16" s="496"/>
      <c r="K16" s="724"/>
      <c r="L16" s="724"/>
      <c r="M16" s="29"/>
      <c r="N16" s="29"/>
      <c r="O16" s="724"/>
      <c r="P16" s="724"/>
      <c r="Q16" s="29"/>
      <c r="R16" s="725"/>
      <c r="S16" s="725"/>
      <c r="T16" s="725"/>
      <c r="U16" s="725"/>
      <c r="V16" s="19"/>
    </row>
    <row r="17" spans="1:22" ht="16.5" thickBot="1" x14ac:dyDescent="0.3">
      <c r="A17" s="30"/>
      <c r="B17" s="495" t="s">
        <v>63</v>
      </c>
      <c r="C17" s="29"/>
      <c r="D17" s="137"/>
      <c r="E17" s="49"/>
      <c r="F17" s="29"/>
      <c r="G17" s="708"/>
      <c r="H17" s="708"/>
      <c r="I17" s="500"/>
      <c r="J17" s="18"/>
      <c r="K17" s="726" t="s">
        <v>20</v>
      </c>
      <c r="L17" s="726"/>
      <c r="M17" s="18"/>
      <c r="N17" s="18"/>
      <c r="O17" s="708" t="s">
        <v>20</v>
      </c>
      <c r="P17" s="708"/>
      <c r="Q17" s="18"/>
      <c r="R17" s="324"/>
      <c r="S17" s="701" t="s">
        <v>20</v>
      </c>
      <c r="T17" s="701"/>
      <c r="U17" s="324"/>
      <c r="V17" s="19"/>
    </row>
    <row r="18" spans="1:22" ht="16.5" thickBot="1" x14ac:dyDescent="0.3">
      <c r="A18" s="30"/>
      <c r="B18" s="29"/>
      <c r="C18" s="703" t="s">
        <v>974</v>
      </c>
      <c r="D18" s="703"/>
      <c r="E18" s="703"/>
      <c r="F18" s="29"/>
      <c r="G18" s="707"/>
      <c r="H18" s="707"/>
      <c r="I18" s="500"/>
      <c r="J18" s="54"/>
      <c r="K18" s="684">
        <f>VLOOKUP('Part 1'!$L$16,Datasheet2!$B$6:$AW$332,3,FALSE)</f>
        <v>23136744103</v>
      </c>
      <c r="L18" s="685"/>
      <c r="M18" s="73"/>
      <c r="N18" s="73"/>
      <c r="O18" s="684">
        <f>VLOOKUP('Part 1'!$L$16,Datasheet2!$B$6:$AW$332,4,FALSE)</f>
        <v>111039778</v>
      </c>
      <c r="P18" s="685"/>
      <c r="Q18" s="18"/>
      <c r="R18" s="322"/>
      <c r="S18" s="705">
        <f>VLOOKUP('Part 1'!$L$16,Datasheet2!$B$6:$AW$332,5,FALSE)</f>
        <v>23247783881</v>
      </c>
      <c r="T18" s="706"/>
      <c r="U18" s="324"/>
      <c r="V18" s="19"/>
    </row>
    <row r="19" spans="1:22" x14ac:dyDescent="0.2">
      <c r="A19" s="30"/>
      <c r="B19" s="29"/>
      <c r="C19" s="703"/>
      <c r="D19" s="703"/>
      <c r="E19" s="703"/>
      <c r="F19" s="29"/>
      <c r="G19" s="124"/>
      <c r="H19" s="124"/>
      <c r="I19" s="54"/>
      <c r="J19" s="54"/>
      <c r="K19" s="437"/>
      <c r="L19" s="437"/>
      <c r="M19" s="437"/>
      <c r="N19" s="437"/>
      <c r="O19" s="437"/>
      <c r="P19" s="437"/>
      <c r="Q19" s="510"/>
      <c r="R19" s="438"/>
      <c r="S19" s="438"/>
      <c r="T19" s="438"/>
      <c r="U19" s="324"/>
      <c r="V19" s="19"/>
    </row>
    <row r="20" spans="1:22" x14ac:dyDescent="0.2">
      <c r="A20" s="30"/>
      <c r="B20" s="29"/>
      <c r="C20" s="704"/>
      <c r="D20" s="704"/>
      <c r="E20" s="704"/>
      <c r="F20" s="29"/>
      <c r="G20" s="124"/>
      <c r="H20" s="124"/>
      <c r="I20" s="54"/>
      <c r="J20" s="54"/>
      <c r="K20" s="437"/>
      <c r="L20" s="437"/>
      <c r="M20" s="437"/>
      <c r="N20" s="437"/>
      <c r="O20" s="437"/>
      <c r="P20" s="437"/>
      <c r="Q20" s="437"/>
      <c r="R20" s="438"/>
      <c r="S20" s="438"/>
      <c r="T20" s="438"/>
      <c r="U20" s="324"/>
      <c r="V20" s="19"/>
    </row>
    <row r="21" spans="1:22" x14ac:dyDescent="0.2">
      <c r="A21" s="30"/>
      <c r="B21" s="29"/>
      <c r="C21" s="146"/>
      <c r="D21" s="146"/>
      <c r="E21" s="146"/>
      <c r="F21" s="149"/>
      <c r="G21" s="124"/>
      <c r="H21" s="124"/>
      <c r="I21" s="54"/>
      <c r="J21" s="54"/>
      <c r="K21" s="437"/>
      <c r="L21" s="437"/>
      <c r="M21" s="437"/>
      <c r="N21" s="437"/>
      <c r="O21" s="437"/>
      <c r="P21" s="437"/>
      <c r="Q21" s="437"/>
      <c r="R21" s="438"/>
      <c r="S21" s="438"/>
      <c r="T21" s="438"/>
      <c r="U21" s="324"/>
      <c r="V21" s="19"/>
    </row>
    <row r="22" spans="1:22" ht="15" customHeight="1" thickBot="1" x14ac:dyDescent="0.25">
      <c r="A22" s="30"/>
      <c r="B22" s="714" t="s">
        <v>85</v>
      </c>
      <c r="C22" s="714"/>
      <c r="D22" s="146"/>
      <c r="E22" s="146"/>
      <c r="F22" s="149"/>
      <c r="G22" s="124"/>
      <c r="H22" s="124"/>
      <c r="I22" s="54"/>
      <c r="J22" s="54"/>
      <c r="K22" s="437"/>
      <c r="L22" s="437"/>
      <c r="M22" s="437"/>
      <c r="N22" s="437"/>
      <c r="O22" s="437"/>
      <c r="P22" s="437"/>
      <c r="Q22" s="437"/>
      <c r="R22" s="438"/>
      <c r="S22" s="438"/>
      <c r="T22" s="438"/>
      <c r="U22" s="324"/>
      <c r="V22" s="19"/>
    </row>
    <row r="23" spans="1:22" ht="16.5" thickBot="1" x14ac:dyDescent="0.25">
      <c r="A23" s="30"/>
      <c r="B23" s="29"/>
      <c r="C23" s="715" t="s">
        <v>975</v>
      </c>
      <c r="D23" s="715"/>
      <c r="E23" s="715"/>
      <c r="F23" s="149"/>
      <c r="G23" s="707"/>
      <c r="H23" s="707"/>
      <c r="I23" s="54"/>
      <c r="J23" s="54"/>
      <c r="K23" s="684">
        <f>VLOOKUP('Part 1'!$L$16,Datasheet2!$B$6:$AW$332,6,FALSE)</f>
        <v>-3720380</v>
      </c>
      <c r="L23" s="685"/>
      <c r="M23" s="73"/>
      <c r="N23" s="73"/>
      <c r="O23" s="684">
        <f>VLOOKUP('Part 1'!$L$16,Datasheet2!$B$6:$AW$332,7,FALSE)</f>
        <v>0</v>
      </c>
      <c r="P23" s="685"/>
      <c r="Q23" s="18"/>
      <c r="R23" s="322"/>
      <c r="S23" s="705">
        <f>VLOOKUP('Part 1'!$L$16,Datasheet2!$B$6:$AW$332,8,FALSE)</f>
        <v>-3720380</v>
      </c>
      <c r="T23" s="706"/>
      <c r="U23" s="324"/>
      <c r="V23" s="19"/>
    </row>
    <row r="24" spans="1:22" x14ac:dyDescent="0.2">
      <c r="A24" s="30"/>
      <c r="B24" s="29"/>
      <c r="C24" s="146"/>
      <c r="D24" s="146"/>
      <c r="E24" s="146"/>
      <c r="F24" s="149"/>
      <c r="G24" s="124"/>
      <c r="H24" s="124"/>
      <c r="I24" s="54"/>
      <c r="J24" s="54"/>
      <c r="K24" s="437"/>
      <c r="L24" s="437"/>
      <c r="M24" s="437"/>
      <c r="N24" s="437"/>
      <c r="O24" s="437"/>
      <c r="P24" s="437"/>
      <c r="Q24" s="437"/>
      <c r="R24" s="438"/>
      <c r="S24" s="438"/>
      <c r="T24" s="438"/>
      <c r="U24" s="324"/>
      <c r="V24" s="19"/>
    </row>
    <row r="25" spans="1:22" ht="15.75" x14ac:dyDescent="0.2">
      <c r="A25" s="30"/>
      <c r="B25" s="494" t="s">
        <v>65</v>
      </c>
      <c r="C25" s="146"/>
      <c r="D25" s="49"/>
      <c r="E25" s="49"/>
      <c r="F25" s="29"/>
      <c r="G25" s="124"/>
      <c r="H25" s="124"/>
      <c r="I25" s="54"/>
      <c r="J25" s="54"/>
      <c r="K25" s="437"/>
      <c r="L25" s="437"/>
      <c r="M25" s="437"/>
      <c r="N25" s="437"/>
      <c r="O25" s="437"/>
      <c r="P25" s="437"/>
      <c r="Q25" s="437"/>
      <c r="R25" s="438"/>
      <c r="S25" s="438"/>
      <c r="T25" s="438"/>
      <c r="U25" s="324"/>
      <c r="V25" s="19"/>
    </row>
    <row r="26" spans="1:22" ht="14.25" customHeight="1" thickBot="1" x14ac:dyDescent="0.3">
      <c r="A26" s="30"/>
      <c r="B26" s="31"/>
      <c r="C26" s="494" t="s">
        <v>66</v>
      </c>
      <c r="D26" s="148"/>
      <c r="E26" s="49"/>
      <c r="F26" s="29"/>
      <c r="G26" s="124"/>
      <c r="H26" s="124"/>
      <c r="I26" s="54"/>
      <c r="J26" s="54"/>
      <c r="K26" s="437"/>
      <c r="L26" s="437"/>
      <c r="M26" s="437"/>
      <c r="N26" s="437"/>
      <c r="O26" s="437"/>
      <c r="P26" s="437"/>
      <c r="Q26" s="437"/>
      <c r="R26" s="438"/>
      <c r="S26" s="438"/>
      <c r="T26" s="438"/>
      <c r="U26" s="324"/>
      <c r="V26" s="19"/>
    </row>
    <row r="27" spans="1:22" ht="16.5" thickBot="1" x14ac:dyDescent="0.25">
      <c r="A27" s="30"/>
      <c r="B27" s="457"/>
      <c r="C27" s="581" t="s">
        <v>1070</v>
      </c>
      <c r="D27" s="582"/>
      <c r="E27" s="581"/>
      <c r="F27" s="583"/>
      <c r="G27" s="584"/>
      <c r="H27" s="584"/>
      <c r="I27" s="584"/>
      <c r="J27" s="584"/>
      <c r="K27" s="684">
        <f>VLOOKUP('Part 1'!$L$16,Datasheet2!$B$6:$AW$332,9,FALSE)</f>
        <v>-184629411.49000001</v>
      </c>
      <c r="L27" s="685"/>
      <c r="M27" s="585"/>
      <c r="N27" s="585"/>
      <c r="O27" s="684">
        <f>VLOOKUP('Part 1'!$L$16,Datasheet2!$B$6:$AW$332,10,FALSE)</f>
        <v>-245432</v>
      </c>
      <c r="P27" s="685"/>
      <c r="Q27" s="585"/>
      <c r="R27" s="322"/>
      <c r="S27" s="705">
        <f>VLOOKUP('Part 1'!$L$16,Datasheet2!$B$6:$AW$332,11,FALSE)</f>
        <v>-184874843.49000001</v>
      </c>
      <c r="T27" s="706"/>
      <c r="U27" s="338">
        <f>+S27</f>
        <v>-184874843.49000001</v>
      </c>
      <c r="V27" s="19"/>
    </row>
    <row r="28" spans="1:22" ht="16.5" thickBot="1" x14ac:dyDescent="0.25">
      <c r="A28" s="30"/>
      <c r="B28" s="29"/>
      <c r="C28" s="74"/>
      <c r="D28" s="136"/>
      <c r="E28" s="136"/>
      <c r="F28" s="149"/>
      <c r="G28" s="570"/>
      <c r="H28" s="570"/>
      <c r="I28" s="570"/>
      <c r="J28" s="124"/>
      <c r="K28" s="508"/>
      <c r="L28" s="508"/>
      <c r="M28" s="508"/>
      <c r="N28" s="508"/>
      <c r="O28" s="508"/>
      <c r="P28" s="508"/>
      <c r="Q28" s="507"/>
      <c r="R28" s="438"/>
      <c r="S28" s="509"/>
      <c r="T28" s="438"/>
      <c r="U28" s="339"/>
      <c r="V28" s="19"/>
    </row>
    <row r="29" spans="1:22" ht="16.5" thickBot="1" x14ac:dyDescent="0.25">
      <c r="A29" s="30"/>
      <c r="B29" s="29"/>
      <c r="C29" s="658" t="s">
        <v>1071</v>
      </c>
      <c r="D29" s="704"/>
      <c r="E29" s="704"/>
      <c r="F29" s="720"/>
      <c r="G29" s="720"/>
      <c r="H29" s="397"/>
      <c r="I29" s="497"/>
      <c r="J29" s="54"/>
      <c r="K29" s="684">
        <f>VLOOKUP('Part 1'!$L$16,Datasheet2!$B$6:$AW$332,12,FALSE)</f>
        <v>-29882780.550000001</v>
      </c>
      <c r="L29" s="685"/>
      <c r="M29" s="73"/>
      <c r="N29" s="73"/>
      <c r="O29" s="684">
        <f>VLOOKUP('Part 1'!$L$16,Datasheet2!$B$6:$AW$332,13,FALSE)</f>
        <v>-67543</v>
      </c>
      <c r="P29" s="685"/>
      <c r="Q29" s="18"/>
      <c r="R29" s="322"/>
      <c r="S29" s="705">
        <f>VLOOKUP('Part 1'!$L$16,Datasheet2!$B$6:$AW$332,14,FALSE)</f>
        <v>-29950323.550000001</v>
      </c>
      <c r="T29" s="706"/>
      <c r="U29" s="324"/>
      <c r="V29" s="19"/>
    </row>
    <row r="30" spans="1:22" ht="15.75" x14ac:dyDescent="0.2">
      <c r="A30" s="30"/>
      <c r="B30" s="29"/>
      <c r="C30" s="704"/>
      <c r="D30" s="704"/>
      <c r="E30" s="704"/>
      <c r="F30" s="720"/>
      <c r="G30" s="720"/>
      <c r="H30" s="397"/>
      <c r="I30" s="497"/>
      <c r="J30" s="54"/>
      <c r="K30" s="507"/>
      <c r="L30" s="437"/>
      <c r="M30" s="507"/>
      <c r="N30" s="508"/>
      <c r="O30" s="508"/>
      <c r="P30" s="508"/>
      <c r="Q30" s="437"/>
      <c r="R30" s="438"/>
      <c r="S30" s="509"/>
      <c r="T30" s="438"/>
      <c r="U30" s="324"/>
      <c r="V30" s="19"/>
    </row>
    <row r="31" spans="1:22" ht="16.5" thickBot="1" x14ac:dyDescent="0.25">
      <c r="A31" s="30"/>
      <c r="B31" s="29"/>
      <c r="C31" s="136"/>
      <c r="D31" s="136"/>
      <c r="E31" s="136"/>
      <c r="F31" s="149"/>
      <c r="G31" s="124"/>
      <c r="H31" s="124"/>
      <c r="I31" s="497"/>
      <c r="J31" s="124"/>
      <c r="K31" s="508"/>
      <c r="L31" s="508"/>
      <c r="M31" s="508"/>
      <c r="N31" s="508"/>
      <c r="O31" s="508"/>
      <c r="P31" s="508"/>
      <c r="Q31" s="507"/>
      <c r="R31" s="438"/>
      <c r="S31" s="438"/>
      <c r="T31" s="438"/>
      <c r="U31" s="324"/>
      <c r="V31" s="19"/>
    </row>
    <row r="32" spans="1:22" ht="16.5" customHeight="1" thickBot="1" x14ac:dyDescent="0.25">
      <c r="A32" s="30"/>
      <c r="B32" s="29"/>
      <c r="C32" s="74" t="s">
        <v>1072</v>
      </c>
      <c r="D32" s="136"/>
      <c r="E32" s="49"/>
      <c r="F32" s="29"/>
      <c r="G32" s="707"/>
      <c r="H32" s="707"/>
      <c r="I32" s="497"/>
      <c r="J32" s="54"/>
      <c r="K32" s="684">
        <f>VLOOKUP('Part 1'!$L$16,Datasheet2!$B$6:$AW$332,15,FALSE)</f>
        <v>-198158364.13</v>
      </c>
      <c r="L32" s="685"/>
      <c r="M32" s="73"/>
      <c r="N32" s="73"/>
      <c r="O32" s="684">
        <f>VLOOKUP('Part 1'!$L$16,Datasheet2!$B$6:$AW$332,16,FALSE)</f>
        <v>-250807</v>
      </c>
      <c r="P32" s="685"/>
      <c r="Q32" s="18"/>
      <c r="R32" s="322"/>
      <c r="S32" s="705">
        <f>VLOOKUP('Part 1'!$L$16,Datasheet2!$B$6:$AW$332,17,FALSE)</f>
        <v>-198409171.13</v>
      </c>
      <c r="T32" s="706"/>
      <c r="U32" s="339"/>
      <c r="V32" s="19"/>
    </row>
    <row r="33" spans="1:22" ht="15.75" x14ac:dyDescent="0.2">
      <c r="A33" s="30"/>
      <c r="B33" s="29"/>
      <c r="C33" s="49"/>
      <c r="D33" s="136"/>
      <c r="E33" s="49"/>
      <c r="F33" s="29"/>
      <c r="G33" s="497"/>
      <c r="H33" s="497"/>
      <c r="I33" s="497"/>
      <c r="J33" s="54"/>
      <c r="K33" s="437"/>
      <c r="L33" s="437"/>
      <c r="M33" s="437"/>
      <c r="N33" s="437"/>
      <c r="O33" s="437"/>
      <c r="P33" s="437"/>
      <c r="Q33" s="507"/>
      <c r="R33" s="438"/>
      <c r="S33" s="509"/>
      <c r="T33" s="438"/>
      <c r="U33" s="339"/>
      <c r="V33" s="19"/>
    </row>
    <row r="34" spans="1:22" ht="16.5" thickBot="1" x14ac:dyDescent="0.25">
      <c r="A34" s="30"/>
      <c r="B34" s="29"/>
      <c r="C34" s="494" t="s">
        <v>67</v>
      </c>
      <c r="D34" s="148"/>
      <c r="E34" s="49"/>
      <c r="F34" s="29"/>
      <c r="G34" s="124"/>
      <c r="H34" s="124"/>
      <c r="I34" s="497"/>
      <c r="J34" s="54"/>
      <c r="K34" s="437"/>
      <c r="L34" s="437"/>
      <c r="M34" s="437"/>
      <c r="N34" s="437"/>
      <c r="O34" s="437"/>
      <c r="P34" s="437"/>
      <c r="Q34" s="507"/>
      <c r="R34" s="438"/>
      <c r="S34" s="438"/>
      <c r="T34" s="438"/>
      <c r="U34" s="339"/>
      <c r="V34" s="19"/>
    </row>
    <row r="35" spans="1:22" ht="16.5" thickBot="1" x14ac:dyDescent="0.25">
      <c r="A35" s="30"/>
      <c r="B35" s="29"/>
      <c r="C35" s="74" t="s">
        <v>1073</v>
      </c>
      <c r="D35" s="148"/>
      <c r="E35" s="49"/>
      <c r="F35" s="29"/>
      <c r="G35" s="397"/>
      <c r="H35" s="397"/>
      <c r="I35" s="497"/>
      <c r="J35" s="54"/>
      <c r="K35" s="684">
        <f>VLOOKUP('Part 1'!$L$16,Datasheet2!$B$6:$AW$332,18,FALSE)</f>
        <v>760576667.71000004</v>
      </c>
      <c r="L35" s="685"/>
      <c r="M35" s="73"/>
      <c r="N35" s="73"/>
      <c r="O35" s="684">
        <f>VLOOKUP('Part 1'!$L$16,Datasheet2!$B$6:$AW$332,19,FALSE)</f>
        <v>2863812</v>
      </c>
      <c r="P35" s="685"/>
      <c r="Q35" s="18"/>
      <c r="R35" s="322"/>
      <c r="S35" s="705">
        <f>VLOOKUP('Part 1'!$L$16,Datasheet2!$B$6:$AW$332,20,FALSE)</f>
        <v>763440479.71000004</v>
      </c>
      <c r="T35" s="706"/>
      <c r="U35" s="339"/>
      <c r="V35" s="19"/>
    </row>
    <row r="36" spans="1:22" ht="16.5" thickBot="1" x14ac:dyDescent="0.25">
      <c r="A36" s="30"/>
      <c r="B36" s="29"/>
      <c r="C36" s="74"/>
      <c r="D36" s="148"/>
      <c r="E36" s="49"/>
      <c r="F36" s="29"/>
      <c r="G36" s="124"/>
      <c r="H36" s="124"/>
      <c r="I36" s="497"/>
      <c r="J36" s="54"/>
      <c r="K36" s="437"/>
      <c r="L36" s="437"/>
      <c r="M36" s="437"/>
      <c r="N36" s="437"/>
      <c r="O36" s="437"/>
      <c r="P36" s="437"/>
      <c r="Q36" s="507"/>
      <c r="R36" s="438"/>
      <c r="S36" s="438"/>
      <c r="T36" s="438"/>
      <c r="U36" s="339"/>
      <c r="V36" s="19"/>
    </row>
    <row r="37" spans="1:22" ht="16.5" thickBot="1" x14ac:dyDescent="0.25">
      <c r="A37" s="30"/>
      <c r="B37" s="29"/>
      <c r="C37" s="74" t="s">
        <v>1074</v>
      </c>
      <c r="D37" s="136"/>
      <c r="E37" s="49"/>
      <c r="F37" s="29"/>
      <c r="G37" s="707"/>
      <c r="H37" s="707"/>
      <c r="I37" s="497"/>
      <c r="J37" s="54"/>
      <c r="K37" s="684">
        <f>VLOOKUP('Part 1'!$L$16,Datasheet2!$B$6:$AW$332,21,FALSE)</f>
        <v>-1044818372.25</v>
      </c>
      <c r="L37" s="685"/>
      <c r="M37" s="73"/>
      <c r="N37" s="73"/>
      <c r="O37" s="684">
        <f>VLOOKUP('Part 1'!$L$16,Datasheet2!$B$6:$AW$332,22,FALSE)</f>
        <v>-5821392</v>
      </c>
      <c r="P37" s="685"/>
      <c r="Q37" s="18"/>
      <c r="R37" s="322"/>
      <c r="S37" s="705">
        <f>VLOOKUP('Part 1'!$L$16,Datasheet2!$B$6:$AW$332,23,FALSE)</f>
        <v>-1050639764.25</v>
      </c>
      <c r="T37" s="706"/>
      <c r="U37" s="339"/>
      <c r="V37" s="19"/>
    </row>
    <row r="38" spans="1:22" ht="16.5" thickBot="1" x14ac:dyDescent="0.25">
      <c r="A38" s="30"/>
      <c r="B38" s="29"/>
      <c r="C38" s="49"/>
      <c r="D38" s="49"/>
      <c r="E38" s="49"/>
      <c r="F38" s="29"/>
      <c r="G38" s="497"/>
      <c r="H38" s="497"/>
      <c r="I38" s="55"/>
      <c r="J38" s="54"/>
      <c r="K38" s="437"/>
      <c r="L38" s="437"/>
      <c r="M38" s="437"/>
      <c r="N38" s="437"/>
      <c r="O38" s="544"/>
      <c r="P38" s="544"/>
      <c r="Q38" s="507"/>
      <c r="R38" s="438"/>
      <c r="S38" s="509"/>
      <c r="T38" s="438"/>
      <c r="U38" s="339"/>
      <c r="V38" s="19"/>
    </row>
    <row r="39" spans="1:22" ht="15.75" x14ac:dyDescent="0.2">
      <c r="A39" s="30"/>
      <c r="B39" s="87"/>
      <c r="C39" s="138"/>
      <c r="D39" s="138"/>
      <c r="E39" s="138"/>
      <c r="F39" s="88"/>
      <c r="G39" s="205"/>
      <c r="H39" s="205"/>
      <c r="I39" s="89"/>
      <c r="J39" s="90"/>
      <c r="K39" s="547"/>
      <c r="L39" s="547"/>
      <c r="M39" s="547"/>
      <c r="N39" s="547"/>
      <c r="O39" s="548"/>
      <c r="P39" s="548"/>
      <c r="Q39" s="548"/>
      <c r="R39" s="549"/>
      <c r="S39" s="550"/>
      <c r="T39" s="549"/>
      <c r="U39" s="340"/>
      <c r="V39" s="19"/>
    </row>
    <row r="40" spans="1:22" ht="16.5" thickBot="1" x14ac:dyDescent="0.25">
      <c r="A40" s="30"/>
      <c r="B40" s="91"/>
      <c r="C40" s="494" t="s">
        <v>64</v>
      </c>
      <c r="D40" s="49"/>
      <c r="E40" s="49"/>
      <c r="F40" s="29"/>
      <c r="G40" s="124"/>
      <c r="H40" s="124"/>
      <c r="I40" s="54"/>
      <c r="J40" s="54"/>
      <c r="K40" s="437"/>
      <c r="L40" s="437"/>
      <c r="M40" s="437"/>
      <c r="N40" s="437"/>
      <c r="O40" s="437"/>
      <c r="P40" s="437"/>
      <c r="Q40" s="437"/>
      <c r="R40" s="438"/>
      <c r="S40" s="438"/>
      <c r="T40" s="438"/>
      <c r="U40" s="341"/>
      <c r="V40" s="19"/>
    </row>
    <row r="41" spans="1:22" ht="16.5" thickBot="1" x14ac:dyDescent="0.3">
      <c r="A41" s="30"/>
      <c r="B41" s="92"/>
      <c r="C41" s="74" t="s">
        <v>1075</v>
      </c>
      <c r="D41" s="49"/>
      <c r="E41" s="49"/>
      <c r="F41" s="29"/>
      <c r="G41" s="721"/>
      <c r="H41" s="722"/>
      <c r="I41" s="497"/>
      <c r="J41" s="54"/>
      <c r="K41" s="684">
        <f>VLOOKUP('Part 1'!$L$16,Datasheet2!$B$6:$AW$332,24,FALSE)</f>
        <v>22620740873.779999</v>
      </c>
      <c r="L41" s="685"/>
      <c r="M41" s="437"/>
      <c r="N41" s="437"/>
      <c r="O41" s="684">
        <f>VLOOKUP('Part 1'!$L$16,Datasheet2!$B$6:$AW$332,25,FALSE)</f>
        <v>107763848</v>
      </c>
      <c r="P41" s="685"/>
      <c r="Q41" s="437"/>
      <c r="R41" s="438"/>
      <c r="S41" s="705">
        <f>VLOOKUP('Part 1'!$L$16,Datasheet2!$B$6:$AW$332,26,FALSE)</f>
        <v>22728504721.779999</v>
      </c>
      <c r="T41" s="706"/>
      <c r="U41" s="342"/>
      <c r="V41" s="19"/>
    </row>
    <row r="42" spans="1:22" ht="15.75" thickBot="1" x14ac:dyDescent="0.25">
      <c r="A42" s="30"/>
      <c r="B42" s="93"/>
      <c r="C42" s="139"/>
      <c r="D42" s="139"/>
      <c r="E42" s="139"/>
      <c r="F42" s="94"/>
      <c r="G42" s="206"/>
      <c r="H42" s="206"/>
      <c r="I42" s="95"/>
      <c r="J42" s="95"/>
      <c r="K42" s="552"/>
      <c r="L42" s="552"/>
      <c r="M42" s="552"/>
      <c r="N42" s="552"/>
      <c r="O42" s="552"/>
      <c r="P42" s="552"/>
      <c r="Q42" s="552"/>
      <c r="R42" s="553"/>
      <c r="S42" s="553"/>
      <c r="T42" s="553"/>
      <c r="U42" s="343"/>
      <c r="V42" s="19"/>
    </row>
    <row r="43" spans="1:22" ht="15.75" thickBot="1" x14ac:dyDescent="0.25">
      <c r="A43" s="30"/>
      <c r="B43" s="29"/>
      <c r="C43" s="49"/>
      <c r="D43" s="49"/>
      <c r="E43" s="49"/>
      <c r="F43" s="29"/>
      <c r="G43" s="437"/>
      <c r="H43" s="437"/>
      <c r="I43" s="437"/>
      <c r="J43" s="437"/>
      <c r="K43" s="437"/>
      <c r="L43" s="437"/>
      <c r="M43" s="437"/>
      <c r="N43" s="437"/>
      <c r="O43" s="437"/>
      <c r="P43" s="437"/>
      <c r="Q43" s="437"/>
      <c r="R43" s="437"/>
      <c r="S43" s="437"/>
      <c r="T43" s="437"/>
      <c r="U43" s="18"/>
      <c r="V43" s="19"/>
    </row>
    <row r="44" spans="1:22" x14ac:dyDescent="0.2">
      <c r="A44" s="207"/>
      <c r="B44" s="208"/>
      <c r="C44" s="209"/>
      <c r="D44" s="209"/>
      <c r="E44" s="209"/>
      <c r="F44" s="208"/>
      <c r="G44" s="551"/>
      <c r="H44" s="551"/>
      <c r="I44" s="551"/>
      <c r="J44" s="551"/>
      <c r="K44" s="551"/>
      <c r="L44" s="551"/>
      <c r="M44" s="551"/>
      <c r="N44" s="551"/>
      <c r="O44" s="551"/>
      <c r="P44" s="551"/>
      <c r="Q44" s="551"/>
      <c r="R44" s="551"/>
      <c r="S44" s="551"/>
      <c r="T44" s="551"/>
      <c r="U44" s="210"/>
      <c r="V44" s="211"/>
    </row>
    <row r="45" spans="1:22" ht="15.75" x14ac:dyDescent="0.2">
      <c r="A45" s="30"/>
      <c r="B45" s="29"/>
      <c r="C45" s="494" t="s">
        <v>86</v>
      </c>
      <c r="D45" s="49"/>
      <c r="E45" s="49"/>
      <c r="F45" s="29"/>
      <c r="G45" s="437"/>
      <c r="H45" s="437"/>
      <c r="I45" s="437"/>
      <c r="J45" s="437"/>
      <c r="K45" s="437"/>
      <c r="L45" s="437"/>
      <c r="M45" s="437"/>
      <c r="N45" s="437"/>
      <c r="O45" s="437"/>
      <c r="P45" s="437"/>
      <c r="Q45" s="437"/>
      <c r="R45" s="437"/>
      <c r="S45" s="437"/>
      <c r="T45" s="437"/>
      <c r="U45" s="18"/>
      <c r="V45" s="19"/>
    </row>
    <row r="46" spans="1:22" ht="15.75" x14ac:dyDescent="0.2">
      <c r="A46" s="30"/>
      <c r="B46" s="29"/>
      <c r="C46" s="346"/>
      <c r="D46" s="49"/>
      <c r="E46" s="49"/>
      <c r="F46" s="29"/>
      <c r="G46" s="719" t="s">
        <v>946</v>
      </c>
      <c r="H46" s="719"/>
      <c r="I46" s="437"/>
      <c r="J46" s="437"/>
      <c r="K46" s="719" t="s">
        <v>23</v>
      </c>
      <c r="L46" s="719"/>
      <c r="M46" s="437"/>
      <c r="N46" s="437"/>
      <c r="O46" s="719" t="s">
        <v>24</v>
      </c>
      <c r="P46" s="723"/>
      <c r="Q46" s="437"/>
      <c r="R46" s="437"/>
      <c r="S46" s="719" t="s">
        <v>25</v>
      </c>
      <c r="T46" s="723"/>
      <c r="U46" s="18"/>
      <c r="V46" s="19"/>
    </row>
    <row r="47" spans="1:22" ht="15.75" customHeight="1" x14ac:dyDescent="0.2">
      <c r="A47" s="30"/>
      <c r="B47" s="29"/>
      <c r="C47" s="494"/>
      <c r="D47" s="49"/>
      <c r="E47" s="49"/>
      <c r="F47" s="29"/>
      <c r="G47" s="437"/>
      <c r="H47" s="437"/>
      <c r="I47" s="437"/>
      <c r="J47" s="437"/>
      <c r="K47" s="689" t="str">
        <f>VLOOKUP('Part 1'!$L$16,Datasheet2!$B$6:$AW$332,47,FALSE)</f>
        <v>-</v>
      </c>
      <c r="L47" s="689"/>
      <c r="M47" s="437"/>
      <c r="N47" s="437"/>
      <c r="O47" s="689" t="str">
        <f>VLOOKUP('Part 1'!$L$16,Datasheet2!$B$6:$AW$332,48,FALSE)</f>
        <v>-</v>
      </c>
      <c r="P47" s="689"/>
      <c r="Q47" s="437"/>
      <c r="R47" s="438"/>
      <c r="S47" s="681" t="s">
        <v>7</v>
      </c>
      <c r="T47" s="681"/>
      <c r="U47" s="324"/>
      <c r="V47" s="19"/>
    </row>
    <row r="48" spans="1:22" ht="15.75" x14ac:dyDescent="0.2">
      <c r="A48" s="30"/>
      <c r="B48" s="29"/>
      <c r="C48" s="494"/>
      <c r="D48" s="49"/>
      <c r="E48" s="49"/>
      <c r="F48" s="29"/>
      <c r="G48" s="437"/>
      <c r="H48" s="437"/>
      <c r="I48" s="437"/>
      <c r="J48" s="437"/>
      <c r="K48" s="689"/>
      <c r="L48" s="689"/>
      <c r="M48" s="437"/>
      <c r="N48" s="437"/>
      <c r="O48" s="689"/>
      <c r="P48" s="689"/>
      <c r="Q48" s="437"/>
      <c r="R48" s="438"/>
      <c r="S48" s="681"/>
      <c r="T48" s="681"/>
      <c r="U48" s="324"/>
      <c r="V48" s="19"/>
    </row>
    <row r="49" spans="1:22" ht="32.25" customHeight="1" thickBot="1" x14ac:dyDescent="0.3">
      <c r="A49" s="30"/>
      <c r="B49" s="29"/>
      <c r="C49" s="178" t="s">
        <v>48</v>
      </c>
      <c r="D49" s="49"/>
      <c r="E49" s="49"/>
      <c r="F49" s="29"/>
      <c r="G49" s="437"/>
      <c r="H49" s="437"/>
      <c r="I49" s="437"/>
      <c r="J49" s="437"/>
      <c r="K49" s="686"/>
      <c r="L49" s="686"/>
      <c r="M49" s="437"/>
      <c r="N49" s="437"/>
      <c r="O49" s="686"/>
      <c r="P49" s="686"/>
      <c r="Q49" s="437"/>
      <c r="R49" s="438"/>
      <c r="S49" s="681" t="s">
        <v>52</v>
      </c>
      <c r="T49" s="681"/>
      <c r="U49" s="324"/>
      <c r="V49" s="19"/>
    </row>
    <row r="50" spans="1:22" ht="16.5" thickBot="1" x14ac:dyDescent="0.25">
      <c r="A50" s="30"/>
      <c r="B50" s="29"/>
      <c r="C50" s="74" t="s">
        <v>1081</v>
      </c>
      <c r="D50" s="49"/>
      <c r="E50" s="49"/>
      <c r="F50" s="29"/>
      <c r="G50" s="54"/>
      <c r="H50" s="54"/>
      <c r="I50" s="54"/>
      <c r="J50" s="54"/>
      <c r="K50" s="684">
        <f>VLOOKUP('Part 1'!$L$16,Datasheet2!$B$6:$AW$332,28,FALSE)</f>
        <v>67544542</v>
      </c>
      <c r="L50" s="685"/>
      <c r="M50" s="437"/>
      <c r="N50" s="437"/>
      <c r="O50" s="684">
        <f>VLOOKUP('Part 1'!$L$16,Datasheet2!$B$6:$AW$332,29,FALSE)</f>
        <v>40220711</v>
      </c>
      <c r="P50" s="685"/>
      <c r="Q50" s="54"/>
      <c r="R50" s="438"/>
      <c r="S50" s="682">
        <f>VLOOKUP('Part 1'!$L$16,Datasheet2!$B$6:$AW$332,27,FALSE)</f>
        <v>107763848</v>
      </c>
      <c r="T50" s="683"/>
      <c r="U50" s="439"/>
      <c r="V50" s="19"/>
    </row>
    <row r="51" spans="1:22" ht="15.75" x14ac:dyDescent="0.2">
      <c r="A51" s="30"/>
      <c r="B51" s="29"/>
      <c r="C51" s="494"/>
      <c r="D51" s="49"/>
      <c r="E51" s="49"/>
      <c r="F51" s="29"/>
      <c r="G51" s="554"/>
      <c r="H51" s="437"/>
      <c r="I51" s="554"/>
      <c r="J51" s="437"/>
      <c r="K51" s="554"/>
      <c r="L51" s="554"/>
      <c r="M51" s="554"/>
      <c r="N51" s="554"/>
      <c r="O51" s="554"/>
      <c r="P51" s="554"/>
      <c r="Q51" s="437"/>
      <c r="R51" s="438"/>
      <c r="S51" s="438"/>
      <c r="T51" s="438"/>
      <c r="U51" s="439"/>
      <c r="V51" s="19"/>
    </row>
    <row r="52" spans="1:22" ht="15.75" x14ac:dyDescent="0.2">
      <c r="A52" s="30"/>
      <c r="B52" s="29"/>
      <c r="C52" s="494"/>
      <c r="D52" s="49"/>
      <c r="E52" s="49"/>
      <c r="F52" s="29"/>
      <c r="G52" s="437"/>
      <c r="H52" s="437"/>
      <c r="I52" s="554"/>
      <c r="J52" s="437"/>
      <c r="K52" s="437"/>
      <c r="L52" s="437"/>
      <c r="M52" s="437"/>
      <c r="N52" s="437"/>
      <c r="O52" s="437"/>
      <c r="P52" s="437"/>
      <c r="Q52" s="437"/>
      <c r="R52" s="438"/>
      <c r="S52" s="438"/>
      <c r="T52" s="438"/>
      <c r="U52" s="439"/>
      <c r="V52" s="19"/>
    </row>
    <row r="53" spans="1:22" ht="15" customHeight="1" x14ac:dyDescent="0.2">
      <c r="A53" s="30"/>
      <c r="B53" s="29"/>
      <c r="C53" s="126"/>
      <c r="D53" s="49"/>
      <c r="E53" s="49"/>
      <c r="F53" s="29"/>
      <c r="G53" s="689" t="s">
        <v>87</v>
      </c>
      <c r="H53" s="689"/>
      <c r="I53" s="437"/>
      <c r="J53" s="437"/>
      <c r="K53" s="437"/>
      <c r="L53" s="437"/>
      <c r="M53" s="437"/>
      <c r="N53" s="437"/>
      <c r="O53" s="437"/>
      <c r="P53" s="437"/>
      <c r="Q53" s="437"/>
      <c r="R53" s="438"/>
      <c r="S53" s="687" t="s">
        <v>945</v>
      </c>
      <c r="T53" s="688"/>
      <c r="U53" s="439"/>
      <c r="V53" s="19"/>
    </row>
    <row r="54" spans="1:22" ht="16.5" customHeight="1" thickBot="1" x14ac:dyDescent="0.3">
      <c r="A54" s="30"/>
      <c r="B54" s="31"/>
      <c r="C54" s="594" t="s">
        <v>1284</v>
      </c>
      <c r="D54" s="49"/>
      <c r="E54" s="49"/>
      <c r="F54" s="29"/>
      <c r="G54" s="718"/>
      <c r="H54" s="718"/>
      <c r="I54" s="437"/>
      <c r="J54" s="437"/>
      <c r="K54" s="437"/>
      <c r="L54" s="437"/>
      <c r="M54" s="437"/>
      <c r="N54" s="437"/>
      <c r="O54" s="437"/>
      <c r="P54" s="437"/>
      <c r="Q54" s="437"/>
      <c r="R54" s="438"/>
      <c r="S54" s="688"/>
      <c r="T54" s="688"/>
      <c r="U54" s="440"/>
      <c r="V54" s="19"/>
    </row>
    <row r="55" spans="1:22" ht="16.5" thickBot="1" x14ac:dyDescent="0.25">
      <c r="A55" s="30"/>
      <c r="B55" s="18"/>
      <c r="C55" s="74" t="s">
        <v>1082</v>
      </c>
      <c r="D55" s="49"/>
      <c r="E55" s="49"/>
      <c r="F55" s="18"/>
      <c r="G55" s="684">
        <f>VLOOKUP('Part 1'!$L$16,Datasheet2!$B$6:$AW$332,30,FALSE)</f>
        <v>37049322</v>
      </c>
      <c r="H55" s="685"/>
      <c r="I55" s="54"/>
      <c r="J55" s="54"/>
      <c r="K55" s="684">
        <f>VLOOKUP('Part 1'!$L$16,Datasheet2!$B$6:$AW$332,32,FALSE)</f>
        <v>602000</v>
      </c>
      <c r="L55" s="685"/>
      <c r="M55" s="437"/>
      <c r="N55" s="437"/>
      <c r="O55" s="684">
        <f>VLOOKUP('Part 1'!$L$16,Datasheet2!$B$6:$AW$332,33,FALSE)</f>
        <v>0</v>
      </c>
      <c r="P55" s="685"/>
      <c r="Q55" s="18"/>
      <c r="R55" s="438"/>
      <c r="S55" s="682">
        <f>VLOOKUP('Part 1'!$L$16,Datasheet2!$B$6:$AW$332,31,FALSE)</f>
        <v>37651322</v>
      </c>
      <c r="T55" s="683"/>
      <c r="U55" s="441"/>
      <c r="V55" s="19"/>
    </row>
    <row r="56" spans="1:22" ht="15.75" thickBot="1" x14ac:dyDescent="0.25">
      <c r="A56" s="30"/>
      <c r="B56" s="18"/>
      <c r="C56" s="49"/>
      <c r="D56" s="49"/>
      <c r="E56" s="49"/>
      <c r="F56" s="18"/>
      <c r="G56" s="437"/>
      <c r="H56" s="437"/>
      <c r="I56" s="437"/>
      <c r="J56" s="437"/>
      <c r="K56" s="437"/>
      <c r="L56" s="437"/>
      <c r="M56" s="437"/>
      <c r="N56" s="437"/>
      <c r="O56" s="437"/>
      <c r="P56" s="437"/>
      <c r="Q56" s="437"/>
      <c r="R56" s="438"/>
      <c r="S56" s="438"/>
      <c r="T56" s="438"/>
      <c r="U56" s="439"/>
      <c r="V56" s="19"/>
    </row>
    <row r="57" spans="1:22" ht="16.5" thickBot="1" x14ac:dyDescent="0.25">
      <c r="A57" s="30"/>
      <c r="B57" s="18"/>
      <c r="C57" s="74" t="s">
        <v>1083</v>
      </c>
      <c r="D57" s="49"/>
      <c r="E57" s="49"/>
      <c r="F57" s="18"/>
      <c r="G57" s="54"/>
      <c r="H57" s="54"/>
      <c r="I57" s="54"/>
      <c r="J57" s="54"/>
      <c r="K57" s="684">
        <f>VLOOKUP('Part 1'!$L$16,Datasheet2!$B$6:$AW$332,35,FALSE)</f>
        <v>414609</v>
      </c>
      <c r="L57" s="685"/>
      <c r="M57" s="437"/>
      <c r="N57" s="437"/>
      <c r="O57" s="684">
        <f>VLOOKUP('Part 1'!$L$16,Datasheet2!$B$6:$AW$332,36,FALSE)</f>
        <v>-133288</v>
      </c>
      <c r="P57" s="685"/>
      <c r="Q57" s="54"/>
      <c r="R57" s="438"/>
      <c r="S57" s="682">
        <f>VLOOKUP('Part 1'!$L$16,Datasheet2!$B$6:$AW$332,34,FALSE)</f>
        <v>281321</v>
      </c>
      <c r="T57" s="683"/>
      <c r="U57" s="439"/>
      <c r="V57" s="19"/>
    </row>
    <row r="58" spans="1:22" ht="15.75" thickBot="1" x14ac:dyDescent="0.25">
      <c r="A58" s="30"/>
      <c r="B58" s="18"/>
      <c r="C58" s="49"/>
      <c r="D58" s="49"/>
      <c r="E58" s="49"/>
      <c r="F58" s="18"/>
      <c r="G58" s="437"/>
      <c r="H58" s="437"/>
      <c r="I58" s="437"/>
      <c r="J58" s="437"/>
      <c r="K58" s="437"/>
      <c r="L58" s="437"/>
      <c r="M58" s="437"/>
      <c r="N58" s="437"/>
      <c r="O58" s="437"/>
      <c r="P58" s="437"/>
      <c r="Q58" s="437"/>
      <c r="R58" s="438"/>
      <c r="S58" s="438"/>
      <c r="T58" s="438"/>
      <c r="U58" s="439"/>
      <c r="V58" s="19"/>
    </row>
    <row r="59" spans="1:22" ht="16.5" thickBot="1" x14ac:dyDescent="0.25">
      <c r="A59" s="32"/>
      <c r="B59" s="18"/>
      <c r="C59" s="74" t="s">
        <v>1084</v>
      </c>
      <c r="D59" s="49"/>
      <c r="E59" s="49"/>
      <c r="F59" s="18"/>
      <c r="G59" s="54"/>
      <c r="H59" s="54"/>
      <c r="I59" s="54"/>
      <c r="J59" s="54"/>
      <c r="K59" s="684">
        <f>VLOOKUP('Part 1'!$L$16,Datasheet2!$B$6:$AW$332,37,FALSE)</f>
        <v>64874693</v>
      </c>
      <c r="L59" s="685"/>
      <c r="M59" s="437"/>
      <c r="N59" s="437"/>
      <c r="O59" s="684">
        <f>VLOOKUP('Part 1'!$L$16,Datasheet2!$B$6:$AW$332,38,FALSE)</f>
        <v>51585709</v>
      </c>
      <c r="P59" s="685"/>
      <c r="Q59" s="54"/>
      <c r="R59" s="438"/>
      <c r="S59" s="438"/>
      <c r="T59" s="438"/>
      <c r="U59" s="439"/>
      <c r="V59" s="19"/>
    </row>
    <row r="60" spans="1:22" ht="16.5" thickBot="1" x14ac:dyDescent="0.25">
      <c r="A60" s="32"/>
      <c r="B60" s="18"/>
      <c r="C60" s="49"/>
      <c r="D60" s="49"/>
      <c r="E60" s="49"/>
      <c r="F60" s="18"/>
      <c r="G60" s="437"/>
      <c r="H60" s="437"/>
      <c r="I60" s="437"/>
      <c r="J60" s="437"/>
      <c r="K60" s="437"/>
      <c r="L60" s="437"/>
      <c r="M60" s="437"/>
      <c r="N60" s="437"/>
      <c r="O60" s="544"/>
      <c r="P60" s="437"/>
      <c r="Q60" s="437"/>
      <c r="R60" s="438"/>
      <c r="S60" s="438"/>
      <c r="T60" s="438"/>
      <c r="U60" s="439"/>
      <c r="V60" s="19"/>
    </row>
    <row r="61" spans="1:22" x14ac:dyDescent="0.2">
      <c r="A61" s="32"/>
      <c r="B61" s="25"/>
      <c r="C61" s="140"/>
      <c r="D61" s="140"/>
      <c r="E61" s="140"/>
      <c r="F61" s="20"/>
      <c r="G61" s="442"/>
      <c r="H61" s="442"/>
      <c r="I61" s="442"/>
      <c r="J61" s="442"/>
      <c r="K61" s="442"/>
      <c r="L61" s="442"/>
      <c r="M61" s="442"/>
      <c r="N61" s="442"/>
      <c r="O61" s="442"/>
      <c r="P61" s="442"/>
      <c r="Q61" s="442"/>
      <c r="R61" s="442"/>
      <c r="S61" s="442"/>
      <c r="T61" s="442"/>
      <c r="U61" s="443"/>
      <c r="V61" s="19"/>
    </row>
    <row r="62" spans="1:22" ht="15.75" x14ac:dyDescent="0.2">
      <c r="A62" s="32"/>
      <c r="B62" s="26"/>
      <c r="C62" s="142"/>
      <c r="D62" s="142"/>
      <c r="E62" s="142"/>
      <c r="F62" s="21"/>
      <c r="G62" s="56"/>
      <c r="H62" s="56"/>
      <c r="I62" s="56"/>
      <c r="J62" s="56"/>
      <c r="K62" s="436"/>
      <c r="L62" s="436"/>
      <c r="M62" s="436"/>
      <c r="N62" s="436"/>
      <c r="O62" s="436"/>
      <c r="P62" s="436"/>
      <c r="Q62" s="56"/>
      <c r="R62" s="696" t="s">
        <v>70</v>
      </c>
      <c r="S62" s="696"/>
      <c r="T62" s="696"/>
      <c r="U62" s="697"/>
      <c r="V62" s="19"/>
    </row>
    <row r="63" spans="1:22" ht="16.5" thickBot="1" x14ac:dyDescent="0.25">
      <c r="A63" s="32"/>
      <c r="B63" s="26"/>
      <c r="C63" s="141" t="s">
        <v>39</v>
      </c>
      <c r="D63" s="142"/>
      <c r="E63" s="142"/>
      <c r="F63" s="21"/>
      <c r="G63" s="56"/>
      <c r="H63" s="56"/>
      <c r="I63" s="56"/>
      <c r="J63" s="56"/>
      <c r="K63" s="436"/>
      <c r="L63" s="436"/>
      <c r="M63" s="436"/>
      <c r="N63" s="436"/>
      <c r="O63" s="692"/>
      <c r="P63" s="692"/>
      <c r="Q63" s="203"/>
      <c r="R63" s="444"/>
      <c r="S63" s="695" t="s">
        <v>20</v>
      </c>
      <c r="T63" s="695"/>
      <c r="U63" s="445"/>
      <c r="V63" s="19"/>
    </row>
    <row r="64" spans="1:22" ht="16.5" thickBot="1" x14ac:dyDescent="0.25">
      <c r="A64" s="32"/>
      <c r="B64" s="26"/>
      <c r="C64" s="145" t="s">
        <v>1085</v>
      </c>
      <c r="D64" s="142"/>
      <c r="E64" s="142"/>
      <c r="F64" s="21"/>
      <c r="G64" s="56"/>
      <c r="H64" s="56"/>
      <c r="I64" s="56"/>
      <c r="J64" s="56"/>
      <c r="K64" s="693">
        <f>VLOOKUP('Part 1'!$L$16,Datasheet2!$B$6:$AW$332,40,FALSE)</f>
        <v>13590610</v>
      </c>
      <c r="L64" s="694"/>
      <c r="M64" s="446"/>
      <c r="N64" s="446"/>
      <c r="O64" s="693">
        <f>VLOOKUP('Part 1'!$L$16,Datasheet2!$B$6:$AW$332,41,FALSE)</f>
        <v>226566</v>
      </c>
      <c r="P64" s="694"/>
      <c r="Q64" s="216"/>
      <c r="R64" s="444"/>
      <c r="S64" s="693">
        <f>VLOOKUP('Part 1'!$L$16,Datasheet2!$B$6:$AW$332,39,FALSE)</f>
        <v>13817176</v>
      </c>
      <c r="T64" s="694"/>
      <c r="U64" s="445"/>
      <c r="V64" s="19"/>
    </row>
    <row r="65" spans="1:22" ht="15.75" thickBot="1" x14ac:dyDescent="0.25">
      <c r="A65" s="32"/>
      <c r="B65" s="27"/>
      <c r="C65" s="143"/>
      <c r="D65" s="143"/>
      <c r="E65" s="143"/>
      <c r="F65" s="22"/>
      <c r="G65" s="112"/>
      <c r="H65" s="112"/>
      <c r="I65" s="112"/>
      <c r="J65" s="112"/>
      <c r="K65" s="112"/>
      <c r="L65" s="112"/>
      <c r="M65" s="112"/>
      <c r="N65" s="112"/>
      <c r="O65" s="112"/>
      <c r="P65" s="112"/>
      <c r="Q65" s="112"/>
      <c r="R65" s="112"/>
      <c r="S65" s="112"/>
      <c r="T65" s="112"/>
      <c r="U65" s="23"/>
      <c r="V65" s="19"/>
    </row>
    <row r="66" spans="1:22" ht="15.75" thickBot="1" x14ac:dyDescent="0.25">
      <c r="A66" s="32"/>
      <c r="B66" s="18"/>
      <c r="C66" s="49"/>
      <c r="D66" s="49"/>
      <c r="E66" s="49"/>
      <c r="F66" s="18"/>
      <c r="G66" s="113"/>
      <c r="H66" s="113"/>
      <c r="I66" s="113"/>
      <c r="J66" s="113"/>
      <c r="K66" s="113"/>
      <c r="L66" s="113"/>
      <c r="M66" s="113"/>
      <c r="N66" s="113"/>
      <c r="O66" s="113"/>
      <c r="P66" s="113"/>
      <c r="Q66" s="113"/>
      <c r="R66" s="113"/>
      <c r="S66" s="113"/>
      <c r="T66" s="113"/>
      <c r="U66" s="18"/>
      <c r="V66" s="19"/>
    </row>
    <row r="67" spans="1:22" x14ac:dyDescent="0.2">
      <c r="A67" s="32"/>
      <c r="B67" s="190"/>
      <c r="C67" s="191"/>
      <c r="D67" s="191"/>
      <c r="E67" s="191"/>
      <c r="F67" s="192"/>
      <c r="G67" s="192"/>
      <c r="H67" s="193"/>
      <c r="I67" s="193"/>
      <c r="J67" s="193"/>
      <c r="K67" s="193"/>
      <c r="L67" s="193"/>
      <c r="M67" s="193"/>
      <c r="N67" s="193"/>
      <c r="O67" s="193"/>
      <c r="P67" s="193"/>
      <c r="Q67" s="193"/>
      <c r="R67" s="193"/>
      <c r="S67" s="193"/>
      <c r="T67" s="193"/>
      <c r="U67" s="194"/>
      <c r="V67" s="19"/>
    </row>
    <row r="68" spans="1:22" ht="16.5" thickBot="1" x14ac:dyDescent="0.25">
      <c r="A68" s="32"/>
      <c r="B68" s="195"/>
      <c r="C68" s="196" t="s">
        <v>50</v>
      </c>
      <c r="D68" s="179"/>
      <c r="E68" s="179"/>
      <c r="F68" s="189"/>
      <c r="G68" s="189"/>
      <c r="H68" s="189"/>
      <c r="I68" s="189"/>
      <c r="J68" s="189"/>
      <c r="K68" s="189"/>
      <c r="L68" s="189"/>
      <c r="M68" s="189"/>
      <c r="N68" s="189"/>
      <c r="O68" s="189"/>
      <c r="P68" s="189"/>
      <c r="Q68" s="189"/>
      <c r="R68" s="189"/>
      <c r="S68" s="197"/>
      <c r="T68" s="197"/>
      <c r="U68" s="198"/>
      <c r="V68" s="19"/>
    </row>
    <row r="69" spans="1:22" ht="16.5" thickBot="1" x14ac:dyDescent="0.25">
      <c r="A69" s="32"/>
      <c r="B69" s="195"/>
      <c r="C69" s="181" t="s">
        <v>1086</v>
      </c>
      <c r="D69" s="179"/>
      <c r="E69" s="179"/>
      <c r="F69" s="189"/>
      <c r="G69" s="189"/>
      <c r="H69" s="189"/>
      <c r="I69" s="189"/>
      <c r="J69" s="189"/>
      <c r="K69" s="189"/>
      <c r="L69" s="189"/>
      <c r="M69" s="189"/>
      <c r="N69" s="189"/>
      <c r="O69" s="189"/>
      <c r="P69" s="189"/>
      <c r="Q69" s="189"/>
      <c r="R69" s="189"/>
      <c r="S69" s="690">
        <f>VLOOKUP('Part 1'!$L$16,Datasheet2!$B$6:$AW$332,42,FALSE)</f>
        <v>1290225774.6200001</v>
      </c>
      <c r="T69" s="691"/>
      <c r="U69" s="199"/>
      <c r="V69" s="19"/>
    </row>
    <row r="70" spans="1:22" ht="15.75" thickBot="1" x14ac:dyDescent="0.25">
      <c r="A70" s="32"/>
      <c r="B70" s="195"/>
      <c r="C70" s="179"/>
      <c r="D70" s="179"/>
      <c r="E70" s="179"/>
      <c r="F70" s="189"/>
      <c r="G70" s="189"/>
      <c r="H70" s="189"/>
      <c r="I70" s="189"/>
      <c r="J70" s="189"/>
      <c r="K70" s="189"/>
      <c r="L70" s="189"/>
      <c r="M70" s="189"/>
      <c r="N70" s="189"/>
      <c r="O70" s="189"/>
      <c r="P70" s="189"/>
      <c r="Q70" s="189"/>
      <c r="R70" s="189"/>
      <c r="S70" s="183"/>
      <c r="T70" s="183"/>
      <c r="U70" s="199"/>
      <c r="V70" s="19"/>
    </row>
    <row r="71" spans="1:22" ht="16.5" thickBot="1" x14ac:dyDescent="0.25">
      <c r="A71" s="32"/>
      <c r="B71" s="195"/>
      <c r="C71" s="181" t="s">
        <v>1087</v>
      </c>
      <c r="D71" s="179"/>
      <c r="E71" s="179"/>
      <c r="F71" s="189"/>
      <c r="G71" s="189"/>
      <c r="H71" s="189"/>
      <c r="I71" s="189"/>
      <c r="J71" s="189"/>
      <c r="K71" s="189"/>
      <c r="L71" s="189"/>
      <c r="M71" s="189"/>
      <c r="N71" s="189"/>
      <c r="O71" s="189"/>
      <c r="P71" s="189"/>
      <c r="Q71" s="189"/>
      <c r="R71" s="189"/>
      <c r="S71" s="690">
        <f>VLOOKUP('Part 1'!$L$16,Datasheet2!$B$6:$AW$332,43,FALSE)</f>
        <v>-743070789.53999996</v>
      </c>
      <c r="T71" s="691"/>
      <c r="U71" s="199"/>
      <c r="V71" s="19"/>
    </row>
    <row r="72" spans="1:22" ht="15.75" thickBot="1" x14ac:dyDescent="0.25">
      <c r="A72" s="32"/>
      <c r="B72" s="200"/>
      <c r="C72" s="201"/>
      <c r="D72" s="201"/>
      <c r="E72" s="201"/>
      <c r="F72" s="201"/>
      <c r="G72" s="201"/>
      <c r="H72" s="201"/>
      <c r="I72" s="201"/>
      <c r="J72" s="201"/>
      <c r="K72" s="201"/>
      <c r="L72" s="201"/>
      <c r="M72" s="201"/>
      <c r="N72" s="201"/>
      <c r="O72" s="201"/>
      <c r="P72" s="201"/>
      <c r="Q72" s="201"/>
      <c r="R72" s="201"/>
      <c r="S72" s="201"/>
      <c r="T72" s="201"/>
      <c r="U72" s="202"/>
      <c r="V72" s="19"/>
    </row>
    <row r="73" spans="1:22" ht="15.75" thickBot="1" x14ac:dyDescent="0.25">
      <c r="A73" s="602"/>
      <c r="B73" s="70"/>
      <c r="C73" s="70"/>
      <c r="D73" s="70"/>
      <c r="E73" s="70"/>
      <c r="F73" s="70"/>
      <c r="G73" s="70"/>
      <c r="H73" s="70"/>
      <c r="I73" s="70"/>
      <c r="J73" s="70"/>
      <c r="K73" s="70"/>
      <c r="L73" s="70"/>
      <c r="M73" s="70"/>
      <c r="N73" s="70"/>
      <c r="O73" s="70"/>
      <c r="P73" s="70"/>
      <c r="Q73" s="70"/>
      <c r="R73" s="70"/>
      <c r="S73" s="70"/>
      <c r="T73" s="70"/>
      <c r="U73" s="70"/>
      <c r="V73" s="603"/>
    </row>
    <row r="75" spans="1:22" x14ac:dyDescent="0.2">
      <c r="G75" s="348"/>
    </row>
    <row r="76" spans="1:22" x14ac:dyDescent="0.2">
      <c r="G76" s="348"/>
    </row>
    <row r="77" spans="1:22" x14ac:dyDescent="0.2">
      <c r="G77" s="348"/>
    </row>
    <row r="78" spans="1:22" x14ac:dyDescent="0.2">
      <c r="E78" s="348"/>
      <c r="G78" s="348"/>
      <c r="I78" s="348"/>
    </row>
    <row r="79" spans="1:22" x14ac:dyDescent="0.2">
      <c r="G79" s="348"/>
    </row>
    <row r="80" spans="1:22" x14ac:dyDescent="0.2">
      <c r="G80" s="348"/>
    </row>
    <row r="81" spans="3:22" x14ac:dyDescent="0.2">
      <c r="G81" s="348"/>
    </row>
    <row r="82" spans="3:22" x14ac:dyDescent="0.2">
      <c r="C82" s="348"/>
      <c r="D82" s="348"/>
      <c r="E82" s="348"/>
      <c r="F82" s="348"/>
      <c r="G82" s="348"/>
      <c r="H82" s="348"/>
      <c r="I82" s="348"/>
      <c r="J82" s="348"/>
      <c r="K82" s="348"/>
      <c r="L82" s="348"/>
      <c r="M82" s="348"/>
      <c r="N82" s="348"/>
      <c r="O82" s="348"/>
      <c r="P82" s="348"/>
      <c r="Q82" s="348"/>
      <c r="R82" s="348"/>
      <c r="S82" s="348"/>
      <c r="T82" s="348"/>
      <c r="U82" s="348"/>
      <c r="V82" s="348"/>
    </row>
    <row r="83" spans="3:22" x14ac:dyDescent="0.2">
      <c r="G83" s="348"/>
    </row>
    <row r="84" spans="3:22" x14ac:dyDescent="0.2">
      <c r="G84" s="348"/>
    </row>
    <row r="85" spans="3:22" x14ac:dyDescent="0.2">
      <c r="G85" s="348"/>
    </row>
    <row r="86" spans="3:22" x14ac:dyDescent="0.2">
      <c r="G86" s="348"/>
    </row>
    <row r="87" spans="3:22" x14ac:dyDescent="0.2">
      <c r="G87" s="348"/>
    </row>
  </sheetData>
  <mergeCells count="86">
    <mergeCell ref="G23:H23"/>
    <mergeCell ref="O17:P17"/>
    <mergeCell ref="K23:L23"/>
    <mergeCell ref="O29:P29"/>
    <mergeCell ref="K17:L17"/>
    <mergeCell ref="O23:P23"/>
    <mergeCell ref="S37:T37"/>
    <mergeCell ref="S29:T29"/>
    <mergeCell ref="S46:T46"/>
    <mergeCell ref="O35:P35"/>
    <mergeCell ref="K16:L16"/>
    <mergeCell ref="O46:P46"/>
    <mergeCell ref="O41:P41"/>
    <mergeCell ref="S41:T41"/>
    <mergeCell ref="O16:P16"/>
    <mergeCell ref="R16:U16"/>
    <mergeCell ref="G53:H54"/>
    <mergeCell ref="G37:H37"/>
    <mergeCell ref="K29:L29"/>
    <mergeCell ref="K35:L35"/>
    <mergeCell ref="K37:L37"/>
    <mergeCell ref="K46:L46"/>
    <mergeCell ref="K32:L32"/>
    <mergeCell ref="K47:L48"/>
    <mergeCell ref="C29:G30"/>
    <mergeCell ref="G41:H41"/>
    <mergeCell ref="K49:L49"/>
    <mergeCell ref="K41:L41"/>
    <mergeCell ref="G46:H46"/>
    <mergeCell ref="A7:V7"/>
    <mergeCell ref="O27:P27"/>
    <mergeCell ref="G17:H17"/>
    <mergeCell ref="S13:T13"/>
    <mergeCell ref="G18:H18"/>
    <mergeCell ref="S14:T15"/>
    <mergeCell ref="O13:P13"/>
    <mergeCell ref="G14:H15"/>
    <mergeCell ref="S27:T27"/>
    <mergeCell ref="B22:C22"/>
    <mergeCell ref="C23:E23"/>
    <mergeCell ref="O14:P15"/>
    <mergeCell ref="K13:L13"/>
    <mergeCell ref="K14:L15"/>
    <mergeCell ref="G16:H16"/>
    <mergeCell ref="C13:H13"/>
    <mergeCell ref="A2:V2"/>
    <mergeCell ref="A3:V3"/>
    <mergeCell ref="O18:P18"/>
    <mergeCell ref="O37:P37"/>
    <mergeCell ref="S17:T17"/>
    <mergeCell ref="C9:G9"/>
    <mergeCell ref="C18:E20"/>
    <mergeCell ref="S35:T35"/>
    <mergeCell ref="S32:T32"/>
    <mergeCell ref="G32:H32"/>
    <mergeCell ref="O32:P32"/>
    <mergeCell ref="S23:T23"/>
    <mergeCell ref="S18:T18"/>
    <mergeCell ref="K18:L18"/>
    <mergeCell ref="K27:L27"/>
    <mergeCell ref="A5:V5"/>
    <mergeCell ref="S69:T69"/>
    <mergeCell ref="G55:H55"/>
    <mergeCell ref="S71:T71"/>
    <mergeCell ref="K59:L59"/>
    <mergeCell ref="O55:P55"/>
    <mergeCell ref="O63:P63"/>
    <mergeCell ref="O64:P64"/>
    <mergeCell ref="S64:T64"/>
    <mergeCell ref="K57:L57"/>
    <mergeCell ref="K55:L55"/>
    <mergeCell ref="S63:T63"/>
    <mergeCell ref="O57:P57"/>
    <mergeCell ref="O59:P59"/>
    <mergeCell ref="K64:L64"/>
    <mergeCell ref="R62:U62"/>
    <mergeCell ref="S55:T55"/>
    <mergeCell ref="S47:T48"/>
    <mergeCell ref="S57:T57"/>
    <mergeCell ref="K50:L50"/>
    <mergeCell ref="O50:P50"/>
    <mergeCell ref="S50:T50"/>
    <mergeCell ref="O49:P49"/>
    <mergeCell ref="S53:T54"/>
    <mergeCell ref="S49:T49"/>
    <mergeCell ref="O47:P48"/>
  </mergeCells>
  <phoneticPr fontId="5" type="noConversion"/>
  <dataValidations count="3">
    <dataValidation type="whole" operator="greaterThanOrEqual" allowBlank="1" showInputMessage="1" showErrorMessage="1" error="Must be a positive number" sqref="S69:T69 S64:T64 K64:L64 O64:P64">
      <formula1>0</formula1>
    </dataValidation>
    <dataValidation type="whole" operator="lessThanOrEqual" allowBlank="1" showInputMessage="1" showErrorMessage="1" error="Total column should be negative_x000a_" sqref="U27">
      <formula1>0</formula1>
    </dataValidation>
    <dataValidation type="whole" operator="equal" allowBlank="1" showInputMessage="1" showErrorMessage="1" errorTitle="Don't overwrite this cell" error="Does not equal col1 + col2" sqref="S18:T18 S27:T27 S23:T23 S29:T30 S32:T32 S35:T35 S37:T37 S41:T41">
      <formula1>+K18+O18</formula1>
    </dataValidation>
  </dataValidations>
  <printOptions horizontalCentered="1" verticalCentered="1"/>
  <pageMargins left="0.39370078740157483" right="0.39370078740157483" top="0.59055118110236227" bottom="0.59055118110236227" header="0.51181102362204722" footer="0.51181102362204722"/>
  <pageSetup paperSize="9" scale="5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213"/>
  <sheetViews>
    <sheetView showGridLines="0" zoomScaleNormal="100" zoomScaleSheetLayoutView="84" workbookViewId="0">
      <selection activeCell="V182" sqref="V182"/>
    </sheetView>
  </sheetViews>
  <sheetFormatPr defaultRowHeight="12.75" x14ac:dyDescent="0.2"/>
  <cols>
    <col min="1" max="2" width="1.7109375" customWidth="1"/>
    <col min="4" max="6" width="10.140625" customWidth="1"/>
    <col min="7" max="7" width="17.85546875" customWidth="1"/>
    <col min="8" max="8" width="3.85546875" customWidth="1"/>
    <col min="9" max="9" width="2.85546875" customWidth="1"/>
    <col min="10" max="11" width="11.42578125" customWidth="1"/>
    <col min="12" max="13" width="2.7109375" customWidth="1"/>
    <col min="14" max="15" width="11.42578125" customWidth="1"/>
    <col min="16" max="17" width="3.42578125" customWidth="1"/>
    <col min="18" max="19" width="11.42578125" customWidth="1"/>
    <col min="20" max="21" width="1.7109375" customWidth="1"/>
    <col min="22" max="22" width="8.7109375" style="214" customWidth="1"/>
  </cols>
  <sheetData>
    <row r="1" spans="1:23" ht="15" x14ac:dyDescent="0.2">
      <c r="A1" s="409"/>
      <c r="B1" s="410"/>
      <c r="C1" s="410"/>
      <c r="D1" s="410"/>
      <c r="E1" s="410"/>
      <c r="F1" s="410"/>
      <c r="G1" s="410"/>
      <c r="H1" s="410"/>
      <c r="I1" s="410"/>
      <c r="J1" s="410"/>
      <c r="K1" s="410"/>
      <c r="L1" s="410"/>
      <c r="M1" s="410"/>
      <c r="N1" s="410"/>
      <c r="O1" s="410"/>
      <c r="P1" s="410"/>
      <c r="Q1" s="410"/>
      <c r="R1" s="410"/>
      <c r="S1" s="410"/>
      <c r="T1" s="410"/>
      <c r="U1" s="411"/>
      <c r="V1" s="378"/>
    </row>
    <row r="2" spans="1:23" ht="15.75" x14ac:dyDescent="0.25">
      <c r="A2" s="698" t="s">
        <v>40</v>
      </c>
      <c r="B2" s="699"/>
      <c r="C2" s="699"/>
      <c r="D2" s="699"/>
      <c r="E2" s="699"/>
      <c r="F2" s="699"/>
      <c r="G2" s="699"/>
      <c r="H2" s="699"/>
      <c r="I2" s="699"/>
      <c r="J2" s="699"/>
      <c r="K2" s="699"/>
      <c r="L2" s="699"/>
      <c r="M2" s="699"/>
      <c r="N2" s="699"/>
      <c r="O2" s="699"/>
      <c r="P2" s="699"/>
      <c r="Q2" s="699"/>
      <c r="R2" s="699"/>
      <c r="S2" s="699"/>
      <c r="T2" s="699"/>
      <c r="U2" s="700"/>
      <c r="V2" s="319"/>
    </row>
    <row r="3" spans="1:23" ht="15.75" x14ac:dyDescent="0.25">
      <c r="A3" s="672" t="s">
        <v>982</v>
      </c>
      <c r="B3" s="699"/>
      <c r="C3" s="699"/>
      <c r="D3" s="699"/>
      <c r="E3" s="699"/>
      <c r="F3" s="699"/>
      <c r="G3" s="699"/>
      <c r="H3" s="699"/>
      <c r="I3" s="699"/>
      <c r="J3" s="699"/>
      <c r="K3" s="699"/>
      <c r="L3" s="699"/>
      <c r="M3" s="699"/>
      <c r="N3" s="699"/>
      <c r="O3" s="699"/>
      <c r="P3" s="699"/>
      <c r="Q3" s="699"/>
      <c r="R3" s="699"/>
      <c r="S3" s="699"/>
      <c r="T3" s="699"/>
      <c r="U3" s="700"/>
      <c r="V3" s="319"/>
    </row>
    <row r="4" spans="1:23" ht="15" x14ac:dyDescent="0.2">
      <c r="A4" s="675"/>
      <c r="B4" s="676"/>
      <c r="C4" s="676"/>
      <c r="D4" s="676"/>
      <c r="E4" s="676"/>
      <c r="F4" s="676"/>
      <c r="G4" s="676"/>
      <c r="H4" s="676"/>
      <c r="I4" s="676"/>
      <c r="J4" s="676"/>
      <c r="K4" s="676"/>
      <c r="L4" s="676"/>
      <c r="M4" s="676"/>
      <c r="N4" s="676"/>
      <c r="O4" s="676"/>
      <c r="P4" s="676"/>
      <c r="Q4" s="676"/>
      <c r="R4" s="676"/>
      <c r="S4" s="676"/>
      <c r="T4" s="676"/>
      <c r="U4" s="677"/>
      <c r="V4" s="316"/>
    </row>
    <row r="5" spans="1:23" ht="15" x14ac:dyDescent="0.2">
      <c r="A5" s="675"/>
      <c r="B5" s="676"/>
      <c r="C5" s="676"/>
      <c r="D5" s="676"/>
      <c r="E5" s="676"/>
      <c r="F5" s="676"/>
      <c r="G5" s="676"/>
      <c r="H5" s="676"/>
      <c r="I5" s="676"/>
      <c r="J5" s="676"/>
      <c r="K5" s="676"/>
      <c r="L5" s="676"/>
      <c r="M5" s="676"/>
      <c r="N5" s="676"/>
      <c r="O5" s="676"/>
      <c r="P5" s="676"/>
      <c r="Q5" s="676"/>
      <c r="R5" s="676"/>
      <c r="S5" s="676"/>
      <c r="T5" s="676"/>
      <c r="U5" s="677"/>
      <c r="V5" s="316"/>
    </row>
    <row r="6" spans="1:23" ht="15" x14ac:dyDescent="0.2">
      <c r="A6" s="675"/>
      <c r="B6" s="676"/>
      <c r="C6" s="676"/>
      <c r="D6" s="676"/>
      <c r="E6" s="676"/>
      <c r="F6" s="676"/>
      <c r="G6" s="676"/>
      <c r="H6" s="676"/>
      <c r="I6" s="676"/>
      <c r="J6" s="676"/>
      <c r="K6" s="676"/>
      <c r="L6" s="676"/>
      <c r="M6" s="676"/>
      <c r="N6" s="676"/>
      <c r="O6" s="676"/>
      <c r="P6" s="676"/>
      <c r="Q6" s="676"/>
      <c r="R6" s="676"/>
      <c r="S6" s="676"/>
      <c r="T6" s="676"/>
      <c r="U6" s="677"/>
      <c r="V6" s="316"/>
    </row>
    <row r="7" spans="1:23" ht="15" x14ac:dyDescent="0.2">
      <c r="A7" s="675"/>
      <c r="B7" s="676"/>
      <c r="C7" s="676"/>
      <c r="D7" s="676"/>
      <c r="E7" s="676"/>
      <c r="F7" s="676"/>
      <c r="G7" s="676"/>
      <c r="H7" s="676"/>
      <c r="I7" s="676"/>
      <c r="J7" s="676"/>
      <c r="K7" s="676"/>
      <c r="L7" s="676"/>
      <c r="M7" s="676"/>
      <c r="N7" s="676"/>
      <c r="O7" s="676"/>
      <c r="P7" s="676"/>
      <c r="Q7" s="676"/>
      <c r="R7" s="676"/>
      <c r="S7" s="676"/>
      <c r="T7" s="676"/>
      <c r="U7" s="677"/>
      <c r="V7" s="316"/>
    </row>
    <row r="8" spans="1:23" ht="15.75" thickBot="1" x14ac:dyDescent="0.25">
      <c r="A8" s="60"/>
      <c r="B8" s="61"/>
      <c r="C8" s="61"/>
      <c r="D8" s="61"/>
      <c r="E8" s="61"/>
      <c r="F8" s="61"/>
      <c r="G8" s="61"/>
      <c r="H8" s="61"/>
      <c r="I8" s="61"/>
      <c r="J8" s="61"/>
      <c r="K8" s="61"/>
      <c r="L8" s="61"/>
      <c r="M8" s="61"/>
      <c r="N8" s="61"/>
      <c r="O8" s="61"/>
      <c r="P8" s="61"/>
      <c r="Q8" s="61"/>
      <c r="R8" s="61"/>
      <c r="S8" s="85"/>
      <c r="T8" s="61"/>
      <c r="U8" s="62"/>
      <c r="V8" s="378"/>
    </row>
    <row r="9" spans="1:23" x14ac:dyDescent="0.2">
      <c r="A9" s="412"/>
      <c r="B9" s="413"/>
      <c r="C9" s="741"/>
      <c r="D9" s="741"/>
      <c r="E9" s="741"/>
      <c r="F9" s="741"/>
      <c r="G9" s="741"/>
      <c r="H9" s="741"/>
      <c r="I9" s="413"/>
      <c r="J9" s="413"/>
      <c r="K9" s="413"/>
      <c r="L9" s="413"/>
      <c r="M9" s="413"/>
      <c r="N9" s="413"/>
      <c r="O9" s="413"/>
      <c r="P9" s="517"/>
      <c r="Q9" s="413"/>
      <c r="R9" s="413"/>
      <c r="S9" s="413"/>
      <c r="T9" s="413"/>
      <c r="U9" s="414"/>
      <c r="V9" s="251"/>
    </row>
    <row r="10" spans="1:23" s="24" customFormat="1" ht="18" x14ac:dyDescent="0.25">
      <c r="A10" s="32"/>
      <c r="B10" s="18"/>
      <c r="C10" s="501" t="str">
        <f>+CONCATENATE("Local Authority : ",+'Part 1'!L15)</f>
        <v>Local Authority : England</v>
      </c>
      <c r="D10" s="63"/>
      <c r="E10" s="63"/>
      <c r="F10" s="503"/>
      <c r="G10" s="503"/>
      <c r="H10" s="503"/>
      <c r="I10" s="18"/>
      <c r="J10" s="18"/>
      <c r="K10" s="18"/>
      <c r="L10" s="18"/>
      <c r="M10" s="18"/>
      <c r="N10" s="18"/>
      <c r="O10" s="18"/>
      <c r="P10" s="510"/>
      <c r="Q10" s="18"/>
      <c r="R10" s="18"/>
      <c r="S10" s="18"/>
      <c r="T10" s="18"/>
      <c r="U10" s="19"/>
      <c r="V10" s="379"/>
    </row>
    <row r="11" spans="1:23" s="24" customFormat="1" ht="18" x14ac:dyDescent="0.25">
      <c r="A11" s="32"/>
      <c r="B11" s="18"/>
      <c r="C11" s="63"/>
      <c r="D11" s="63"/>
      <c r="E11" s="63"/>
      <c r="F11" s="503"/>
      <c r="G11" s="503"/>
      <c r="H11" s="503"/>
      <c r="I11" s="18"/>
      <c r="J11" s="18"/>
      <c r="K11" s="18"/>
      <c r="L11" s="18"/>
      <c r="M11" s="18"/>
      <c r="N11" s="18"/>
      <c r="O11" s="18"/>
      <c r="P11" s="510"/>
      <c r="Q11" s="18"/>
      <c r="R11" s="18"/>
      <c r="S11" s="18"/>
      <c r="T11" s="18"/>
      <c r="U11" s="19"/>
      <c r="V11" s="379"/>
    </row>
    <row r="12" spans="1:23" ht="15.75" x14ac:dyDescent="0.25">
      <c r="A12" s="14"/>
      <c r="B12" s="2"/>
      <c r="C12" s="745" t="s">
        <v>42</v>
      </c>
      <c r="D12" s="745"/>
      <c r="E12" s="745"/>
      <c r="F12" s="745"/>
      <c r="G12" s="745"/>
      <c r="H12" s="745"/>
      <c r="I12" s="18"/>
      <c r="J12" s="710" t="s">
        <v>23</v>
      </c>
      <c r="K12" s="710"/>
      <c r="L12" s="498"/>
      <c r="M12" s="498"/>
      <c r="N12" s="710" t="s">
        <v>24</v>
      </c>
      <c r="O12" s="710"/>
      <c r="P12" s="518"/>
      <c r="Q12" s="498"/>
      <c r="R12" s="709" t="s">
        <v>25</v>
      </c>
      <c r="S12" s="710"/>
      <c r="T12" s="1"/>
      <c r="U12" s="47"/>
      <c r="V12" s="251"/>
    </row>
    <row r="13" spans="1:23" ht="15.75" customHeight="1" x14ac:dyDescent="0.25">
      <c r="A13" s="14"/>
      <c r="B13" s="2"/>
      <c r="C13" s="717"/>
      <c r="D13" s="717"/>
      <c r="E13" s="717"/>
      <c r="F13" s="717"/>
      <c r="G13" s="717"/>
      <c r="H13" s="717"/>
      <c r="I13" s="18"/>
      <c r="J13" s="711" t="s">
        <v>53</v>
      </c>
      <c r="K13" s="712"/>
      <c r="L13" s="496"/>
      <c r="M13" s="496"/>
      <c r="N13" s="711" t="s">
        <v>52</v>
      </c>
      <c r="O13" s="711"/>
      <c r="P13" s="519"/>
      <c r="Q13" s="496"/>
      <c r="R13" s="711" t="s">
        <v>945</v>
      </c>
      <c r="S13" s="712"/>
      <c r="T13" s="3"/>
      <c r="U13" s="47"/>
      <c r="V13" s="251"/>
    </row>
    <row r="14" spans="1:23" ht="15.75" customHeight="1" x14ac:dyDescent="0.25">
      <c r="A14" s="14"/>
      <c r="B14" s="2"/>
      <c r="C14" s="18"/>
      <c r="D14" s="18"/>
      <c r="E14" s="18"/>
      <c r="F14" s="18"/>
      <c r="G14" s="18"/>
      <c r="H14" s="18"/>
      <c r="I14" s="18"/>
      <c r="J14" s="642"/>
      <c r="K14" s="642"/>
      <c r="L14" s="29"/>
      <c r="M14" s="557"/>
      <c r="N14" s="711"/>
      <c r="O14" s="711"/>
      <c r="P14" s="519"/>
      <c r="Q14" s="29"/>
      <c r="R14" s="712"/>
      <c r="S14" s="712"/>
      <c r="T14" s="2"/>
      <c r="U14" s="47"/>
      <c r="V14" s="251"/>
    </row>
    <row r="15" spans="1:23" ht="32.25" customHeight="1" x14ac:dyDescent="0.25">
      <c r="A15" s="14"/>
      <c r="B15" s="2"/>
      <c r="C15" s="572"/>
      <c r="D15" s="18"/>
      <c r="E15" s="18"/>
      <c r="F15" s="18"/>
      <c r="G15" s="18"/>
      <c r="H15" s="18"/>
      <c r="I15" s="18"/>
      <c r="J15" s="724"/>
      <c r="K15" s="724"/>
      <c r="L15" s="29"/>
      <c r="M15" s="29"/>
      <c r="N15" s="724"/>
      <c r="O15" s="724"/>
      <c r="P15" s="520"/>
      <c r="Q15" s="725"/>
      <c r="R15" s="725"/>
      <c r="S15" s="725"/>
      <c r="T15" s="725"/>
      <c r="U15" s="47"/>
      <c r="V15" s="251"/>
      <c r="W15" s="214"/>
    </row>
    <row r="16" spans="1:23" ht="16.5" customHeight="1" thickBot="1" x14ac:dyDescent="0.25">
      <c r="A16" s="129"/>
      <c r="B16" s="127"/>
      <c r="C16" s="599" t="s">
        <v>1287</v>
      </c>
      <c r="D16" s="49"/>
      <c r="E16" s="49"/>
      <c r="F16" s="49"/>
      <c r="G16" s="49"/>
      <c r="H16" s="18"/>
      <c r="I16" s="18"/>
      <c r="J16" s="746" t="s">
        <v>20</v>
      </c>
      <c r="K16" s="747"/>
      <c r="L16" s="54"/>
      <c r="M16" s="54"/>
      <c r="N16" s="746" t="s">
        <v>20</v>
      </c>
      <c r="O16" s="747"/>
      <c r="P16" s="437"/>
      <c r="Q16" s="438"/>
      <c r="R16" s="749" t="s">
        <v>20</v>
      </c>
      <c r="S16" s="750"/>
      <c r="T16" s="323"/>
      <c r="U16" s="47"/>
      <c r="V16" s="251"/>
      <c r="W16" s="214"/>
    </row>
    <row r="17" spans="1:23" ht="16.5" thickBot="1" x14ac:dyDescent="0.25">
      <c r="A17" s="129"/>
      <c r="B17" s="127"/>
      <c r="C17" s="49" t="s">
        <v>983</v>
      </c>
      <c r="D17" s="49"/>
      <c r="E17" s="49"/>
      <c r="F17" s="49"/>
      <c r="G17" s="49"/>
      <c r="H17" s="18"/>
      <c r="I17" s="18"/>
      <c r="J17" s="684">
        <f>VLOOKUP(+'Part 1'!$L$16,Datasheet3!$B$6:$FZ$332,3,FALSE)</f>
        <v>0</v>
      </c>
      <c r="K17" s="685"/>
      <c r="L17" s="437"/>
      <c r="M17" s="437"/>
      <c r="N17" s="684">
        <f>VLOOKUP(+'Part 1'!$L$16,Datasheet3!$B$6:$FZ$332,4,FALSE)</f>
        <v>0</v>
      </c>
      <c r="O17" s="685"/>
      <c r="P17" s="437"/>
      <c r="Q17" s="438"/>
      <c r="R17" s="739">
        <f>VLOOKUP(+'Part 1'!$L$16,Datasheet3!$B$6:$FZ$332,5,FALSE)</f>
        <v>0</v>
      </c>
      <c r="S17" s="740"/>
      <c r="T17" s="323"/>
      <c r="U17" s="47"/>
      <c r="V17" s="251"/>
      <c r="W17" s="214"/>
    </row>
    <row r="18" spans="1:23" ht="15.75" customHeight="1" thickBot="1" x14ac:dyDescent="0.25">
      <c r="A18" s="129"/>
      <c r="B18" s="127"/>
      <c r="C18" s="49"/>
      <c r="D18" s="49"/>
      <c r="E18" s="49"/>
      <c r="F18" s="49"/>
      <c r="G18" s="49"/>
      <c r="H18" s="18"/>
      <c r="I18" s="18"/>
      <c r="J18" s="506"/>
      <c r="K18" s="506"/>
      <c r="L18" s="437"/>
      <c r="M18" s="437"/>
      <c r="N18" s="506"/>
      <c r="O18" s="506"/>
      <c r="P18" s="437"/>
      <c r="Q18" s="439"/>
      <c r="R18" s="509"/>
      <c r="S18" s="438"/>
      <c r="T18" s="323"/>
      <c r="U18" s="47"/>
      <c r="V18" s="251"/>
      <c r="W18" s="214"/>
    </row>
    <row r="19" spans="1:23" ht="15.75" customHeight="1" thickBot="1" x14ac:dyDescent="0.25">
      <c r="A19" s="129"/>
      <c r="B19" s="127"/>
      <c r="C19" s="49" t="s">
        <v>976</v>
      </c>
      <c r="D19" s="49"/>
      <c r="E19" s="49"/>
      <c r="F19" s="49"/>
      <c r="G19" s="49"/>
      <c r="H19" s="18"/>
      <c r="I19" s="18"/>
      <c r="J19" s="684">
        <f>VLOOKUP(+'Part 1'!$L$16,Datasheet3!$B$6:$FZ$332,6,FALSE)</f>
        <v>109512834.18000001</v>
      </c>
      <c r="K19" s="685"/>
      <c r="L19" s="437"/>
      <c r="M19" s="437"/>
      <c r="N19" s="684">
        <f>VLOOKUP(+'Part 1'!$L$16,Datasheet3!$B$6:$FZ$332,7,FALSE)</f>
        <v>-331074</v>
      </c>
      <c r="O19" s="685"/>
      <c r="P19" s="437"/>
      <c r="Q19" s="438"/>
      <c r="R19" s="739">
        <f>VLOOKUP(+'Part 1'!$L$16,Datasheet3!$B$6:$FZ$332,8,FALSE)</f>
        <v>109181760.18000001</v>
      </c>
      <c r="S19" s="740"/>
      <c r="T19" s="323"/>
      <c r="U19" s="47"/>
      <c r="V19" s="251"/>
      <c r="W19" s="214"/>
    </row>
    <row r="20" spans="1:23" ht="15.75" customHeight="1" thickBot="1" x14ac:dyDescent="0.25">
      <c r="A20" s="129"/>
      <c r="B20" s="127"/>
      <c r="C20" s="49"/>
      <c r="D20" s="49"/>
      <c r="E20" s="49"/>
      <c r="F20" s="49"/>
      <c r="G20" s="49"/>
      <c r="H20" s="18"/>
      <c r="I20" s="18"/>
      <c r="J20" s="506"/>
      <c r="K20" s="506"/>
      <c r="L20" s="437"/>
      <c r="M20" s="437"/>
      <c r="N20" s="506"/>
      <c r="O20" s="506"/>
      <c r="P20" s="437"/>
      <c r="Q20" s="439"/>
      <c r="R20" s="509"/>
      <c r="S20" s="438"/>
      <c r="T20" s="323"/>
      <c r="U20" s="47"/>
      <c r="V20" s="251"/>
      <c r="W20" s="214"/>
    </row>
    <row r="21" spans="1:23" ht="18.75" customHeight="1" thickBot="1" x14ac:dyDescent="0.25">
      <c r="A21" s="129"/>
      <c r="B21" s="127"/>
      <c r="C21" s="49" t="s">
        <v>984</v>
      </c>
      <c r="D21" s="49"/>
      <c r="E21" s="49"/>
      <c r="F21" s="49"/>
      <c r="G21" s="49"/>
      <c r="H21" s="18"/>
      <c r="I21" s="18"/>
      <c r="J21" s="684">
        <f>VLOOKUP(+'Part 1'!$L$16,Datasheet3!$B$6:$FZ$332,9,FALSE)</f>
        <v>0</v>
      </c>
      <c r="K21" s="685"/>
      <c r="L21" s="437"/>
      <c r="M21" s="437"/>
      <c r="N21" s="684">
        <f>VLOOKUP(+'Part 1'!$L$16,Datasheet3!$B$6:$FZ$332,10,FALSE)</f>
        <v>0</v>
      </c>
      <c r="O21" s="685"/>
      <c r="P21" s="437"/>
      <c r="Q21" s="438"/>
      <c r="R21" s="739">
        <f>VLOOKUP(+'Part 1'!$L$16,Datasheet3!$B$6:$FZ$332,11,FALSE)</f>
        <v>0</v>
      </c>
      <c r="S21" s="740"/>
      <c r="T21" s="323"/>
      <c r="U21" s="47"/>
      <c r="V21" s="251"/>
      <c r="W21" s="214"/>
    </row>
    <row r="22" spans="1:23" ht="15.75" customHeight="1" thickBot="1" x14ac:dyDescent="0.25">
      <c r="A22" s="129"/>
      <c r="B22" s="127"/>
      <c r="C22" s="49"/>
      <c r="D22" s="49"/>
      <c r="E22" s="49"/>
      <c r="F22" s="49"/>
      <c r="G22" s="49"/>
      <c r="H22" s="18"/>
      <c r="I22" s="18"/>
      <c r="J22" s="539"/>
      <c r="K22" s="539"/>
      <c r="L22" s="437"/>
      <c r="M22" s="437"/>
      <c r="N22" s="539"/>
      <c r="O22" s="539"/>
      <c r="P22" s="437"/>
      <c r="Q22" s="438"/>
      <c r="R22" s="438"/>
      <c r="S22" s="438"/>
      <c r="T22" s="323"/>
      <c r="U22" s="47"/>
      <c r="V22" s="251"/>
      <c r="W22" s="214"/>
    </row>
    <row r="23" spans="1:23" ht="15.75" customHeight="1" thickBot="1" x14ac:dyDescent="0.25">
      <c r="A23" s="129"/>
      <c r="B23" s="127"/>
      <c r="C23" s="703" t="s">
        <v>977</v>
      </c>
      <c r="D23" s="703"/>
      <c r="E23" s="703"/>
      <c r="F23" s="703"/>
      <c r="G23" s="703"/>
      <c r="H23" s="18"/>
      <c r="I23" s="18"/>
      <c r="J23" s="684">
        <f>VLOOKUP(+'Part 1'!$L$16,Datasheet3!$B$6:$FZ$332,12,FALSE)</f>
        <v>55386680.340000011</v>
      </c>
      <c r="K23" s="685"/>
      <c r="L23" s="437"/>
      <c r="M23" s="437"/>
      <c r="N23" s="684">
        <f>VLOOKUP(+'Part 1'!$L$16,Datasheet3!$B$6:$FZ$332,13,FALSE)</f>
        <v>49753</v>
      </c>
      <c r="O23" s="685"/>
      <c r="P23" s="437"/>
      <c r="Q23" s="438"/>
      <c r="R23" s="739">
        <f>VLOOKUP(+'Part 1'!$L$16,Datasheet3!$B$6:$FZ$332,14,FALSE)</f>
        <v>55436433.340000011</v>
      </c>
      <c r="S23" s="740"/>
      <c r="T23" s="323"/>
      <c r="U23" s="47"/>
      <c r="V23" s="251"/>
      <c r="W23" s="214"/>
    </row>
    <row r="24" spans="1:23" ht="15.75" customHeight="1" x14ac:dyDescent="0.2">
      <c r="A24" s="129"/>
      <c r="B24" s="127"/>
      <c r="C24" s="703"/>
      <c r="D24" s="703"/>
      <c r="E24" s="703"/>
      <c r="F24" s="703"/>
      <c r="G24" s="703"/>
      <c r="H24" s="18"/>
      <c r="I24" s="18"/>
      <c r="J24" s="64"/>
      <c r="K24" s="64"/>
      <c r="L24" s="437"/>
      <c r="M24" s="437"/>
      <c r="N24" s="64"/>
      <c r="O24" s="64"/>
      <c r="P24" s="437"/>
      <c r="Q24" s="438"/>
      <c r="R24" s="322"/>
      <c r="S24" s="322"/>
      <c r="T24" s="323"/>
      <c r="U24" s="47"/>
      <c r="V24" s="251"/>
      <c r="W24" s="214"/>
    </row>
    <row r="25" spans="1:23" ht="15.75" customHeight="1" thickBot="1" x14ac:dyDescent="0.25">
      <c r="A25" s="129"/>
      <c r="B25" s="127"/>
      <c r="C25" s="502"/>
      <c r="D25" s="502"/>
      <c r="E25" s="502"/>
      <c r="F25" s="502"/>
      <c r="G25" s="502"/>
      <c r="H25" s="18"/>
      <c r="I25" s="18"/>
      <c r="J25" s="64"/>
      <c r="K25" s="64"/>
      <c r="L25" s="437"/>
      <c r="M25" s="437"/>
      <c r="N25" s="64"/>
      <c r="O25" s="64"/>
      <c r="P25" s="437"/>
      <c r="Q25" s="438"/>
      <c r="R25" s="322"/>
      <c r="S25" s="322"/>
      <c r="T25" s="323"/>
      <c r="U25" s="47"/>
      <c r="V25" s="251"/>
      <c r="W25" s="214"/>
    </row>
    <row r="26" spans="1:23" ht="15.75" customHeight="1" thickBot="1" x14ac:dyDescent="0.25">
      <c r="A26" s="129"/>
      <c r="B26" s="150"/>
      <c r="C26" s="151"/>
      <c r="D26" s="151"/>
      <c r="E26" s="151"/>
      <c r="F26" s="151"/>
      <c r="G26" s="151"/>
      <c r="H26" s="152"/>
      <c r="I26" s="152"/>
      <c r="J26" s="153"/>
      <c r="K26" s="153"/>
      <c r="L26" s="514"/>
      <c r="M26" s="514"/>
      <c r="N26" s="153"/>
      <c r="O26" s="153"/>
      <c r="P26" s="514"/>
      <c r="Q26" s="515"/>
      <c r="R26" s="326"/>
      <c r="S26" s="326"/>
      <c r="T26" s="327"/>
      <c r="U26" s="47"/>
      <c r="V26" s="251"/>
      <c r="W26" s="214"/>
    </row>
    <row r="27" spans="1:23" ht="15.75" customHeight="1" thickBot="1" x14ac:dyDescent="0.25">
      <c r="A27" s="129"/>
      <c r="B27" s="155"/>
      <c r="C27" s="744" t="s">
        <v>55</v>
      </c>
      <c r="D27" s="744"/>
      <c r="E27" s="744"/>
      <c r="F27" s="744"/>
      <c r="G27" s="744"/>
      <c r="H27" s="18"/>
      <c r="I27" s="18"/>
      <c r="J27" s="742">
        <f>VLOOKUP(+'Part 1'!$L$16,Datasheet3!$B$6:$FZ$332,15,FALSE)</f>
        <v>164899515</v>
      </c>
      <c r="K27" s="743"/>
      <c r="L27" s="437"/>
      <c r="M27" s="437"/>
      <c r="N27" s="742">
        <f>VLOOKUP(+'Part 1'!$L$16,Datasheet3!$B$6:$FZ$332,16,FALSE)</f>
        <v>-281321</v>
      </c>
      <c r="O27" s="743"/>
      <c r="P27" s="437"/>
      <c r="Q27" s="438"/>
      <c r="R27" s="739">
        <f>VLOOKUP(+'Part 1'!$L$16,Datasheet3!$B$6:$FZ$332,17,FALSE)</f>
        <v>164618194</v>
      </c>
      <c r="S27" s="740"/>
      <c r="T27" s="328"/>
      <c r="U27" s="47"/>
      <c r="V27" s="251"/>
      <c r="W27" s="214"/>
    </row>
    <row r="28" spans="1:23" ht="15.75" customHeight="1" thickBot="1" x14ac:dyDescent="0.25">
      <c r="A28" s="129"/>
      <c r="B28" s="156"/>
      <c r="C28" s="157"/>
      <c r="D28" s="157"/>
      <c r="E28" s="157"/>
      <c r="F28" s="157"/>
      <c r="G28" s="157"/>
      <c r="H28" s="158"/>
      <c r="I28" s="158"/>
      <c r="J28" s="158"/>
      <c r="K28" s="158"/>
      <c r="L28" s="521"/>
      <c r="M28" s="521"/>
      <c r="N28" s="158"/>
      <c r="O28" s="158"/>
      <c r="P28" s="521"/>
      <c r="Q28" s="533"/>
      <c r="R28" s="329"/>
      <c r="S28" s="329"/>
      <c r="T28" s="330"/>
      <c r="U28" s="47"/>
      <c r="V28" s="251"/>
      <c r="W28" s="214"/>
    </row>
    <row r="29" spans="1:23" ht="15.75" customHeight="1" x14ac:dyDescent="0.2">
      <c r="A29" s="129"/>
      <c r="B29" s="127"/>
      <c r="C29" s="502"/>
      <c r="D29" s="502"/>
      <c r="E29" s="502"/>
      <c r="F29" s="502"/>
      <c r="G29" s="502"/>
      <c r="H29" s="18"/>
      <c r="I29" s="18"/>
      <c r="J29" s="64"/>
      <c r="K29" s="64"/>
      <c r="L29" s="437"/>
      <c r="M29" s="437"/>
      <c r="N29" s="64"/>
      <c r="O29" s="64"/>
      <c r="P29" s="437"/>
      <c r="Q29" s="438"/>
      <c r="R29" s="322"/>
      <c r="S29" s="322"/>
      <c r="T29" s="323"/>
      <c r="U29" s="47"/>
      <c r="V29" s="251"/>
      <c r="W29" s="214"/>
    </row>
    <row r="30" spans="1:23" ht="15.75" x14ac:dyDescent="0.2">
      <c r="A30" s="130"/>
      <c r="B30" s="131"/>
      <c r="C30" s="599" t="s">
        <v>1288</v>
      </c>
      <c r="D30" s="49"/>
      <c r="E30" s="49"/>
      <c r="F30" s="49"/>
      <c r="G30" s="49"/>
      <c r="H30" s="18"/>
      <c r="I30" s="54"/>
      <c r="J30" s="64"/>
      <c r="K30" s="64"/>
      <c r="L30" s="437"/>
      <c r="M30" s="437"/>
      <c r="N30" s="64"/>
      <c r="O30" s="64"/>
      <c r="P30" s="437"/>
      <c r="Q30" s="438"/>
      <c r="R30" s="322"/>
      <c r="S30" s="322"/>
      <c r="T30" s="323"/>
      <c r="U30" s="47"/>
      <c r="V30" s="251"/>
      <c r="W30" s="214"/>
    </row>
    <row r="31" spans="1:23" ht="16.5" thickBot="1" x14ac:dyDescent="0.25">
      <c r="A31" s="129"/>
      <c r="B31" s="127"/>
      <c r="C31" s="126" t="s">
        <v>27</v>
      </c>
      <c r="D31" s="49"/>
      <c r="E31" s="49"/>
      <c r="F31" s="49"/>
      <c r="G31" s="49"/>
      <c r="H31" s="18"/>
      <c r="I31" s="18"/>
      <c r="J31" s="64"/>
      <c r="K31" s="64"/>
      <c r="L31" s="437"/>
      <c r="M31" s="437"/>
      <c r="N31" s="64"/>
      <c r="O31" s="64"/>
      <c r="P31" s="437"/>
      <c r="Q31" s="438"/>
      <c r="R31" s="322"/>
      <c r="S31" s="322"/>
      <c r="T31" s="323"/>
      <c r="U31" s="47"/>
      <c r="V31" s="251"/>
      <c r="W31" s="214"/>
    </row>
    <row r="32" spans="1:23" ht="16.5" thickBot="1" x14ac:dyDescent="0.25">
      <c r="A32" s="129"/>
      <c r="B32" s="127"/>
      <c r="C32" s="74" t="s">
        <v>985</v>
      </c>
      <c r="D32" s="49"/>
      <c r="E32" s="49"/>
      <c r="F32" s="49"/>
      <c r="G32" s="49"/>
      <c r="H32" s="18"/>
      <c r="I32" s="18"/>
      <c r="J32" s="690">
        <f>VLOOKUP(+'Part 1'!$L$16,Datasheet3!$B$6:$FZ$332,18,FALSE)</f>
        <v>-1121298768.99</v>
      </c>
      <c r="K32" s="691"/>
      <c r="L32" s="437"/>
      <c r="M32" s="437"/>
      <c r="N32" s="690">
        <f>VLOOKUP(+'Part 1'!$L$16,Datasheet3!$B$6:$FZ$332,19,FALSE)</f>
        <v>-1709334</v>
      </c>
      <c r="O32" s="691"/>
      <c r="P32" s="437"/>
      <c r="Q32" s="438"/>
      <c r="R32" s="733">
        <f>VLOOKUP(+'Part 1'!$L$16,Datasheet3!$B$6:$FZ$332,20,FALSE)</f>
        <v>-1123008102.99</v>
      </c>
      <c r="S32" s="734"/>
      <c r="T32" s="323"/>
      <c r="U32" s="47"/>
      <c r="V32" s="251"/>
      <c r="W32" s="214"/>
    </row>
    <row r="33" spans="1:23" ht="16.5" thickBot="1" x14ac:dyDescent="0.25">
      <c r="A33" s="129"/>
      <c r="B33" s="49"/>
      <c r="C33" s="74" t="s">
        <v>37</v>
      </c>
      <c r="D33" s="49"/>
      <c r="E33" s="49"/>
      <c r="F33" s="49"/>
      <c r="G33" s="49"/>
      <c r="H33" s="49"/>
      <c r="I33" s="49"/>
      <c r="J33" s="538"/>
      <c r="K33" s="538"/>
      <c r="L33" s="538"/>
      <c r="M33" s="437"/>
      <c r="N33" s="539"/>
      <c r="O33" s="539"/>
      <c r="P33" s="437"/>
      <c r="Q33" s="438"/>
      <c r="R33" s="509"/>
      <c r="S33" s="509"/>
      <c r="T33" s="323"/>
      <c r="U33" s="47"/>
      <c r="V33" s="251"/>
      <c r="W33" s="214"/>
    </row>
    <row r="34" spans="1:23" ht="16.5" thickBot="1" x14ac:dyDescent="0.25">
      <c r="A34" s="129"/>
      <c r="B34" s="180"/>
      <c r="C34" s="184"/>
      <c r="D34" s="179" t="s">
        <v>1126</v>
      </c>
      <c r="E34" s="179"/>
      <c r="F34" s="179"/>
      <c r="G34" s="179"/>
      <c r="H34" s="182"/>
      <c r="I34" s="182"/>
      <c r="J34" s="690">
        <f>VLOOKUP(+'Part 1'!$L$16,Datasheet3!$B$6:$FZ$332,21,FALSE)</f>
        <v>-3499502</v>
      </c>
      <c r="K34" s="691"/>
      <c r="L34" s="522"/>
      <c r="M34" s="522"/>
      <c r="N34" s="690">
        <f>VLOOKUP(+'Part 1'!$L$16,Datasheet3!$B$6:$FZ$332,22,FALSE)</f>
        <v>-7897</v>
      </c>
      <c r="O34" s="691"/>
      <c r="P34" s="522"/>
      <c r="Q34" s="438"/>
      <c r="R34" s="733">
        <f>VLOOKUP(+'Part 1'!$L$16,Datasheet3!$B$6:$FZ$332,23,FALSE)</f>
        <v>-3507399</v>
      </c>
      <c r="S34" s="734"/>
      <c r="T34" s="323"/>
      <c r="U34" s="47"/>
      <c r="V34" s="251"/>
      <c r="W34" s="214"/>
    </row>
    <row r="35" spans="1:23" ht="15.75" x14ac:dyDescent="0.2">
      <c r="A35" s="129"/>
      <c r="B35" s="180"/>
      <c r="C35" s="184"/>
      <c r="D35" s="179" t="s">
        <v>79</v>
      </c>
      <c r="E35" s="179"/>
      <c r="F35" s="179"/>
      <c r="G35" s="179"/>
      <c r="H35" s="182"/>
      <c r="I35" s="182"/>
      <c r="J35" s="540"/>
      <c r="K35" s="540"/>
      <c r="L35" s="522"/>
      <c r="M35" s="522"/>
      <c r="N35" s="540"/>
      <c r="O35" s="540"/>
      <c r="P35" s="522"/>
      <c r="Q35" s="438"/>
      <c r="R35" s="509"/>
      <c r="S35" s="509"/>
      <c r="T35" s="323"/>
      <c r="U35" s="47"/>
      <c r="V35" s="251"/>
      <c r="W35" s="214"/>
    </row>
    <row r="36" spans="1:23" ht="16.5" thickBot="1" x14ac:dyDescent="0.25">
      <c r="A36" s="129"/>
      <c r="B36" s="49"/>
      <c r="C36" s="346"/>
      <c r="D36" s="49"/>
      <c r="E36" s="49"/>
      <c r="F36" s="49"/>
      <c r="G36" s="49"/>
      <c r="H36" s="49"/>
      <c r="I36" s="49"/>
      <c r="J36" s="538"/>
      <c r="K36" s="541"/>
      <c r="L36" s="538"/>
      <c r="M36" s="437"/>
      <c r="N36" s="539"/>
      <c r="O36" s="539"/>
      <c r="P36" s="437"/>
      <c r="Q36" s="438"/>
      <c r="R36" s="509"/>
      <c r="S36" s="509"/>
      <c r="T36" s="323"/>
      <c r="U36" s="47"/>
      <c r="V36" s="251"/>
      <c r="W36" s="214"/>
    </row>
    <row r="37" spans="1:23" ht="16.5" thickBot="1" x14ac:dyDescent="0.25">
      <c r="A37" s="129"/>
      <c r="B37" s="127"/>
      <c r="C37" s="74" t="s">
        <v>1069</v>
      </c>
      <c r="D37" s="49"/>
      <c r="E37" s="49"/>
      <c r="F37" s="49"/>
      <c r="G37" s="49"/>
      <c r="H37" s="18"/>
      <c r="I37" s="18"/>
      <c r="J37" s="742">
        <f>VLOOKUP(+'Part 1'!$L$16,Datasheet3!$B$6:$FZ$332,24,FALSE)</f>
        <v>-53945390.729999997</v>
      </c>
      <c r="K37" s="743"/>
      <c r="L37" s="437"/>
      <c r="M37" s="437"/>
      <c r="N37" s="742">
        <f>VLOOKUP(+'Part 1'!$L$16,Datasheet3!$B$6:$FZ$332,25,FALSE)</f>
        <v>-194129</v>
      </c>
      <c r="O37" s="743"/>
      <c r="P37" s="437"/>
      <c r="Q37" s="438"/>
      <c r="R37" s="733">
        <f>VLOOKUP(+'Part 1'!$L$16,Datasheet3!$B$6:$FZ$332,26,FALSE)</f>
        <v>-54139519.729999997</v>
      </c>
      <c r="S37" s="734"/>
      <c r="T37" s="323"/>
      <c r="U37" s="47"/>
      <c r="V37" s="251"/>
      <c r="W37" s="214"/>
    </row>
    <row r="38" spans="1:23" ht="15.75" x14ac:dyDescent="0.2">
      <c r="A38" s="129"/>
      <c r="B38" s="127"/>
      <c r="C38" s="74" t="s">
        <v>37</v>
      </c>
      <c r="D38" s="49"/>
      <c r="E38" s="49"/>
      <c r="F38" s="49"/>
      <c r="G38" s="49"/>
      <c r="H38" s="18"/>
      <c r="I38" s="18"/>
      <c r="J38" s="542"/>
      <c r="K38" s="542"/>
      <c r="L38" s="508"/>
      <c r="M38" s="508"/>
      <c r="N38" s="542"/>
      <c r="O38" s="542"/>
      <c r="P38" s="508"/>
      <c r="Q38" s="438"/>
      <c r="R38" s="509"/>
      <c r="S38" s="509"/>
      <c r="T38" s="323"/>
      <c r="U38" s="47"/>
      <c r="V38" s="251"/>
      <c r="W38" s="214"/>
    </row>
    <row r="39" spans="1:23" ht="16.5" thickBot="1" x14ac:dyDescent="0.25">
      <c r="A39" s="129"/>
      <c r="B39" s="49"/>
      <c r="C39" s="49"/>
      <c r="D39" s="49"/>
      <c r="E39" s="49"/>
      <c r="F39" s="49"/>
      <c r="G39" s="49"/>
      <c r="H39" s="49"/>
      <c r="I39" s="49"/>
      <c r="J39" s="538"/>
      <c r="K39" s="538"/>
      <c r="L39" s="538"/>
      <c r="M39" s="437"/>
      <c r="N39" s="539"/>
      <c r="O39" s="539"/>
      <c r="P39" s="437"/>
      <c r="Q39" s="438"/>
      <c r="R39" s="509"/>
      <c r="S39" s="509"/>
      <c r="T39" s="323"/>
      <c r="U39" s="47"/>
      <c r="V39" s="251"/>
      <c r="W39" s="214"/>
    </row>
    <row r="40" spans="1:23" ht="16.5" thickBot="1" x14ac:dyDescent="0.25">
      <c r="A40" s="129"/>
      <c r="B40" s="180"/>
      <c r="C40" s="184"/>
      <c r="D40" s="181" t="s">
        <v>1025</v>
      </c>
      <c r="E40" s="179"/>
      <c r="F40" s="179"/>
      <c r="G40" s="179"/>
      <c r="H40" s="182"/>
      <c r="I40" s="182"/>
      <c r="J40" s="690">
        <f>VLOOKUP(+'Part 1'!$L$16,Datasheet3!$B$6:$FZ$332,27,FALSE)</f>
        <v>-30623148.459999997</v>
      </c>
      <c r="K40" s="691"/>
      <c r="L40" s="522"/>
      <c r="M40" s="522"/>
      <c r="N40" s="690">
        <f>VLOOKUP(+'Part 1'!$L$16,Datasheet3!$B$6:$FZ$332,28,FALSE)</f>
        <v>-99999</v>
      </c>
      <c r="O40" s="691"/>
      <c r="P40" s="522"/>
      <c r="Q40" s="438"/>
      <c r="R40" s="733">
        <f>VLOOKUP(+'Part 1'!$L$16,Datasheet3!$B$6:$FZ$332,29,FALSE)</f>
        <v>-30723147.459999997</v>
      </c>
      <c r="S40" s="734"/>
      <c r="T40" s="323"/>
      <c r="U40" s="47"/>
      <c r="V40" s="251"/>
      <c r="W40" s="214"/>
    </row>
    <row r="41" spans="1:23" ht="16.5" thickBot="1" x14ac:dyDescent="0.25">
      <c r="A41" s="129"/>
      <c r="B41" s="49"/>
      <c r="C41" s="346"/>
      <c r="D41" s="49"/>
      <c r="E41" s="49"/>
      <c r="F41" s="49"/>
      <c r="G41" s="49"/>
      <c r="H41" s="49"/>
      <c r="I41" s="49"/>
      <c r="J41" s="425"/>
      <c r="K41" s="541"/>
      <c r="L41" s="538"/>
      <c r="M41" s="437"/>
      <c r="N41" s="539"/>
      <c r="O41" s="539"/>
      <c r="P41" s="437"/>
      <c r="Q41" s="438"/>
      <c r="R41" s="509"/>
      <c r="S41" s="509"/>
      <c r="T41" s="323"/>
      <c r="U41" s="47"/>
      <c r="V41" s="251"/>
      <c r="W41" s="214"/>
    </row>
    <row r="42" spans="1:23" ht="16.5" thickBot="1" x14ac:dyDescent="0.25">
      <c r="A42" s="129"/>
      <c r="B42" s="180"/>
      <c r="C42" s="184"/>
      <c r="D42" s="727" t="s">
        <v>1026</v>
      </c>
      <c r="E42" s="728"/>
      <c r="F42" s="728"/>
      <c r="G42" s="728"/>
      <c r="H42" s="182"/>
      <c r="I42" s="182"/>
      <c r="J42" s="690">
        <f>VLOOKUP(+'Part 1'!$L$16,Datasheet3!$B$6:$FZ$332,30,FALSE)</f>
        <v>-358703</v>
      </c>
      <c r="K42" s="691"/>
      <c r="L42" s="522"/>
      <c r="M42" s="522"/>
      <c r="N42" s="690">
        <f>VLOOKUP(+'Part 1'!$L$16,Datasheet3!$B$6:$FZ$332,31,FALSE)</f>
        <v>-1597</v>
      </c>
      <c r="O42" s="691"/>
      <c r="P42" s="522"/>
      <c r="Q42" s="438"/>
      <c r="R42" s="733">
        <f>VLOOKUP(+'Part 1'!$L$16,Datasheet3!$B$6:$FZ$332,32,FALSE)</f>
        <v>-360300</v>
      </c>
      <c r="S42" s="734"/>
      <c r="T42" s="323"/>
      <c r="U42" s="47"/>
      <c r="V42" s="251"/>
      <c r="W42" s="214"/>
    </row>
    <row r="43" spans="1:23" ht="15.75" x14ac:dyDescent="0.2">
      <c r="A43" s="129"/>
      <c r="B43" s="49"/>
      <c r="C43" s="346"/>
      <c r="D43" s="728"/>
      <c r="E43" s="728"/>
      <c r="F43" s="728"/>
      <c r="G43" s="728"/>
      <c r="H43" s="49"/>
      <c r="I43" s="49"/>
      <c r="J43" s="425"/>
      <c r="K43" s="541"/>
      <c r="L43" s="538"/>
      <c r="M43" s="437"/>
      <c r="N43" s="539"/>
      <c r="O43" s="539"/>
      <c r="P43" s="437"/>
      <c r="Q43" s="438"/>
      <c r="R43" s="509"/>
      <c r="S43" s="509"/>
      <c r="T43" s="323"/>
      <c r="U43" s="47"/>
      <c r="V43" s="251"/>
      <c r="W43" s="214"/>
    </row>
    <row r="44" spans="1:23" ht="16.5" thickBot="1" x14ac:dyDescent="0.25">
      <c r="A44" s="129"/>
      <c r="B44" s="49"/>
      <c r="C44" s="346"/>
      <c r="D44" s="49"/>
      <c r="E44" s="49"/>
      <c r="F44" s="49"/>
      <c r="G44" s="49"/>
      <c r="H44" s="49"/>
      <c r="I44" s="49"/>
      <c r="J44" s="425"/>
      <c r="K44" s="541"/>
      <c r="L44" s="538"/>
      <c r="M44" s="437"/>
      <c r="N44" s="539"/>
      <c r="O44" s="539"/>
      <c r="P44" s="437"/>
      <c r="Q44" s="438"/>
      <c r="R44" s="509"/>
      <c r="S44" s="509"/>
      <c r="T44" s="323"/>
      <c r="U44" s="47"/>
      <c r="V44" s="251"/>
      <c r="W44" s="214"/>
    </row>
    <row r="45" spans="1:23" ht="16.5" thickBot="1" x14ac:dyDescent="0.25">
      <c r="A45" s="129"/>
      <c r="B45" s="127"/>
      <c r="C45" s="658" t="s">
        <v>1027</v>
      </c>
      <c r="D45" s="703"/>
      <c r="E45" s="703"/>
      <c r="F45" s="703"/>
      <c r="G45" s="703"/>
      <c r="H45" s="18"/>
      <c r="I45" s="18"/>
      <c r="J45" s="690">
        <f>VLOOKUP('Part 1'!L$16,Datasheet3!$B$6:$FZ$332,33,FALSE)</f>
        <v>641774678</v>
      </c>
      <c r="K45" s="691"/>
      <c r="L45" s="437"/>
      <c r="M45" s="437"/>
      <c r="N45" s="690">
        <f>VLOOKUP('Part 1'!L$16,Datasheet3!$B$6:$FZ$332,34,FALSE)</f>
        <v>3822648</v>
      </c>
      <c r="O45" s="691"/>
      <c r="P45" s="437"/>
      <c r="Q45" s="438"/>
      <c r="R45" s="733">
        <f>VLOOKUP(+'Part 1'!$L$16,Datasheet3!$B$6:$FZ$332,35,FALSE)</f>
        <v>645597326</v>
      </c>
      <c r="S45" s="734"/>
      <c r="T45" s="323"/>
      <c r="U45" s="47"/>
      <c r="V45" s="251"/>
      <c r="W45" s="214"/>
    </row>
    <row r="46" spans="1:23" ht="15.75" x14ac:dyDescent="0.2">
      <c r="A46" s="129"/>
      <c r="B46" s="127"/>
      <c r="C46" s="729"/>
      <c r="D46" s="729"/>
      <c r="E46" s="729"/>
      <c r="F46" s="729"/>
      <c r="G46" s="729"/>
      <c r="H46" s="18"/>
      <c r="I46" s="18"/>
      <c r="J46" s="543"/>
      <c r="K46" s="539"/>
      <c r="L46" s="437"/>
      <c r="M46" s="437"/>
      <c r="N46" s="543"/>
      <c r="O46" s="539"/>
      <c r="P46" s="437"/>
      <c r="Q46" s="438"/>
      <c r="R46" s="509"/>
      <c r="S46" s="438"/>
      <c r="T46" s="323"/>
      <c r="U46" s="47"/>
      <c r="V46" s="251"/>
      <c r="W46" s="214"/>
    </row>
    <row r="47" spans="1:23" ht="16.5" thickBot="1" x14ac:dyDescent="0.25">
      <c r="A47" s="129"/>
      <c r="B47" s="127"/>
      <c r="C47" s="502"/>
      <c r="D47" s="502"/>
      <c r="E47" s="502"/>
      <c r="F47" s="502"/>
      <c r="G47" s="502"/>
      <c r="H47" s="18"/>
      <c r="I47" s="18"/>
      <c r="J47" s="543"/>
      <c r="K47" s="539"/>
      <c r="L47" s="437"/>
      <c r="M47" s="437"/>
      <c r="N47" s="543"/>
      <c r="O47" s="539"/>
      <c r="P47" s="437"/>
      <c r="Q47" s="438"/>
      <c r="R47" s="509"/>
      <c r="S47" s="438"/>
      <c r="T47" s="323"/>
      <c r="U47" s="47"/>
      <c r="V47" s="251"/>
      <c r="W47" s="214"/>
    </row>
    <row r="48" spans="1:23" ht="16.5" thickBot="1" x14ac:dyDescent="0.25">
      <c r="A48" s="129"/>
      <c r="B48" s="127"/>
      <c r="C48" s="658" t="s">
        <v>1028</v>
      </c>
      <c r="D48" s="703"/>
      <c r="E48" s="703"/>
      <c r="F48" s="703"/>
      <c r="G48" s="703"/>
      <c r="H48" s="18"/>
      <c r="I48" s="18"/>
      <c r="J48" s="742">
        <f>VLOOKUP('Part 1'!L$16,Datasheet3!$B$6:$FZ$332,36,FALSE)</f>
        <v>-7200955.6500000004</v>
      </c>
      <c r="K48" s="743"/>
      <c r="L48" s="437"/>
      <c r="M48" s="437"/>
      <c r="N48" s="742">
        <f>VLOOKUP('Part 1'!L$16,Datasheet3!$B$6:$FZ$332,37,FALSE)</f>
        <v>-6897</v>
      </c>
      <c r="O48" s="743"/>
      <c r="P48" s="437"/>
      <c r="Q48" s="438"/>
      <c r="R48" s="733">
        <f>VLOOKUP(+'Part 1'!$L$16,Datasheet3!$B$6:$FZ$332,38,FALSE)</f>
        <v>-7207852.6500000004</v>
      </c>
      <c r="S48" s="734"/>
      <c r="T48" s="323"/>
      <c r="U48" s="47"/>
      <c r="V48" s="251"/>
      <c r="W48" s="214"/>
    </row>
    <row r="49" spans="1:23" ht="15.75" x14ac:dyDescent="0.2">
      <c r="A49" s="129"/>
      <c r="B49" s="127"/>
      <c r="C49" s="729"/>
      <c r="D49" s="729"/>
      <c r="E49" s="729"/>
      <c r="F49" s="729"/>
      <c r="G49" s="729"/>
      <c r="H49" s="18"/>
      <c r="I49" s="18"/>
      <c r="J49" s="543"/>
      <c r="K49" s="539"/>
      <c r="L49" s="437"/>
      <c r="M49" s="437"/>
      <c r="N49" s="543"/>
      <c r="O49" s="539"/>
      <c r="P49" s="437"/>
      <c r="Q49" s="438"/>
      <c r="R49" s="509"/>
      <c r="S49" s="438"/>
      <c r="T49" s="323"/>
      <c r="U49" s="47"/>
      <c r="V49" s="251"/>
      <c r="W49" s="214"/>
    </row>
    <row r="50" spans="1:23" ht="15" x14ac:dyDescent="0.2">
      <c r="A50" s="129"/>
      <c r="B50" s="127"/>
      <c r="C50" s="49"/>
      <c r="D50" s="49"/>
      <c r="E50" s="49"/>
      <c r="F50" s="49"/>
      <c r="G50" s="49"/>
      <c r="H50" s="18"/>
      <c r="I50" s="18"/>
      <c r="J50" s="539"/>
      <c r="K50" s="539"/>
      <c r="L50" s="437"/>
      <c r="M50" s="437"/>
      <c r="N50" s="539"/>
      <c r="O50" s="539"/>
      <c r="P50" s="437"/>
      <c r="Q50" s="438"/>
      <c r="R50" s="438"/>
      <c r="S50" s="438"/>
      <c r="T50" s="323"/>
      <c r="U50" s="47"/>
      <c r="V50" s="251"/>
      <c r="W50" s="214"/>
    </row>
    <row r="51" spans="1:23" ht="16.5" thickBot="1" x14ac:dyDescent="0.25">
      <c r="A51" s="129"/>
      <c r="B51" s="127"/>
      <c r="C51" s="126" t="s">
        <v>33</v>
      </c>
      <c r="D51" s="49"/>
      <c r="E51" s="49"/>
      <c r="F51" s="49"/>
      <c r="G51" s="49"/>
      <c r="H51" s="18"/>
      <c r="I51" s="18"/>
      <c r="J51" s="539"/>
      <c r="K51" s="539"/>
      <c r="L51" s="437"/>
      <c r="M51" s="437"/>
      <c r="N51" s="539"/>
      <c r="O51" s="539"/>
      <c r="P51" s="437"/>
      <c r="Q51" s="438"/>
      <c r="R51" s="438"/>
      <c r="S51" s="438"/>
      <c r="T51" s="323"/>
      <c r="U51" s="47"/>
      <c r="V51" s="251"/>
      <c r="W51" s="214"/>
    </row>
    <row r="52" spans="1:23" ht="16.5" thickBot="1" x14ac:dyDescent="0.25">
      <c r="A52" s="129"/>
      <c r="B52" s="127"/>
      <c r="C52" s="74" t="s">
        <v>1029</v>
      </c>
      <c r="D52" s="49"/>
      <c r="E52" s="49"/>
      <c r="F52" s="49"/>
      <c r="G52" s="49"/>
      <c r="H52" s="18"/>
      <c r="I52" s="18"/>
      <c r="J52" s="690">
        <f>VLOOKUP('Part 1'!L$16,Datasheet3!$B$6:$FZ$332,39,FALSE)</f>
        <v>-1552842957.76</v>
      </c>
      <c r="K52" s="691"/>
      <c r="L52" s="437"/>
      <c r="M52" s="437"/>
      <c r="N52" s="690">
        <f>VLOOKUP('Part 1'!L$16,Datasheet3!$B$6:$FZ$332,40,FALSE)</f>
        <v>-4849071</v>
      </c>
      <c r="O52" s="691"/>
      <c r="P52" s="437"/>
      <c r="Q52" s="438"/>
      <c r="R52" s="733">
        <f>VLOOKUP(+'Part 1'!$L$16,Datasheet3!$B$6:$FZ$332,41,FALSE)</f>
        <v>-1557692028.76</v>
      </c>
      <c r="S52" s="734"/>
      <c r="T52" s="323"/>
      <c r="U52" s="47"/>
      <c r="V52" s="251"/>
      <c r="W52" s="214"/>
    </row>
    <row r="53" spans="1:23" ht="15.75" thickBot="1" x14ac:dyDescent="0.25">
      <c r="A53" s="129"/>
      <c r="B53" s="127"/>
      <c r="C53" s="49"/>
      <c r="D53" s="49"/>
      <c r="E53" s="49"/>
      <c r="F53" s="49"/>
      <c r="G53" s="49"/>
      <c r="H53" s="18"/>
      <c r="I53" s="18"/>
      <c r="J53" s="539"/>
      <c r="K53" s="539"/>
      <c r="L53" s="437"/>
      <c r="M53" s="437"/>
      <c r="N53" s="539"/>
      <c r="O53" s="539"/>
      <c r="P53" s="437"/>
      <c r="Q53" s="438"/>
      <c r="R53" s="438"/>
      <c r="S53" s="438"/>
      <c r="T53" s="323"/>
      <c r="U53" s="47"/>
      <c r="V53" s="251"/>
      <c r="W53" s="214"/>
    </row>
    <row r="54" spans="1:23" ht="16.5" thickBot="1" x14ac:dyDescent="0.25">
      <c r="A54" s="129"/>
      <c r="B54" s="127"/>
      <c r="C54" s="658" t="s">
        <v>1030</v>
      </c>
      <c r="D54" s="703"/>
      <c r="E54" s="703"/>
      <c r="F54" s="703"/>
      <c r="G54" s="703"/>
      <c r="H54" s="18"/>
      <c r="I54" s="18"/>
      <c r="J54" s="742">
        <f>VLOOKUP('Part 1'!L$16,Datasheet3!$B$6:$FZ$332,42,FALSE)</f>
        <v>-9658351.370000001</v>
      </c>
      <c r="K54" s="743"/>
      <c r="L54" s="437"/>
      <c r="M54" s="437"/>
      <c r="N54" s="742">
        <f>VLOOKUP('Part 1'!L$16,Datasheet3!$B$6:$FZ$332,43,FALSE)</f>
        <v>-12547</v>
      </c>
      <c r="O54" s="743"/>
      <c r="P54" s="437"/>
      <c r="Q54" s="438"/>
      <c r="R54" s="733">
        <f>VLOOKUP(+'Part 1'!$L$16,Datasheet3!$B$6:$FZ$332,44,FALSE)</f>
        <v>-9670898.370000001</v>
      </c>
      <c r="S54" s="734"/>
      <c r="T54" s="323"/>
      <c r="U54" s="47"/>
      <c r="V54" s="251"/>
      <c r="W54" s="214"/>
    </row>
    <row r="55" spans="1:23" ht="15.75" x14ac:dyDescent="0.2">
      <c r="A55" s="129"/>
      <c r="B55" s="127"/>
      <c r="C55" s="729"/>
      <c r="D55" s="729"/>
      <c r="E55" s="729"/>
      <c r="F55" s="729"/>
      <c r="G55" s="729"/>
      <c r="H55" s="18"/>
      <c r="I55" s="18"/>
      <c r="J55" s="543"/>
      <c r="K55" s="539"/>
      <c r="L55" s="437"/>
      <c r="M55" s="437"/>
      <c r="N55" s="543"/>
      <c r="O55" s="539"/>
      <c r="P55" s="437"/>
      <c r="Q55" s="438"/>
      <c r="R55" s="509"/>
      <c r="S55" s="438"/>
      <c r="T55" s="323"/>
      <c r="U55" s="47"/>
      <c r="V55" s="251"/>
      <c r="W55" s="214"/>
    </row>
    <row r="56" spans="1:23" ht="15" x14ac:dyDescent="0.2">
      <c r="A56" s="129"/>
      <c r="B56" s="127"/>
      <c r="C56" s="49"/>
      <c r="D56" s="49"/>
      <c r="E56" s="49"/>
      <c r="F56" s="49"/>
      <c r="G56" s="49"/>
      <c r="H56" s="18"/>
      <c r="I56" s="18"/>
      <c r="J56" s="539"/>
      <c r="K56" s="539"/>
      <c r="L56" s="437"/>
      <c r="M56" s="437"/>
      <c r="N56" s="539"/>
      <c r="O56" s="539"/>
      <c r="P56" s="437"/>
      <c r="Q56" s="438"/>
      <c r="R56" s="438"/>
      <c r="S56" s="438"/>
      <c r="T56" s="323"/>
      <c r="U56" s="47"/>
      <c r="V56" s="251"/>
      <c r="W56" s="214"/>
    </row>
    <row r="57" spans="1:23" ht="16.5" thickBot="1" x14ac:dyDescent="0.25">
      <c r="A57" s="129"/>
      <c r="B57" s="127"/>
      <c r="C57" s="126" t="s">
        <v>28</v>
      </c>
      <c r="D57" s="49"/>
      <c r="E57" s="49"/>
      <c r="F57" s="49"/>
      <c r="G57" s="49"/>
      <c r="H57" s="18"/>
      <c r="I57" s="18"/>
      <c r="J57" s="539"/>
      <c r="K57" s="539"/>
      <c r="L57" s="437"/>
      <c r="M57" s="437"/>
      <c r="N57" s="539"/>
      <c r="O57" s="539"/>
      <c r="P57" s="437"/>
      <c r="Q57" s="438"/>
      <c r="R57" s="438"/>
      <c r="S57" s="438"/>
      <c r="T57" s="323"/>
      <c r="U57" s="47"/>
      <c r="V57" s="251"/>
      <c r="W57" s="214"/>
    </row>
    <row r="58" spans="1:23" ht="16.5" thickBot="1" x14ac:dyDescent="0.25">
      <c r="A58" s="129"/>
      <c r="B58" s="127"/>
      <c r="C58" s="74" t="s">
        <v>1031</v>
      </c>
      <c r="D58" s="49"/>
      <c r="E58" s="49"/>
      <c r="F58" s="49"/>
      <c r="G58" s="49"/>
      <c r="H58" s="18"/>
      <c r="I58" s="18"/>
      <c r="J58" s="690">
        <f>VLOOKUP('Part 1'!L$16,Datasheet3!$B$6:$FZ$332,45,FALSE)</f>
        <v>-20457612.439999998</v>
      </c>
      <c r="K58" s="691"/>
      <c r="L58" s="437"/>
      <c r="M58" s="437"/>
      <c r="N58" s="690">
        <f>VLOOKUP('Part 1'!L$16,Datasheet3!$B$6:$FZ$332,46,FALSE)</f>
        <v>0</v>
      </c>
      <c r="O58" s="691"/>
      <c r="P58" s="437"/>
      <c r="Q58" s="438"/>
      <c r="R58" s="733">
        <f>VLOOKUP(+'Part 1'!$L$16,Datasheet3!$B$6:$FZ$332,47,FALSE)</f>
        <v>-20457612.439999998</v>
      </c>
      <c r="S58" s="734"/>
      <c r="T58" s="323"/>
      <c r="U58" s="47"/>
      <c r="V58" s="251"/>
      <c r="W58" s="214"/>
    </row>
    <row r="59" spans="1:23" ht="15.75" thickBot="1" x14ac:dyDescent="0.25">
      <c r="A59" s="129"/>
      <c r="B59" s="127"/>
      <c r="C59" s="49"/>
      <c r="D59" s="49"/>
      <c r="E59" s="49"/>
      <c r="F59" s="49"/>
      <c r="G59" s="49"/>
      <c r="H59" s="18"/>
      <c r="I59" s="18"/>
      <c r="J59" s="506"/>
      <c r="K59" s="506"/>
      <c r="L59" s="510"/>
      <c r="M59" s="510"/>
      <c r="N59" s="506"/>
      <c r="O59" s="506"/>
      <c r="P59" s="510"/>
      <c r="Q59" s="439"/>
      <c r="R59" s="439"/>
      <c r="S59" s="439"/>
      <c r="T59" s="323"/>
      <c r="U59" s="47"/>
      <c r="V59" s="251"/>
      <c r="W59" s="214"/>
    </row>
    <row r="60" spans="1:23" ht="16.5" thickBot="1" x14ac:dyDescent="0.25">
      <c r="A60" s="129"/>
      <c r="B60" s="127"/>
      <c r="C60" s="658" t="s">
        <v>1032</v>
      </c>
      <c r="D60" s="703"/>
      <c r="E60" s="703"/>
      <c r="F60" s="703"/>
      <c r="G60" s="703"/>
      <c r="H60" s="18"/>
      <c r="I60" s="18"/>
      <c r="J60" s="742">
        <f>VLOOKUP('Part 1'!L$16,Datasheet3!$B$6:$FZ$332,48,FALSE)</f>
        <v>-682461.2</v>
      </c>
      <c r="K60" s="743"/>
      <c r="L60" s="437"/>
      <c r="M60" s="437"/>
      <c r="N60" s="742">
        <f>VLOOKUP('Part 1'!L$16,Datasheet3!$B$6:$FZ$332,49,FALSE)</f>
        <v>0</v>
      </c>
      <c r="O60" s="743"/>
      <c r="P60" s="437"/>
      <c r="Q60" s="438"/>
      <c r="R60" s="733">
        <f>VLOOKUP(+'Part 1'!$L$16,Datasheet3!$B$6:$FZ$332,50,FALSE)</f>
        <v>-682461.2</v>
      </c>
      <c r="S60" s="734"/>
      <c r="T60" s="323"/>
      <c r="U60" s="47"/>
      <c r="V60" s="251"/>
      <c r="W60" s="214"/>
    </row>
    <row r="61" spans="1:23" ht="15.75" x14ac:dyDescent="0.2">
      <c r="A61" s="129"/>
      <c r="B61" s="127"/>
      <c r="C61" s="729"/>
      <c r="D61" s="729"/>
      <c r="E61" s="729"/>
      <c r="F61" s="729"/>
      <c r="G61" s="729"/>
      <c r="H61" s="18"/>
      <c r="I61" s="18"/>
      <c r="J61" s="543"/>
      <c r="K61" s="539"/>
      <c r="L61" s="437"/>
      <c r="M61" s="437"/>
      <c r="N61" s="543"/>
      <c r="O61" s="539"/>
      <c r="P61" s="437"/>
      <c r="Q61" s="438"/>
      <c r="R61" s="509"/>
      <c r="S61" s="438"/>
      <c r="T61" s="323"/>
      <c r="U61" s="47"/>
      <c r="V61" s="251"/>
      <c r="W61" s="214"/>
    </row>
    <row r="62" spans="1:23" ht="15" x14ac:dyDescent="0.2">
      <c r="A62" s="129"/>
      <c r="B62" s="127"/>
      <c r="C62" s="49"/>
      <c r="D62" s="49"/>
      <c r="E62" s="49"/>
      <c r="F62" s="49"/>
      <c r="G62" s="49"/>
      <c r="H62" s="18"/>
      <c r="I62" s="18"/>
      <c r="J62" s="506"/>
      <c r="K62" s="506"/>
      <c r="L62" s="510"/>
      <c r="M62" s="510"/>
      <c r="N62" s="506"/>
      <c r="O62" s="506"/>
      <c r="P62" s="510"/>
      <c r="Q62" s="439"/>
      <c r="R62" s="439"/>
      <c r="S62" s="439"/>
      <c r="T62" s="324"/>
      <c r="U62" s="47"/>
      <c r="V62" s="251"/>
      <c r="W62" s="214"/>
    </row>
    <row r="63" spans="1:23" ht="16.5" thickBot="1" x14ac:dyDescent="0.25">
      <c r="A63" s="129"/>
      <c r="B63" s="127"/>
      <c r="C63" s="126" t="s">
        <v>35</v>
      </c>
      <c r="D63" s="49"/>
      <c r="E63" s="49"/>
      <c r="F63" s="49"/>
      <c r="G63" s="49"/>
      <c r="H63" s="18"/>
      <c r="I63" s="18"/>
      <c r="J63" s="539"/>
      <c r="K63" s="539"/>
      <c r="L63" s="437"/>
      <c r="M63" s="437"/>
      <c r="N63" s="539"/>
      <c r="O63" s="539"/>
      <c r="P63" s="437"/>
      <c r="Q63" s="438"/>
      <c r="R63" s="438"/>
      <c r="S63" s="438"/>
      <c r="T63" s="323"/>
      <c r="U63" s="47"/>
      <c r="V63" s="251"/>
      <c r="W63" s="214"/>
    </row>
    <row r="64" spans="1:23" ht="16.5" thickBot="1" x14ac:dyDescent="0.25">
      <c r="A64" s="129"/>
      <c r="B64" s="127"/>
      <c r="C64" s="74" t="s">
        <v>1033</v>
      </c>
      <c r="D64" s="49"/>
      <c r="E64" s="49"/>
      <c r="F64" s="49"/>
      <c r="G64" s="49"/>
      <c r="H64" s="18"/>
      <c r="I64" s="18"/>
      <c r="J64" s="690">
        <f>VLOOKUP('Part 1'!L$16,Datasheet3!$B$6:$FZ$332,51,FALSE)</f>
        <v>-6040724</v>
      </c>
      <c r="K64" s="691"/>
      <c r="L64" s="437"/>
      <c r="M64" s="437"/>
      <c r="N64" s="690">
        <f>VLOOKUP('Part 1'!L$16,Datasheet3!$B$6:$FZ$332,52,FALSE)</f>
        <v>0</v>
      </c>
      <c r="O64" s="691"/>
      <c r="P64" s="437"/>
      <c r="Q64" s="438"/>
      <c r="R64" s="733">
        <f>VLOOKUP(+'Part 1'!$L$16,Datasheet3!$B$6:$FZ$332,53,FALSE)</f>
        <v>-6040724</v>
      </c>
      <c r="S64" s="734"/>
      <c r="T64" s="323"/>
      <c r="U64" s="47"/>
      <c r="V64" s="251"/>
      <c r="W64" s="214"/>
    </row>
    <row r="65" spans="1:25" ht="15.75" thickBot="1" x14ac:dyDescent="0.25">
      <c r="A65" s="129"/>
      <c r="B65" s="127"/>
      <c r="C65" s="49"/>
      <c r="D65" s="49"/>
      <c r="E65" s="49"/>
      <c r="F65" s="49"/>
      <c r="G65" s="49"/>
      <c r="H65" s="18"/>
      <c r="I65" s="18"/>
      <c r="J65" s="506"/>
      <c r="K65" s="506"/>
      <c r="L65" s="510"/>
      <c r="M65" s="510"/>
      <c r="N65" s="506"/>
      <c r="O65" s="506"/>
      <c r="P65" s="510"/>
      <c r="Q65" s="439"/>
      <c r="R65" s="439"/>
      <c r="S65" s="439"/>
      <c r="T65" s="323"/>
      <c r="U65" s="47"/>
      <c r="V65" s="251"/>
      <c r="W65" s="214"/>
    </row>
    <row r="66" spans="1:25" ht="16.5" thickBot="1" x14ac:dyDescent="0.25">
      <c r="A66" s="129"/>
      <c r="B66" s="127"/>
      <c r="C66" s="658" t="s">
        <v>1034</v>
      </c>
      <c r="D66" s="703"/>
      <c r="E66" s="703"/>
      <c r="F66" s="703"/>
      <c r="G66" s="703"/>
      <c r="H66" s="18"/>
      <c r="I66" s="18"/>
      <c r="J66" s="742">
        <f>VLOOKUP('Part 1'!L$16,Datasheet3!$B$6:$FZ$332,54,FALSE)</f>
        <v>5319</v>
      </c>
      <c r="K66" s="743"/>
      <c r="L66" s="437"/>
      <c r="M66" s="437"/>
      <c r="N66" s="742">
        <f>VLOOKUP('Part 1'!L$16,Datasheet3!$B$6:$FZ$332,55,FALSE)</f>
        <v>0</v>
      </c>
      <c r="O66" s="743"/>
      <c r="P66" s="437"/>
      <c r="Q66" s="438"/>
      <c r="R66" s="733">
        <f>VLOOKUP(+'Part 1'!$L$16,Datasheet3!$B$6:$FZ$332,56,FALSE)</f>
        <v>5319</v>
      </c>
      <c r="S66" s="734"/>
      <c r="T66" s="323"/>
      <c r="U66" s="47"/>
      <c r="V66" s="251"/>
      <c r="W66" s="214"/>
    </row>
    <row r="67" spans="1:25" ht="15.75" x14ac:dyDescent="0.2">
      <c r="A67" s="129"/>
      <c r="B67" s="127"/>
      <c r="C67" s="729"/>
      <c r="D67" s="729"/>
      <c r="E67" s="729"/>
      <c r="F67" s="729"/>
      <c r="G67" s="729"/>
      <c r="H67" s="18"/>
      <c r="I67" s="18"/>
      <c r="J67" s="505"/>
      <c r="K67" s="64"/>
      <c r="L67" s="437"/>
      <c r="M67" s="437"/>
      <c r="N67" s="505"/>
      <c r="O67" s="64"/>
      <c r="P67" s="437"/>
      <c r="Q67" s="438"/>
      <c r="R67" s="325"/>
      <c r="S67" s="322"/>
      <c r="T67" s="323"/>
      <c r="U67" s="47"/>
      <c r="V67" s="251"/>
      <c r="W67" s="214"/>
    </row>
    <row r="68" spans="1:25" ht="16.5" thickBot="1" x14ac:dyDescent="0.25">
      <c r="A68" s="129"/>
      <c r="B68" s="164"/>
      <c r="C68" s="135"/>
      <c r="D68" s="135"/>
      <c r="E68" s="135"/>
      <c r="F68" s="135"/>
      <c r="G68" s="135"/>
      <c r="H68" s="123"/>
      <c r="I68" s="18"/>
      <c r="J68" s="505"/>
      <c r="K68" s="64"/>
      <c r="L68" s="437"/>
      <c r="M68" s="437"/>
      <c r="N68" s="505"/>
      <c r="O68" s="64"/>
      <c r="P68" s="437"/>
      <c r="Q68" s="438"/>
      <c r="R68" s="325"/>
      <c r="S68" s="322"/>
      <c r="T68" s="323"/>
      <c r="U68" s="47"/>
      <c r="V68" s="251"/>
      <c r="W68" s="214"/>
    </row>
    <row r="69" spans="1:25" ht="16.5" thickBot="1" x14ac:dyDescent="0.25">
      <c r="A69" s="129"/>
      <c r="B69" s="165"/>
      <c r="C69" s="166"/>
      <c r="D69" s="166"/>
      <c r="E69" s="166"/>
      <c r="F69" s="166"/>
      <c r="G69" s="166"/>
      <c r="H69" s="167"/>
      <c r="I69" s="152"/>
      <c r="J69" s="161"/>
      <c r="K69" s="153"/>
      <c r="L69" s="514"/>
      <c r="M69" s="514"/>
      <c r="N69" s="161"/>
      <c r="O69" s="153"/>
      <c r="P69" s="514"/>
      <c r="Q69" s="515"/>
      <c r="R69" s="331"/>
      <c r="S69" s="326"/>
      <c r="T69" s="327"/>
      <c r="U69" s="47"/>
      <c r="V69" s="251"/>
      <c r="W69" s="214"/>
    </row>
    <row r="70" spans="1:25" ht="16.5" thickBot="1" x14ac:dyDescent="0.25">
      <c r="A70" s="129"/>
      <c r="B70" s="168"/>
      <c r="C70" s="732" t="s">
        <v>1035</v>
      </c>
      <c r="D70" s="732"/>
      <c r="E70" s="732"/>
      <c r="F70" s="732"/>
      <c r="G70" s="135"/>
      <c r="H70" s="123"/>
      <c r="I70" s="18"/>
      <c r="J70" s="730">
        <f>VLOOKUP('Part 1'!L$16,Datasheet3!$B$6:$FZ$332,57,FALSE)</f>
        <v>-2130347225</v>
      </c>
      <c r="K70" s="731"/>
      <c r="L70" s="437"/>
      <c r="M70" s="437"/>
      <c r="N70" s="730">
        <f>VLOOKUP('Part 1'!L$16,Datasheet3!$B$6:$FZ$332,58,FALSE)</f>
        <v>-2949330</v>
      </c>
      <c r="O70" s="731"/>
      <c r="P70" s="437"/>
      <c r="Q70" s="438"/>
      <c r="R70" s="733">
        <f>VLOOKUP(+'Part 1'!$L$16,Datasheet3!$B$6:$FZ$332,59,FALSE)</f>
        <v>-2133296555</v>
      </c>
      <c r="S70" s="734"/>
      <c r="T70" s="328"/>
      <c r="U70" s="47"/>
      <c r="V70" s="251"/>
      <c r="W70" s="214"/>
      <c r="Y70" s="573"/>
    </row>
    <row r="71" spans="1:25" ht="16.5" thickBot="1" x14ac:dyDescent="0.25">
      <c r="A71" s="129"/>
      <c r="B71" s="169"/>
      <c r="C71" s="170"/>
      <c r="D71" s="170"/>
      <c r="E71" s="170"/>
      <c r="F71" s="170"/>
      <c r="G71" s="170"/>
      <c r="H71" s="171"/>
      <c r="I71" s="158"/>
      <c r="J71" s="162"/>
      <c r="K71" s="163"/>
      <c r="L71" s="523"/>
      <c r="M71" s="523"/>
      <c r="N71" s="162"/>
      <c r="O71" s="163"/>
      <c r="P71" s="523"/>
      <c r="Q71" s="534"/>
      <c r="R71" s="333"/>
      <c r="S71" s="332"/>
      <c r="T71" s="330"/>
      <c r="U71" s="47"/>
      <c r="V71" s="251"/>
      <c r="W71" s="214"/>
    </row>
    <row r="72" spans="1:25" ht="16.5" thickBot="1" x14ac:dyDescent="0.25">
      <c r="A72" s="132"/>
      <c r="B72" s="393"/>
      <c r="C72" s="394"/>
      <c r="D72" s="394"/>
      <c r="E72" s="394"/>
      <c r="F72" s="394"/>
      <c r="G72" s="394"/>
      <c r="H72" s="119"/>
      <c r="I72" s="70"/>
      <c r="J72" s="395"/>
      <c r="K72" s="396"/>
      <c r="L72" s="524"/>
      <c r="M72" s="524"/>
      <c r="N72" s="395"/>
      <c r="O72" s="396"/>
      <c r="P72" s="524"/>
      <c r="Q72" s="535"/>
      <c r="R72" s="335"/>
      <c r="S72" s="334"/>
      <c r="T72" s="336"/>
      <c r="U72" s="48"/>
      <c r="V72" s="251"/>
      <c r="W72" s="214"/>
    </row>
    <row r="73" spans="1:25" ht="15.75" hidden="1" customHeight="1" x14ac:dyDescent="0.2">
      <c r="A73" s="129"/>
      <c r="B73" s="127"/>
      <c r="C73" s="49"/>
      <c r="D73" s="49"/>
      <c r="E73" s="49"/>
      <c r="F73" s="49"/>
      <c r="G73" s="49"/>
      <c r="H73" s="18"/>
      <c r="I73" s="18"/>
      <c r="J73" s="505"/>
      <c r="K73" s="64"/>
      <c r="L73" s="437"/>
      <c r="M73" s="437"/>
      <c r="N73" s="505"/>
      <c r="O73" s="64"/>
      <c r="P73" s="437"/>
      <c r="Q73" s="438"/>
      <c r="R73" s="325"/>
      <c r="S73" s="322"/>
      <c r="T73" s="323"/>
      <c r="U73" s="47"/>
      <c r="V73" s="251"/>
      <c r="W73" s="214"/>
    </row>
    <row r="74" spans="1:25" ht="15.75" x14ac:dyDescent="0.2">
      <c r="A74" s="415"/>
      <c r="B74" s="416"/>
      <c r="C74" s="607" t="s">
        <v>1289</v>
      </c>
      <c r="D74" s="417"/>
      <c r="E74" s="417"/>
      <c r="F74" s="417"/>
      <c r="G74" s="417"/>
      <c r="H74" s="418"/>
      <c r="I74" s="418"/>
      <c r="J74" s="419"/>
      <c r="K74" s="419"/>
      <c r="L74" s="525"/>
      <c r="M74" s="525"/>
      <c r="N74" s="419"/>
      <c r="O74" s="419"/>
      <c r="P74" s="525"/>
      <c r="Q74" s="536"/>
      <c r="R74" s="420"/>
      <c r="S74" s="420"/>
      <c r="T74" s="421"/>
      <c r="U74" s="422"/>
      <c r="V74" s="251"/>
      <c r="W74" s="214"/>
    </row>
    <row r="75" spans="1:25" ht="16.5" thickBot="1" x14ac:dyDescent="0.25">
      <c r="A75" s="129"/>
      <c r="B75" s="127"/>
      <c r="C75" s="126" t="s">
        <v>1</v>
      </c>
      <c r="D75" s="49"/>
      <c r="E75" s="49"/>
      <c r="F75" s="49"/>
      <c r="G75" s="49"/>
      <c r="H75" s="18"/>
      <c r="I75" s="18"/>
      <c r="J75" s="64"/>
      <c r="K75" s="64"/>
      <c r="L75" s="437"/>
      <c r="M75" s="437"/>
      <c r="N75" s="64"/>
      <c r="O75" s="64"/>
      <c r="P75" s="437"/>
      <c r="Q75" s="438"/>
      <c r="R75" s="322"/>
      <c r="S75" s="322"/>
      <c r="T75" s="323"/>
      <c r="U75" s="47"/>
      <c r="V75" s="251"/>
      <c r="W75" s="214"/>
    </row>
    <row r="76" spans="1:25" ht="16.5" thickBot="1" x14ac:dyDescent="0.25">
      <c r="A76" s="129"/>
      <c r="B76" s="127"/>
      <c r="C76" s="74" t="s">
        <v>1036</v>
      </c>
      <c r="D76" s="49"/>
      <c r="E76" s="49"/>
      <c r="F76" s="49"/>
      <c r="G76" s="49"/>
      <c r="H76" s="18"/>
      <c r="I76" s="18"/>
      <c r="J76" s="730">
        <f>VLOOKUP('Part 1'!L$16,Datasheet3!$B$6:$FZ$332,60,FALSE)</f>
        <v>-32205798.52</v>
      </c>
      <c r="K76" s="731"/>
      <c r="L76" s="437"/>
      <c r="M76" s="437"/>
      <c r="N76" s="730">
        <f>VLOOKUP('Part 1'!L$16,Datasheet3!$B$6:$FZ$332,61,FALSE)</f>
        <v>-190697</v>
      </c>
      <c r="O76" s="731"/>
      <c r="P76" s="437"/>
      <c r="Q76" s="438"/>
      <c r="R76" s="733">
        <f>VLOOKUP(+'Part 1'!$L$16,Datasheet3!$B$6:$FZ$332,62,FALSE)</f>
        <v>-32396495.52</v>
      </c>
      <c r="S76" s="734"/>
      <c r="T76" s="323"/>
      <c r="U76" s="47"/>
      <c r="V76" s="251"/>
      <c r="W76" s="214"/>
    </row>
    <row r="77" spans="1:25" ht="15.75" thickBot="1" x14ac:dyDescent="0.25">
      <c r="A77" s="129"/>
      <c r="B77" s="127"/>
      <c r="C77" s="49"/>
      <c r="D77" s="49"/>
      <c r="E77" s="49"/>
      <c r="F77" s="49"/>
      <c r="G77" s="49"/>
      <c r="H77" s="18"/>
      <c r="I77" s="18"/>
      <c r="J77" s="506"/>
      <c r="K77" s="506"/>
      <c r="L77" s="510"/>
      <c r="M77" s="510"/>
      <c r="N77" s="506"/>
      <c r="O77" s="506"/>
      <c r="P77" s="510"/>
      <c r="Q77" s="439"/>
      <c r="R77" s="439"/>
      <c r="S77" s="439"/>
      <c r="T77" s="324"/>
      <c r="U77" s="47"/>
      <c r="V77" s="251"/>
      <c r="W77" s="214"/>
    </row>
    <row r="78" spans="1:25" ht="16.5" thickBot="1" x14ac:dyDescent="0.25">
      <c r="A78" s="129"/>
      <c r="B78" s="127"/>
      <c r="C78" s="658" t="s">
        <v>1037</v>
      </c>
      <c r="D78" s="703"/>
      <c r="E78" s="703"/>
      <c r="F78" s="703"/>
      <c r="G78" s="703"/>
      <c r="H78" s="18"/>
      <c r="I78" s="18"/>
      <c r="J78" s="730">
        <f>VLOOKUP('Part 1'!L$16,Datasheet3!$B$6:$FZ$332,63,FALSE)</f>
        <v>-12842893.460000001</v>
      </c>
      <c r="K78" s="731"/>
      <c r="L78" s="437"/>
      <c r="M78" s="437"/>
      <c r="N78" s="730">
        <f>VLOOKUP('Part 1'!L$16,Datasheet3!$B$6:$FZ$332,64,FALSE)</f>
        <v>-544</v>
      </c>
      <c r="O78" s="731"/>
      <c r="P78" s="437"/>
      <c r="Q78" s="438"/>
      <c r="R78" s="733">
        <f>VLOOKUP(+'Part 1'!$L$16,Datasheet3!$B$6:$FZ$332,65,FALSE)</f>
        <v>-12843437.460000001</v>
      </c>
      <c r="S78" s="734"/>
      <c r="T78" s="323"/>
      <c r="U78" s="47"/>
      <c r="V78" s="251"/>
      <c r="W78" s="214"/>
    </row>
    <row r="79" spans="1:25" ht="15.75" x14ac:dyDescent="0.2">
      <c r="A79" s="129"/>
      <c r="B79" s="127"/>
      <c r="C79" s="729"/>
      <c r="D79" s="729"/>
      <c r="E79" s="729"/>
      <c r="F79" s="729"/>
      <c r="G79" s="729"/>
      <c r="H79" s="18"/>
      <c r="I79" s="18"/>
      <c r="J79" s="543"/>
      <c r="K79" s="539"/>
      <c r="L79" s="437"/>
      <c r="M79" s="437"/>
      <c r="N79" s="543"/>
      <c r="O79" s="539"/>
      <c r="P79" s="437"/>
      <c r="Q79" s="438"/>
      <c r="R79" s="509"/>
      <c r="S79" s="438"/>
      <c r="T79" s="323"/>
      <c r="U79" s="47"/>
      <c r="V79" s="251"/>
      <c r="W79" s="214"/>
    </row>
    <row r="80" spans="1:25" ht="15" x14ac:dyDescent="0.2">
      <c r="A80" s="129"/>
      <c r="B80" s="127"/>
      <c r="C80" s="49"/>
      <c r="D80" s="49"/>
      <c r="E80" s="49"/>
      <c r="F80" s="49"/>
      <c r="G80" s="49"/>
      <c r="H80" s="18"/>
      <c r="I80" s="18"/>
      <c r="J80" s="506"/>
      <c r="K80" s="506"/>
      <c r="L80" s="510"/>
      <c r="M80" s="510"/>
      <c r="N80" s="506"/>
      <c r="O80" s="506"/>
      <c r="P80" s="510"/>
      <c r="Q80" s="439"/>
      <c r="R80" s="439"/>
      <c r="S80" s="439"/>
      <c r="T80" s="323"/>
      <c r="U80" s="47"/>
      <c r="V80" s="251"/>
      <c r="W80" s="214"/>
    </row>
    <row r="81" spans="1:23" ht="16.5" thickBot="1" x14ac:dyDescent="0.25">
      <c r="A81" s="129"/>
      <c r="B81" s="127"/>
      <c r="C81" s="126" t="s">
        <v>2</v>
      </c>
      <c r="D81" s="49"/>
      <c r="E81" s="49"/>
      <c r="F81" s="49"/>
      <c r="G81" s="49"/>
      <c r="H81" s="18"/>
      <c r="I81" s="18"/>
      <c r="J81" s="539"/>
      <c r="K81" s="539"/>
      <c r="L81" s="437"/>
      <c r="M81" s="437"/>
      <c r="N81" s="539"/>
      <c r="O81" s="539"/>
      <c r="P81" s="437"/>
      <c r="Q81" s="438"/>
      <c r="R81" s="438"/>
      <c r="S81" s="438"/>
      <c r="T81" s="323"/>
      <c r="U81" s="47"/>
      <c r="V81" s="251"/>
      <c r="W81" s="214"/>
    </row>
    <row r="82" spans="1:23" ht="16.5" customHeight="1" thickBot="1" x14ac:dyDescent="0.25">
      <c r="A82" s="129"/>
      <c r="B82" s="127"/>
      <c r="C82" s="74" t="s">
        <v>1038</v>
      </c>
      <c r="D82" s="49"/>
      <c r="E82" s="49"/>
      <c r="F82" s="49"/>
      <c r="G82" s="49"/>
      <c r="H82" s="18"/>
      <c r="I82" s="18"/>
      <c r="J82" s="730">
        <f>VLOOKUP('Part 1'!L$16,Datasheet3!$B$6:$FZ$332,66,FALSE)</f>
        <v>-921098597.79999995</v>
      </c>
      <c r="K82" s="731"/>
      <c r="L82" s="437"/>
      <c r="M82" s="437"/>
      <c r="N82" s="730">
        <f>VLOOKUP('Part 1'!L$16,Datasheet3!$B$6:$FZ$332,67,FALSE)</f>
        <v>-13807541</v>
      </c>
      <c r="O82" s="731"/>
      <c r="P82" s="437"/>
      <c r="Q82" s="438"/>
      <c r="R82" s="733">
        <f>VLOOKUP(+'Part 1'!$L$16,Datasheet3!$B$6:$FZ$332,68,FALSE)</f>
        <v>-934906138.79999995</v>
      </c>
      <c r="S82" s="734"/>
      <c r="T82" s="323"/>
      <c r="U82" s="47"/>
      <c r="V82" s="251"/>
      <c r="W82" s="214"/>
    </row>
    <row r="83" spans="1:23" ht="16.5" customHeight="1" thickBot="1" x14ac:dyDescent="0.25">
      <c r="A83" s="129"/>
      <c r="B83" s="127"/>
      <c r="C83" s="49"/>
      <c r="D83" s="49"/>
      <c r="E83" s="49"/>
      <c r="F83" s="49"/>
      <c r="G83" s="49"/>
      <c r="H83" s="18"/>
      <c r="I83" s="18"/>
      <c r="J83" s="506"/>
      <c r="K83" s="506"/>
      <c r="L83" s="510"/>
      <c r="M83" s="510"/>
      <c r="N83" s="506"/>
      <c r="O83" s="506"/>
      <c r="P83" s="510"/>
      <c r="Q83" s="439"/>
      <c r="R83" s="439"/>
      <c r="S83" s="439"/>
      <c r="T83" s="324"/>
      <c r="U83" s="47"/>
      <c r="V83" s="251"/>
      <c r="W83" s="214"/>
    </row>
    <row r="84" spans="1:23" ht="16.5" customHeight="1" thickBot="1" x14ac:dyDescent="0.25">
      <c r="A84" s="129"/>
      <c r="B84" s="127"/>
      <c r="C84" s="658" t="s">
        <v>1039</v>
      </c>
      <c r="D84" s="703"/>
      <c r="E84" s="703"/>
      <c r="F84" s="703"/>
      <c r="G84" s="703"/>
      <c r="H84" s="18"/>
      <c r="I84" s="18"/>
      <c r="J84" s="730">
        <f>VLOOKUP('Part 1'!L$16,Datasheet3!$B$6:$FZ$332,69,FALSE)</f>
        <v>-18992462.59</v>
      </c>
      <c r="K84" s="731"/>
      <c r="L84" s="437"/>
      <c r="M84" s="437"/>
      <c r="N84" s="730">
        <f>VLOOKUP('Part 1'!L$16,Datasheet3!$B$6:$FZ$332,70,FALSE)</f>
        <v>58277</v>
      </c>
      <c r="O84" s="731"/>
      <c r="P84" s="437"/>
      <c r="Q84" s="438"/>
      <c r="R84" s="733">
        <f>VLOOKUP(+'Part 1'!$L$16,Datasheet3!$B$6:$FZ$332,71,FALSE)</f>
        <v>-18934185.59</v>
      </c>
      <c r="S84" s="734"/>
      <c r="T84" s="323"/>
      <c r="U84" s="47"/>
      <c r="V84" s="251"/>
      <c r="W84" s="214"/>
    </row>
    <row r="85" spans="1:23" ht="16.5" customHeight="1" x14ac:dyDescent="0.2">
      <c r="A85" s="129"/>
      <c r="B85" s="127"/>
      <c r="C85" s="729"/>
      <c r="D85" s="729"/>
      <c r="E85" s="729"/>
      <c r="F85" s="729"/>
      <c r="G85" s="729"/>
      <c r="H85" s="18"/>
      <c r="I85" s="18"/>
      <c r="J85" s="505"/>
      <c r="K85" s="64"/>
      <c r="L85" s="437"/>
      <c r="M85" s="437"/>
      <c r="N85" s="505"/>
      <c r="O85" s="64"/>
      <c r="P85" s="437"/>
      <c r="Q85" s="438"/>
      <c r="R85" s="325"/>
      <c r="S85" s="322"/>
      <c r="T85" s="323"/>
      <c r="U85" s="47"/>
      <c r="V85" s="251"/>
      <c r="W85" s="214"/>
    </row>
    <row r="86" spans="1:23" ht="16.5" customHeight="1" thickBot="1" x14ac:dyDescent="0.25">
      <c r="A86" s="129"/>
      <c r="B86" s="127"/>
      <c r="C86" s="135"/>
      <c r="D86" s="135"/>
      <c r="E86" s="135"/>
      <c r="F86" s="135"/>
      <c r="G86" s="135"/>
      <c r="H86" s="18"/>
      <c r="I86" s="18"/>
      <c r="J86" s="505"/>
      <c r="K86" s="64"/>
      <c r="L86" s="437"/>
      <c r="M86" s="437"/>
      <c r="N86" s="505"/>
      <c r="O86" s="64"/>
      <c r="P86" s="437"/>
      <c r="Q86" s="438"/>
      <c r="R86" s="325"/>
      <c r="S86" s="322"/>
      <c r="T86" s="323"/>
      <c r="U86" s="47"/>
      <c r="V86" s="251"/>
      <c r="W86" s="214"/>
    </row>
    <row r="87" spans="1:23" ht="16.5" customHeight="1" thickBot="1" x14ac:dyDescent="0.25">
      <c r="A87" s="129"/>
      <c r="B87" s="150"/>
      <c r="C87" s="166"/>
      <c r="D87" s="166"/>
      <c r="E87" s="166"/>
      <c r="F87" s="166"/>
      <c r="G87" s="166"/>
      <c r="H87" s="152"/>
      <c r="I87" s="152"/>
      <c r="J87" s="161"/>
      <c r="K87" s="153"/>
      <c r="L87" s="514"/>
      <c r="M87" s="514"/>
      <c r="N87" s="161"/>
      <c r="O87" s="153"/>
      <c r="P87" s="514"/>
      <c r="Q87" s="515"/>
      <c r="R87" s="331"/>
      <c r="S87" s="326"/>
      <c r="T87" s="327"/>
      <c r="U87" s="47"/>
      <c r="V87" s="251"/>
      <c r="W87" s="214"/>
    </row>
    <row r="88" spans="1:23" ht="16.5" customHeight="1" thickBot="1" x14ac:dyDescent="0.25">
      <c r="A88" s="129"/>
      <c r="B88" s="155"/>
      <c r="C88" s="732" t="s">
        <v>1040</v>
      </c>
      <c r="D88" s="732"/>
      <c r="E88" s="732"/>
      <c r="F88" s="732"/>
      <c r="G88" s="732"/>
      <c r="H88" s="18"/>
      <c r="I88" s="18"/>
      <c r="J88" s="730">
        <f>VLOOKUP('Part 1'!L$16,Datasheet3!$B$6:$FZ$332,72,FALSE)</f>
        <v>-985139752</v>
      </c>
      <c r="K88" s="731"/>
      <c r="L88" s="437"/>
      <c r="M88" s="437"/>
      <c r="N88" s="730">
        <f>VLOOKUP('Part 1'!L$16,Datasheet3!$B$6:$FZ$332,73,FALSE)</f>
        <v>-13940505</v>
      </c>
      <c r="O88" s="731"/>
      <c r="P88" s="437"/>
      <c r="Q88" s="438"/>
      <c r="R88" s="733">
        <f>VLOOKUP(+'Part 1'!$L$16,Datasheet3!$B$6:$FZ$332,74,FALSE)</f>
        <v>-999080257</v>
      </c>
      <c r="S88" s="734"/>
      <c r="T88" s="328"/>
      <c r="U88" s="47"/>
      <c r="V88" s="251"/>
      <c r="W88" s="214"/>
    </row>
    <row r="89" spans="1:23" ht="16.5" customHeight="1" thickBot="1" x14ac:dyDescent="0.25">
      <c r="A89" s="129"/>
      <c r="B89" s="156"/>
      <c r="C89" s="170"/>
      <c r="D89" s="170"/>
      <c r="E89" s="170"/>
      <c r="F89" s="170"/>
      <c r="G89" s="170"/>
      <c r="H89" s="158"/>
      <c r="I89" s="158"/>
      <c r="J89" s="162"/>
      <c r="K89" s="163"/>
      <c r="L89" s="523"/>
      <c r="M89" s="523"/>
      <c r="N89" s="162"/>
      <c r="O89" s="163"/>
      <c r="P89" s="523"/>
      <c r="Q89" s="534"/>
      <c r="R89" s="333"/>
      <c r="S89" s="332"/>
      <c r="T89" s="330"/>
      <c r="U89" s="47"/>
      <c r="V89" s="251"/>
      <c r="W89" s="214"/>
    </row>
    <row r="90" spans="1:23" ht="15" x14ac:dyDescent="0.2">
      <c r="A90" s="129"/>
      <c r="B90" s="127"/>
      <c r="C90" s="49"/>
      <c r="D90" s="49"/>
      <c r="E90" s="49"/>
      <c r="F90" s="49"/>
      <c r="G90" s="49"/>
      <c r="H90" s="18"/>
      <c r="I90" s="18"/>
      <c r="J90" s="64"/>
      <c r="K90" s="64"/>
      <c r="L90" s="437"/>
      <c r="M90" s="437"/>
      <c r="N90" s="64"/>
      <c r="O90" s="64"/>
      <c r="P90" s="437"/>
      <c r="Q90" s="438"/>
      <c r="R90" s="322"/>
      <c r="S90" s="322"/>
      <c r="T90" s="323"/>
      <c r="U90" s="47"/>
      <c r="V90" s="251"/>
      <c r="W90" s="214"/>
    </row>
    <row r="91" spans="1:23" ht="15.75" x14ac:dyDescent="0.2">
      <c r="A91" s="129"/>
      <c r="B91" s="127"/>
      <c r="C91" s="494" t="s">
        <v>1290</v>
      </c>
      <c r="D91" s="49"/>
      <c r="E91" s="49"/>
      <c r="F91" s="49"/>
      <c r="G91" s="49"/>
      <c r="H91" s="18"/>
      <c r="I91" s="18"/>
      <c r="J91" s="64"/>
      <c r="K91" s="64"/>
      <c r="L91" s="437"/>
      <c r="M91" s="437"/>
      <c r="N91" s="64"/>
      <c r="O91" s="64"/>
      <c r="P91" s="437"/>
      <c r="Q91" s="438"/>
      <c r="R91" s="322"/>
      <c r="S91" s="322"/>
      <c r="T91" s="323"/>
      <c r="U91" s="47"/>
      <c r="V91" s="251"/>
      <c r="W91" s="214"/>
    </row>
    <row r="92" spans="1:23" ht="16.5" thickBot="1" x14ac:dyDescent="0.25">
      <c r="A92" s="129"/>
      <c r="B92" s="127"/>
      <c r="C92" s="126" t="s">
        <v>33</v>
      </c>
      <c r="D92" s="49"/>
      <c r="E92" s="49"/>
      <c r="F92" s="49"/>
      <c r="G92" s="49"/>
      <c r="H92" s="18"/>
      <c r="I92" s="18"/>
      <c r="J92" s="64"/>
      <c r="K92" s="64"/>
      <c r="L92" s="437"/>
      <c r="M92" s="437"/>
      <c r="N92" s="64"/>
      <c r="O92" s="64"/>
      <c r="P92" s="437"/>
      <c r="Q92" s="438"/>
      <c r="R92" s="322"/>
      <c r="S92" s="322"/>
      <c r="T92" s="323"/>
      <c r="U92" s="47"/>
      <c r="V92" s="251"/>
      <c r="W92" s="214"/>
    </row>
    <row r="93" spans="1:23" ht="16.5" thickBot="1" x14ac:dyDescent="0.25">
      <c r="A93" s="129"/>
      <c r="B93" s="127"/>
      <c r="C93" s="74" t="s">
        <v>1041</v>
      </c>
      <c r="D93" s="49"/>
      <c r="E93" s="49"/>
      <c r="F93" s="49"/>
      <c r="G93" s="49"/>
      <c r="H93" s="18"/>
      <c r="I93" s="18"/>
      <c r="J93" s="730">
        <f>VLOOKUP('Part 1'!L$16,Datasheet3!$B$6:$FZ$332,75,FALSE)</f>
        <v>-43669363.230000004</v>
      </c>
      <c r="K93" s="731"/>
      <c r="L93" s="437"/>
      <c r="M93" s="437"/>
      <c r="N93" s="730">
        <f>VLOOKUP('Part 1'!L$16,Datasheet3!$B$6:$FZ$332,76,FALSE)</f>
        <v>-31309</v>
      </c>
      <c r="O93" s="731"/>
      <c r="P93" s="437"/>
      <c r="Q93" s="438"/>
      <c r="R93" s="733">
        <f>VLOOKUP(+'Part 1'!$L$16,Datasheet3!$B$6:$FZ$332,77,FALSE)</f>
        <v>-43700672.230000004</v>
      </c>
      <c r="S93" s="734"/>
      <c r="T93" s="323"/>
      <c r="U93" s="47"/>
      <c r="V93" s="251"/>
      <c r="W93" s="214"/>
    </row>
    <row r="94" spans="1:23" ht="15.75" thickBot="1" x14ac:dyDescent="0.25">
      <c r="A94" s="129"/>
      <c r="B94" s="127"/>
      <c r="C94" s="49"/>
      <c r="D94" s="49"/>
      <c r="E94" s="49"/>
      <c r="F94" s="49"/>
      <c r="G94" s="49"/>
      <c r="H94" s="18"/>
      <c r="I94" s="18"/>
      <c r="J94" s="506"/>
      <c r="K94" s="506"/>
      <c r="L94" s="510"/>
      <c r="M94" s="510"/>
      <c r="N94" s="506"/>
      <c r="O94" s="506"/>
      <c r="P94" s="510"/>
      <c r="Q94" s="439"/>
      <c r="R94" s="439"/>
      <c r="S94" s="439"/>
      <c r="T94" s="324"/>
      <c r="U94" s="47"/>
      <c r="V94" s="251"/>
      <c r="W94" s="214"/>
    </row>
    <row r="95" spans="1:23" ht="16.5" thickBot="1" x14ac:dyDescent="0.25">
      <c r="A95" s="129"/>
      <c r="B95" s="127"/>
      <c r="C95" s="658" t="s">
        <v>1042</v>
      </c>
      <c r="D95" s="703"/>
      <c r="E95" s="703"/>
      <c r="F95" s="703"/>
      <c r="G95" s="703"/>
      <c r="H95" s="18"/>
      <c r="I95" s="18"/>
      <c r="J95" s="730">
        <f>VLOOKUP('Part 1'!L$16,Datasheet3!$B$6:$FZ$332,78,FALSE)</f>
        <v>-86801.669999999984</v>
      </c>
      <c r="K95" s="731"/>
      <c r="L95" s="437"/>
      <c r="M95" s="437"/>
      <c r="N95" s="730">
        <f>VLOOKUP('Part 1'!L$16,Datasheet3!$B$6:$FZ$332,79,FALSE)</f>
        <v>-6529</v>
      </c>
      <c r="O95" s="731"/>
      <c r="P95" s="437"/>
      <c r="Q95" s="438"/>
      <c r="R95" s="733">
        <f>VLOOKUP(+'Part 1'!$L$16,Datasheet3!$B$6:$FZ$332,80,FALSE)</f>
        <v>-93330.669999999984</v>
      </c>
      <c r="S95" s="734"/>
      <c r="T95" s="323"/>
      <c r="U95" s="47"/>
      <c r="V95" s="251"/>
      <c r="W95" s="214"/>
    </row>
    <row r="96" spans="1:23" ht="15.75" x14ac:dyDescent="0.2">
      <c r="A96" s="129"/>
      <c r="B96" s="127"/>
      <c r="C96" s="729"/>
      <c r="D96" s="729"/>
      <c r="E96" s="729"/>
      <c r="F96" s="729"/>
      <c r="G96" s="729"/>
      <c r="H96" s="18"/>
      <c r="I96" s="18"/>
      <c r="J96" s="543"/>
      <c r="K96" s="539"/>
      <c r="L96" s="437"/>
      <c r="M96" s="437"/>
      <c r="N96" s="543"/>
      <c r="O96" s="539"/>
      <c r="P96" s="437"/>
      <c r="Q96" s="438"/>
      <c r="R96" s="509"/>
      <c r="S96" s="438"/>
      <c r="T96" s="323"/>
      <c r="U96" s="47"/>
      <c r="V96" s="251"/>
      <c r="W96" s="214"/>
    </row>
    <row r="97" spans="1:23" ht="15.75" x14ac:dyDescent="0.2">
      <c r="A97" s="129"/>
      <c r="B97" s="127"/>
      <c r="C97" s="126"/>
      <c r="D97" s="49"/>
      <c r="E97" s="49"/>
      <c r="F97" s="49"/>
      <c r="G97" s="49"/>
      <c r="H97" s="18"/>
      <c r="I97" s="18"/>
      <c r="J97" s="539"/>
      <c r="K97" s="539"/>
      <c r="L97" s="437"/>
      <c r="M97" s="437"/>
      <c r="N97" s="539"/>
      <c r="O97" s="539"/>
      <c r="P97" s="437"/>
      <c r="Q97" s="438"/>
      <c r="R97" s="438"/>
      <c r="S97" s="438"/>
      <c r="T97" s="323"/>
      <c r="U97" s="47"/>
      <c r="V97" s="251"/>
      <c r="W97" s="214"/>
    </row>
    <row r="98" spans="1:23" ht="16.5" thickBot="1" x14ac:dyDescent="0.25">
      <c r="A98" s="129"/>
      <c r="B98" s="127"/>
      <c r="C98" s="126" t="s">
        <v>29</v>
      </c>
      <c r="D98" s="49"/>
      <c r="E98" s="49"/>
      <c r="F98" s="49"/>
      <c r="G98" s="49"/>
      <c r="H98" s="18"/>
      <c r="I98" s="18"/>
      <c r="J98" s="539"/>
      <c r="K98" s="539"/>
      <c r="L98" s="437"/>
      <c r="M98" s="437"/>
      <c r="N98" s="539"/>
      <c r="O98" s="539"/>
      <c r="P98" s="437"/>
      <c r="Q98" s="438"/>
      <c r="R98" s="438"/>
      <c r="S98" s="438"/>
      <c r="T98" s="323"/>
      <c r="U98" s="47"/>
      <c r="V98" s="251"/>
      <c r="W98" s="214"/>
    </row>
    <row r="99" spans="1:23" ht="16.5" thickBot="1" x14ac:dyDescent="0.25">
      <c r="A99" s="129"/>
      <c r="B99" s="127"/>
      <c r="C99" s="74" t="s">
        <v>1043</v>
      </c>
      <c r="D99" s="49"/>
      <c r="E99" s="49"/>
      <c r="F99" s="49"/>
      <c r="G99" s="49"/>
      <c r="H99" s="18"/>
      <c r="I99" s="18"/>
      <c r="J99" s="730">
        <f>VLOOKUP('Part 1'!L$16,Datasheet3!$B$6:$FZ$332,81,FALSE)</f>
        <v>-38119893.450000003</v>
      </c>
      <c r="K99" s="731"/>
      <c r="L99" s="437"/>
      <c r="M99" s="437"/>
      <c r="N99" s="730">
        <f>VLOOKUP('Part 1'!L$16,Datasheet3!$B$6:$FZ$332,82,FALSE)</f>
        <v>-316543</v>
      </c>
      <c r="O99" s="731"/>
      <c r="P99" s="437"/>
      <c r="Q99" s="438"/>
      <c r="R99" s="733">
        <f>VLOOKUP(+'Part 1'!$L$16,Datasheet3!$B$6:$FZ$332,83,FALSE)</f>
        <v>-38436436.450000003</v>
      </c>
      <c r="S99" s="734"/>
      <c r="T99" s="323"/>
      <c r="U99" s="47"/>
      <c r="V99" s="251"/>
      <c r="W99" s="214"/>
    </row>
    <row r="100" spans="1:23" ht="15.75" thickBot="1" x14ac:dyDescent="0.25">
      <c r="A100" s="129"/>
      <c r="B100" s="127"/>
      <c r="C100" s="49"/>
      <c r="D100" s="49"/>
      <c r="E100" s="49"/>
      <c r="F100" s="49"/>
      <c r="G100" s="49"/>
      <c r="H100" s="18"/>
      <c r="I100" s="18"/>
      <c r="J100" s="506"/>
      <c r="K100" s="506"/>
      <c r="L100" s="510"/>
      <c r="M100" s="510"/>
      <c r="N100" s="506"/>
      <c r="O100" s="506"/>
      <c r="P100" s="510"/>
      <c r="Q100" s="439"/>
      <c r="R100" s="439"/>
      <c r="S100" s="439"/>
      <c r="T100" s="323"/>
      <c r="U100" s="47"/>
      <c r="V100" s="251"/>
      <c r="W100" s="214"/>
    </row>
    <row r="101" spans="1:23" ht="16.5" thickBot="1" x14ac:dyDescent="0.25">
      <c r="A101" s="129"/>
      <c r="B101" s="127"/>
      <c r="C101" s="658" t="s">
        <v>1044</v>
      </c>
      <c r="D101" s="703"/>
      <c r="E101" s="703"/>
      <c r="F101" s="703"/>
      <c r="G101" s="703"/>
      <c r="H101" s="18"/>
      <c r="I101" s="18"/>
      <c r="J101" s="730">
        <f>VLOOKUP('Part 1'!L$16,Datasheet3!$B$6:$FZ$332,84,FALSE)</f>
        <v>-2296358.46</v>
      </c>
      <c r="K101" s="731"/>
      <c r="L101" s="437"/>
      <c r="M101" s="437"/>
      <c r="N101" s="730">
        <f>VLOOKUP('Part 1'!L$16,Datasheet3!$B$6:$FZ$332,85,FALSE)</f>
        <v>-7430</v>
      </c>
      <c r="O101" s="731"/>
      <c r="P101" s="437"/>
      <c r="Q101" s="438"/>
      <c r="R101" s="733">
        <f>VLOOKUP(+'Part 1'!$L$16,Datasheet3!$B$6:$FZ$332,86,FALSE)</f>
        <v>-2303788.46</v>
      </c>
      <c r="S101" s="734"/>
      <c r="T101" s="323"/>
      <c r="U101" s="47"/>
      <c r="V101" s="251"/>
      <c r="W101" s="214"/>
    </row>
    <row r="102" spans="1:23" ht="15.75" x14ac:dyDescent="0.2">
      <c r="A102" s="129"/>
      <c r="B102" s="127"/>
      <c r="C102" s="729"/>
      <c r="D102" s="729"/>
      <c r="E102" s="729"/>
      <c r="F102" s="729"/>
      <c r="G102" s="729"/>
      <c r="H102" s="18"/>
      <c r="I102" s="18"/>
      <c r="J102" s="543"/>
      <c r="K102" s="539"/>
      <c r="L102" s="437"/>
      <c r="M102" s="437"/>
      <c r="N102" s="543"/>
      <c r="O102" s="539"/>
      <c r="P102" s="437"/>
      <c r="Q102" s="438"/>
      <c r="R102" s="509"/>
      <c r="S102" s="438"/>
      <c r="T102" s="323"/>
      <c r="U102" s="47"/>
      <c r="V102" s="251"/>
      <c r="W102" s="214"/>
    </row>
    <row r="103" spans="1:23" ht="15.75" x14ac:dyDescent="0.2">
      <c r="A103" s="129"/>
      <c r="B103" s="127"/>
      <c r="C103" s="502"/>
      <c r="D103" s="502"/>
      <c r="E103" s="502"/>
      <c r="F103" s="502"/>
      <c r="G103" s="502"/>
      <c r="H103" s="18"/>
      <c r="I103" s="18"/>
      <c r="J103" s="543"/>
      <c r="K103" s="539"/>
      <c r="L103" s="437"/>
      <c r="M103" s="437"/>
      <c r="N103" s="543"/>
      <c r="O103" s="539"/>
      <c r="P103" s="437"/>
      <c r="Q103" s="438"/>
      <c r="R103" s="509"/>
      <c r="S103" s="438"/>
      <c r="T103" s="323"/>
      <c r="U103" s="47"/>
      <c r="V103" s="251"/>
      <c r="W103" s="214"/>
    </row>
    <row r="104" spans="1:23" ht="16.5" thickBot="1" x14ac:dyDescent="0.25">
      <c r="A104" s="129"/>
      <c r="B104" s="127"/>
      <c r="C104" s="126" t="s">
        <v>28</v>
      </c>
      <c r="D104" s="49"/>
      <c r="E104" s="49"/>
      <c r="F104" s="49"/>
      <c r="G104" s="49"/>
      <c r="H104" s="18"/>
      <c r="I104" s="18"/>
      <c r="J104" s="539"/>
      <c r="K104" s="539"/>
      <c r="L104" s="437"/>
      <c r="M104" s="437"/>
      <c r="N104" s="539"/>
      <c r="O104" s="539"/>
      <c r="P104" s="437"/>
      <c r="Q104" s="438"/>
      <c r="R104" s="438"/>
      <c r="S104" s="438"/>
      <c r="T104" s="323"/>
      <c r="U104" s="47"/>
      <c r="V104" s="251"/>
      <c r="W104" s="214"/>
    </row>
    <row r="105" spans="1:23" ht="16.5" thickBot="1" x14ac:dyDescent="0.25">
      <c r="A105" s="129"/>
      <c r="B105" s="127"/>
      <c r="C105" s="74" t="s">
        <v>1045</v>
      </c>
      <c r="D105" s="49"/>
      <c r="E105" s="49"/>
      <c r="F105" s="49"/>
      <c r="G105" s="49"/>
      <c r="H105" s="18"/>
      <c r="I105" s="18"/>
      <c r="J105" s="730">
        <f>VLOOKUP('Part 1'!L$16,Datasheet3!$B$6:$FZ$332,87,FALSE)</f>
        <v>-1283613.3700000001</v>
      </c>
      <c r="K105" s="731"/>
      <c r="L105" s="437"/>
      <c r="M105" s="437"/>
      <c r="N105" s="730">
        <f>VLOOKUP('Part 1'!L$16,Datasheet3!$B$6:$FZ$332,88,FALSE)</f>
        <v>0</v>
      </c>
      <c r="O105" s="731"/>
      <c r="P105" s="437"/>
      <c r="Q105" s="438"/>
      <c r="R105" s="733">
        <f>VLOOKUP(+'Part 1'!$L$16,Datasheet3!$B$6:$FZ$332,89,FALSE)</f>
        <v>-1283613.3700000001</v>
      </c>
      <c r="S105" s="734"/>
      <c r="T105" s="323"/>
      <c r="U105" s="47"/>
      <c r="V105" s="251"/>
      <c r="W105" s="214"/>
    </row>
    <row r="106" spans="1:23" ht="15.75" thickBot="1" x14ac:dyDescent="0.25">
      <c r="A106" s="129"/>
      <c r="B106" s="127"/>
      <c r="C106" s="49"/>
      <c r="D106" s="49"/>
      <c r="E106" s="49"/>
      <c r="F106" s="49"/>
      <c r="G106" s="49"/>
      <c r="H106" s="18"/>
      <c r="I106" s="18"/>
      <c r="J106" s="506"/>
      <c r="K106" s="506"/>
      <c r="L106" s="510"/>
      <c r="M106" s="510"/>
      <c r="N106" s="506"/>
      <c r="O106" s="506"/>
      <c r="P106" s="510"/>
      <c r="Q106" s="439"/>
      <c r="R106" s="439"/>
      <c r="S106" s="439"/>
      <c r="T106" s="323"/>
      <c r="U106" s="47"/>
      <c r="V106" s="251"/>
      <c r="W106" s="214"/>
    </row>
    <row r="107" spans="1:23" ht="16.5" thickBot="1" x14ac:dyDescent="0.25">
      <c r="A107" s="129"/>
      <c r="B107" s="127"/>
      <c r="C107" s="658" t="s">
        <v>1046</v>
      </c>
      <c r="D107" s="703"/>
      <c r="E107" s="703"/>
      <c r="F107" s="703"/>
      <c r="G107" s="703"/>
      <c r="H107" s="18"/>
      <c r="I107" s="18"/>
      <c r="J107" s="730">
        <f>VLOOKUP('Part 1'!L$16,Datasheet3!$B$6:$FZ$332,90,FALSE)</f>
        <v>-34162</v>
      </c>
      <c r="K107" s="731"/>
      <c r="L107" s="437"/>
      <c r="M107" s="437"/>
      <c r="N107" s="730">
        <f>VLOOKUP('Part 1'!L$16,Datasheet3!$B$6:$FZ$332,91,FALSE)</f>
        <v>0</v>
      </c>
      <c r="O107" s="731"/>
      <c r="P107" s="437"/>
      <c r="Q107" s="438"/>
      <c r="R107" s="733">
        <f>VLOOKUP(+'Part 1'!$L$16,Datasheet3!$B$6:$FZ$332,92,FALSE)</f>
        <v>-34162</v>
      </c>
      <c r="S107" s="734"/>
      <c r="T107" s="323"/>
      <c r="U107" s="47"/>
      <c r="V107" s="251"/>
      <c r="W107" s="214"/>
    </row>
    <row r="108" spans="1:23" ht="15.75" x14ac:dyDescent="0.2">
      <c r="A108" s="129"/>
      <c r="B108" s="127"/>
      <c r="C108" s="729"/>
      <c r="D108" s="729"/>
      <c r="E108" s="729"/>
      <c r="F108" s="729"/>
      <c r="G108" s="729"/>
      <c r="H108" s="18"/>
      <c r="I108" s="18"/>
      <c r="J108" s="543"/>
      <c r="K108" s="539"/>
      <c r="L108" s="437"/>
      <c r="M108" s="437"/>
      <c r="N108" s="543"/>
      <c r="O108" s="539"/>
      <c r="P108" s="437"/>
      <c r="Q108" s="438"/>
      <c r="R108" s="509"/>
      <c r="S108" s="438"/>
      <c r="T108" s="323"/>
      <c r="U108" s="47"/>
      <c r="V108" s="251"/>
      <c r="W108" s="214"/>
    </row>
    <row r="109" spans="1:23" ht="15" x14ac:dyDescent="0.2">
      <c r="A109" s="129"/>
      <c r="B109" s="127"/>
      <c r="C109" s="49"/>
      <c r="D109" s="49"/>
      <c r="E109" s="49"/>
      <c r="F109" s="49"/>
      <c r="G109" s="49"/>
      <c r="H109" s="18"/>
      <c r="I109" s="18"/>
      <c r="J109" s="506"/>
      <c r="K109" s="506"/>
      <c r="L109" s="510"/>
      <c r="M109" s="510"/>
      <c r="N109" s="506"/>
      <c r="O109" s="506"/>
      <c r="P109" s="510"/>
      <c r="Q109" s="439"/>
      <c r="R109" s="439"/>
      <c r="S109" s="439"/>
      <c r="T109" s="323"/>
      <c r="U109" s="47"/>
      <c r="V109" s="251"/>
      <c r="W109" s="214"/>
    </row>
    <row r="110" spans="1:23" ht="16.5" thickBot="1" x14ac:dyDescent="0.25">
      <c r="A110" s="129"/>
      <c r="B110" s="127"/>
      <c r="C110" s="126" t="s">
        <v>34</v>
      </c>
      <c r="D110" s="49"/>
      <c r="E110" s="49"/>
      <c r="F110" s="49"/>
      <c r="G110" s="49"/>
      <c r="H110" s="18"/>
      <c r="I110" s="18"/>
      <c r="J110" s="539"/>
      <c r="K110" s="539"/>
      <c r="L110" s="437"/>
      <c r="M110" s="437"/>
      <c r="N110" s="539"/>
      <c r="O110" s="539"/>
      <c r="P110" s="437"/>
      <c r="Q110" s="438"/>
      <c r="R110" s="438"/>
      <c r="S110" s="438"/>
      <c r="T110" s="323"/>
      <c r="U110" s="47"/>
      <c r="V110" s="251"/>
      <c r="W110" s="214"/>
    </row>
    <row r="111" spans="1:23" ht="16.5" thickBot="1" x14ac:dyDescent="0.25">
      <c r="A111" s="129"/>
      <c r="B111" s="127"/>
      <c r="C111" s="74" t="s">
        <v>1047</v>
      </c>
      <c r="D111" s="49"/>
      <c r="E111" s="49"/>
      <c r="F111" s="49"/>
      <c r="G111" s="49"/>
      <c r="H111" s="18"/>
      <c r="I111" s="18"/>
      <c r="J111" s="730">
        <f>VLOOKUP('Part 1'!L$16,Datasheet3!$B$6:$FZ$332,93,FALSE)</f>
        <v>-2868579</v>
      </c>
      <c r="K111" s="731"/>
      <c r="L111" s="437"/>
      <c r="M111" s="437"/>
      <c r="N111" s="730">
        <f>VLOOKUP('Part 1'!L$16,Datasheet3!$B$6:$FZ$332,94,FALSE)</f>
        <v>0</v>
      </c>
      <c r="O111" s="731"/>
      <c r="P111" s="437"/>
      <c r="Q111" s="438"/>
      <c r="R111" s="733">
        <f>VLOOKUP(+'Part 1'!$L$16,Datasheet3!$B$6:$FZ$332,95,FALSE)</f>
        <v>-2868579</v>
      </c>
      <c r="S111" s="734"/>
      <c r="T111" s="323"/>
      <c r="U111" s="47"/>
      <c r="V111" s="251"/>
      <c r="W111" s="214"/>
    </row>
    <row r="112" spans="1:23" ht="15.75" thickBot="1" x14ac:dyDescent="0.25">
      <c r="A112" s="129"/>
      <c r="B112" s="127"/>
      <c r="C112" s="49"/>
      <c r="D112" s="49"/>
      <c r="E112" s="49"/>
      <c r="F112" s="49"/>
      <c r="G112" s="49"/>
      <c r="H112" s="18"/>
      <c r="I112" s="18"/>
      <c r="J112" s="506"/>
      <c r="K112" s="506"/>
      <c r="L112" s="510"/>
      <c r="M112" s="510"/>
      <c r="N112" s="506"/>
      <c r="O112" s="506"/>
      <c r="P112" s="510"/>
      <c r="Q112" s="439"/>
      <c r="R112" s="439"/>
      <c r="S112" s="439"/>
      <c r="T112" s="324"/>
      <c r="U112" s="47"/>
      <c r="V112" s="251"/>
      <c r="W112" s="214"/>
    </row>
    <row r="113" spans="1:23" ht="16.5" thickBot="1" x14ac:dyDescent="0.25">
      <c r="A113" s="129"/>
      <c r="B113" s="127"/>
      <c r="C113" s="658" t="s">
        <v>1048</v>
      </c>
      <c r="D113" s="703"/>
      <c r="E113" s="703"/>
      <c r="F113" s="703"/>
      <c r="G113" s="703"/>
      <c r="H113" s="18"/>
      <c r="I113" s="18"/>
      <c r="J113" s="730">
        <f>VLOOKUP('Part 1'!L$16,Datasheet3!$B$6:$FZ$332,96,FALSE)</f>
        <v>19742</v>
      </c>
      <c r="K113" s="731"/>
      <c r="L113" s="437"/>
      <c r="M113" s="437"/>
      <c r="N113" s="730">
        <f>VLOOKUP('Part 1'!L$16,Datasheet3!$B$6:$FZ$332,97,FALSE)</f>
        <v>0</v>
      </c>
      <c r="O113" s="731"/>
      <c r="P113" s="437"/>
      <c r="Q113" s="438"/>
      <c r="R113" s="733">
        <f>VLOOKUP(+'Part 1'!$L$16,Datasheet3!$B$6:$FZ$332,98,FALSE)</f>
        <v>19742</v>
      </c>
      <c r="S113" s="734"/>
      <c r="T113" s="323"/>
      <c r="U113" s="47"/>
      <c r="V113" s="251"/>
      <c r="W113" s="214"/>
    </row>
    <row r="114" spans="1:23" ht="15.75" x14ac:dyDescent="0.2">
      <c r="A114" s="129"/>
      <c r="B114" s="127"/>
      <c r="C114" s="729"/>
      <c r="D114" s="729"/>
      <c r="E114" s="729"/>
      <c r="F114" s="729"/>
      <c r="G114" s="729"/>
      <c r="H114" s="18"/>
      <c r="I114" s="18"/>
      <c r="J114" s="544"/>
      <c r="K114" s="437"/>
      <c r="L114" s="437"/>
      <c r="M114" s="437"/>
      <c r="N114" s="544"/>
      <c r="O114" s="437"/>
      <c r="P114" s="437"/>
      <c r="Q114" s="438"/>
      <c r="R114" s="509"/>
      <c r="S114" s="438"/>
      <c r="T114" s="323"/>
      <c r="U114" s="47"/>
      <c r="V114" s="251"/>
      <c r="W114" s="214"/>
    </row>
    <row r="115" spans="1:23" ht="16.5" thickBot="1" x14ac:dyDescent="0.25">
      <c r="A115" s="132"/>
      <c r="B115" s="133"/>
      <c r="C115" s="134"/>
      <c r="D115" s="134"/>
      <c r="E115" s="134"/>
      <c r="F115" s="134"/>
      <c r="G115" s="134"/>
      <c r="H115" s="119"/>
      <c r="I115" s="119"/>
      <c r="J115" s="545"/>
      <c r="K115" s="526"/>
      <c r="L115" s="526"/>
      <c r="M115" s="526"/>
      <c r="N115" s="545"/>
      <c r="O115" s="526"/>
      <c r="P115" s="526"/>
      <c r="Q115" s="535"/>
      <c r="R115" s="546"/>
      <c r="S115" s="535"/>
      <c r="T115" s="336"/>
      <c r="U115" s="122"/>
      <c r="V115" s="251"/>
      <c r="W115" s="214"/>
    </row>
    <row r="116" spans="1:23" ht="16.5" thickBot="1" x14ac:dyDescent="0.25">
      <c r="A116" s="129"/>
      <c r="B116" s="127"/>
      <c r="C116" s="126" t="s">
        <v>30</v>
      </c>
      <c r="D116" s="49"/>
      <c r="E116" s="49"/>
      <c r="F116" s="49"/>
      <c r="G116" s="49"/>
      <c r="H116" s="18"/>
      <c r="I116" s="18"/>
      <c r="J116" s="437"/>
      <c r="K116" s="437"/>
      <c r="L116" s="437"/>
      <c r="M116" s="437"/>
      <c r="N116" s="437"/>
      <c r="O116" s="437"/>
      <c r="P116" s="437"/>
      <c r="Q116" s="438"/>
      <c r="R116" s="438"/>
      <c r="S116" s="438"/>
      <c r="T116" s="323"/>
      <c r="U116" s="47"/>
      <c r="V116" s="251"/>
      <c r="W116" s="214"/>
    </row>
    <row r="117" spans="1:23" ht="16.5" thickBot="1" x14ac:dyDescent="0.25">
      <c r="A117" s="129"/>
      <c r="B117" s="127"/>
      <c r="C117" s="74" t="s">
        <v>1049</v>
      </c>
      <c r="D117" s="49"/>
      <c r="E117" s="49"/>
      <c r="F117" s="49"/>
      <c r="G117" s="49"/>
      <c r="H117" s="18"/>
      <c r="I117" s="18"/>
      <c r="J117" s="730">
        <f>VLOOKUP('Part 1'!L$16,Datasheet3!$B$6:$FZ$332,99,FALSE)</f>
        <v>-1696454</v>
      </c>
      <c r="K117" s="731"/>
      <c r="L117" s="437"/>
      <c r="M117" s="437"/>
      <c r="N117" s="730">
        <f>VLOOKUP('Part 1'!L$16,Datasheet3!$B$6:$FZ$332,100,FALSE)</f>
        <v>0</v>
      </c>
      <c r="O117" s="731"/>
      <c r="P117" s="437"/>
      <c r="Q117" s="438"/>
      <c r="R117" s="733">
        <f>VLOOKUP(+'Part 1'!$L$16,Datasheet3!$B$6:$FZ$332,101,FALSE)</f>
        <v>-1696454</v>
      </c>
      <c r="S117" s="734"/>
      <c r="T117" s="323"/>
      <c r="U117" s="47"/>
      <c r="V117" s="251"/>
      <c r="W117" s="214"/>
    </row>
    <row r="118" spans="1:23" ht="15.75" thickBot="1" x14ac:dyDescent="0.25">
      <c r="A118" s="129"/>
      <c r="B118" s="127"/>
      <c r="C118" s="49"/>
      <c r="D118" s="49"/>
      <c r="E118" s="49"/>
      <c r="F118" s="49"/>
      <c r="G118" s="49"/>
      <c r="H118" s="18"/>
      <c r="I118" s="18"/>
      <c r="J118" s="506"/>
      <c r="K118" s="506"/>
      <c r="L118" s="510"/>
      <c r="M118" s="510"/>
      <c r="N118" s="506"/>
      <c r="O118" s="506"/>
      <c r="P118" s="510"/>
      <c r="Q118" s="439"/>
      <c r="R118" s="439"/>
      <c r="S118" s="439"/>
      <c r="T118" s="323"/>
      <c r="U118" s="47"/>
      <c r="V118" s="251"/>
      <c r="W118" s="214"/>
    </row>
    <row r="119" spans="1:23" ht="16.5" thickBot="1" x14ac:dyDescent="0.25">
      <c r="A119" s="129"/>
      <c r="B119" s="127"/>
      <c r="C119" s="658" t="s">
        <v>1050</v>
      </c>
      <c r="D119" s="703"/>
      <c r="E119" s="703"/>
      <c r="F119" s="703"/>
      <c r="G119" s="703"/>
      <c r="H119" s="18"/>
      <c r="I119" s="18"/>
      <c r="J119" s="730">
        <f>VLOOKUP('Part 1'!L$16,Datasheet3!$B$6:$FZ$332,102,FALSE)</f>
        <v>11386</v>
      </c>
      <c r="K119" s="731"/>
      <c r="L119" s="437"/>
      <c r="M119" s="437"/>
      <c r="N119" s="730">
        <f>VLOOKUP('Part 1'!L$16,Datasheet3!$B$6:$FZ$332,103,FALSE)</f>
        <v>0</v>
      </c>
      <c r="O119" s="731"/>
      <c r="P119" s="437"/>
      <c r="Q119" s="438"/>
      <c r="R119" s="733">
        <f>VLOOKUP(+'Part 1'!$L$16,Datasheet3!$B$6:$FZ$332,104,FALSE)</f>
        <v>11386</v>
      </c>
      <c r="S119" s="734"/>
      <c r="T119" s="323"/>
      <c r="U119" s="47"/>
      <c r="V119" s="251"/>
      <c r="W119" s="214"/>
    </row>
    <row r="120" spans="1:23" ht="15.75" x14ac:dyDescent="0.2">
      <c r="A120" s="129"/>
      <c r="B120" s="127"/>
      <c r="C120" s="729"/>
      <c r="D120" s="729"/>
      <c r="E120" s="729"/>
      <c r="F120" s="729"/>
      <c r="G120" s="729"/>
      <c r="H120" s="18"/>
      <c r="I120" s="18"/>
      <c r="J120" s="544"/>
      <c r="K120" s="437"/>
      <c r="L120" s="437"/>
      <c r="M120" s="437"/>
      <c r="N120" s="544"/>
      <c r="O120" s="437"/>
      <c r="P120" s="437"/>
      <c r="Q120" s="438"/>
      <c r="R120" s="509"/>
      <c r="S120" s="438"/>
      <c r="T120" s="323"/>
      <c r="U120" s="47"/>
      <c r="V120" s="251"/>
      <c r="W120" s="214"/>
    </row>
    <row r="121" spans="1:23" ht="15" x14ac:dyDescent="0.2">
      <c r="A121" s="129"/>
      <c r="B121" s="127"/>
      <c r="C121" s="49"/>
      <c r="D121" s="49"/>
      <c r="E121" s="49"/>
      <c r="F121" s="49"/>
      <c r="G121" s="49"/>
      <c r="H121" s="18"/>
      <c r="I121" s="18"/>
      <c r="J121" s="437"/>
      <c r="K121" s="437"/>
      <c r="L121" s="437"/>
      <c r="M121" s="437"/>
      <c r="N121" s="437"/>
      <c r="O121" s="437"/>
      <c r="P121" s="437"/>
      <c r="Q121" s="438"/>
      <c r="R121" s="438"/>
      <c r="S121" s="438"/>
      <c r="T121" s="323"/>
      <c r="U121" s="47"/>
      <c r="V121" s="251"/>
      <c r="W121" s="214"/>
    </row>
    <row r="122" spans="1:23" ht="16.5" thickBot="1" x14ac:dyDescent="0.25">
      <c r="A122" s="129"/>
      <c r="B122" s="127"/>
      <c r="C122" s="126" t="s">
        <v>36</v>
      </c>
      <c r="D122" s="49"/>
      <c r="E122" s="49"/>
      <c r="F122" s="49"/>
      <c r="G122" s="49"/>
      <c r="H122" s="18"/>
      <c r="I122" s="18"/>
      <c r="J122" s="437"/>
      <c r="K122" s="437"/>
      <c r="L122" s="437"/>
      <c r="M122" s="437"/>
      <c r="N122" s="437"/>
      <c r="O122" s="437"/>
      <c r="P122" s="437"/>
      <c r="Q122" s="438"/>
      <c r="R122" s="438"/>
      <c r="S122" s="438"/>
      <c r="T122" s="323"/>
      <c r="U122" s="47"/>
      <c r="V122" s="251"/>
      <c r="W122" s="214"/>
    </row>
    <row r="123" spans="1:23" ht="16.5" thickBot="1" x14ac:dyDescent="0.25">
      <c r="A123" s="129"/>
      <c r="B123" s="127"/>
      <c r="C123" s="74" t="s">
        <v>1051</v>
      </c>
      <c r="D123" s="49"/>
      <c r="E123" s="49"/>
      <c r="F123" s="49"/>
      <c r="G123" s="49"/>
      <c r="H123" s="18"/>
      <c r="I123" s="18"/>
      <c r="J123" s="730">
        <f>VLOOKUP('Part 1'!L$16,Datasheet3!$B$6:$FZ$332,105,FALSE)</f>
        <v>-5298244</v>
      </c>
      <c r="K123" s="731"/>
      <c r="L123" s="437"/>
      <c r="M123" s="437"/>
      <c r="N123" s="730">
        <f>VLOOKUP('Part 1'!L$16,Datasheet3!$B$6:$FZ$332,106,FALSE)</f>
        <v>-7887296</v>
      </c>
      <c r="O123" s="731"/>
      <c r="P123" s="437"/>
      <c r="Q123" s="438"/>
      <c r="R123" s="733">
        <f>VLOOKUP(+'Part 1'!$L$16,Datasheet3!$B$6:$FZ$332,107,FALSE)</f>
        <v>-13185540</v>
      </c>
      <c r="S123" s="734"/>
      <c r="T123" s="323"/>
      <c r="U123" s="47"/>
      <c r="V123" s="251"/>
      <c r="W123" s="214"/>
    </row>
    <row r="124" spans="1:23" ht="15.75" thickBot="1" x14ac:dyDescent="0.25">
      <c r="A124" s="129"/>
      <c r="B124" s="127"/>
      <c r="C124" s="49"/>
      <c r="D124" s="49"/>
      <c r="E124" s="49"/>
      <c r="F124" s="49"/>
      <c r="G124" s="49"/>
      <c r="H124" s="18"/>
      <c r="I124" s="18"/>
      <c r="J124" s="506"/>
      <c r="K124" s="506"/>
      <c r="L124" s="510"/>
      <c r="M124" s="510"/>
      <c r="N124" s="506"/>
      <c r="O124" s="506"/>
      <c r="P124" s="510"/>
      <c r="Q124" s="439"/>
      <c r="R124" s="439"/>
      <c r="S124" s="439"/>
      <c r="T124" s="324"/>
      <c r="U124" s="47"/>
      <c r="V124" s="251"/>
      <c r="W124" s="214"/>
    </row>
    <row r="125" spans="1:23" ht="16.5" thickBot="1" x14ac:dyDescent="0.25">
      <c r="A125" s="129"/>
      <c r="B125" s="127"/>
      <c r="C125" s="658" t="s">
        <v>1052</v>
      </c>
      <c r="D125" s="703"/>
      <c r="E125" s="703"/>
      <c r="F125" s="703"/>
      <c r="G125" s="703"/>
      <c r="H125" s="18"/>
      <c r="I125" s="18"/>
      <c r="J125" s="730">
        <f>VLOOKUP('Part 1'!L$16,Datasheet3!$B$6:$FZ$332,108,FALSE)</f>
        <v>-380565</v>
      </c>
      <c r="K125" s="731"/>
      <c r="L125" s="437"/>
      <c r="M125" s="437"/>
      <c r="N125" s="730">
        <f>VLOOKUP('Part 1'!L$16,Datasheet3!$B$6:$FZ$332,109,FALSE)</f>
        <v>-490073</v>
      </c>
      <c r="O125" s="731"/>
      <c r="P125" s="437"/>
      <c r="Q125" s="438"/>
      <c r="R125" s="733">
        <f>VLOOKUP(+'Part 1'!$L$16,Datasheet3!$B$6:$FZ$332,110,FALSE)</f>
        <v>-870638</v>
      </c>
      <c r="S125" s="734"/>
      <c r="T125" s="323"/>
      <c r="U125" s="47"/>
      <c r="V125" s="251"/>
      <c r="W125" s="214"/>
    </row>
    <row r="126" spans="1:23" ht="15.75" x14ac:dyDescent="0.2">
      <c r="A126" s="129"/>
      <c r="B126" s="127"/>
      <c r="C126" s="729"/>
      <c r="D126" s="729"/>
      <c r="E126" s="729"/>
      <c r="F126" s="729"/>
      <c r="G126" s="729"/>
      <c r="H126" s="18"/>
      <c r="I126" s="18"/>
      <c r="J126" s="544"/>
      <c r="K126" s="437"/>
      <c r="L126" s="437"/>
      <c r="M126" s="437"/>
      <c r="N126" s="544"/>
      <c r="O126" s="437"/>
      <c r="P126" s="437"/>
      <c r="Q126" s="438"/>
      <c r="R126" s="509"/>
      <c r="S126" s="438"/>
      <c r="T126" s="323"/>
      <c r="U126" s="47"/>
      <c r="V126" s="251"/>
      <c r="W126" s="214"/>
    </row>
    <row r="127" spans="1:23" ht="16.5" thickBot="1" x14ac:dyDescent="0.3">
      <c r="A127" s="129"/>
      <c r="B127" s="127"/>
      <c r="C127" s="126"/>
      <c r="D127" s="126"/>
      <c r="E127" s="126"/>
      <c r="F127" s="126"/>
      <c r="G127" s="126"/>
      <c r="H127" s="17"/>
      <c r="I127" s="18"/>
      <c r="J127" s="437" t="s">
        <v>37</v>
      </c>
      <c r="K127" s="437"/>
      <c r="L127" s="437"/>
      <c r="M127" s="437"/>
      <c r="N127" s="437"/>
      <c r="O127" s="437"/>
      <c r="P127" s="437"/>
      <c r="Q127" s="438"/>
      <c r="R127" s="509"/>
      <c r="S127" s="438"/>
      <c r="T127" s="323"/>
      <c r="U127" s="47"/>
      <c r="V127" s="251"/>
      <c r="W127" s="214"/>
    </row>
    <row r="128" spans="1:23" ht="16.5" thickBot="1" x14ac:dyDescent="0.25">
      <c r="A128" s="129"/>
      <c r="B128" s="127"/>
      <c r="C128" s="125" t="s">
        <v>1053</v>
      </c>
      <c r="D128" s="49"/>
      <c r="E128" s="49"/>
      <c r="F128" s="49"/>
      <c r="G128" s="49"/>
      <c r="H128" s="18"/>
      <c r="I128" s="18"/>
      <c r="J128" s="73"/>
      <c r="K128" s="73"/>
      <c r="L128" s="437"/>
      <c r="M128" s="437"/>
      <c r="N128" s="690">
        <f>VLOOKUP(+'Part 1'!$L$16,Datasheet3!$B$6:$FZ$332,111,FALSE)</f>
        <v>-7978636</v>
      </c>
      <c r="O128" s="691"/>
      <c r="P128" s="437"/>
      <c r="Q128" s="438"/>
      <c r="R128" s="322"/>
      <c r="S128" s="322"/>
      <c r="T128" s="323"/>
      <c r="U128" s="47"/>
      <c r="V128" s="251"/>
      <c r="W128" s="214"/>
    </row>
    <row r="129" spans="1:23" ht="15.75" thickBot="1" x14ac:dyDescent="0.25">
      <c r="A129" s="129"/>
      <c r="B129" s="127"/>
      <c r="C129" s="49"/>
      <c r="D129" s="49"/>
      <c r="E129" s="49"/>
      <c r="F129" s="49"/>
      <c r="G129" s="49"/>
      <c r="H129" s="54"/>
      <c r="I129" s="54"/>
      <c r="J129" s="437"/>
      <c r="K129" s="437"/>
      <c r="L129" s="437"/>
      <c r="M129" s="437"/>
      <c r="N129" s="437"/>
      <c r="O129" s="437"/>
      <c r="P129" s="437"/>
      <c r="Q129" s="438"/>
      <c r="R129" s="438"/>
      <c r="S129" s="438"/>
      <c r="T129" s="323"/>
      <c r="U129" s="47"/>
      <c r="V129" s="251"/>
      <c r="W129" s="214"/>
    </row>
    <row r="130" spans="1:23" ht="16.5" thickBot="1" x14ac:dyDescent="0.25">
      <c r="A130" s="129"/>
      <c r="B130" s="127"/>
      <c r="C130" s="125" t="s">
        <v>1054</v>
      </c>
      <c r="D130" s="49"/>
      <c r="E130" s="49"/>
      <c r="F130" s="49"/>
      <c r="G130" s="49"/>
      <c r="H130" s="18"/>
      <c r="I130" s="18"/>
      <c r="J130" s="690">
        <f>VLOOKUP(+'Part 1'!$L$16,Datasheet3!$B$6:$FZ$332,112,FALSE)</f>
        <v>-3131523</v>
      </c>
      <c r="K130" s="691"/>
      <c r="L130" s="437"/>
      <c r="M130" s="437"/>
      <c r="N130" s="73"/>
      <c r="O130" s="73"/>
      <c r="P130" s="437"/>
      <c r="Q130" s="438"/>
      <c r="R130" s="322"/>
      <c r="S130" s="322"/>
      <c r="T130" s="323"/>
      <c r="U130" s="47"/>
      <c r="V130" s="251"/>
      <c r="W130" s="214"/>
    </row>
    <row r="131" spans="1:23" ht="15.75" thickBot="1" x14ac:dyDescent="0.25">
      <c r="A131" s="129"/>
      <c r="B131" s="127"/>
      <c r="C131" s="49"/>
      <c r="D131" s="49"/>
      <c r="E131" s="49"/>
      <c r="F131" s="49"/>
      <c r="G131" s="49"/>
      <c r="H131" s="18"/>
      <c r="I131" s="18"/>
      <c r="J131" s="54"/>
      <c r="K131" s="54"/>
      <c r="L131" s="437"/>
      <c r="M131" s="437"/>
      <c r="N131" s="54"/>
      <c r="O131" s="54"/>
      <c r="P131" s="437"/>
      <c r="Q131" s="438"/>
      <c r="R131" s="322"/>
      <c r="S131" s="322"/>
      <c r="T131" s="323"/>
      <c r="U131" s="47"/>
      <c r="V131" s="251"/>
      <c r="W131" s="214"/>
    </row>
    <row r="132" spans="1:23" ht="15.75" thickBot="1" x14ac:dyDescent="0.25">
      <c r="A132" s="129"/>
      <c r="B132" s="150"/>
      <c r="C132" s="172"/>
      <c r="D132" s="172"/>
      <c r="E132" s="172"/>
      <c r="F132" s="172"/>
      <c r="G132" s="172"/>
      <c r="H132" s="152"/>
      <c r="I132" s="152"/>
      <c r="J132" s="154"/>
      <c r="K132" s="154"/>
      <c r="L132" s="514"/>
      <c r="M132" s="514"/>
      <c r="N132" s="154"/>
      <c r="O132" s="154"/>
      <c r="P132" s="514"/>
      <c r="Q132" s="515"/>
      <c r="R132" s="326"/>
      <c r="S132" s="326"/>
      <c r="T132" s="327"/>
      <c r="U132" s="47"/>
      <c r="V132" s="251"/>
      <c r="W132" s="214"/>
    </row>
    <row r="133" spans="1:23" ht="16.5" thickBot="1" x14ac:dyDescent="0.25">
      <c r="A133" s="129"/>
      <c r="B133" s="155"/>
      <c r="C133" s="669" t="s">
        <v>1055</v>
      </c>
      <c r="D133" s="669"/>
      <c r="E133" s="669"/>
      <c r="F133" s="669"/>
      <c r="G133" s="669"/>
      <c r="H133" s="18"/>
      <c r="I133" s="18"/>
      <c r="J133" s="730">
        <f>VLOOKUP('Part 1'!L$16,Datasheet3!$B$6:$FZ$332,113,FALSE)</f>
        <v>-95702906</v>
      </c>
      <c r="K133" s="731"/>
      <c r="L133" s="437"/>
      <c r="M133" s="437"/>
      <c r="N133" s="730">
        <f>VLOOKUP('Part 1'!L$16,Datasheet3!$B$6:$FZ$332,114,FALSE)</f>
        <v>-8739180</v>
      </c>
      <c r="O133" s="731"/>
      <c r="P133" s="437"/>
      <c r="Q133" s="438"/>
      <c r="R133" s="733">
        <f>VLOOKUP(+'Part 1'!$L$16,Datasheet3!$B$6:$FZ$332,115,FALSE)</f>
        <v>-104442086</v>
      </c>
      <c r="S133" s="734"/>
      <c r="T133" s="328"/>
      <c r="U133" s="47"/>
      <c r="V133" s="251"/>
      <c r="W133" s="214"/>
    </row>
    <row r="134" spans="1:23" ht="15.75" thickBot="1" x14ac:dyDescent="0.25">
      <c r="A134" s="129"/>
      <c r="B134" s="156"/>
      <c r="C134" s="173"/>
      <c r="D134" s="173"/>
      <c r="E134" s="173"/>
      <c r="F134" s="173"/>
      <c r="G134" s="173"/>
      <c r="H134" s="158"/>
      <c r="I134" s="158"/>
      <c r="J134" s="159"/>
      <c r="K134" s="159"/>
      <c r="L134" s="523"/>
      <c r="M134" s="523"/>
      <c r="N134" s="159"/>
      <c r="O134" s="159"/>
      <c r="P134" s="523"/>
      <c r="Q134" s="534"/>
      <c r="R134" s="332"/>
      <c r="S134" s="332"/>
      <c r="T134" s="330"/>
      <c r="U134" s="47"/>
      <c r="V134" s="251"/>
      <c r="W134" s="214"/>
    </row>
    <row r="135" spans="1:23" ht="15.75" thickBot="1" x14ac:dyDescent="0.25">
      <c r="A135" s="132"/>
      <c r="B135" s="133"/>
      <c r="C135" s="128"/>
      <c r="D135" s="128"/>
      <c r="E135" s="128"/>
      <c r="F135" s="128"/>
      <c r="G135" s="128"/>
      <c r="H135" s="70"/>
      <c r="I135" s="70"/>
      <c r="J135" s="392"/>
      <c r="K135" s="392"/>
      <c r="L135" s="524"/>
      <c r="M135" s="524"/>
      <c r="N135" s="392"/>
      <c r="O135" s="392"/>
      <c r="P135" s="524"/>
      <c r="Q135" s="535"/>
      <c r="R135" s="334"/>
      <c r="S135" s="334"/>
      <c r="T135" s="336"/>
      <c r="U135" s="48"/>
      <c r="V135" s="251"/>
      <c r="W135" s="214"/>
    </row>
    <row r="136" spans="1:23" ht="15.75" x14ac:dyDescent="0.2">
      <c r="A136" s="129"/>
      <c r="B136" s="127"/>
      <c r="C136" s="599" t="s">
        <v>1291</v>
      </c>
      <c r="D136" s="49"/>
      <c r="E136" s="49"/>
      <c r="F136" s="49"/>
      <c r="G136" s="49"/>
      <c r="H136" s="18"/>
      <c r="I136" s="18"/>
      <c r="J136" s="54"/>
      <c r="K136" s="54"/>
      <c r="L136" s="437"/>
      <c r="M136" s="437"/>
      <c r="N136" s="54"/>
      <c r="O136" s="54"/>
      <c r="P136" s="437"/>
      <c r="Q136" s="438"/>
      <c r="R136" s="322"/>
      <c r="S136" s="322"/>
      <c r="T136" s="323"/>
      <c r="U136" s="47"/>
      <c r="V136" s="251"/>
      <c r="W136" s="214"/>
    </row>
    <row r="137" spans="1:23" ht="16.5" thickBot="1" x14ac:dyDescent="0.25">
      <c r="A137" s="129"/>
      <c r="B137" s="127"/>
      <c r="C137" s="126" t="s">
        <v>3</v>
      </c>
      <c r="D137" s="49"/>
      <c r="E137" s="49"/>
      <c r="F137" s="49"/>
      <c r="G137" s="49"/>
      <c r="H137" s="18"/>
      <c r="I137" s="18"/>
      <c r="J137" s="54"/>
      <c r="K137" s="54"/>
      <c r="L137" s="437"/>
      <c r="M137" s="437"/>
      <c r="N137" s="54"/>
      <c r="O137" s="54"/>
      <c r="P137" s="437"/>
      <c r="Q137" s="438"/>
      <c r="R137" s="322"/>
      <c r="S137" s="322"/>
      <c r="T137" s="323"/>
      <c r="U137" s="47"/>
      <c r="V137" s="251"/>
      <c r="W137" s="214"/>
    </row>
    <row r="138" spans="1:23" ht="16.5" thickBot="1" x14ac:dyDescent="0.25">
      <c r="A138" s="129"/>
      <c r="B138" s="127"/>
      <c r="C138" s="74" t="s">
        <v>1056</v>
      </c>
      <c r="D138" s="49"/>
      <c r="E138" s="49"/>
      <c r="F138" s="49"/>
      <c r="G138" s="49"/>
      <c r="H138" s="18"/>
      <c r="I138" s="18"/>
      <c r="J138" s="730">
        <f>VLOOKUP('Part 1'!L$16,Datasheet3!$B$6:$FZ$332,116,FALSE)</f>
        <v>-7065762</v>
      </c>
      <c r="K138" s="731"/>
      <c r="L138" s="437"/>
      <c r="M138" s="437"/>
      <c r="N138" s="730">
        <f>VLOOKUP('Part 1'!L$16,Datasheet3!$B$6:$FZ$332,117,FALSE)</f>
        <v>-119013</v>
      </c>
      <c r="O138" s="731"/>
      <c r="P138" s="437"/>
      <c r="Q138" s="438"/>
      <c r="R138" s="733">
        <f>VLOOKUP(+'Part 1'!$L$16,Datasheet3!$B$6:$FZ$332,118,FALSE)</f>
        <v>-7184775</v>
      </c>
      <c r="S138" s="734"/>
      <c r="T138" s="323"/>
      <c r="U138" s="47"/>
      <c r="V138" s="251"/>
      <c r="W138" s="214"/>
    </row>
    <row r="139" spans="1:23" ht="16.5" thickBot="1" x14ac:dyDescent="0.25">
      <c r="A139" s="129"/>
      <c r="B139" s="127"/>
      <c r="C139" s="74"/>
      <c r="D139" s="49"/>
      <c r="E139" s="49"/>
      <c r="F139" s="49"/>
      <c r="G139" s="49"/>
      <c r="H139" s="18"/>
      <c r="I139" s="18"/>
      <c r="J139" s="506"/>
      <c r="K139" s="506"/>
      <c r="L139" s="508"/>
      <c r="M139" s="508"/>
      <c r="N139" s="506"/>
      <c r="O139" s="506"/>
      <c r="P139" s="508"/>
      <c r="Q139" s="438"/>
      <c r="R139" s="509"/>
      <c r="S139" s="438"/>
      <c r="T139" s="323"/>
      <c r="U139" s="47"/>
      <c r="V139" s="251"/>
      <c r="W139" s="214"/>
    </row>
    <row r="140" spans="1:23" ht="16.5" thickBot="1" x14ac:dyDescent="0.25">
      <c r="A140" s="129"/>
      <c r="B140" s="127"/>
      <c r="C140" s="74" t="s">
        <v>1057</v>
      </c>
      <c r="D140" s="49"/>
      <c r="E140" s="49"/>
      <c r="F140" s="49"/>
      <c r="G140" s="49"/>
      <c r="H140" s="18"/>
      <c r="I140" s="18"/>
      <c r="J140" s="730">
        <f>VLOOKUP('Part 1'!L$16,Datasheet3!$B$6:$FZ$332,119,FALSE)</f>
        <v>-613504</v>
      </c>
      <c r="K140" s="731"/>
      <c r="L140" s="437"/>
      <c r="M140" s="437"/>
      <c r="N140" s="730">
        <f>VLOOKUP('Part 1'!L$16,Datasheet3!$B$6:$FZ$332,120,FALSE)</f>
        <v>-110233</v>
      </c>
      <c r="O140" s="731"/>
      <c r="P140" s="437"/>
      <c r="Q140" s="438"/>
      <c r="R140" s="733">
        <f>VLOOKUP(+'Part 1'!$L$16,Datasheet3!$B$6:$FZ$332,121,FALSE)</f>
        <v>-723737</v>
      </c>
      <c r="S140" s="734"/>
      <c r="T140" s="323"/>
      <c r="U140" s="47"/>
      <c r="V140" s="251"/>
      <c r="W140" s="214"/>
    </row>
    <row r="141" spans="1:23" ht="15.75" x14ac:dyDescent="0.2">
      <c r="A141" s="129"/>
      <c r="B141" s="127"/>
      <c r="C141" s="74" t="s">
        <v>71</v>
      </c>
      <c r="D141" s="49"/>
      <c r="E141" s="49"/>
      <c r="F141" s="49"/>
      <c r="G141" s="49"/>
      <c r="H141" s="18"/>
      <c r="I141" s="18"/>
      <c r="J141" s="507"/>
      <c r="K141" s="507"/>
      <c r="L141" s="508"/>
      <c r="M141" s="508"/>
      <c r="N141" s="507"/>
      <c r="O141" s="507"/>
      <c r="P141" s="508"/>
      <c r="Q141" s="438"/>
      <c r="R141" s="509"/>
      <c r="S141" s="438"/>
      <c r="T141" s="323"/>
      <c r="U141" s="47"/>
      <c r="V141" s="251"/>
      <c r="W141" s="214"/>
    </row>
    <row r="142" spans="1:23" ht="15.75" x14ac:dyDescent="0.2">
      <c r="A142" s="129"/>
      <c r="B142" s="127"/>
      <c r="C142" s="74"/>
      <c r="D142" s="49"/>
      <c r="E142" s="49"/>
      <c r="F142" s="49"/>
      <c r="G142" s="49"/>
      <c r="H142" s="18"/>
      <c r="I142" s="18"/>
      <c r="J142" s="507"/>
      <c r="K142" s="507"/>
      <c r="L142" s="508"/>
      <c r="M142" s="508"/>
      <c r="N142" s="507"/>
      <c r="O142" s="507"/>
      <c r="P142" s="508"/>
      <c r="Q142" s="438"/>
      <c r="R142" s="509"/>
      <c r="S142" s="438"/>
      <c r="T142" s="323"/>
      <c r="U142" s="47"/>
      <c r="V142" s="251"/>
      <c r="W142" s="214"/>
    </row>
    <row r="143" spans="1:23" ht="16.5" thickBot="1" x14ac:dyDescent="0.25">
      <c r="A143" s="129"/>
      <c r="B143" s="127"/>
      <c r="C143" s="494" t="s">
        <v>72</v>
      </c>
      <c r="D143" s="49"/>
      <c r="E143" s="49"/>
      <c r="F143" s="49"/>
      <c r="G143" s="49"/>
      <c r="H143" s="18"/>
      <c r="I143" s="18"/>
      <c r="J143" s="507"/>
      <c r="K143" s="507"/>
      <c r="L143" s="508"/>
      <c r="M143" s="508"/>
      <c r="N143" s="507"/>
      <c r="O143" s="507"/>
      <c r="P143" s="508"/>
      <c r="Q143" s="438"/>
      <c r="R143" s="509"/>
      <c r="S143" s="438"/>
      <c r="T143" s="323"/>
      <c r="U143" s="47"/>
      <c r="V143" s="251"/>
      <c r="W143" s="214"/>
    </row>
    <row r="144" spans="1:23" ht="16.5" thickBot="1" x14ac:dyDescent="0.25">
      <c r="A144" s="129"/>
      <c r="B144" s="127"/>
      <c r="C144" s="74" t="s">
        <v>1058</v>
      </c>
      <c r="D144" s="49"/>
      <c r="E144" s="49"/>
      <c r="F144" s="49"/>
      <c r="G144" s="49"/>
      <c r="H144" s="18"/>
      <c r="I144" s="18"/>
      <c r="J144" s="730">
        <f>VLOOKUP('Part 1'!L$16,Datasheet3!$B$6:$FZ$332,122,FALSE)</f>
        <v>-13405533.23</v>
      </c>
      <c r="K144" s="731"/>
      <c r="L144" s="437"/>
      <c r="M144" s="437"/>
      <c r="N144" s="730">
        <f>VLOOKUP('Part 1'!L$16,Datasheet3!$B$6:$FZ$332,123,FALSE)</f>
        <v>-18750</v>
      </c>
      <c r="O144" s="731"/>
      <c r="P144" s="437"/>
      <c r="Q144" s="438"/>
      <c r="R144" s="733">
        <f>VLOOKUP(+'Part 1'!$L$16,Datasheet3!$B$6:$FZ$332,124,FALSE)</f>
        <v>-13424283.23</v>
      </c>
      <c r="S144" s="734"/>
      <c r="T144" s="323"/>
      <c r="U144" s="47"/>
      <c r="V144" s="251"/>
      <c r="W144" s="214"/>
    </row>
    <row r="145" spans="1:23" ht="16.5" thickBot="1" x14ac:dyDescent="0.25">
      <c r="A145" s="129"/>
      <c r="B145" s="127"/>
      <c r="C145" s="74"/>
      <c r="D145" s="49"/>
      <c r="E145" s="49"/>
      <c r="F145" s="49"/>
      <c r="G145" s="49"/>
      <c r="H145" s="18"/>
      <c r="I145" s="18"/>
      <c r="J145" s="507"/>
      <c r="K145" s="507"/>
      <c r="L145" s="508"/>
      <c r="M145" s="508"/>
      <c r="N145" s="507"/>
      <c r="O145" s="507"/>
      <c r="P145" s="508"/>
      <c r="Q145" s="438"/>
      <c r="R145" s="509"/>
      <c r="S145" s="438"/>
      <c r="T145" s="323"/>
      <c r="U145" s="47"/>
      <c r="V145" s="251"/>
      <c r="W145" s="214"/>
    </row>
    <row r="146" spans="1:23" ht="16.5" thickBot="1" x14ac:dyDescent="0.25">
      <c r="A146" s="129"/>
      <c r="B146" s="127"/>
      <c r="C146" s="74" t="s">
        <v>1059</v>
      </c>
      <c r="D146" s="49"/>
      <c r="E146" s="49"/>
      <c r="F146" s="49"/>
      <c r="G146" s="49"/>
      <c r="H146" s="18"/>
      <c r="I146" s="18"/>
      <c r="J146" s="730">
        <f>VLOOKUP('Part 1'!L$16,Datasheet3!$B$6:$FZ$332,125,FALSE)</f>
        <v>-1151626.7</v>
      </c>
      <c r="K146" s="731"/>
      <c r="L146" s="437"/>
      <c r="M146" s="437"/>
      <c r="N146" s="730">
        <f>VLOOKUP('Part 1'!L$16,Datasheet3!$B$6:$FZ$332,126,FALSE)</f>
        <v>0</v>
      </c>
      <c r="O146" s="731"/>
      <c r="P146" s="437"/>
      <c r="Q146" s="438"/>
      <c r="R146" s="733">
        <f>VLOOKUP(+'Part 1'!$L$16,Datasheet3!$B$6:$FZ$332,127,FALSE)</f>
        <v>-1151626.7</v>
      </c>
      <c r="S146" s="734"/>
      <c r="T146" s="323"/>
      <c r="U146" s="47"/>
      <c r="V146" s="251"/>
      <c r="W146" s="214"/>
    </row>
    <row r="147" spans="1:23" ht="15.75" x14ac:dyDescent="0.2">
      <c r="A147" s="129"/>
      <c r="B147" s="127"/>
      <c r="C147" s="74" t="s">
        <v>71</v>
      </c>
      <c r="D147" s="49"/>
      <c r="E147" s="49"/>
      <c r="F147" s="49"/>
      <c r="G147" s="49"/>
      <c r="H147" s="18"/>
      <c r="I147" s="18"/>
      <c r="J147" s="507"/>
      <c r="K147" s="507"/>
      <c r="L147" s="508"/>
      <c r="M147" s="508"/>
      <c r="N147" s="507"/>
      <c r="O147" s="507"/>
      <c r="P147" s="508"/>
      <c r="Q147" s="438"/>
      <c r="R147" s="509"/>
      <c r="S147" s="438"/>
      <c r="T147" s="323"/>
      <c r="U147" s="47"/>
      <c r="V147" s="251"/>
      <c r="W147" s="214"/>
    </row>
    <row r="148" spans="1:23" ht="15.75" x14ac:dyDescent="0.2">
      <c r="A148" s="129"/>
      <c r="B148" s="127"/>
      <c r="C148" s="74"/>
      <c r="D148" s="49"/>
      <c r="E148" s="49"/>
      <c r="F148" s="49"/>
      <c r="G148" s="49"/>
      <c r="H148" s="18"/>
      <c r="I148" s="18"/>
      <c r="J148" s="507"/>
      <c r="K148" s="507"/>
      <c r="L148" s="508"/>
      <c r="M148" s="508"/>
      <c r="N148" s="507"/>
      <c r="O148" s="507"/>
      <c r="P148" s="508"/>
      <c r="Q148" s="438"/>
      <c r="R148" s="509"/>
      <c r="S148" s="438"/>
      <c r="T148" s="323"/>
      <c r="U148" s="47"/>
      <c r="V148" s="251"/>
      <c r="W148" s="214"/>
    </row>
    <row r="149" spans="1:23" ht="16.5" thickBot="1" x14ac:dyDescent="0.25">
      <c r="A149" s="129"/>
      <c r="B149" s="127"/>
      <c r="C149" s="494" t="s">
        <v>73</v>
      </c>
      <c r="D149" s="49"/>
      <c r="E149" s="49"/>
      <c r="F149" s="49"/>
      <c r="G149" s="49"/>
      <c r="H149" s="18"/>
      <c r="I149" s="18"/>
      <c r="J149" s="510"/>
      <c r="K149" s="510"/>
      <c r="L149" s="510"/>
      <c r="M149" s="510"/>
      <c r="N149" s="510"/>
      <c r="O149" s="510"/>
      <c r="P149" s="510"/>
      <c r="Q149" s="439"/>
      <c r="R149" s="439"/>
      <c r="S149" s="439"/>
      <c r="T149" s="323"/>
      <c r="U149" s="47"/>
      <c r="V149" s="251"/>
      <c r="W149" s="214"/>
    </row>
    <row r="150" spans="1:23" ht="16.5" thickBot="1" x14ac:dyDescent="0.25">
      <c r="A150" s="129"/>
      <c r="B150" s="127"/>
      <c r="C150" s="74" t="s">
        <v>1060</v>
      </c>
      <c r="D150" s="49"/>
      <c r="E150" s="49"/>
      <c r="F150" s="49"/>
      <c r="G150" s="49"/>
      <c r="H150" s="18"/>
      <c r="I150" s="18"/>
      <c r="J150" s="730">
        <f>VLOOKUP('Part 1'!L$16,Datasheet3!$B$6:$FZ$332,128,FALSE)</f>
        <v>-295218908</v>
      </c>
      <c r="K150" s="731"/>
      <c r="L150" s="437"/>
      <c r="M150" s="437"/>
      <c r="N150" s="730">
        <f>VLOOKUP('Part 1'!L$16,Datasheet3!$B$6:$FZ$332,129,FALSE)</f>
        <v>-512478</v>
      </c>
      <c r="O150" s="731"/>
      <c r="P150" s="437"/>
      <c r="Q150" s="438"/>
      <c r="R150" s="733">
        <f>VLOOKUP(+'Part 1'!$L$16,Datasheet3!$B$6:$FZ$332,130,FALSE)</f>
        <v>-295731386</v>
      </c>
      <c r="S150" s="734"/>
      <c r="T150" s="323"/>
      <c r="U150" s="47"/>
      <c r="V150" s="251"/>
      <c r="W150" s="214"/>
    </row>
    <row r="151" spans="1:23" ht="16.5" customHeight="1" thickBot="1" x14ac:dyDescent="0.25">
      <c r="A151" s="129"/>
      <c r="B151" s="127"/>
      <c r="C151" s="74"/>
      <c r="D151" s="49"/>
      <c r="E151" s="49"/>
      <c r="F151" s="49"/>
      <c r="G151" s="49"/>
      <c r="H151" s="18"/>
      <c r="I151" s="18"/>
      <c r="J151" s="510"/>
      <c r="K151" s="510"/>
      <c r="L151" s="510"/>
      <c r="M151" s="510"/>
      <c r="N151" s="510"/>
      <c r="O151" s="510"/>
      <c r="P151" s="510"/>
      <c r="Q151" s="439"/>
      <c r="R151" s="439"/>
      <c r="S151" s="439"/>
      <c r="T151" s="323"/>
      <c r="U151" s="47"/>
      <c r="V151" s="251"/>
      <c r="W151" s="214"/>
    </row>
    <row r="152" spans="1:23" ht="16.5" thickBot="1" x14ac:dyDescent="0.25">
      <c r="A152" s="129"/>
      <c r="B152" s="127"/>
      <c r="C152" s="74" t="s">
        <v>1061</v>
      </c>
      <c r="D152" s="49"/>
      <c r="E152" s="49"/>
      <c r="F152" s="49"/>
      <c r="G152" s="49"/>
      <c r="H152" s="18"/>
      <c r="I152" s="18"/>
      <c r="J152" s="730">
        <f>VLOOKUP('Part 1'!L$16,Datasheet3!$B$6:$FZ$332,131,FALSE)</f>
        <v>-7802648.1600000011</v>
      </c>
      <c r="K152" s="731"/>
      <c r="L152" s="437"/>
      <c r="M152" s="437"/>
      <c r="N152" s="730">
        <f>VLOOKUP('Part 1'!L$16,Datasheet3!$B$6:$FZ$332,132,FALSE)</f>
        <v>-31676</v>
      </c>
      <c r="O152" s="731"/>
      <c r="P152" s="437"/>
      <c r="Q152" s="438"/>
      <c r="R152" s="733">
        <f>VLOOKUP(+'Part 1'!$L$16,Datasheet3!$B$6:$FZ$332,133,FALSE)</f>
        <v>-7834324.1600000011</v>
      </c>
      <c r="S152" s="734"/>
      <c r="T152" s="323"/>
      <c r="U152" s="47"/>
      <c r="V152" s="251"/>
      <c r="W152" s="214"/>
    </row>
    <row r="153" spans="1:23" ht="15" x14ac:dyDescent="0.2">
      <c r="A153" s="129"/>
      <c r="B153" s="127"/>
      <c r="C153" s="74" t="s">
        <v>71</v>
      </c>
      <c r="D153" s="49"/>
      <c r="E153" s="49"/>
      <c r="F153" s="49"/>
      <c r="G153" s="49"/>
      <c r="H153" s="18"/>
      <c r="I153" s="18"/>
      <c r="J153" s="510"/>
      <c r="K153" s="510"/>
      <c r="L153" s="510"/>
      <c r="M153" s="510"/>
      <c r="N153" s="510"/>
      <c r="O153" s="510"/>
      <c r="P153" s="510"/>
      <c r="Q153" s="439"/>
      <c r="R153" s="439"/>
      <c r="S153" s="439"/>
      <c r="T153" s="323"/>
      <c r="U153" s="47"/>
      <c r="V153" s="251"/>
      <c r="W153" s="214"/>
    </row>
    <row r="154" spans="1:23" ht="15" x14ac:dyDescent="0.2">
      <c r="A154" s="129"/>
      <c r="B154" s="127"/>
      <c r="C154" s="74"/>
      <c r="D154" s="49"/>
      <c r="E154" s="49"/>
      <c r="F154" s="49"/>
      <c r="G154" s="49"/>
      <c r="H154" s="18"/>
      <c r="I154" s="18"/>
      <c r="J154" s="510"/>
      <c r="K154" s="510"/>
      <c r="L154" s="510"/>
      <c r="M154" s="510"/>
      <c r="N154" s="510"/>
      <c r="O154" s="510"/>
      <c r="P154" s="510"/>
      <c r="Q154" s="439"/>
      <c r="R154" s="439"/>
      <c r="S154" s="439"/>
      <c r="T154" s="323"/>
      <c r="U154" s="47"/>
      <c r="V154" s="251"/>
      <c r="W154" s="214"/>
    </row>
    <row r="155" spans="1:23" ht="16.5" thickBot="1" x14ac:dyDescent="0.25">
      <c r="A155" s="129"/>
      <c r="B155" s="127"/>
      <c r="C155" s="126" t="s">
        <v>47</v>
      </c>
      <c r="D155" s="49"/>
      <c r="E155" s="49"/>
      <c r="F155" s="49"/>
      <c r="G155" s="49"/>
      <c r="H155" s="18"/>
      <c r="I155" s="18"/>
      <c r="J155" s="437"/>
      <c r="K155" s="437"/>
      <c r="L155" s="437"/>
      <c r="M155" s="437"/>
      <c r="N155" s="437"/>
      <c r="O155" s="437"/>
      <c r="P155" s="437"/>
      <c r="Q155" s="438"/>
      <c r="R155" s="438"/>
      <c r="S155" s="438"/>
      <c r="T155" s="323"/>
      <c r="U155" s="47"/>
      <c r="V155" s="251"/>
      <c r="W155" s="214"/>
    </row>
    <row r="156" spans="1:23" ht="16.5" thickBot="1" x14ac:dyDescent="0.25">
      <c r="A156" s="129"/>
      <c r="B156" s="127"/>
      <c r="C156" s="74" t="s">
        <v>1062</v>
      </c>
      <c r="D156" s="49"/>
      <c r="E156" s="49"/>
      <c r="F156" s="49"/>
      <c r="G156" s="49"/>
      <c r="H156" s="18"/>
      <c r="I156" s="18"/>
      <c r="J156" s="730">
        <f>VLOOKUP('Part 1'!L$16,Datasheet3!$B$6:$FZ$332,134,FALSE)</f>
        <v>-6877775</v>
      </c>
      <c r="K156" s="731"/>
      <c r="L156" s="437"/>
      <c r="M156" s="437"/>
      <c r="N156" s="730">
        <f>VLOOKUP('Part 1'!L$16,Datasheet3!$B$6:$FZ$332,135,FALSE)</f>
        <v>0</v>
      </c>
      <c r="O156" s="731"/>
      <c r="P156" s="437"/>
      <c r="Q156" s="438"/>
      <c r="R156" s="733">
        <f>VLOOKUP(+'Part 1'!$L$16,Datasheet3!$B$6:$FZ$332,136,FALSE)</f>
        <v>-6877775</v>
      </c>
      <c r="S156" s="734"/>
      <c r="T156" s="323"/>
      <c r="U156" s="47"/>
      <c r="V156" s="251"/>
      <c r="W156" s="214"/>
    </row>
    <row r="157" spans="1:23" ht="15.75" customHeight="1" thickBot="1" x14ac:dyDescent="0.25">
      <c r="A157" s="129"/>
      <c r="B157" s="127"/>
      <c r="C157" s="74"/>
      <c r="D157" s="49"/>
      <c r="E157" s="49"/>
      <c r="F157" s="49"/>
      <c r="G157" s="49"/>
      <c r="H157" s="18"/>
      <c r="I157" s="18"/>
      <c r="J157" s="507"/>
      <c r="K157" s="507"/>
      <c r="L157" s="508"/>
      <c r="M157" s="508"/>
      <c r="N157" s="507"/>
      <c r="O157" s="507"/>
      <c r="P157" s="508"/>
      <c r="Q157" s="438"/>
      <c r="R157" s="509"/>
      <c r="S157" s="438"/>
      <c r="T157" s="323"/>
      <c r="U157" s="47"/>
      <c r="V157" s="251"/>
      <c r="W157" s="214"/>
    </row>
    <row r="158" spans="1:23" ht="16.5" thickBot="1" x14ac:dyDescent="0.25">
      <c r="A158" s="129"/>
      <c r="B158" s="127"/>
      <c r="C158" s="74" t="s">
        <v>1063</v>
      </c>
      <c r="D158" s="49"/>
      <c r="E158" s="49"/>
      <c r="F158" s="49"/>
      <c r="G158" s="49"/>
      <c r="H158" s="18"/>
      <c r="I158" s="18"/>
      <c r="J158" s="730">
        <f>VLOOKUP('Part 1'!L$16,Datasheet3!$B$6:$FZ$332,137,FALSE)</f>
        <v>-194950.05</v>
      </c>
      <c r="K158" s="731"/>
      <c r="L158" s="437"/>
      <c r="M158" s="437"/>
      <c r="N158" s="730">
        <f>VLOOKUP('Part 1'!L$16,Datasheet3!$B$6:$FZ$332,138,FALSE)</f>
        <v>0</v>
      </c>
      <c r="O158" s="731"/>
      <c r="P158" s="437"/>
      <c r="Q158" s="438"/>
      <c r="R158" s="733">
        <f>VLOOKUP(+'Part 1'!$L$16,Datasheet3!$B$6:$FZ$332,139,FALSE)</f>
        <v>-194950.05</v>
      </c>
      <c r="S158" s="734"/>
      <c r="T158" s="323"/>
      <c r="U158" s="47"/>
      <c r="V158" s="251"/>
      <c r="W158" s="214"/>
    </row>
    <row r="159" spans="1:23" ht="15" x14ac:dyDescent="0.2">
      <c r="A159" s="129"/>
      <c r="B159" s="127"/>
      <c r="C159" s="74" t="s">
        <v>71</v>
      </c>
      <c r="D159" s="49"/>
      <c r="E159" s="49"/>
      <c r="F159" s="49"/>
      <c r="G159" s="49"/>
      <c r="H159" s="18"/>
      <c r="I159" s="18"/>
      <c r="J159" s="18"/>
      <c r="K159" s="18"/>
      <c r="L159" s="510"/>
      <c r="M159" s="510"/>
      <c r="N159" s="18"/>
      <c r="O159" s="18"/>
      <c r="P159" s="510"/>
      <c r="Q159" s="439"/>
      <c r="R159" s="324"/>
      <c r="S159" s="324"/>
      <c r="T159" s="323"/>
      <c r="U159" s="47"/>
      <c r="V159" s="251"/>
      <c r="W159" s="214"/>
    </row>
    <row r="160" spans="1:23" ht="15" x14ac:dyDescent="0.2">
      <c r="A160" s="129"/>
      <c r="B160" s="127"/>
      <c r="C160" s="74"/>
      <c r="D160" s="49"/>
      <c r="E160" s="49"/>
      <c r="F160" s="49"/>
      <c r="G160" s="49"/>
      <c r="H160" s="18"/>
      <c r="I160" s="18"/>
      <c r="J160" s="18"/>
      <c r="K160" s="18"/>
      <c r="L160" s="510"/>
      <c r="M160" s="510"/>
      <c r="N160" s="18"/>
      <c r="O160" s="18"/>
      <c r="P160" s="510"/>
      <c r="Q160" s="439"/>
      <c r="R160" s="324"/>
      <c r="S160" s="324"/>
      <c r="T160" s="323"/>
      <c r="U160" s="47"/>
      <c r="V160" s="251"/>
      <c r="W160" s="214"/>
    </row>
    <row r="161" spans="1:23" ht="16.5" thickBot="1" x14ac:dyDescent="0.25">
      <c r="A161" s="129"/>
      <c r="B161" s="127"/>
      <c r="C161" s="494" t="s">
        <v>1003</v>
      </c>
      <c r="D161" s="49"/>
      <c r="E161" s="49"/>
      <c r="F161" s="49"/>
      <c r="G161" s="49"/>
      <c r="H161" s="18"/>
      <c r="I161" s="18"/>
      <c r="J161" s="18"/>
      <c r="K161" s="18"/>
      <c r="L161" s="510"/>
      <c r="M161" s="510"/>
      <c r="N161" s="18"/>
      <c r="O161" s="18"/>
      <c r="P161" s="510"/>
      <c r="Q161" s="439"/>
      <c r="R161" s="324"/>
      <c r="S161" s="324"/>
      <c r="T161" s="323"/>
      <c r="U161" s="47"/>
      <c r="V161" s="251"/>
      <c r="W161" s="214"/>
    </row>
    <row r="162" spans="1:23" ht="16.5" thickBot="1" x14ac:dyDescent="0.25">
      <c r="A162" s="129"/>
      <c r="B162" s="127"/>
      <c r="C162" s="658" t="s">
        <v>1064</v>
      </c>
      <c r="D162" s="728"/>
      <c r="E162" s="728"/>
      <c r="F162" s="728"/>
      <c r="G162" s="728"/>
      <c r="H162" s="18"/>
      <c r="I162" s="18"/>
      <c r="J162" s="730">
        <f>VLOOKUP('Part 1'!L$16,Datasheet3!$B$6:$FZ$332,140,FALSE)</f>
        <v>-4433876.5199999996</v>
      </c>
      <c r="K162" s="731"/>
      <c r="L162" s="437"/>
      <c r="M162" s="437"/>
      <c r="N162" s="730">
        <f>VLOOKUP('Part 1'!L$16,Datasheet3!$B$6:$FZ$332,141,FALSE)</f>
        <v>-17620</v>
      </c>
      <c r="O162" s="731"/>
      <c r="P162" s="437"/>
      <c r="Q162" s="438"/>
      <c r="R162" s="733">
        <f>VLOOKUP(+'Part 1'!$L$16,Datasheet3!$B$6:$FZ$332,142,FALSE)</f>
        <v>-4451496.5199999996</v>
      </c>
      <c r="S162" s="734"/>
      <c r="T162" s="323"/>
      <c r="U162" s="47"/>
      <c r="V162" s="251"/>
      <c r="W162" s="214"/>
    </row>
    <row r="163" spans="1:23" ht="15.75" x14ac:dyDescent="0.2">
      <c r="A163" s="129"/>
      <c r="B163" s="127"/>
      <c r="C163" s="728"/>
      <c r="D163" s="728"/>
      <c r="E163" s="728"/>
      <c r="F163" s="728"/>
      <c r="G163" s="728"/>
      <c r="H163" s="49"/>
      <c r="I163" s="49"/>
      <c r="J163" s="49"/>
      <c r="K163" s="49"/>
      <c r="L163" s="538"/>
      <c r="M163" s="510"/>
      <c r="N163" s="18"/>
      <c r="O163" s="18"/>
      <c r="P163" s="437"/>
      <c r="Q163" s="439"/>
      <c r="R163" s="325"/>
      <c r="S163" s="322"/>
      <c r="T163" s="323"/>
      <c r="U163" s="47"/>
      <c r="V163" s="251"/>
      <c r="W163" s="214"/>
    </row>
    <row r="164" spans="1:23" ht="15.75" thickBot="1" x14ac:dyDescent="0.25">
      <c r="A164" s="129"/>
      <c r="B164" s="127"/>
      <c r="C164" s="74"/>
      <c r="D164" s="49"/>
      <c r="E164" s="49"/>
      <c r="F164" s="49"/>
      <c r="G164" s="49"/>
      <c r="H164" s="18"/>
      <c r="I164" s="18"/>
      <c r="J164" s="18"/>
      <c r="K164" s="18"/>
      <c r="L164" s="510"/>
      <c r="M164" s="510"/>
      <c r="N164" s="18"/>
      <c r="O164" s="18"/>
      <c r="P164" s="510"/>
      <c r="Q164" s="439"/>
      <c r="R164" s="324"/>
      <c r="S164" s="324"/>
      <c r="T164" s="323"/>
      <c r="U164" s="47"/>
      <c r="V164" s="251"/>
      <c r="W164" s="214"/>
    </row>
    <row r="165" spans="1:23" ht="15.75" thickBot="1" x14ac:dyDescent="0.25">
      <c r="A165" s="129"/>
      <c r="B165" s="150"/>
      <c r="C165" s="174"/>
      <c r="D165" s="172"/>
      <c r="E165" s="172"/>
      <c r="F165" s="172"/>
      <c r="G165" s="172"/>
      <c r="H165" s="152"/>
      <c r="I165" s="152"/>
      <c r="J165" s="152"/>
      <c r="K165" s="152"/>
      <c r="L165" s="527"/>
      <c r="M165" s="527"/>
      <c r="N165" s="152"/>
      <c r="O165" s="152"/>
      <c r="P165" s="527"/>
      <c r="Q165" s="537"/>
      <c r="R165" s="337"/>
      <c r="S165" s="337"/>
      <c r="T165" s="327"/>
      <c r="U165" s="47"/>
      <c r="V165" s="251"/>
      <c r="W165" s="214"/>
    </row>
    <row r="166" spans="1:23" ht="16.5" thickBot="1" x14ac:dyDescent="0.25">
      <c r="A166" s="129"/>
      <c r="B166" s="155"/>
      <c r="C166" s="494" t="s">
        <v>1065</v>
      </c>
      <c r="D166" s="49"/>
      <c r="E166" s="49"/>
      <c r="F166" s="49"/>
      <c r="G166" s="49"/>
      <c r="H166" s="18"/>
      <c r="I166" s="18"/>
      <c r="J166" s="730">
        <f>VLOOKUP('Part 1'!L$16,Datasheet3!$B$6:$FZ$332,143,FALSE)</f>
        <v>-336764584</v>
      </c>
      <c r="K166" s="731"/>
      <c r="L166" s="437"/>
      <c r="M166" s="437"/>
      <c r="N166" s="730">
        <f>VLOOKUP('Part 1'!L$16,Datasheet3!$B$6:$FZ$332,144,FALSE)</f>
        <v>-809770</v>
      </c>
      <c r="O166" s="731"/>
      <c r="P166" s="437"/>
      <c r="Q166" s="438"/>
      <c r="R166" s="733">
        <f>VLOOKUP(+'Part 1'!$L$16,Datasheet3!$B$6:$FZ$332,145,FALSE)</f>
        <v>-337574354</v>
      </c>
      <c r="S166" s="734"/>
      <c r="T166" s="328"/>
      <c r="U166" s="47"/>
      <c r="V166" s="251"/>
      <c r="W166" s="214"/>
    </row>
    <row r="167" spans="1:23" ht="15.75" thickBot="1" x14ac:dyDescent="0.25">
      <c r="A167" s="129"/>
      <c r="B167" s="156"/>
      <c r="C167" s="175"/>
      <c r="D167" s="173"/>
      <c r="E167" s="173"/>
      <c r="F167" s="173"/>
      <c r="G167" s="173"/>
      <c r="H167" s="158"/>
      <c r="I167" s="158"/>
      <c r="J167" s="158"/>
      <c r="K167" s="158"/>
      <c r="L167" s="521"/>
      <c r="M167" s="521"/>
      <c r="N167" s="158"/>
      <c r="O167" s="158"/>
      <c r="P167" s="521"/>
      <c r="Q167" s="533"/>
      <c r="R167" s="329"/>
      <c r="S167" s="329"/>
      <c r="T167" s="330"/>
      <c r="U167" s="47"/>
      <c r="V167" s="251"/>
      <c r="W167" s="214"/>
    </row>
    <row r="168" spans="1:23" ht="15.75" x14ac:dyDescent="0.2">
      <c r="A168" s="129"/>
      <c r="B168" s="127"/>
      <c r="C168" s="126"/>
      <c r="D168" s="49"/>
      <c r="E168" s="49"/>
      <c r="F168" s="49"/>
      <c r="G168" s="49"/>
      <c r="H168" s="18"/>
      <c r="I168" s="18"/>
      <c r="J168" s="54"/>
      <c r="K168" s="54"/>
      <c r="L168" s="437"/>
      <c r="M168" s="437"/>
      <c r="N168" s="54"/>
      <c r="O168" s="54"/>
      <c r="P168" s="437"/>
      <c r="Q168" s="438"/>
      <c r="R168" s="322"/>
      <c r="S168" s="322"/>
      <c r="T168" s="323"/>
      <c r="U168" s="47"/>
      <c r="V168" s="251"/>
      <c r="W168" s="214"/>
    </row>
    <row r="169" spans="1:23" ht="16.5" thickBot="1" x14ac:dyDescent="0.25">
      <c r="A169" s="129"/>
      <c r="B169" s="127"/>
      <c r="C169" s="126" t="s">
        <v>45</v>
      </c>
      <c r="D169" s="49"/>
      <c r="E169" s="49"/>
      <c r="F169" s="49"/>
      <c r="G169" s="49"/>
      <c r="H169" s="18"/>
      <c r="I169" s="18"/>
      <c r="J169" s="54"/>
      <c r="K169" s="54"/>
      <c r="L169" s="437"/>
      <c r="M169" s="437"/>
      <c r="N169" s="54"/>
      <c r="O169" s="54"/>
      <c r="P169" s="437"/>
      <c r="Q169" s="438"/>
      <c r="R169" s="322"/>
      <c r="S169" s="322"/>
      <c r="T169" s="323"/>
      <c r="U169" s="47"/>
      <c r="V169" s="251"/>
      <c r="W169" s="214"/>
    </row>
    <row r="170" spans="1:23" ht="16.5" thickBot="1" x14ac:dyDescent="0.25">
      <c r="A170" s="129"/>
      <c r="B170" s="127"/>
      <c r="C170" s="74" t="s">
        <v>1066</v>
      </c>
      <c r="D170" s="49"/>
      <c r="E170" s="49"/>
      <c r="F170" s="49"/>
      <c r="G170" s="49"/>
      <c r="H170" s="18"/>
      <c r="I170" s="18"/>
      <c r="J170" s="730">
        <f>VLOOKUP('Part 1'!L$16,Datasheet3!$B$6:$FZ$332,146,FALSE)</f>
        <v>-2473081</v>
      </c>
      <c r="K170" s="731"/>
      <c r="L170" s="437"/>
      <c r="M170" s="437"/>
      <c r="N170" s="730">
        <f>VLOOKUP('Part 1'!L$16,Datasheet3!$B$6:$FZ$332,147,FALSE)</f>
        <v>0</v>
      </c>
      <c r="O170" s="731"/>
      <c r="P170" s="437"/>
      <c r="Q170" s="438"/>
      <c r="R170" s="733">
        <f>VLOOKUP(+'Part 1'!$L$16,Datasheet3!$B$6:$FZ$332,148,FALSE)</f>
        <v>-2473081</v>
      </c>
      <c r="S170" s="734"/>
      <c r="T170" s="323"/>
      <c r="U170" s="47"/>
      <c r="V170" s="251"/>
      <c r="W170" s="214"/>
    </row>
    <row r="171" spans="1:23" ht="16.5" thickBot="1" x14ac:dyDescent="0.25">
      <c r="A171" s="129"/>
      <c r="B171" s="127"/>
      <c r="C171" s="49"/>
      <c r="D171" s="49"/>
      <c r="E171" s="49"/>
      <c r="F171" s="49"/>
      <c r="G171" s="49"/>
      <c r="H171" s="18"/>
      <c r="I171" s="18"/>
      <c r="J171" s="507"/>
      <c r="K171" s="507"/>
      <c r="L171" s="510"/>
      <c r="M171" s="510"/>
      <c r="N171" s="507"/>
      <c r="O171" s="507"/>
      <c r="P171" s="510"/>
      <c r="Q171" s="439"/>
      <c r="R171" s="439"/>
      <c r="S171" s="439"/>
      <c r="T171" s="324"/>
      <c r="U171" s="47"/>
      <c r="V171" s="251"/>
      <c r="W171" s="214"/>
    </row>
    <row r="172" spans="1:23" ht="16.5" thickBot="1" x14ac:dyDescent="0.25">
      <c r="A172" s="129"/>
      <c r="B172" s="127"/>
      <c r="C172" s="658" t="s">
        <v>1067</v>
      </c>
      <c r="D172" s="703"/>
      <c r="E172" s="703"/>
      <c r="F172" s="703"/>
      <c r="G172" s="703"/>
      <c r="H172" s="18"/>
      <c r="I172" s="18"/>
      <c r="J172" s="730">
        <f>VLOOKUP('Part 1'!L$16,Datasheet3!$B$6:$FZ$332,149,FALSE)</f>
        <v>-409685.97</v>
      </c>
      <c r="K172" s="731"/>
      <c r="L172" s="437"/>
      <c r="M172" s="437"/>
      <c r="N172" s="730">
        <f>VLOOKUP('Part 1'!L$16,Datasheet3!$B$6:$FZ$332,150,FALSE)</f>
        <v>0</v>
      </c>
      <c r="O172" s="731"/>
      <c r="P172" s="437"/>
      <c r="Q172" s="438"/>
      <c r="R172" s="733">
        <f>VLOOKUP(+'Part 1'!$L$16,Datasheet3!$B$6:$FZ$332,151,FALSE)</f>
        <v>-409685.97</v>
      </c>
      <c r="S172" s="734"/>
      <c r="T172" s="323"/>
      <c r="U172" s="47"/>
      <c r="V172" s="251"/>
      <c r="W172" s="214"/>
    </row>
    <row r="173" spans="1:23" ht="15.75" x14ac:dyDescent="0.2">
      <c r="A173" s="129"/>
      <c r="B173" s="127"/>
      <c r="C173" s="729"/>
      <c r="D173" s="729"/>
      <c r="E173" s="729"/>
      <c r="F173" s="729"/>
      <c r="G173" s="729"/>
      <c r="H173" s="18"/>
      <c r="I173" s="18"/>
      <c r="J173" s="544"/>
      <c r="K173" s="437"/>
      <c r="L173" s="437"/>
      <c r="M173" s="437"/>
      <c r="N173" s="544"/>
      <c r="O173" s="437"/>
      <c r="P173" s="437"/>
      <c r="Q173" s="438"/>
      <c r="R173" s="509"/>
      <c r="S173" s="438"/>
      <c r="T173" s="323"/>
      <c r="U173" s="47"/>
      <c r="V173" s="251"/>
      <c r="W173" s="214"/>
    </row>
    <row r="174" spans="1:23" ht="16.5" thickBot="1" x14ac:dyDescent="0.25">
      <c r="A174" s="129"/>
      <c r="B174" s="127"/>
      <c r="C174" s="135"/>
      <c r="D174" s="135"/>
      <c r="E174" s="135"/>
      <c r="F174" s="135"/>
      <c r="G174" s="135"/>
      <c r="H174" s="18"/>
      <c r="I174" s="18"/>
      <c r="J174" s="544"/>
      <c r="K174" s="437"/>
      <c r="L174" s="437"/>
      <c r="M174" s="437"/>
      <c r="N174" s="544"/>
      <c r="O174" s="437"/>
      <c r="P174" s="437"/>
      <c r="Q174" s="438"/>
      <c r="R174" s="509"/>
      <c r="S174" s="438"/>
      <c r="T174" s="323"/>
      <c r="U174" s="47"/>
      <c r="V174" s="251"/>
      <c r="W174" s="214"/>
    </row>
    <row r="175" spans="1:23" ht="16.5" thickBot="1" x14ac:dyDescent="0.25">
      <c r="A175" s="129"/>
      <c r="B175" s="150"/>
      <c r="C175" s="166"/>
      <c r="D175" s="166"/>
      <c r="E175" s="166"/>
      <c r="F175" s="166"/>
      <c r="G175" s="166"/>
      <c r="H175" s="152"/>
      <c r="I175" s="152"/>
      <c r="J175" s="513"/>
      <c r="K175" s="514"/>
      <c r="L175" s="514"/>
      <c r="M175" s="514"/>
      <c r="N175" s="513"/>
      <c r="O175" s="514"/>
      <c r="P175" s="514"/>
      <c r="Q175" s="515"/>
      <c r="R175" s="516"/>
      <c r="S175" s="515"/>
      <c r="T175" s="327"/>
      <c r="U175" s="47"/>
      <c r="V175" s="251"/>
      <c r="W175" s="214"/>
    </row>
    <row r="176" spans="1:23" ht="16.5" thickBot="1" x14ac:dyDescent="0.25">
      <c r="A176" s="129"/>
      <c r="B176" s="155"/>
      <c r="C176" s="732" t="s">
        <v>1068</v>
      </c>
      <c r="D176" s="732"/>
      <c r="E176" s="732"/>
      <c r="F176" s="732"/>
      <c r="G176" s="732"/>
      <c r="H176" s="18"/>
      <c r="I176" s="18"/>
      <c r="J176" s="730">
        <f>VLOOKUP('Part 1'!L$16,Datasheet3!$B$6:$FZ$332,152,FALSE)</f>
        <v>-2882767</v>
      </c>
      <c r="K176" s="731"/>
      <c r="L176" s="437"/>
      <c r="M176" s="437"/>
      <c r="N176" s="730">
        <f>VLOOKUP('Part 1'!L$16,Datasheet3!$B$6:$FZ$332,153,FALSE)</f>
        <v>0</v>
      </c>
      <c r="O176" s="731"/>
      <c r="P176" s="437"/>
      <c r="Q176" s="438"/>
      <c r="R176" s="733">
        <f>VLOOKUP(+'Part 1'!$L$16,Datasheet3!$B$6:$FZ$332,154,FALSE)</f>
        <v>-2882767</v>
      </c>
      <c r="S176" s="734"/>
      <c r="T176" s="328"/>
      <c r="U176" s="47"/>
      <c r="V176" s="251"/>
      <c r="W176" s="214"/>
    </row>
    <row r="177" spans="1:25" ht="13.5" thickBot="1" x14ac:dyDescent="0.25">
      <c r="A177" s="14"/>
      <c r="B177" s="176"/>
      <c r="C177" s="160"/>
      <c r="D177" s="160"/>
      <c r="E177" s="160"/>
      <c r="F177" s="160"/>
      <c r="G177" s="160"/>
      <c r="H177" s="160"/>
      <c r="I177" s="160"/>
      <c r="J177" s="511"/>
      <c r="K177" s="511"/>
      <c r="L177" s="511"/>
      <c r="M177" s="511"/>
      <c r="N177" s="511"/>
      <c r="O177" s="511"/>
      <c r="P177" s="511"/>
      <c r="Q177" s="512"/>
      <c r="R177" s="512"/>
      <c r="S177" s="512"/>
      <c r="T177" s="330"/>
      <c r="U177" s="47"/>
      <c r="V177" s="251"/>
      <c r="W177" s="214"/>
    </row>
    <row r="178" spans="1:25" ht="13.5" thickBot="1" x14ac:dyDescent="0.25">
      <c r="A178" s="14"/>
      <c r="B178" s="2"/>
      <c r="C178" s="2"/>
      <c r="D178" s="2"/>
      <c r="E178" s="2"/>
      <c r="F178" s="2"/>
      <c r="G178" s="2"/>
      <c r="H178" s="2"/>
      <c r="I178" s="2"/>
      <c r="J178" s="528"/>
      <c r="K178" s="528"/>
      <c r="L178" s="528"/>
      <c r="M178" s="528"/>
      <c r="N178" s="528"/>
      <c r="O178" s="528"/>
      <c r="P178" s="528"/>
      <c r="Q178" s="528"/>
      <c r="R178" s="528"/>
      <c r="S178" s="528"/>
      <c r="T178" s="2"/>
      <c r="U178" s="47"/>
      <c r="V178" s="251"/>
    </row>
    <row r="179" spans="1:25" x14ac:dyDescent="0.2">
      <c r="A179" s="14"/>
      <c r="B179" s="385"/>
      <c r="C179" s="384"/>
      <c r="D179" s="384"/>
      <c r="E179" s="384"/>
      <c r="F179" s="384"/>
      <c r="G179" s="384"/>
      <c r="H179" s="384"/>
      <c r="I179" s="384"/>
      <c r="J179" s="426"/>
      <c r="K179" s="426"/>
      <c r="L179" s="529"/>
      <c r="M179" s="529"/>
      <c r="N179" s="426"/>
      <c r="O179" s="426"/>
      <c r="P179" s="529"/>
      <c r="Q179" s="529"/>
      <c r="R179" s="384"/>
      <c r="S179" s="384"/>
      <c r="T179" s="423"/>
      <c r="U179" s="47"/>
      <c r="V179" s="251"/>
    </row>
    <row r="180" spans="1:25" ht="16.5" customHeight="1" x14ac:dyDescent="0.25">
      <c r="A180" s="14"/>
      <c r="B180" s="386"/>
      <c r="C180" s="186" t="s">
        <v>56</v>
      </c>
      <c r="D180" s="185"/>
      <c r="E180" s="185"/>
      <c r="F180" s="185"/>
      <c r="G180" s="185"/>
      <c r="H180" s="185"/>
      <c r="I180" s="185"/>
      <c r="J180" s="427"/>
      <c r="K180" s="427"/>
      <c r="L180" s="530"/>
      <c r="M180" s="530"/>
      <c r="N180" s="427"/>
      <c r="O180" s="427"/>
      <c r="P180" s="530"/>
      <c r="Q180" s="530"/>
      <c r="R180" s="185"/>
      <c r="S180" s="185"/>
      <c r="T180" s="381"/>
      <c r="U180" s="47"/>
      <c r="V180" s="251"/>
    </row>
    <row r="181" spans="1:25" ht="16.5" customHeight="1" thickBot="1" x14ac:dyDescent="0.25">
      <c r="A181" s="14"/>
      <c r="B181" s="386"/>
      <c r="C181" s="185"/>
      <c r="D181" s="185"/>
      <c r="E181" s="185"/>
      <c r="F181" s="185"/>
      <c r="G181" s="185"/>
      <c r="H181" s="185"/>
      <c r="I181" s="185"/>
      <c r="J181" s="427"/>
      <c r="K181" s="427"/>
      <c r="L181" s="530"/>
      <c r="M181" s="530"/>
      <c r="N181" s="427"/>
      <c r="O181" s="427"/>
      <c r="P181" s="530"/>
      <c r="Q181" s="530"/>
      <c r="R181" s="185"/>
      <c r="S181" s="185"/>
      <c r="T181" s="381"/>
      <c r="U181" s="47"/>
      <c r="V181" s="251"/>
    </row>
    <row r="182" spans="1:25" ht="16.5" customHeight="1" thickBot="1" x14ac:dyDescent="0.3">
      <c r="A182" s="14"/>
      <c r="B182" s="32"/>
      <c r="C182" s="18"/>
      <c r="D182" s="109" t="s">
        <v>61</v>
      </c>
      <c r="E182" s="109"/>
      <c r="F182" s="109"/>
      <c r="G182" s="109"/>
      <c r="H182" s="109"/>
      <c r="I182" s="109"/>
      <c r="J182" s="690">
        <f>VLOOKUP('Part 1'!L$16,Datasheet3!$B$6:$FZ$332,155,FALSE)</f>
        <v>26485549589</v>
      </c>
      <c r="K182" s="691"/>
      <c r="L182" s="530"/>
      <c r="M182" s="530"/>
      <c r="N182" s="690">
        <f>VLOOKUP('Part 1'!L$16,Datasheet3!$B$6:$FZ$332,156,FALSE)</f>
        <v>137759884</v>
      </c>
      <c r="O182" s="691"/>
      <c r="P182" s="531"/>
      <c r="Q182" s="531"/>
      <c r="R182" s="737">
        <f>VLOOKUP(+'Part 1'!$L$16,Datasheet3!$B$6:$FZ$332,157,FALSE)</f>
        <v>26623309473</v>
      </c>
      <c r="S182" s="738"/>
      <c r="T182" s="381"/>
      <c r="U182" s="47"/>
      <c r="V182" s="251"/>
      <c r="W182" s="214"/>
      <c r="X182" s="214"/>
      <c r="Y182" s="214"/>
    </row>
    <row r="183" spans="1:25" ht="16.5" customHeight="1" thickBot="1" x14ac:dyDescent="0.25">
      <c r="A183" s="14"/>
      <c r="B183" s="386"/>
      <c r="C183" s="187" t="s">
        <v>57</v>
      </c>
      <c r="D183" s="185"/>
      <c r="E183" s="185"/>
      <c r="F183" s="185"/>
      <c r="G183" s="185"/>
      <c r="H183" s="185"/>
      <c r="I183" s="185"/>
      <c r="J183" s="408"/>
      <c r="K183" s="408"/>
      <c r="L183" s="532"/>
      <c r="M183" s="532"/>
      <c r="N183" s="408"/>
      <c r="O183" s="408"/>
      <c r="P183" s="532"/>
      <c r="Q183" s="532"/>
      <c r="R183" s="408"/>
      <c r="S183" s="408"/>
      <c r="T183" s="381"/>
      <c r="U183" s="47"/>
      <c r="V183" s="251"/>
      <c r="W183" s="214"/>
      <c r="X183" s="214"/>
      <c r="Y183" s="214"/>
    </row>
    <row r="184" spans="1:25" ht="16.5" customHeight="1" thickBot="1" x14ac:dyDescent="0.25">
      <c r="A184" s="14"/>
      <c r="B184" s="386"/>
      <c r="C184" s="185"/>
      <c r="D184" s="360" t="s">
        <v>58</v>
      </c>
      <c r="E184" s="185"/>
      <c r="F184" s="185"/>
      <c r="G184" s="185"/>
      <c r="H184" s="185"/>
      <c r="I184" s="185"/>
      <c r="J184" s="735">
        <f>VLOOKUP('Part 1'!L$16,Datasheet3!$B$6:$FZ$332,158,FALSE)</f>
        <v>164899515</v>
      </c>
      <c r="K184" s="736"/>
      <c r="L184" s="532"/>
      <c r="M184" s="532"/>
      <c r="N184" s="735">
        <f>VLOOKUP('Part 1'!L$16,Datasheet3!$B$6:$FZ$332,159,FALSE)</f>
        <v>-281321</v>
      </c>
      <c r="O184" s="736"/>
      <c r="P184" s="532"/>
      <c r="Q184" s="532"/>
      <c r="R184" s="735">
        <f>VLOOKUP(+'Part 1'!$L$16,Datasheet3!$B$6:$FZ$332,160,FALSE)</f>
        <v>164618194</v>
      </c>
      <c r="S184" s="736"/>
      <c r="T184" s="381"/>
      <c r="U184" s="47"/>
      <c r="V184" s="251"/>
      <c r="W184" s="214"/>
      <c r="X184" s="214"/>
      <c r="Y184" s="214"/>
    </row>
    <row r="185" spans="1:25" ht="16.5" customHeight="1" thickBot="1" x14ac:dyDescent="0.25">
      <c r="A185" s="14"/>
      <c r="B185" s="386"/>
      <c r="C185" s="185"/>
      <c r="D185" s="360"/>
      <c r="E185" s="185"/>
      <c r="F185" s="185"/>
      <c r="G185" s="185"/>
      <c r="H185" s="185"/>
      <c r="I185" s="185"/>
      <c r="J185" s="408"/>
      <c r="K185" s="408"/>
      <c r="L185" s="532"/>
      <c r="M185" s="532"/>
      <c r="N185" s="408"/>
      <c r="O185" s="408"/>
      <c r="P185" s="532"/>
      <c r="Q185" s="532"/>
      <c r="R185" s="408"/>
      <c r="S185" s="408"/>
      <c r="T185" s="381"/>
      <c r="U185" s="47"/>
      <c r="V185" s="251"/>
      <c r="W185" s="214"/>
      <c r="X185" s="214"/>
      <c r="Y185" s="214"/>
    </row>
    <row r="186" spans="1:25" ht="16.5" customHeight="1" thickBot="1" x14ac:dyDescent="0.25">
      <c r="A186" s="14"/>
      <c r="B186" s="386"/>
      <c r="C186" s="185"/>
      <c r="D186" s="360" t="s">
        <v>59</v>
      </c>
      <c r="E186" s="185"/>
      <c r="F186" s="185"/>
      <c r="G186" s="185"/>
      <c r="H186" s="185"/>
      <c r="I186" s="185"/>
      <c r="J186" s="735">
        <f>VLOOKUP('Part 1'!L$16,Datasheet3!$B$6:$FZ$332,161,FALSE)</f>
        <v>-2130347225</v>
      </c>
      <c r="K186" s="736"/>
      <c r="L186" s="532"/>
      <c r="M186" s="532"/>
      <c r="N186" s="735">
        <f>VLOOKUP('Part 1'!L$16,Datasheet3!$B$6:$FZ$332,162,FALSE)</f>
        <v>-2949330</v>
      </c>
      <c r="O186" s="736"/>
      <c r="P186" s="532"/>
      <c r="Q186" s="532"/>
      <c r="R186" s="735">
        <f>VLOOKUP(+'Part 1'!$L$16,Datasheet3!$B$6:$FZ$332,163,FALSE)</f>
        <v>-2133296555</v>
      </c>
      <c r="S186" s="736"/>
      <c r="T186" s="381"/>
      <c r="U186" s="47"/>
      <c r="V186" s="251"/>
      <c r="W186" s="214"/>
      <c r="X186" s="214"/>
      <c r="Y186" s="214"/>
    </row>
    <row r="187" spans="1:25" ht="16.5" customHeight="1" thickBot="1" x14ac:dyDescent="0.25">
      <c r="A187" s="14"/>
      <c r="B187" s="386"/>
      <c r="C187" s="185"/>
      <c r="D187" s="360"/>
      <c r="E187" s="185"/>
      <c r="F187" s="185"/>
      <c r="G187" s="185"/>
      <c r="H187" s="185"/>
      <c r="I187" s="185"/>
      <c r="J187" s="408"/>
      <c r="K187" s="408"/>
      <c r="L187" s="532"/>
      <c r="M187" s="532"/>
      <c r="N187" s="408"/>
      <c r="O187" s="408"/>
      <c r="P187" s="532"/>
      <c r="Q187" s="532"/>
      <c r="R187" s="408"/>
      <c r="S187" s="408"/>
      <c r="T187" s="381"/>
      <c r="U187" s="47"/>
      <c r="V187" s="251"/>
      <c r="W187" s="214"/>
      <c r="X187" s="214"/>
      <c r="Y187" s="214"/>
    </row>
    <row r="188" spans="1:25" ht="16.5" customHeight="1" thickBot="1" x14ac:dyDescent="0.25">
      <c r="A188" s="14"/>
      <c r="B188" s="386"/>
      <c r="C188" s="185"/>
      <c r="D188" s="360" t="s">
        <v>88</v>
      </c>
      <c r="E188" s="185"/>
      <c r="F188" s="185"/>
      <c r="G188" s="185"/>
      <c r="H188" s="185"/>
      <c r="I188" s="185"/>
      <c r="J188" s="735">
        <f>VLOOKUP('Part 1'!L$16,Datasheet3!$B$6:$FZ$332,164,FALSE)</f>
        <v>-985139752</v>
      </c>
      <c r="K188" s="736"/>
      <c r="L188" s="532"/>
      <c r="M188" s="532"/>
      <c r="N188" s="735">
        <f>VLOOKUP('Part 1'!L$16,Datasheet3!$B$6:$FZ$332,165,FALSE)</f>
        <v>-13940505</v>
      </c>
      <c r="O188" s="736"/>
      <c r="P188" s="532"/>
      <c r="Q188" s="532"/>
      <c r="R188" s="735">
        <f>VLOOKUP(+'Part 1'!$L$16,Datasheet3!$B$6:$FZ$332,166,FALSE)</f>
        <v>-999080257</v>
      </c>
      <c r="S188" s="736"/>
      <c r="T188" s="381"/>
      <c r="U188" s="47"/>
      <c r="V188" s="251"/>
      <c r="W188" s="214"/>
      <c r="X188" s="214"/>
      <c r="Y188" s="214"/>
    </row>
    <row r="189" spans="1:25" ht="16.5" customHeight="1" thickBot="1" x14ac:dyDescent="0.25">
      <c r="A189" s="14"/>
      <c r="B189" s="386"/>
      <c r="C189" s="185"/>
      <c r="D189" s="360"/>
      <c r="E189" s="185"/>
      <c r="F189" s="185"/>
      <c r="G189" s="185"/>
      <c r="H189" s="185"/>
      <c r="I189" s="185"/>
      <c r="J189" s="408"/>
      <c r="K189" s="408"/>
      <c r="L189" s="532"/>
      <c r="M189" s="532"/>
      <c r="N189" s="408"/>
      <c r="O189" s="408"/>
      <c r="P189" s="532"/>
      <c r="Q189" s="532"/>
      <c r="R189" s="408"/>
      <c r="S189" s="408"/>
      <c r="T189" s="381"/>
      <c r="U189" s="47"/>
      <c r="V189" s="251"/>
      <c r="W189" s="214"/>
      <c r="X189" s="214"/>
      <c r="Y189" s="214"/>
    </row>
    <row r="190" spans="1:25" ht="16.5" customHeight="1" thickBot="1" x14ac:dyDescent="0.25">
      <c r="A190" s="14"/>
      <c r="B190" s="386"/>
      <c r="C190" s="185"/>
      <c r="D190" s="360" t="s">
        <v>74</v>
      </c>
      <c r="E190" s="185"/>
      <c r="F190" s="185"/>
      <c r="G190" s="185"/>
      <c r="H190" s="185"/>
      <c r="I190" s="185"/>
      <c r="J190" s="735">
        <f>VLOOKUP('Part 1'!L$16,Datasheet3!$B$6:$FZ$332,167,FALSE)</f>
        <v>-95702906</v>
      </c>
      <c r="K190" s="736"/>
      <c r="L190" s="532"/>
      <c r="M190" s="532"/>
      <c r="N190" s="735">
        <f>VLOOKUP('Part 1'!L$16,Datasheet3!$B$6:$FZ$332,168,FALSE)</f>
        <v>-8739180</v>
      </c>
      <c r="O190" s="736"/>
      <c r="P190" s="532"/>
      <c r="Q190" s="532"/>
      <c r="R190" s="735">
        <f>VLOOKUP(+'Part 1'!$L$16,Datasheet3!$B$6:$FZ$332,169,FALSE)</f>
        <v>-104442086</v>
      </c>
      <c r="S190" s="736"/>
      <c r="T190" s="381"/>
      <c r="U190" s="47"/>
      <c r="V190" s="251"/>
      <c r="W190" s="214"/>
      <c r="X190" s="214"/>
      <c r="Y190" s="214"/>
    </row>
    <row r="191" spans="1:25" ht="16.5" customHeight="1" thickBot="1" x14ac:dyDescent="0.25">
      <c r="A191" s="14"/>
      <c r="B191" s="386"/>
      <c r="C191" s="185"/>
      <c r="D191" s="360"/>
      <c r="E191" s="185"/>
      <c r="F191" s="185"/>
      <c r="G191" s="185"/>
      <c r="H191" s="185"/>
      <c r="I191" s="185"/>
      <c r="J191" s="408"/>
      <c r="K191" s="408"/>
      <c r="L191" s="532"/>
      <c r="M191" s="532"/>
      <c r="N191" s="408"/>
      <c r="O191" s="408"/>
      <c r="P191" s="532"/>
      <c r="Q191" s="532"/>
      <c r="R191" s="408"/>
      <c r="S191" s="408"/>
      <c r="T191" s="381"/>
      <c r="U191" s="47"/>
      <c r="V191" s="251"/>
      <c r="W191" s="214"/>
      <c r="X191" s="214"/>
      <c r="Y191" s="214"/>
    </row>
    <row r="192" spans="1:25" ht="16.5" customHeight="1" thickBot="1" x14ac:dyDescent="0.25">
      <c r="A192" s="14"/>
      <c r="B192" s="386"/>
      <c r="C192" s="185"/>
      <c r="D192" s="360" t="s">
        <v>75</v>
      </c>
      <c r="E192" s="185"/>
      <c r="F192" s="185"/>
      <c r="G192" s="185"/>
      <c r="H192" s="185"/>
      <c r="I192" s="185"/>
      <c r="J192" s="735">
        <f>VLOOKUP('Part 1'!L$16,Datasheet3!$B$6:$FZ$332,170,FALSE)</f>
        <v>-336764584</v>
      </c>
      <c r="K192" s="736"/>
      <c r="L192" s="532"/>
      <c r="M192" s="532"/>
      <c r="N192" s="735">
        <f>VLOOKUP('Part 1'!L$16,Datasheet3!$B$6:$FZ$332,171,FALSE)</f>
        <v>-809770</v>
      </c>
      <c r="O192" s="736"/>
      <c r="P192" s="532"/>
      <c r="Q192" s="532"/>
      <c r="R192" s="735">
        <f>VLOOKUP(+'Part 1'!$L$16,Datasheet3!$B$6:$FZ$332,172,FALSE)</f>
        <v>-337574354</v>
      </c>
      <c r="S192" s="736"/>
      <c r="T192" s="381"/>
      <c r="U192" s="47"/>
      <c r="V192" s="251"/>
      <c r="W192" s="214"/>
      <c r="X192" s="214"/>
      <c r="Y192" s="214"/>
    </row>
    <row r="193" spans="1:25" ht="16.5" customHeight="1" thickBot="1" x14ac:dyDescent="0.25">
      <c r="A193" s="14"/>
      <c r="B193" s="386"/>
      <c r="C193" s="185"/>
      <c r="D193" s="360"/>
      <c r="E193" s="185"/>
      <c r="F193" s="185"/>
      <c r="G193" s="185"/>
      <c r="H193" s="185"/>
      <c r="I193" s="185"/>
      <c r="J193" s="408"/>
      <c r="K193" s="408"/>
      <c r="L193" s="532"/>
      <c r="M193" s="532"/>
      <c r="N193" s="408"/>
      <c r="O193" s="408"/>
      <c r="P193" s="532"/>
      <c r="Q193" s="532"/>
      <c r="R193" s="408"/>
      <c r="S193" s="408"/>
      <c r="T193" s="381"/>
      <c r="U193" s="47"/>
      <c r="V193" s="251"/>
      <c r="W193" s="214"/>
      <c r="X193" s="214"/>
      <c r="Y193" s="214"/>
    </row>
    <row r="194" spans="1:25" ht="16.5" customHeight="1" thickBot="1" x14ac:dyDescent="0.25">
      <c r="A194" s="14"/>
      <c r="B194" s="386"/>
      <c r="C194" s="185"/>
      <c r="D194" s="360" t="s">
        <v>60</v>
      </c>
      <c r="E194" s="185"/>
      <c r="F194" s="185"/>
      <c r="G194" s="185"/>
      <c r="H194" s="185"/>
      <c r="I194" s="185"/>
      <c r="J194" s="735">
        <f>VLOOKUP('Part 1'!L$16,Datasheet3!$B$6:$FZ$332,173,FALSE)</f>
        <v>-2882767</v>
      </c>
      <c r="K194" s="736"/>
      <c r="L194" s="532"/>
      <c r="M194" s="532"/>
      <c r="N194" s="735">
        <f>VLOOKUP('Part 1'!L$16,Datasheet3!$B$6:$FZ$332,174,FALSE)</f>
        <v>0</v>
      </c>
      <c r="O194" s="736"/>
      <c r="P194" s="532"/>
      <c r="Q194" s="532"/>
      <c r="R194" s="735">
        <f>VLOOKUP(+'Part 1'!$L$16,Datasheet3!$B$6:$FZ$332,175,FALSE)</f>
        <v>-2882767</v>
      </c>
      <c r="S194" s="736"/>
      <c r="T194" s="381"/>
      <c r="U194" s="47"/>
      <c r="V194" s="251"/>
      <c r="W194" s="214"/>
      <c r="X194" s="214"/>
      <c r="Y194" s="214"/>
    </row>
    <row r="195" spans="1:25" ht="15" thickBot="1" x14ac:dyDescent="0.25">
      <c r="A195" s="14"/>
      <c r="B195" s="386"/>
      <c r="C195" s="185"/>
      <c r="D195" s="188"/>
      <c r="E195" s="185"/>
      <c r="F195" s="185"/>
      <c r="G195" s="185"/>
      <c r="H195" s="185"/>
      <c r="I195" s="185"/>
      <c r="J195" s="408"/>
      <c r="K195" s="408"/>
      <c r="L195" s="532"/>
      <c r="M195" s="532"/>
      <c r="N195" s="408"/>
      <c r="O195" s="408"/>
      <c r="P195" s="532"/>
      <c r="Q195" s="532"/>
      <c r="R195" s="408"/>
      <c r="S195" s="408"/>
      <c r="T195" s="381"/>
      <c r="U195" s="47"/>
      <c r="V195" s="251"/>
      <c r="W195" s="214"/>
      <c r="X195" s="214"/>
      <c r="Y195" s="214"/>
    </row>
    <row r="196" spans="1:25" ht="16.5" thickBot="1" x14ac:dyDescent="0.3">
      <c r="A196" s="14"/>
      <c r="B196" s="386"/>
      <c r="C196" s="185"/>
      <c r="D196" s="364" t="s">
        <v>947</v>
      </c>
      <c r="E196" s="185"/>
      <c r="F196" s="185"/>
      <c r="G196" s="185"/>
      <c r="H196" s="185"/>
      <c r="I196" s="185"/>
      <c r="J196" s="735">
        <f>VLOOKUP('Part 1'!L$16,Datasheet3!$B$6:$FZ$332,176,FALSE)</f>
        <v>-3385937719</v>
      </c>
      <c r="K196" s="736"/>
      <c r="L196" s="532"/>
      <c r="M196" s="532"/>
      <c r="N196" s="735">
        <f>VLOOKUP('Part 1'!L$16,Datasheet3!$B$6:$FZ$332,177,FALSE)</f>
        <v>-26720106</v>
      </c>
      <c r="O196" s="736"/>
      <c r="P196" s="532"/>
      <c r="Q196" s="532"/>
      <c r="R196" s="735">
        <f>VLOOKUP(+'Part 1'!$L$16,Datasheet3!$B$6:$FZ$332,178,FALSE)</f>
        <v>-3412657825</v>
      </c>
      <c r="S196" s="736"/>
      <c r="T196" s="381"/>
      <c r="U196" s="47"/>
      <c r="V196" s="251"/>
      <c r="W196" s="214"/>
      <c r="X196" s="214"/>
      <c r="Y196" s="214"/>
    </row>
    <row r="197" spans="1:25" ht="15" thickBot="1" x14ac:dyDescent="0.25">
      <c r="A197" s="14"/>
      <c r="B197" s="386"/>
      <c r="C197" s="185"/>
      <c r="D197" s="188"/>
      <c r="E197" s="185"/>
      <c r="F197" s="185"/>
      <c r="G197" s="185"/>
      <c r="H197" s="185"/>
      <c r="I197" s="185"/>
      <c r="J197" s="408"/>
      <c r="K197" s="408"/>
      <c r="L197" s="532"/>
      <c r="M197" s="532"/>
      <c r="N197" s="408"/>
      <c r="O197" s="408"/>
      <c r="P197" s="532"/>
      <c r="Q197" s="532"/>
      <c r="R197" s="408"/>
      <c r="S197" s="408"/>
      <c r="T197" s="381"/>
      <c r="U197" s="47"/>
      <c r="V197" s="251"/>
      <c r="W197" s="214"/>
      <c r="X197" s="214"/>
      <c r="Y197" s="214"/>
    </row>
    <row r="198" spans="1:25" ht="16.5" thickBot="1" x14ac:dyDescent="0.3">
      <c r="A198" s="14"/>
      <c r="B198" s="386"/>
      <c r="C198" s="185"/>
      <c r="D198" s="186" t="s">
        <v>62</v>
      </c>
      <c r="E198" s="185"/>
      <c r="F198" s="185"/>
      <c r="G198" s="185"/>
      <c r="H198" s="185"/>
      <c r="I198" s="185"/>
      <c r="J198" s="735">
        <f>VLOOKUP('Part 1'!L$16,Datasheet3!$B$6:$FZ$332,179,FALSE)</f>
        <v>23099611870</v>
      </c>
      <c r="K198" s="736"/>
      <c r="L198" s="532"/>
      <c r="M198" s="532"/>
      <c r="N198" s="735">
        <f>VLOOKUP('Part 1'!L$16,Datasheet3!$B$6:$FZ$332,180,FALSE)</f>
        <v>111039778</v>
      </c>
      <c r="O198" s="736"/>
      <c r="P198" s="532"/>
      <c r="Q198" s="532"/>
      <c r="R198" s="735">
        <f>VLOOKUP(+'Part 1'!$L$16,Datasheet3!$B$6:$FZ$332,181,FALSE)</f>
        <v>23210651648</v>
      </c>
      <c r="S198" s="736"/>
      <c r="T198" s="381"/>
      <c r="U198" s="47"/>
      <c r="V198" s="251"/>
      <c r="W198" s="214"/>
      <c r="X198" s="214"/>
      <c r="Y198" s="214"/>
    </row>
    <row r="199" spans="1:25" ht="15.75" x14ac:dyDescent="0.25">
      <c r="A199" s="14"/>
      <c r="B199" s="386"/>
      <c r="C199" s="185"/>
      <c r="D199" s="186"/>
      <c r="E199" s="185"/>
      <c r="F199" s="185"/>
      <c r="G199" s="185"/>
      <c r="H199" s="185"/>
      <c r="I199" s="185"/>
      <c r="J199" s="358"/>
      <c r="K199" s="359"/>
      <c r="L199" s="185"/>
      <c r="M199" s="185"/>
      <c r="N199" s="748"/>
      <c r="O199" s="748"/>
      <c r="P199" s="185"/>
      <c r="Q199" s="185"/>
      <c r="R199" s="358"/>
      <c r="S199" s="359"/>
      <c r="T199" s="381"/>
      <c r="U199" s="47"/>
      <c r="V199" s="251"/>
      <c r="W199" s="214"/>
      <c r="X199" s="214"/>
      <c r="Y199" s="214"/>
    </row>
    <row r="200" spans="1:25" ht="13.5" thickBot="1" x14ac:dyDescent="0.25">
      <c r="A200" s="14"/>
      <c r="B200" s="387"/>
      <c r="C200" s="382"/>
      <c r="D200" s="382"/>
      <c r="E200" s="382"/>
      <c r="F200" s="382"/>
      <c r="G200" s="382"/>
      <c r="H200" s="382"/>
      <c r="I200" s="382"/>
      <c r="J200" s="382"/>
      <c r="K200" s="382"/>
      <c r="L200" s="382"/>
      <c r="M200" s="382"/>
      <c r="N200" s="382"/>
      <c r="O200" s="382"/>
      <c r="P200" s="382"/>
      <c r="Q200" s="382"/>
      <c r="R200" s="382"/>
      <c r="S200" s="382"/>
      <c r="T200" s="383"/>
      <c r="U200" s="47"/>
      <c r="V200" s="251"/>
    </row>
    <row r="201" spans="1:25" x14ac:dyDescent="0.2">
      <c r="A201" s="14"/>
      <c r="B201" s="2"/>
      <c r="C201" s="2"/>
      <c r="D201" s="2"/>
      <c r="E201" s="2"/>
      <c r="F201" s="2"/>
      <c r="G201" s="2"/>
      <c r="H201" s="2"/>
      <c r="I201" s="2"/>
      <c r="J201" s="2"/>
      <c r="K201" s="2"/>
      <c r="L201" s="2"/>
      <c r="M201" s="2"/>
      <c r="N201" s="2"/>
      <c r="O201" s="2"/>
      <c r="P201" s="2"/>
      <c r="Q201" s="2"/>
      <c r="R201" s="2"/>
      <c r="S201" s="2"/>
      <c r="T201" s="2"/>
      <c r="U201" s="47"/>
      <c r="V201" s="251"/>
    </row>
    <row r="202" spans="1:25" ht="13.5" thickBot="1" x14ac:dyDescent="0.25">
      <c r="A202" s="15"/>
      <c r="B202" s="16"/>
      <c r="C202" s="16"/>
      <c r="D202" s="16"/>
      <c r="E202" s="16"/>
      <c r="F202" s="16"/>
      <c r="G202" s="16"/>
      <c r="H202" s="16"/>
      <c r="I202" s="16"/>
      <c r="J202" s="16"/>
      <c r="K202" s="16"/>
      <c r="L202" s="16"/>
      <c r="M202" s="16"/>
      <c r="N202" s="16"/>
      <c r="O202" s="16"/>
      <c r="P202" s="16"/>
      <c r="Q202" s="16"/>
      <c r="R202" s="16"/>
      <c r="S202" s="16"/>
      <c r="T202" s="16"/>
      <c r="U202" s="48"/>
    </row>
    <row r="204" spans="1:25" ht="15" x14ac:dyDescent="0.25">
      <c r="C204" s="485"/>
      <c r="D204" s="485"/>
      <c r="E204" s="485"/>
      <c r="F204" s="485"/>
      <c r="G204" s="485"/>
      <c r="H204" s="485"/>
      <c r="I204" s="485"/>
      <c r="J204" s="485"/>
      <c r="K204" s="485"/>
      <c r="L204" s="485"/>
      <c r="M204" s="485"/>
      <c r="N204" s="485"/>
      <c r="O204" s="485"/>
      <c r="P204" s="485"/>
      <c r="Q204" s="485"/>
      <c r="R204" s="485"/>
      <c r="S204" s="485"/>
      <c r="T204" s="485"/>
      <c r="U204" s="485"/>
      <c r="V204" s="485"/>
    </row>
    <row r="205" spans="1:25" ht="15" x14ac:dyDescent="0.25">
      <c r="C205" s="485"/>
      <c r="D205" s="485"/>
      <c r="E205" s="486"/>
      <c r="F205" s="486"/>
      <c r="G205" s="487"/>
      <c r="H205" s="487"/>
      <c r="I205" s="487"/>
      <c r="J205" s="487"/>
      <c r="K205" s="487"/>
      <c r="L205" s="487"/>
      <c r="M205" s="487"/>
      <c r="N205" s="487"/>
      <c r="O205" s="487"/>
      <c r="P205" s="487"/>
      <c r="Q205" s="487"/>
      <c r="R205" s="487"/>
      <c r="S205" s="487"/>
      <c r="T205" s="486"/>
      <c r="U205" s="486"/>
      <c r="V205" s="486"/>
    </row>
    <row r="206" spans="1:25" ht="15" x14ac:dyDescent="0.25">
      <c r="B206" s="489"/>
      <c r="C206" s="490"/>
      <c r="D206" s="490"/>
      <c r="E206" s="491"/>
      <c r="F206" s="491"/>
      <c r="G206" s="491"/>
      <c r="H206" s="492"/>
      <c r="I206" s="491"/>
      <c r="J206" s="493"/>
      <c r="K206" s="491"/>
      <c r="L206" s="491"/>
      <c r="M206" s="491"/>
      <c r="N206" s="493"/>
      <c r="O206" s="491"/>
      <c r="P206" s="491"/>
      <c r="Q206" s="491"/>
      <c r="R206" s="491"/>
      <c r="S206" s="491"/>
      <c r="T206" s="486"/>
      <c r="U206" s="486"/>
      <c r="V206" s="486"/>
    </row>
    <row r="207" spans="1:25" ht="15" x14ac:dyDescent="0.25">
      <c r="C207" s="485"/>
      <c r="D207" s="485"/>
      <c r="E207" s="486"/>
      <c r="F207" s="486"/>
      <c r="G207" s="486"/>
      <c r="H207" s="486"/>
      <c r="I207" s="486"/>
      <c r="J207" s="486"/>
      <c r="K207" s="486"/>
      <c r="L207" s="486"/>
      <c r="M207" s="486"/>
      <c r="N207" s="486"/>
      <c r="O207" s="486"/>
      <c r="P207" s="486"/>
      <c r="Q207" s="486"/>
      <c r="R207" s="486"/>
      <c r="S207" s="486"/>
      <c r="T207" s="486"/>
      <c r="U207" s="486"/>
      <c r="V207" s="486"/>
    </row>
    <row r="208" spans="1:25" ht="15" x14ac:dyDescent="0.25">
      <c r="C208" s="485"/>
      <c r="D208" s="485"/>
      <c r="E208" s="486"/>
      <c r="F208" s="486"/>
      <c r="G208" s="486"/>
      <c r="H208" s="486"/>
      <c r="I208" s="486"/>
      <c r="J208" s="486"/>
      <c r="K208" s="486"/>
      <c r="L208" s="486"/>
      <c r="M208" s="486"/>
      <c r="N208" s="486"/>
      <c r="O208" s="486"/>
      <c r="P208" s="486"/>
      <c r="Q208" s="486"/>
      <c r="R208" s="486"/>
      <c r="S208" s="486"/>
      <c r="T208" s="486"/>
      <c r="U208" s="486"/>
      <c r="V208" s="486"/>
    </row>
    <row r="209" spans="3:22" ht="15" x14ac:dyDescent="0.25">
      <c r="C209" s="485"/>
      <c r="D209" s="485"/>
      <c r="E209" s="485"/>
      <c r="F209" s="485"/>
      <c r="G209" s="485"/>
      <c r="H209" s="485"/>
      <c r="I209" s="485"/>
      <c r="J209" s="488"/>
      <c r="K209" s="488"/>
      <c r="L209" s="485"/>
      <c r="M209" s="485"/>
      <c r="N209" s="485"/>
      <c r="O209" s="485"/>
      <c r="P209" s="485"/>
      <c r="Q209" s="485"/>
      <c r="R209" s="485"/>
      <c r="S209" s="485"/>
      <c r="T209" s="485"/>
      <c r="U209" s="485"/>
      <c r="V209" s="485"/>
    </row>
    <row r="210" spans="3:22" x14ac:dyDescent="0.2">
      <c r="J210" s="363"/>
      <c r="K210" s="361"/>
    </row>
    <row r="211" spans="3:22" x14ac:dyDescent="0.2">
      <c r="J211" s="363"/>
      <c r="K211" s="361"/>
    </row>
    <row r="212" spans="3:22" x14ac:dyDescent="0.2">
      <c r="J212" s="362"/>
    </row>
    <row r="213" spans="3:22" ht="15.75" customHeight="1" x14ac:dyDescent="0.2">
      <c r="J213" s="363"/>
      <c r="K213" s="361"/>
    </row>
  </sheetData>
  <dataConsolidate/>
  <mergeCells count="223">
    <mergeCell ref="R194:S194"/>
    <mergeCell ref="R198:S198"/>
    <mergeCell ref="R186:S186"/>
    <mergeCell ref="J190:K190"/>
    <mergeCell ref="J192:K192"/>
    <mergeCell ref="J194:K194"/>
    <mergeCell ref="J198:K198"/>
    <mergeCell ref="N198:O198"/>
    <mergeCell ref="N194:O194"/>
    <mergeCell ref="N192:O192"/>
    <mergeCell ref="N190:O190"/>
    <mergeCell ref="R190:S190"/>
    <mergeCell ref="J188:K188"/>
    <mergeCell ref="N188:O188"/>
    <mergeCell ref="R188:S188"/>
    <mergeCell ref="J186:K186"/>
    <mergeCell ref="N186:O186"/>
    <mergeCell ref="R192:S192"/>
    <mergeCell ref="J196:K196"/>
    <mergeCell ref="N196:O196"/>
    <mergeCell ref="R196:S196"/>
    <mergeCell ref="C133:G133"/>
    <mergeCell ref="J133:K133"/>
    <mergeCell ref="N133:O133"/>
    <mergeCell ref="R133:S133"/>
    <mergeCell ref="J166:K166"/>
    <mergeCell ref="N166:O166"/>
    <mergeCell ref="R166:S166"/>
    <mergeCell ref="N170:O170"/>
    <mergeCell ref="R156:S156"/>
    <mergeCell ref="N140:O140"/>
    <mergeCell ref="R140:S140"/>
    <mergeCell ref="J140:K140"/>
    <mergeCell ref="R138:S138"/>
    <mergeCell ref="N138:O138"/>
    <mergeCell ref="N158:O158"/>
    <mergeCell ref="R158:S158"/>
    <mergeCell ref="J170:K170"/>
    <mergeCell ref="R170:S170"/>
    <mergeCell ref="J146:K146"/>
    <mergeCell ref="N146:O146"/>
    <mergeCell ref="R146:S146"/>
    <mergeCell ref="R152:S152"/>
    <mergeCell ref="N199:O199"/>
    <mergeCell ref="R16:S16"/>
    <mergeCell ref="J105:K105"/>
    <mergeCell ref="R66:S66"/>
    <mergeCell ref="N70:O70"/>
    <mergeCell ref="R70:S70"/>
    <mergeCell ref="N40:O40"/>
    <mergeCell ref="R40:S40"/>
    <mergeCell ref="R111:S111"/>
    <mergeCell ref="J70:K70"/>
    <mergeCell ref="R101:S101"/>
    <mergeCell ref="R105:S105"/>
    <mergeCell ref="J88:K88"/>
    <mergeCell ref="N88:O88"/>
    <mergeCell ref="R88:S88"/>
    <mergeCell ref="R82:S82"/>
    <mergeCell ref="R84:S84"/>
    <mergeCell ref="J32:K32"/>
    <mergeCell ref="R52:S52"/>
    <mergeCell ref="J58:K58"/>
    <mergeCell ref="J52:K52"/>
    <mergeCell ref="J60:K60"/>
    <mergeCell ref="N60:O60"/>
    <mergeCell ref="R107:S107"/>
    <mergeCell ref="A6:U6"/>
    <mergeCell ref="N23:O23"/>
    <mergeCell ref="N17:O17"/>
    <mergeCell ref="J27:K27"/>
    <mergeCell ref="N27:O27"/>
    <mergeCell ref="N54:O54"/>
    <mergeCell ref="C27:G27"/>
    <mergeCell ref="R27:S27"/>
    <mergeCell ref="N48:O48"/>
    <mergeCell ref="R48:S48"/>
    <mergeCell ref="N52:O52"/>
    <mergeCell ref="J34:K34"/>
    <mergeCell ref="N34:O34"/>
    <mergeCell ref="R34:S34"/>
    <mergeCell ref="J40:K40"/>
    <mergeCell ref="R12:S12"/>
    <mergeCell ref="R13:S14"/>
    <mergeCell ref="R54:S54"/>
    <mergeCell ref="N13:O14"/>
    <mergeCell ref="C12:H12"/>
    <mergeCell ref="Q15:T15"/>
    <mergeCell ref="R23:S23"/>
    <mergeCell ref="J16:K16"/>
    <mergeCell ref="N16:O16"/>
    <mergeCell ref="A5:U5"/>
    <mergeCell ref="C54:G55"/>
    <mergeCell ref="J54:K54"/>
    <mergeCell ref="C48:G49"/>
    <mergeCell ref="J48:K48"/>
    <mergeCell ref="C95:G96"/>
    <mergeCell ref="J95:K95"/>
    <mergeCell ref="R60:S60"/>
    <mergeCell ref="R58:S58"/>
    <mergeCell ref="R78:S78"/>
    <mergeCell ref="R76:S76"/>
    <mergeCell ref="R64:S64"/>
    <mergeCell ref="N78:O78"/>
    <mergeCell ref="R95:S95"/>
    <mergeCell ref="R93:S93"/>
    <mergeCell ref="J64:K64"/>
    <mergeCell ref="N64:O64"/>
    <mergeCell ref="N95:O95"/>
    <mergeCell ref="N93:O93"/>
    <mergeCell ref="C60:G61"/>
    <mergeCell ref="C23:G24"/>
    <mergeCell ref="J23:K23"/>
    <mergeCell ref="J37:K37"/>
    <mergeCell ref="N58:O58"/>
    <mergeCell ref="C172:G173"/>
    <mergeCell ref="J172:K172"/>
    <mergeCell ref="N172:O172"/>
    <mergeCell ref="J138:K138"/>
    <mergeCell ref="J184:K184"/>
    <mergeCell ref="N184:O184"/>
    <mergeCell ref="J99:K99"/>
    <mergeCell ref="C66:G67"/>
    <mergeCell ref="J66:K66"/>
    <mergeCell ref="N66:O66"/>
    <mergeCell ref="J76:K76"/>
    <mergeCell ref="C78:G79"/>
    <mergeCell ref="C84:G85"/>
    <mergeCell ref="N82:O82"/>
    <mergeCell ref="N76:O76"/>
    <mergeCell ref="C70:F70"/>
    <mergeCell ref="J78:K78"/>
    <mergeCell ref="J84:K84"/>
    <mergeCell ref="N105:O105"/>
    <mergeCell ref="N84:O84"/>
    <mergeCell ref="J82:K82"/>
    <mergeCell ref="J93:K93"/>
    <mergeCell ref="N152:O152"/>
    <mergeCell ref="C162:G163"/>
    <mergeCell ref="A2:U2"/>
    <mergeCell ref="A3:U3"/>
    <mergeCell ref="C45:G46"/>
    <mergeCell ref="N32:O32"/>
    <mergeCell ref="N45:O45"/>
    <mergeCell ref="J21:K21"/>
    <mergeCell ref="N21:O21"/>
    <mergeCell ref="J17:K17"/>
    <mergeCell ref="R21:S21"/>
    <mergeCell ref="R32:S32"/>
    <mergeCell ref="J12:K12"/>
    <mergeCell ref="N12:O12"/>
    <mergeCell ref="N19:O19"/>
    <mergeCell ref="A4:U4"/>
    <mergeCell ref="A7:U7"/>
    <mergeCell ref="J13:K14"/>
    <mergeCell ref="J19:K19"/>
    <mergeCell ref="C9:H9"/>
    <mergeCell ref="J45:K45"/>
    <mergeCell ref="R17:S17"/>
    <mergeCell ref="R37:S37"/>
    <mergeCell ref="R45:S45"/>
    <mergeCell ref="R19:S19"/>
    <mergeCell ref="N37:O37"/>
    <mergeCell ref="R99:S99"/>
    <mergeCell ref="J130:K130"/>
    <mergeCell ref="R119:S119"/>
    <mergeCell ref="R117:S117"/>
    <mergeCell ref="R123:S123"/>
    <mergeCell ref="R125:S125"/>
    <mergeCell ref="R113:S113"/>
    <mergeCell ref="J123:K123"/>
    <mergeCell ref="N128:O128"/>
    <mergeCell ref="N117:O117"/>
    <mergeCell ref="J113:K113"/>
    <mergeCell ref="N113:O113"/>
    <mergeCell ref="J42:K42"/>
    <mergeCell ref="N42:O42"/>
    <mergeCell ref="R42:S42"/>
    <mergeCell ref="N15:O15"/>
    <mergeCell ref="R184:S184"/>
    <mergeCell ref="J156:K156"/>
    <mergeCell ref="R182:S182"/>
    <mergeCell ref="C176:G176"/>
    <mergeCell ref="J176:K176"/>
    <mergeCell ref="N176:O176"/>
    <mergeCell ref="J144:K144"/>
    <mergeCell ref="N144:O144"/>
    <mergeCell ref="J150:K150"/>
    <mergeCell ref="N150:O150"/>
    <mergeCell ref="R144:S144"/>
    <mergeCell ref="R150:S150"/>
    <mergeCell ref="R176:S176"/>
    <mergeCell ref="N156:O156"/>
    <mergeCell ref="J158:K158"/>
    <mergeCell ref="R172:S172"/>
    <mergeCell ref="J162:K162"/>
    <mergeCell ref="N162:O162"/>
    <mergeCell ref="R162:S162"/>
    <mergeCell ref="J152:K152"/>
    <mergeCell ref="D42:G43"/>
    <mergeCell ref="C13:H13"/>
    <mergeCell ref="J182:K182"/>
    <mergeCell ref="N182:O182"/>
    <mergeCell ref="C119:G120"/>
    <mergeCell ref="J119:K119"/>
    <mergeCell ref="N119:O119"/>
    <mergeCell ref="J15:K15"/>
    <mergeCell ref="C107:G108"/>
    <mergeCell ref="C113:G114"/>
    <mergeCell ref="C88:G88"/>
    <mergeCell ref="N99:O99"/>
    <mergeCell ref="J101:K101"/>
    <mergeCell ref="N101:O101"/>
    <mergeCell ref="N111:O111"/>
    <mergeCell ref="C125:G126"/>
    <mergeCell ref="J125:K125"/>
    <mergeCell ref="N125:O125"/>
    <mergeCell ref="C101:G102"/>
    <mergeCell ref="N123:O123"/>
    <mergeCell ref="J117:K117"/>
    <mergeCell ref="J107:K107"/>
    <mergeCell ref="N107:O107"/>
    <mergeCell ref="J111:K111"/>
  </mergeCells>
  <phoneticPr fontId="5" type="noConversion"/>
  <dataValidations count="5">
    <dataValidation type="whole" operator="greaterThanOrEqual" allowBlank="1" showInputMessage="1" showErrorMessage="1" error="Must be a positive number" sqref="J182:K182 R182:S182 N45:O45 N182:O182 J45:K45 O206">
      <formula1>0</formula1>
    </dataValidation>
    <dataValidation type="whole" operator="lessThanOrEqual" allowBlank="1" showInputMessage="1" showErrorMessage="1" error="Must be a negative number" sqref="J58:K58 N64:O64 N32:O32 J64:K64 J52:K52 N52:O52 J32:K32 N58:O58">
      <formula1>0</formula1>
    </dataValidation>
    <dataValidation type="whole" operator="equal" allowBlank="1" showInputMessage="1" showErrorMessage="1" errorTitle="Don't overwrite this cell" error="Does not equal col1 + col2" sqref="R42:S42 R60:S60 R184:S184 R186:S186 R163:S163 R188:S188 R32:S32 R34:S34 R37:S37 R40:S40 R45:S45 R48:S48 R52:S52 R54:S54 R58:S58 R190:S190 R64:S64 R66:S66 R192:S192 R199:S199">
      <formula1>J32+N32</formula1>
    </dataValidation>
    <dataValidation operator="greaterThanOrEqual" allowBlank="1" showInputMessage="1" showErrorMessage="1" error="Must be equal to or less than line 6" sqref="N42:O42 N40:O40 N34:O34"/>
    <dataValidation operator="lessThanOrEqual" allowBlank="1" showInputMessage="1" showErrorMessage="1" error="Must be a negative number" sqref="J27:K27 N19:O19 N23:O23 J17:K17 N17:O17 J19:K19 N27:O27 J21:K21 N21:O21 J23:K23"/>
  </dataValidations>
  <printOptions horizontalCentered="1"/>
  <pageMargins left="0.39370078740157483" right="0.39370078740157483" top="0.39370078740157483" bottom="0.59055118110236227" header="0.51181102362204722" footer="0.51181102362204722"/>
  <pageSetup paperSize="9" scale="55" fitToHeight="3" orientation="portrait" r:id="rId1"/>
  <headerFooter alignWithMargins="0"/>
  <rowBreaks count="2" manualBreakCount="2">
    <brk id="72" max="16383" man="1"/>
    <brk id="135" max="16383" man="1"/>
  </rowBreaks>
  <extLst>
    <ext xmlns:x14="http://schemas.microsoft.com/office/spreadsheetml/2009/9/main" uri="{78C0D931-6437-407d-A8EE-F0AAD7539E65}">
      <x14:conditionalFormattings>
        <x14:conditionalFormatting xmlns:xm="http://schemas.microsoft.com/office/excel/2006/main">
          <x14:cfRule type="expression" priority="18" id="{AC11580B-E091-40EE-AD46-B8B9DEED1B0D}">
            <xm:f>AND('Part 1'!#REF!=0)=TRUE</xm:f>
            <x14:dxf>
              <fill>
                <patternFill>
                  <bgColor theme="0" tint="-0.24994659260841701"/>
                </patternFill>
              </fill>
            </x14:dxf>
          </x14:cfRule>
          <xm:sqref>M234:P234 M237:P237 M240:P240 M242:P242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8"/>
  <sheetViews>
    <sheetView showGridLines="0" zoomScaleNormal="100" zoomScaleSheetLayoutView="100" workbookViewId="0">
      <selection activeCell="G54" sqref="G54:H54"/>
    </sheetView>
  </sheetViews>
  <sheetFormatPr defaultRowHeight="12.75" x14ac:dyDescent="0.2"/>
  <cols>
    <col min="1" max="2" width="1.7109375" customWidth="1"/>
    <col min="5" max="5" width="38.28515625" customWidth="1"/>
    <col min="6" max="6" width="3.85546875" customWidth="1"/>
    <col min="7" max="8" width="9.140625" customWidth="1"/>
    <col min="9" max="9" width="3.85546875" customWidth="1"/>
    <col min="10" max="10" width="2.85546875" customWidth="1"/>
    <col min="11" max="12" width="9.140625" customWidth="1"/>
    <col min="13" max="14" width="2.7109375" customWidth="1"/>
    <col min="15" max="16" width="9.140625" customWidth="1"/>
    <col min="17" max="18" width="2.7109375" customWidth="1"/>
    <col min="19" max="20" width="9.140625" customWidth="1"/>
    <col min="21" max="21" width="1.7109375" customWidth="1"/>
    <col min="22" max="22" width="1.7109375" style="212" customWidth="1"/>
    <col min="23" max="26" width="9.140625" style="212" hidden="1" customWidth="1"/>
    <col min="27" max="27" width="0" style="212" hidden="1" customWidth="1"/>
  </cols>
  <sheetData>
    <row r="1" spans="1:27" ht="15" x14ac:dyDescent="0.2">
      <c r="A1" s="57"/>
      <c r="B1" s="58"/>
      <c r="C1" s="58"/>
      <c r="D1" s="58"/>
      <c r="E1" s="58"/>
      <c r="F1" s="58"/>
      <c r="G1" s="105">
        <f>+'Part 1'!F1</f>
        <v>327</v>
      </c>
      <c r="H1" s="58"/>
      <c r="I1" s="58"/>
      <c r="J1" s="58"/>
      <c r="K1" s="58"/>
      <c r="L1" s="58"/>
      <c r="M1" s="58"/>
      <c r="N1" s="58"/>
      <c r="O1" s="58"/>
      <c r="P1" s="58"/>
      <c r="Q1" s="58"/>
      <c r="R1" s="58"/>
      <c r="S1" s="58"/>
      <c r="T1" s="58"/>
      <c r="U1" s="58"/>
      <c r="V1" s="59"/>
    </row>
    <row r="2" spans="1:27" ht="15.75" x14ac:dyDescent="0.25">
      <c r="A2" s="698" t="s">
        <v>40</v>
      </c>
      <c r="B2" s="699"/>
      <c r="C2" s="699"/>
      <c r="D2" s="699"/>
      <c r="E2" s="699"/>
      <c r="F2" s="699"/>
      <c r="G2" s="699"/>
      <c r="H2" s="699"/>
      <c r="I2" s="699"/>
      <c r="J2" s="699"/>
      <c r="K2" s="699"/>
      <c r="L2" s="699"/>
      <c r="M2" s="699"/>
      <c r="N2" s="699"/>
      <c r="O2" s="699"/>
      <c r="P2" s="699"/>
      <c r="Q2" s="699"/>
      <c r="R2" s="699"/>
      <c r="S2" s="699"/>
      <c r="T2" s="699"/>
      <c r="U2" s="699"/>
      <c r="V2" s="700"/>
    </row>
    <row r="3" spans="1:27" ht="15.75" x14ac:dyDescent="0.25">
      <c r="A3" s="672" t="s">
        <v>993</v>
      </c>
      <c r="B3" s="699"/>
      <c r="C3" s="699"/>
      <c r="D3" s="699"/>
      <c r="E3" s="699"/>
      <c r="F3" s="699"/>
      <c r="G3" s="699"/>
      <c r="H3" s="699"/>
      <c r="I3" s="699"/>
      <c r="J3" s="699"/>
      <c r="K3" s="699"/>
      <c r="L3" s="699"/>
      <c r="M3" s="699"/>
      <c r="N3" s="699"/>
      <c r="O3" s="699"/>
      <c r="P3" s="699"/>
      <c r="Q3" s="699"/>
      <c r="R3" s="699"/>
      <c r="S3" s="699"/>
      <c r="T3" s="699"/>
      <c r="U3" s="699"/>
      <c r="V3" s="700"/>
    </row>
    <row r="4" spans="1:27" ht="15" x14ac:dyDescent="0.2">
      <c r="A4" s="675"/>
      <c r="B4" s="676"/>
      <c r="C4" s="676"/>
      <c r="D4" s="676"/>
      <c r="E4" s="676"/>
      <c r="F4" s="676"/>
      <c r="G4" s="676"/>
      <c r="H4" s="676"/>
      <c r="I4" s="676"/>
      <c r="J4" s="676"/>
      <c r="K4" s="676"/>
      <c r="L4" s="676"/>
      <c r="M4" s="676"/>
      <c r="N4" s="676"/>
      <c r="O4" s="676"/>
      <c r="P4" s="676"/>
      <c r="Q4" s="676"/>
      <c r="R4" s="676"/>
      <c r="S4" s="676"/>
      <c r="T4" s="676"/>
      <c r="U4" s="676"/>
      <c r="V4" s="677"/>
    </row>
    <row r="5" spans="1:27" ht="15" x14ac:dyDescent="0.2">
      <c r="A5" s="675"/>
      <c r="B5" s="676"/>
      <c r="C5" s="676"/>
      <c r="D5" s="676"/>
      <c r="E5" s="676"/>
      <c r="F5" s="676"/>
      <c r="G5" s="676"/>
      <c r="H5" s="676"/>
      <c r="I5" s="676"/>
      <c r="J5" s="676"/>
      <c r="K5" s="676"/>
      <c r="L5" s="676"/>
      <c r="M5" s="676"/>
      <c r="N5" s="676"/>
      <c r="O5" s="676"/>
      <c r="P5" s="676"/>
      <c r="Q5" s="676"/>
      <c r="R5" s="676"/>
      <c r="S5" s="676"/>
      <c r="T5" s="676"/>
      <c r="U5" s="676"/>
      <c r="V5" s="677"/>
    </row>
    <row r="6" spans="1:27" ht="15.75" thickBot="1" x14ac:dyDescent="0.25">
      <c r="A6" s="60"/>
      <c r="B6" s="61"/>
      <c r="C6" s="61"/>
      <c r="D6" s="61"/>
      <c r="E6" s="61"/>
      <c r="F6" s="61"/>
      <c r="G6" s="61"/>
      <c r="H6" s="61"/>
      <c r="I6" s="61"/>
      <c r="J6" s="61"/>
      <c r="K6" s="61"/>
      <c r="L6" s="61"/>
      <c r="M6" s="61"/>
      <c r="N6" s="61"/>
      <c r="O6" s="61"/>
      <c r="P6" s="61"/>
      <c r="Q6" s="61"/>
      <c r="R6" s="61"/>
      <c r="S6" s="61"/>
      <c r="T6" s="85"/>
      <c r="U6" s="61"/>
      <c r="V6" s="62"/>
    </row>
    <row r="7" spans="1:27" x14ac:dyDescent="0.2">
      <c r="A7" s="45"/>
      <c r="B7" s="46"/>
      <c r="C7" s="769"/>
      <c r="D7" s="769"/>
      <c r="E7" s="769"/>
      <c r="F7" s="769"/>
      <c r="G7" s="769"/>
      <c r="H7" s="769"/>
      <c r="I7" s="769"/>
      <c r="J7" s="46"/>
      <c r="K7" s="46"/>
      <c r="L7" s="46"/>
      <c r="M7" s="46"/>
      <c r="N7" s="46"/>
      <c r="O7" s="46"/>
      <c r="P7" s="46"/>
      <c r="Q7" s="46"/>
      <c r="R7" s="46"/>
      <c r="S7" s="46"/>
      <c r="T7" s="46"/>
      <c r="U7" s="46"/>
      <c r="V7" s="604"/>
    </row>
    <row r="8" spans="1:27" s="24" customFormat="1" ht="18" customHeight="1" x14ac:dyDescent="0.25">
      <c r="A8" s="32"/>
      <c r="B8" s="18"/>
      <c r="C8" s="399" t="str">
        <f>+CONCATENATE("Local Authority : ",+'Part 1'!L15)</f>
        <v>Local Authority : England</v>
      </c>
      <c r="D8" s="63"/>
      <c r="E8" s="63"/>
      <c r="F8" s="63"/>
      <c r="G8" s="356"/>
      <c r="H8" s="356"/>
      <c r="I8" s="356"/>
      <c r="J8" s="18"/>
      <c r="K8" s="18"/>
      <c r="L8" s="18"/>
      <c r="M8" s="18"/>
      <c r="N8" s="18"/>
      <c r="O8" s="18"/>
      <c r="P8" s="18"/>
      <c r="Q8" s="18"/>
      <c r="R8" s="18"/>
      <c r="S8" s="18"/>
      <c r="T8" s="18"/>
      <c r="U8" s="18"/>
      <c r="V8" s="8"/>
      <c r="W8" s="5"/>
      <c r="X8" s="5"/>
      <c r="Y8" s="5"/>
      <c r="Z8" s="5"/>
      <c r="AA8" s="5"/>
    </row>
    <row r="9" spans="1:27" ht="15.75" x14ac:dyDescent="0.25">
      <c r="A9" s="14"/>
      <c r="B9" s="2"/>
      <c r="C9" s="356"/>
      <c r="D9" s="356"/>
      <c r="E9" s="356"/>
      <c r="F9" s="356"/>
      <c r="G9" s="356"/>
      <c r="H9" s="356"/>
      <c r="I9" s="356"/>
      <c r="J9" s="18"/>
      <c r="K9" s="710" t="s">
        <v>23</v>
      </c>
      <c r="L9" s="710"/>
      <c r="M9" s="353"/>
      <c r="N9" s="353"/>
      <c r="O9" s="710" t="s">
        <v>24</v>
      </c>
      <c r="P9" s="710"/>
      <c r="Q9" s="353"/>
      <c r="R9" s="353"/>
      <c r="S9" s="709" t="s">
        <v>25</v>
      </c>
      <c r="T9" s="710"/>
      <c r="U9" s="1"/>
      <c r="V9" s="605"/>
    </row>
    <row r="10" spans="1:27" ht="15.75" x14ac:dyDescent="0.25">
      <c r="A10" s="14"/>
      <c r="B10" s="2"/>
      <c r="C10" s="178" t="s">
        <v>950</v>
      </c>
      <c r="D10" s="18"/>
      <c r="E10" s="18"/>
      <c r="F10" s="18"/>
      <c r="G10" s="18"/>
      <c r="H10" s="18"/>
      <c r="I10" s="18"/>
      <c r="J10" s="711" t="s">
        <v>54</v>
      </c>
      <c r="K10" s="711"/>
      <c r="L10" s="711"/>
      <c r="M10" s="711"/>
      <c r="N10" s="670" t="s">
        <v>52</v>
      </c>
      <c r="O10" s="670"/>
      <c r="P10" s="670"/>
      <c r="Q10" s="670"/>
      <c r="R10" s="352"/>
      <c r="S10" s="711" t="s">
        <v>945</v>
      </c>
      <c r="T10" s="712"/>
      <c r="U10" s="3"/>
      <c r="V10" s="605"/>
    </row>
    <row r="11" spans="1:27" ht="15" x14ac:dyDescent="0.2">
      <c r="A11" s="14"/>
      <c r="B11" s="2"/>
      <c r="C11" s="18"/>
      <c r="D11" s="18"/>
      <c r="E11" s="18"/>
      <c r="F11" s="18"/>
      <c r="G11" s="18"/>
      <c r="H11" s="18"/>
      <c r="I11" s="18"/>
      <c r="J11" s="711"/>
      <c r="K11" s="711"/>
      <c r="L11" s="711"/>
      <c r="M11" s="711"/>
      <c r="N11" s="670"/>
      <c r="O11" s="670"/>
      <c r="P11" s="670"/>
      <c r="Q11" s="670"/>
      <c r="R11" s="18"/>
      <c r="S11" s="712"/>
      <c r="T11" s="712"/>
      <c r="U11" s="2"/>
      <c r="V11" s="605"/>
    </row>
    <row r="12" spans="1:27" ht="30.75" customHeight="1" x14ac:dyDescent="0.25">
      <c r="A12" s="14"/>
      <c r="B12" s="2"/>
      <c r="C12" s="178"/>
      <c r="D12" s="18"/>
      <c r="E12" s="18"/>
      <c r="F12" s="18"/>
      <c r="G12" s="18"/>
      <c r="H12" s="18"/>
      <c r="I12" s="18"/>
      <c r="J12" s="354"/>
      <c r="K12" s="724"/>
      <c r="L12" s="724"/>
      <c r="M12" s="29"/>
      <c r="N12" s="724"/>
      <c r="O12" s="724"/>
      <c r="P12" s="724"/>
      <c r="Q12" s="724"/>
      <c r="R12" s="345"/>
      <c r="S12" s="725"/>
      <c r="T12" s="725"/>
      <c r="U12" s="345"/>
      <c r="V12" s="605"/>
    </row>
    <row r="13" spans="1:27" ht="18" customHeight="1" thickBot="1" x14ac:dyDescent="0.25">
      <c r="A13" s="14"/>
      <c r="B13" s="2"/>
      <c r="C13" s="49"/>
      <c r="D13" s="49"/>
      <c r="E13" s="49"/>
      <c r="F13" s="49"/>
      <c r="G13" s="49"/>
      <c r="H13" s="49"/>
      <c r="I13" s="49"/>
      <c r="J13" s="18"/>
      <c r="K13" s="746" t="s">
        <v>20</v>
      </c>
      <c r="L13" s="747"/>
      <c r="M13" s="54"/>
      <c r="N13" s="54"/>
      <c r="O13" s="746" t="s">
        <v>20</v>
      </c>
      <c r="P13" s="747"/>
      <c r="Q13" s="54"/>
      <c r="R13" s="322"/>
      <c r="S13" s="749" t="s">
        <v>20</v>
      </c>
      <c r="T13" s="750"/>
      <c r="U13" s="323"/>
      <c r="V13" s="605"/>
    </row>
    <row r="14" spans="1:27" ht="18" customHeight="1" thickBot="1" x14ac:dyDescent="0.25">
      <c r="A14" s="14"/>
      <c r="B14" s="2"/>
      <c r="C14" s="768" t="s">
        <v>986</v>
      </c>
      <c r="D14" s="768"/>
      <c r="E14" s="768"/>
      <c r="F14" s="768"/>
      <c r="G14" s="768"/>
      <c r="H14" s="768"/>
      <c r="I14" s="135"/>
      <c r="J14" s="18"/>
      <c r="K14" s="752">
        <f>VLOOKUP('Part 1'!$L$16,Datasheet4!$B$6:$DH$333,X14,FALSE)</f>
        <v>-164899515</v>
      </c>
      <c r="L14" s="753"/>
      <c r="M14" s="102"/>
      <c r="N14" s="103"/>
      <c r="O14" s="752">
        <f>VLOOKUP('Part 1'!$L$16,Datasheet4!$B$6:$DH$333,Y14,FALSE)</f>
        <v>281321</v>
      </c>
      <c r="P14" s="753"/>
      <c r="Q14" s="102"/>
      <c r="R14" s="344"/>
      <c r="S14" s="733">
        <f>VLOOKUP('Part 1'!$L$16,Datasheet4!$B$6:$DH$333,Z14,FALSE)</f>
        <v>-164618194</v>
      </c>
      <c r="T14" s="772"/>
      <c r="U14" s="323"/>
      <c r="V14" s="605"/>
      <c r="X14" s="212">
        <v>3</v>
      </c>
      <c r="Y14" s="212">
        <v>4</v>
      </c>
      <c r="Z14" s="212">
        <v>5</v>
      </c>
    </row>
    <row r="15" spans="1:27" ht="18" customHeight="1" thickBot="1" x14ac:dyDescent="0.25">
      <c r="A15" s="14"/>
      <c r="B15" s="2"/>
      <c r="C15" s="127"/>
      <c r="D15" s="127"/>
      <c r="E15" s="127"/>
      <c r="F15" s="127"/>
      <c r="G15" s="127"/>
      <c r="H15" s="127"/>
      <c r="I15" s="127"/>
      <c r="J15" s="2"/>
      <c r="K15" s="2"/>
      <c r="L15" s="2"/>
      <c r="M15" s="2"/>
      <c r="N15" s="2"/>
      <c r="O15" s="2"/>
      <c r="P15" s="2"/>
      <c r="Q15" s="2"/>
      <c r="R15" s="323"/>
      <c r="S15" s="323"/>
      <c r="T15" s="323"/>
      <c r="U15" s="323"/>
      <c r="V15" s="605"/>
    </row>
    <row r="16" spans="1:27" ht="18" customHeight="1" thickBot="1" x14ac:dyDescent="0.25">
      <c r="A16" s="14"/>
      <c r="B16" s="2"/>
      <c r="C16" s="658" t="s">
        <v>987</v>
      </c>
      <c r="D16" s="658"/>
      <c r="E16" s="703"/>
      <c r="F16" s="703"/>
      <c r="G16" s="703"/>
      <c r="H16" s="703"/>
      <c r="I16" s="49"/>
      <c r="J16" s="18"/>
      <c r="K16" s="770">
        <f>VLOOKUP('Part 1'!$L$16,Datasheet4!$B$6:$DH$333,X16,FALSE)</f>
        <v>0</v>
      </c>
      <c r="L16" s="771"/>
      <c r="M16" s="54"/>
      <c r="N16" s="54"/>
      <c r="O16" s="770">
        <f>VLOOKUP('Part 1'!$L$16,Datasheet4!$B$6:$DH$333,Y16,FALSE)</f>
        <v>0</v>
      </c>
      <c r="P16" s="771"/>
      <c r="Q16" s="54"/>
      <c r="R16" s="322"/>
      <c r="S16" s="779">
        <f>VLOOKUP('Part 1'!$L$16,Datasheet4!$B$6:$DH$333,Z16,FALSE)</f>
        <v>0</v>
      </c>
      <c r="T16" s="780"/>
      <c r="U16" s="323"/>
      <c r="V16" s="605"/>
      <c r="X16" s="212">
        <v>6</v>
      </c>
      <c r="Y16" s="212">
        <v>7</v>
      </c>
      <c r="Z16" s="212">
        <v>8</v>
      </c>
    </row>
    <row r="17" spans="1:26" ht="18" customHeight="1" x14ac:dyDescent="0.2">
      <c r="A17" s="14"/>
      <c r="B17" s="2"/>
      <c r="C17" s="729"/>
      <c r="D17" s="729"/>
      <c r="E17" s="729"/>
      <c r="F17" s="729"/>
      <c r="G17" s="729"/>
      <c r="H17" s="729"/>
      <c r="I17" s="49"/>
      <c r="J17" s="18"/>
      <c r="K17" s="55"/>
      <c r="L17" s="54"/>
      <c r="M17" s="54"/>
      <c r="N17" s="54"/>
      <c r="O17" s="55"/>
      <c r="P17" s="54"/>
      <c r="Q17" s="54"/>
      <c r="R17" s="322"/>
      <c r="S17" s="325"/>
      <c r="T17" s="322"/>
      <c r="U17" s="323"/>
      <c r="V17" s="605"/>
    </row>
    <row r="18" spans="1:26" ht="18" customHeight="1" thickBot="1" x14ac:dyDescent="0.25">
      <c r="A18" s="14"/>
      <c r="B18" s="2"/>
      <c r="C18" s="355"/>
      <c r="D18" s="355"/>
      <c r="E18" s="355"/>
      <c r="F18" s="355"/>
      <c r="G18" s="355"/>
      <c r="H18" s="355"/>
      <c r="I18" s="49"/>
      <c r="J18" s="18"/>
      <c r="K18" s="55"/>
      <c r="L18" s="54"/>
      <c r="M18" s="54"/>
      <c r="N18" s="54"/>
      <c r="O18" s="55"/>
      <c r="P18" s="54"/>
      <c r="Q18" s="54"/>
      <c r="R18" s="322"/>
      <c r="S18" s="325"/>
      <c r="T18" s="322"/>
      <c r="U18" s="323"/>
      <c r="V18" s="605"/>
    </row>
    <row r="19" spans="1:26" ht="18" customHeight="1" thickBot="1" x14ac:dyDescent="0.25">
      <c r="A19" s="14"/>
      <c r="B19" s="2"/>
      <c r="C19" s="74" t="s">
        <v>957</v>
      </c>
      <c r="D19" s="74"/>
      <c r="E19" s="49"/>
      <c r="F19" s="49"/>
      <c r="G19" s="49"/>
      <c r="H19" s="49"/>
      <c r="I19" s="49"/>
      <c r="J19" s="18"/>
      <c r="K19" s="752">
        <f>VLOOKUP('Part 1'!$L$16,Datasheet4!$B$6:$DH$333,X19,FALSE)</f>
        <v>-164899515</v>
      </c>
      <c r="L19" s="753"/>
      <c r="M19" s="54"/>
      <c r="N19" s="54"/>
      <c r="O19" s="752">
        <f>VLOOKUP('Part 1'!$L$16,Datasheet4!$B$6:$DH$333,Y19,FALSE)</f>
        <v>281321</v>
      </c>
      <c r="P19" s="753"/>
      <c r="Q19" s="54"/>
      <c r="R19" s="322"/>
      <c r="S19" s="779">
        <f>VLOOKUP('Part 1'!$L$16,Datasheet4!$B$6:$DH$333,Z19,FALSE)</f>
        <v>-164618194</v>
      </c>
      <c r="T19" s="780"/>
      <c r="U19" s="323"/>
      <c r="V19" s="605"/>
      <c r="X19" s="212">
        <v>9</v>
      </c>
      <c r="Y19" s="212">
        <v>10</v>
      </c>
      <c r="Z19" s="212">
        <v>11</v>
      </c>
    </row>
    <row r="20" spans="1:26" ht="18" customHeight="1" thickBot="1" x14ac:dyDescent="0.25">
      <c r="A20" s="15"/>
      <c r="B20" s="16"/>
      <c r="C20" s="177"/>
      <c r="D20" s="177"/>
      <c r="E20" s="128"/>
      <c r="F20" s="128"/>
      <c r="G20" s="128"/>
      <c r="H20" s="128"/>
      <c r="I20" s="128"/>
      <c r="J20" s="70"/>
      <c r="K20" s="120"/>
      <c r="L20" s="121"/>
      <c r="M20" s="121"/>
      <c r="N20" s="121"/>
      <c r="O20" s="120"/>
      <c r="P20" s="121"/>
      <c r="Q20" s="121"/>
      <c r="R20" s="334"/>
      <c r="S20" s="335"/>
      <c r="T20" s="334"/>
      <c r="U20" s="336"/>
      <c r="V20" s="606"/>
    </row>
    <row r="21" spans="1:26" ht="9.75" customHeight="1" x14ac:dyDescent="0.2">
      <c r="A21" s="45"/>
      <c r="B21" s="46"/>
      <c r="C21" s="388"/>
      <c r="D21" s="388"/>
      <c r="E21" s="209"/>
      <c r="F21" s="209"/>
      <c r="G21" s="209"/>
      <c r="H21" s="209"/>
      <c r="I21" s="209"/>
      <c r="J21" s="210"/>
      <c r="K21" s="389"/>
      <c r="L21" s="390"/>
      <c r="M21" s="390"/>
      <c r="N21" s="390"/>
      <c r="O21" s="389"/>
      <c r="P21" s="390"/>
      <c r="Q21" s="390"/>
      <c r="R21" s="390"/>
      <c r="S21" s="389"/>
      <c r="T21" s="390"/>
      <c r="U21" s="46"/>
      <c r="V21" s="604"/>
    </row>
    <row r="22" spans="1:26" ht="9.75" customHeight="1" x14ac:dyDescent="0.2">
      <c r="A22" s="14"/>
      <c r="B22" s="2"/>
      <c r="C22" s="74"/>
      <c r="D22" s="74"/>
      <c r="E22" s="49"/>
      <c r="F22" s="49"/>
      <c r="G22" s="49"/>
      <c r="H22" s="49"/>
      <c r="I22" s="49"/>
      <c r="J22" s="18"/>
      <c r="K22" s="432"/>
      <c r="L22" s="124"/>
      <c r="M22" s="124"/>
      <c r="N22" s="124"/>
      <c r="O22" s="432"/>
      <c r="P22" s="124"/>
      <c r="Q22" s="124"/>
      <c r="R22" s="124"/>
      <c r="S22" s="432"/>
      <c r="T22" s="124"/>
      <c r="U22" s="2"/>
      <c r="V22" s="605"/>
    </row>
    <row r="23" spans="1:26" ht="18" customHeight="1" x14ac:dyDescent="0.25">
      <c r="A23" s="398" t="s">
        <v>959</v>
      </c>
      <c r="B23" s="2"/>
      <c r="C23" s="74"/>
      <c r="D23" s="74"/>
      <c r="E23" s="49"/>
      <c r="F23" s="49"/>
      <c r="G23" s="776" t="s">
        <v>23</v>
      </c>
      <c r="H23" s="776"/>
      <c r="I23" s="64"/>
      <c r="J23" s="18"/>
      <c r="K23" s="776" t="s">
        <v>24</v>
      </c>
      <c r="L23" s="776"/>
      <c r="M23" s="124"/>
      <c r="N23" s="124"/>
      <c r="O23" s="776" t="s">
        <v>25</v>
      </c>
      <c r="P23" s="776"/>
      <c r="Q23" s="124"/>
      <c r="R23" s="124"/>
      <c r="S23" s="776" t="s">
        <v>26</v>
      </c>
      <c r="T23" s="776"/>
      <c r="U23" s="2"/>
      <c r="V23" s="605"/>
    </row>
    <row r="24" spans="1:26" ht="22.5" customHeight="1" x14ac:dyDescent="0.2">
      <c r="A24" s="14"/>
      <c r="B24" s="2"/>
      <c r="C24" s="74"/>
      <c r="D24" s="74"/>
      <c r="E24" s="49"/>
      <c r="F24" s="767" t="s">
        <v>6</v>
      </c>
      <c r="G24" s="767"/>
      <c r="H24" s="767"/>
      <c r="I24" s="767"/>
      <c r="J24" s="767" t="str">
        <f>+'Part 5'!O13</f>
        <v>-</v>
      </c>
      <c r="K24" s="767"/>
      <c r="L24" s="767"/>
      <c r="M24" s="767"/>
      <c r="N24" s="767" t="str">
        <f>+'Part 5'!S13</f>
        <v>-</v>
      </c>
      <c r="O24" s="767"/>
      <c r="P24" s="767"/>
      <c r="Q24" s="767"/>
      <c r="R24" s="767" t="str">
        <f>+'Part 5'!W13</f>
        <v>-</v>
      </c>
      <c r="S24" s="767"/>
      <c r="T24" s="767"/>
      <c r="U24" s="767"/>
      <c r="V24" s="605"/>
    </row>
    <row r="25" spans="1:26" ht="22.5" customHeight="1" x14ac:dyDescent="0.2">
      <c r="A25" s="14"/>
      <c r="B25" s="2"/>
      <c r="C25" s="74"/>
      <c r="D25" s="74"/>
      <c r="E25" s="49"/>
      <c r="F25" s="767"/>
      <c r="G25" s="767"/>
      <c r="H25" s="767"/>
      <c r="I25" s="767"/>
      <c r="J25" s="767"/>
      <c r="K25" s="767"/>
      <c r="L25" s="767"/>
      <c r="M25" s="767"/>
      <c r="N25" s="767"/>
      <c r="O25" s="767"/>
      <c r="P25" s="767"/>
      <c r="Q25" s="767"/>
      <c r="R25" s="767"/>
      <c r="S25" s="767"/>
      <c r="T25" s="767"/>
      <c r="U25" s="767"/>
      <c r="V25" s="605"/>
    </row>
    <row r="26" spans="1:26" ht="33" customHeight="1" x14ac:dyDescent="0.2">
      <c r="A26" s="14"/>
      <c r="B26" s="2"/>
      <c r="C26" s="74"/>
      <c r="D26" s="74"/>
      <c r="E26" s="49"/>
      <c r="F26" s="724"/>
      <c r="G26" s="724"/>
      <c r="H26" s="724"/>
      <c r="I26" s="724"/>
      <c r="J26" s="724"/>
      <c r="K26" s="724"/>
      <c r="L26" s="724"/>
      <c r="M26" s="724"/>
      <c r="N26" s="724"/>
      <c r="O26" s="724"/>
      <c r="P26" s="724"/>
      <c r="Q26" s="724"/>
      <c r="R26" s="724"/>
      <c r="S26" s="724"/>
      <c r="T26" s="724"/>
      <c r="U26" s="724"/>
      <c r="V26" s="605"/>
    </row>
    <row r="27" spans="1:26" ht="18" customHeight="1" x14ac:dyDescent="0.2">
      <c r="A27" s="14"/>
      <c r="B27" s="2"/>
      <c r="C27" s="350"/>
      <c r="D27" s="126"/>
      <c r="E27" s="127"/>
      <c r="F27" s="127"/>
      <c r="G27" s="746" t="s">
        <v>20</v>
      </c>
      <c r="H27" s="747"/>
      <c r="I27" s="49"/>
      <c r="J27" s="127"/>
      <c r="K27" s="746" t="s">
        <v>20</v>
      </c>
      <c r="L27" s="747"/>
      <c r="M27" s="54"/>
      <c r="N27" s="2"/>
      <c r="O27" s="778" t="s">
        <v>20</v>
      </c>
      <c r="P27" s="778"/>
      <c r="Q27" s="54"/>
      <c r="R27" s="54"/>
      <c r="S27" s="746" t="s">
        <v>20</v>
      </c>
      <c r="T27" s="747"/>
      <c r="U27" s="2"/>
      <c r="V27" s="605"/>
    </row>
    <row r="28" spans="1:26" ht="1.5" customHeight="1" thickBot="1" x14ac:dyDescent="0.25">
      <c r="A28" s="14"/>
      <c r="B28" s="2"/>
      <c r="C28" s="431"/>
      <c r="D28" s="126"/>
      <c r="E28" s="127"/>
      <c r="F28" s="127"/>
      <c r="G28" s="433"/>
      <c r="H28" s="434"/>
      <c r="I28" s="49"/>
      <c r="J28" s="127"/>
      <c r="K28" s="433"/>
      <c r="L28" s="434"/>
      <c r="M28" s="54"/>
      <c r="N28" s="2"/>
      <c r="O28" s="435"/>
      <c r="P28" s="435"/>
      <c r="Q28" s="54"/>
      <c r="R28" s="54"/>
      <c r="S28" s="433"/>
      <c r="T28" s="434"/>
      <c r="U28" s="2"/>
      <c r="V28" s="605"/>
    </row>
    <row r="29" spans="1:26" ht="18" customHeight="1" thickBot="1" x14ac:dyDescent="0.25">
      <c r="A29" s="773" t="s">
        <v>943</v>
      </c>
      <c r="B29" s="642"/>
      <c r="C29" s="642"/>
      <c r="D29" s="642"/>
      <c r="E29" s="642"/>
      <c r="F29" s="642"/>
      <c r="G29" s="765">
        <f>VLOOKUP('Part 1'!$L$16,Datasheet4!$B$6:$DH$333,W29,FALSE)</f>
        <v>0</v>
      </c>
      <c r="H29" s="766"/>
      <c r="I29" s="314"/>
      <c r="J29" s="127"/>
      <c r="K29" s="765">
        <f>VLOOKUP('Part 1'!$L$16,Datasheet4!$B$6:$DH$333,X29,FALSE)</f>
        <v>0</v>
      </c>
      <c r="L29" s="766"/>
      <c r="M29" s="54"/>
      <c r="N29" s="54"/>
      <c r="O29" s="765">
        <f>VLOOKUP('Part 1'!$L$16,Datasheet4!$B$6:$DH$333,Y29,FALSE)</f>
        <v>0</v>
      </c>
      <c r="P29" s="766"/>
      <c r="Q29" s="64"/>
      <c r="R29" s="64"/>
      <c r="S29" s="765">
        <f>VLOOKUP('Part 1'!$L$16,Datasheet4!$B$6:$DH$333,Z29,FALSE)</f>
        <v>0</v>
      </c>
      <c r="T29" s="766"/>
      <c r="U29" s="44"/>
      <c r="V29" s="605"/>
      <c r="W29" s="212">
        <v>108</v>
      </c>
      <c r="X29" s="212">
        <v>109</v>
      </c>
      <c r="Y29" s="212">
        <v>110</v>
      </c>
      <c r="Z29" s="212">
        <v>111</v>
      </c>
    </row>
    <row r="30" spans="1:26" ht="18" customHeight="1" x14ac:dyDescent="0.2">
      <c r="A30" s="644"/>
      <c r="B30" s="642"/>
      <c r="C30" s="642"/>
      <c r="D30" s="642"/>
      <c r="E30" s="642"/>
      <c r="F30" s="642"/>
      <c r="G30" s="6"/>
      <c r="H30" s="504"/>
      <c r="I30" s="504"/>
      <c r="J30" s="127"/>
      <c r="K30" s="504"/>
      <c r="L30" s="504"/>
      <c r="M30" s="54"/>
      <c r="N30" s="54"/>
      <c r="O30" s="504"/>
      <c r="P30" s="64"/>
      <c r="Q30" s="504"/>
      <c r="R30" s="504"/>
      <c r="S30" s="499"/>
      <c r="T30" s="504"/>
      <c r="U30" s="357"/>
      <c r="V30" s="605"/>
    </row>
    <row r="31" spans="1:26" ht="18" customHeight="1" x14ac:dyDescent="0.2">
      <c r="A31" s="14"/>
      <c r="B31" s="2"/>
      <c r="C31" s="350"/>
      <c r="D31" s="126"/>
      <c r="E31" s="127"/>
      <c r="F31" s="127"/>
      <c r="G31" s="127"/>
      <c r="H31" s="127"/>
      <c r="I31" s="127"/>
      <c r="J31" s="127"/>
      <c r="K31" s="127"/>
      <c r="L31" s="127"/>
      <c r="M31" s="54"/>
      <c r="N31" s="54"/>
      <c r="O31" s="2"/>
      <c r="P31" s="127"/>
      <c r="Q31" s="127"/>
      <c r="R31" s="127"/>
      <c r="S31" s="127"/>
      <c r="T31" s="127"/>
      <c r="U31" s="2"/>
      <c r="V31" s="605"/>
    </row>
    <row r="32" spans="1:26" ht="18" customHeight="1" thickBot="1" x14ac:dyDescent="0.25">
      <c r="A32" s="14"/>
      <c r="B32" s="2"/>
      <c r="C32" s="126" t="s">
        <v>16</v>
      </c>
      <c r="D32" s="126"/>
      <c r="E32" s="49"/>
      <c r="F32" s="49"/>
      <c r="G32" s="746"/>
      <c r="H32" s="747"/>
      <c r="I32" s="49"/>
      <c r="J32" s="18"/>
      <c r="K32" s="746"/>
      <c r="L32" s="747"/>
      <c r="M32" s="54"/>
      <c r="N32" s="54"/>
      <c r="O32" s="746"/>
      <c r="P32" s="747"/>
      <c r="Q32" s="54"/>
      <c r="R32" s="54"/>
      <c r="S32" s="746"/>
      <c r="T32" s="747"/>
      <c r="U32" s="2"/>
      <c r="V32" s="605"/>
    </row>
    <row r="33" spans="1:25" ht="18" customHeight="1" thickBot="1" x14ac:dyDescent="0.25">
      <c r="A33" s="14"/>
      <c r="B33" s="2"/>
      <c r="C33" s="74" t="s">
        <v>988</v>
      </c>
      <c r="D33" s="74"/>
      <c r="E33" s="49"/>
      <c r="F33" s="49"/>
      <c r="G33" s="49"/>
      <c r="H33" s="49"/>
      <c r="I33" s="49"/>
      <c r="J33" s="18"/>
      <c r="K33" s="752">
        <f>VLOOKUP('Part 1'!$L$16,Datasheet4!$B$6:$DH$333,X33,FALSE)</f>
        <v>84154322</v>
      </c>
      <c r="L33" s="753"/>
      <c r="M33" s="2"/>
      <c r="N33" s="2"/>
      <c r="O33" s="2"/>
      <c r="P33" s="2"/>
      <c r="Q33" s="2"/>
      <c r="R33" s="2"/>
      <c r="S33" s="54"/>
      <c r="T33" s="54"/>
      <c r="U33" s="2"/>
      <c r="V33" s="605"/>
      <c r="X33" s="212">
        <v>12</v>
      </c>
    </row>
    <row r="34" spans="1:25" ht="18" customHeight="1" thickBot="1" x14ac:dyDescent="0.25">
      <c r="A34" s="14"/>
      <c r="B34" s="2"/>
      <c r="C34" s="49"/>
      <c r="D34" s="49"/>
      <c r="E34" s="49"/>
      <c r="F34" s="49"/>
      <c r="G34" s="49"/>
      <c r="H34" s="49"/>
      <c r="I34" s="49"/>
      <c r="J34" s="18"/>
      <c r="K34" s="18"/>
      <c r="L34" s="18"/>
      <c r="M34" s="2"/>
      <c r="N34" s="2"/>
      <c r="O34" s="2"/>
      <c r="P34" s="2"/>
      <c r="Q34" s="2"/>
      <c r="R34" s="2"/>
      <c r="S34" s="54"/>
      <c r="T34" s="54"/>
      <c r="U34" s="2"/>
      <c r="V34" s="605"/>
    </row>
    <row r="35" spans="1:25" ht="18" customHeight="1" thickBot="1" x14ac:dyDescent="0.25">
      <c r="A35" s="14"/>
      <c r="B35" s="2"/>
      <c r="C35" s="74" t="s">
        <v>76</v>
      </c>
      <c r="D35" s="74"/>
      <c r="E35" s="49"/>
      <c r="F35" s="49"/>
      <c r="G35" s="49"/>
      <c r="H35" s="49"/>
      <c r="I35" s="49"/>
      <c r="J35" s="18"/>
      <c r="K35" s="774">
        <f>VLOOKUP('Part 1'!$L$16,Datasheet4!$B$6:$DH$333,X35,FALSE)</f>
        <v>84158543</v>
      </c>
      <c r="L35" s="775"/>
      <c r="M35" s="2"/>
      <c r="N35" s="2"/>
      <c r="O35" s="2"/>
      <c r="P35" s="2"/>
      <c r="Q35" s="2"/>
      <c r="R35" s="2"/>
      <c r="S35" s="54"/>
      <c r="T35" s="54"/>
      <c r="U35" s="2"/>
      <c r="V35" s="605"/>
      <c r="X35" s="212">
        <v>13</v>
      </c>
    </row>
    <row r="36" spans="1:25" ht="18" customHeight="1" thickBot="1" x14ac:dyDescent="0.25">
      <c r="A36" s="14"/>
      <c r="B36" s="2"/>
      <c r="C36" s="49"/>
      <c r="D36" s="49"/>
      <c r="E36" s="49"/>
      <c r="F36" s="49"/>
      <c r="G36" s="49"/>
      <c r="H36" s="49"/>
      <c r="I36" s="49"/>
      <c r="J36" s="18"/>
      <c r="K36" s="55"/>
      <c r="L36" s="54"/>
      <c r="M36" s="2"/>
      <c r="N36" s="2"/>
      <c r="O36" s="2"/>
      <c r="P36" s="2"/>
      <c r="Q36" s="2"/>
      <c r="R36" s="2"/>
      <c r="S36" s="54"/>
      <c r="T36" s="54"/>
      <c r="U36" s="2"/>
      <c r="V36" s="605"/>
    </row>
    <row r="37" spans="1:25" ht="18" customHeight="1" thickBot="1" x14ac:dyDescent="0.25">
      <c r="A37" s="14"/>
      <c r="B37" s="2"/>
      <c r="C37" s="74" t="s">
        <v>960</v>
      </c>
      <c r="D37" s="74"/>
      <c r="E37" s="49"/>
      <c r="F37" s="49"/>
      <c r="G37" s="49"/>
      <c r="H37" s="49"/>
      <c r="I37" s="49"/>
      <c r="J37" s="18"/>
      <c r="K37" s="752">
        <f>VLOOKUP('Part 1'!$L$16,Datasheet4!$B$6:$DH$333,X37,FALSE)</f>
        <v>-4221</v>
      </c>
      <c r="L37" s="753"/>
      <c r="M37" s="2"/>
      <c r="N37" s="2"/>
      <c r="O37" s="2"/>
      <c r="P37" s="2"/>
      <c r="Q37" s="2"/>
      <c r="R37" s="2"/>
      <c r="S37" s="54"/>
      <c r="T37" s="54"/>
      <c r="U37" s="2"/>
      <c r="V37" s="605"/>
      <c r="X37" s="212">
        <v>14</v>
      </c>
    </row>
    <row r="38" spans="1:25" ht="18" customHeight="1" x14ac:dyDescent="0.2">
      <c r="A38" s="14"/>
      <c r="B38" s="2"/>
      <c r="C38" s="49"/>
      <c r="D38" s="49"/>
      <c r="E38" s="49"/>
      <c r="F38" s="49"/>
      <c r="G38" s="49"/>
      <c r="H38" s="49"/>
      <c r="I38" s="49"/>
      <c r="J38" s="18"/>
      <c r="K38" s="2"/>
      <c r="L38" s="2"/>
      <c r="M38" s="2"/>
      <c r="N38" s="2"/>
      <c r="O38" s="2"/>
      <c r="P38" s="2"/>
      <c r="Q38" s="2"/>
      <c r="R38" s="2"/>
      <c r="S38" s="54"/>
      <c r="T38" s="54"/>
      <c r="U38" s="2"/>
      <c r="V38" s="605"/>
    </row>
    <row r="39" spans="1:25" ht="18" customHeight="1" thickBot="1" x14ac:dyDescent="0.25">
      <c r="A39" s="14"/>
      <c r="B39" s="2"/>
      <c r="C39" s="350" t="s">
        <v>52</v>
      </c>
      <c r="D39" s="350"/>
      <c r="E39" s="49"/>
      <c r="F39" s="49"/>
      <c r="G39" s="49"/>
      <c r="H39" s="49"/>
      <c r="I39" s="49"/>
      <c r="J39" s="18"/>
      <c r="K39" s="2"/>
      <c r="L39" s="2"/>
      <c r="M39" s="2"/>
      <c r="N39" s="2"/>
      <c r="O39" s="2"/>
      <c r="P39" s="2"/>
      <c r="Q39" s="2"/>
      <c r="R39" s="2"/>
      <c r="S39" s="54"/>
      <c r="T39" s="54"/>
      <c r="U39" s="2"/>
      <c r="V39" s="605"/>
    </row>
    <row r="40" spans="1:25" ht="18" customHeight="1" thickBot="1" x14ac:dyDescent="0.25">
      <c r="A40" s="14"/>
      <c r="B40" s="2"/>
      <c r="C40" s="74" t="s">
        <v>989</v>
      </c>
      <c r="D40" s="74"/>
      <c r="E40" s="49"/>
      <c r="F40" s="49"/>
      <c r="G40" s="49"/>
      <c r="H40" s="49"/>
      <c r="I40" s="49"/>
      <c r="J40" s="18"/>
      <c r="K40" s="752">
        <f>VLOOKUP('Part 1'!$L$16,Datasheet4!$B$6:$DH$333,X40,FALSE)</f>
        <v>13817176</v>
      </c>
      <c r="L40" s="753"/>
      <c r="M40" s="2"/>
      <c r="N40" s="2"/>
      <c r="O40" s="2"/>
      <c r="P40" s="2"/>
      <c r="Q40" s="2"/>
      <c r="R40" s="2"/>
      <c r="S40" s="54"/>
      <c r="T40" s="54"/>
      <c r="U40" s="2"/>
      <c r="V40" s="605"/>
      <c r="X40" s="212">
        <v>15</v>
      </c>
    </row>
    <row r="41" spans="1:25" ht="18" customHeight="1" thickBot="1" x14ac:dyDescent="0.25">
      <c r="A41" s="14"/>
      <c r="B41" s="2"/>
      <c r="C41" s="49"/>
      <c r="D41" s="49"/>
      <c r="E41" s="49"/>
      <c r="F41" s="49"/>
      <c r="G41" s="49"/>
      <c r="H41" s="49"/>
      <c r="I41" s="49"/>
      <c r="J41" s="18"/>
      <c r="K41" s="18"/>
      <c r="L41" s="18"/>
      <c r="M41" s="2"/>
      <c r="N41" s="2"/>
      <c r="O41" s="2"/>
      <c r="P41" s="2"/>
      <c r="Q41" s="2"/>
      <c r="R41" s="2"/>
      <c r="S41" s="54"/>
      <c r="T41" s="54"/>
      <c r="U41" s="2"/>
      <c r="V41" s="605"/>
    </row>
    <row r="42" spans="1:25" ht="18" customHeight="1" thickBot="1" x14ac:dyDescent="0.25">
      <c r="A42" s="14"/>
      <c r="B42" s="2"/>
      <c r="C42" s="74" t="s">
        <v>77</v>
      </c>
      <c r="D42" s="74"/>
      <c r="E42" s="49"/>
      <c r="F42" s="49"/>
      <c r="G42" s="49"/>
      <c r="H42" s="49"/>
      <c r="I42" s="49"/>
      <c r="J42" s="18"/>
      <c r="K42" s="774">
        <f>VLOOKUP('Part 1'!$L$16,Datasheet4!$B$6:$DH$333,X42,FALSE)</f>
        <v>21553986</v>
      </c>
      <c r="L42" s="775"/>
      <c r="M42" s="2"/>
      <c r="N42" s="2"/>
      <c r="O42" s="2"/>
      <c r="P42" s="2"/>
      <c r="Q42" s="2"/>
      <c r="R42" s="2"/>
      <c r="S42" s="54"/>
      <c r="T42" s="54"/>
      <c r="U42" s="2"/>
      <c r="V42" s="605"/>
      <c r="X42" s="212">
        <v>16</v>
      </c>
    </row>
    <row r="43" spans="1:25" ht="18" customHeight="1" thickBot="1" x14ac:dyDescent="0.25">
      <c r="A43" s="14"/>
      <c r="B43" s="2"/>
      <c r="C43" s="49"/>
      <c r="D43" s="49"/>
      <c r="E43" s="49"/>
      <c r="F43" s="49"/>
      <c r="G43" s="49"/>
      <c r="H43" s="49"/>
      <c r="I43" s="49"/>
      <c r="J43" s="18"/>
      <c r="K43" s="55"/>
      <c r="L43" s="54"/>
      <c r="M43" s="2"/>
      <c r="N43" s="2"/>
      <c r="O43" s="2"/>
      <c r="P43" s="2"/>
      <c r="Q43" s="2"/>
      <c r="R43" s="2"/>
      <c r="S43" s="54"/>
      <c r="T43" s="54"/>
      <c r="U43" s="2"/>
      <c r="V43" s="605"/>
    </row>
    <row r="44" spans="1:25" ht="18" customHeight="1" thickBot="1" x14ac:dyDescent="0.25">
      <c r="A44" s="14"/>
      <c r="B44" s="2"/>
      <c r="C44" s="74" t="s">
        <v>958</v>
      </c>
      <c r="D44" s="74"/>
      <c r="E44" s="49"/>
      <c r="F44" s="49"/>
      <c r="G44" s="49"/>
      <c r="H44" s="49"/>
      <c r="I44" s="49"/>
      <c r="J44" s="18"/>
      <c r="K44" s="752">
        <f>VLOOKUP('Part 1'!$L$16,Datasheet4!$B$6:$DH$333,X44,FALSE)</f>
        <v>-7736810</v>
      </c>
      <c r="L44" s="753"/>
      <c r="M44" s="2"/>
      <c r="N44" s="2"/>
      <c r="O44" s="2"/>
      <c r="P44" s="2"/>
      <c r="Q44" s="2"/>
      <c r="R44" s="2"/>
      <c r="S44" s="54"/>
      <c r="T44" s="54"/>
      <c r="U44" s="2"/>
      <c r="V44" s="605"/>
      <c r="X44" s="212">
        <v>17</v>
      </c>
    </row>
    <row r="45" spans="1:25" ht="18" customHeight="1" x14ac:dyDescent="0.2">
      <c r="A45" s="14"/>
      <c r="B45" s="2"/>
      <c r="C45" s="49"/>
      <c r="D45" s="49"/>
      <c r="E45" s="49"/>
      <c r="F45" s="49"/>
      <c r="G45" s="49"/>
      <c r="H45" s="49"/>
      <c r="I45" s="49"/>
      <c r="J45" s="18"/>
      <c r="K45" s="2"/>
      <c r="L45" s="2"/>
      <c r="M45" s="2"/>
      <c r="N45" s="2"/>
      <c r="O45" s="2"/>
      <c r="P45" s="2"/>
      <c r="Q45" s="2"/>
      <c r="R45" s="2"/>
      <c r="S45" s="54"/>
      <c r="T45" s="54"/>
      <c r="U45" s="2"/>
      <c r="V45" s="605"/>
    </row>
    <row r="46" spans="1:25" ht="18" customHeight="1" thickBot="1" x14ac:dyDescent="0.25">
      <c r="A46" s="14"/>
      <c r="B46" s="2"/>
      <c r="C46" s="126" t="s">
        <v>17</v>
      </c>
      <c r="D46" s="126"/>
      <c r="E46" s="49"/>
      <c r="F46" s="49"/>
      <c r="G46" s="49"/>
      <c r="H46" s="49"/>
      <c r="I46" s="49"/>
      <c r="J46" s="18"/>
      <c r="K46" s="2"/>
      <c r="L46" s="2"/>
      <c r="M46" s="2"/>
      <c r="N46" s="2"/>
      <c r="O46" s="2"/>
      <c r="P46" s="2"/>
      <c r="Q46" s="2"/>
      <c r="R46" s="2"/>
      <c r="S46" s="54"/>
      <c r="T46" s="54"/>
      <c r="U46" s="29"/>
      <c r="V46" s="605"/>
    </row>
    <row r="47" spans="1:25" ht="18" customHeight="1" thickBot="1" x14ac:dyDescent="0.25">
      <c r="A47" s="14"/>
      <c r="B47" s="2"/>
      <c r="C47" s="74" t="s">
        <v>990</v>
      </c>
      <c r="D47" s="74"/>
      <c r="E47" s="49"/>
      <c r="F47" s="49"/>
      <c r="G47" s="49"/>
      <c r="H47" s="49"/>
      <c r="I47" s="49"/>
      <c r="J47" s="18"/>
      <c r="K47" s="752">
        <f>VLOOKUP('Part 1'!$L$16,Datasheet4!$B$6:$DH$333,X47,FALSE)</f>
        <v>36045395</v>
      </c>
      <c r="L47" s="753"/>
      <c r="M47" s="2"/>
      <c r="N47" s="2"/>
      <c r="O47" s="752">
        <f>VLOOKUP('Part 1'!$L$16,Datasheet4!$B$6:$DH$333,Y47,FALSE)</f>
        <v>1605927</v>
      </c>
      <c r="P47" s="753"/>
      <c r="Q47" s="2"/>
      <c r="R47" s="2"/>
      <c r="S47" s="54"/>
      <c r="T47" s="54"/>
      <c r="U47" s="29"/>
      <c r="V47" s="605"/>
      <c r="X47" s="212">
        <v>18</v>
      </c>
      <c r="Y47" s="212">
        <v>19</v>
      </c>
    </row>
    <row r="48" spans="1:25" ht="18" customHeight="1" thickBot="1" x14ac:dyDescent="0.25">
      <c r="A48" s="14"/>
      <c r="B48" s="2"/>
      <c r="C48" s="49"/>
      <c r="D48" s="49"/>
      <c r="E48" s="49"/>
      <c r="F48" s="49"/>
      <c r="G48" s="49"/>
      <c r="H48" s="49"/>
      <c r="I48" s="49"/>
      <c r="J48" s="18"/>
      <c r="K48" s="18"/>
      <c r="L48" s="18"/>
      <c r="M48" s="2"/>
      <c r="N48" s="2"/>
      <c r="O48" s="404"/>
      <c r="P48" s="404"/>
      <c r="Q48" s="2"/>
      <c r="R48" s="2"/>
      <c r="S48" s="54"/>
      <c r="T48" s="54"/>
      <c r="U48" s="29"/>
      <c r="V48" s="605"/>
    </row>
    <row r="49" spans="1:26" ht="18" customHeight="1" thickBot="1" x14ac:dyDescent="0.25">
      <c r="A49" s="14"/>
      <c r="B49" s="2"/>
      <c r="C49" s="74" t="s">
        <v>78</v>
      </c>
      <c r="D49" s="74"/>
      <c r="E49" s="49"/>
      <c r="F49" s="49"/>
      <c r="G49" s="49"/>
      <c r="H49" s="49"/>
      <c r="I49" s="49"/>
      <c r="J49" s="18"/>
      <c r="K49" s="774">
        <f>VLOOKUP('Part 1'!$L$16,Datasheet4!$B$6:$DH$333,X49,FALSE)</f>
        <v>17254884</v>
      </c>
      <c r="L49" s="775"/>
      <c r="M49" s="2"/>
      <c r="N49" s="2"/>
      <c r="O49" s="756">
        <f>VLOOKUP('Part 1'!$L$16,Datasheet4!$B$6:$DH$333,Y49,FALSE)</f>
        <v>2731778</v>
      </c>
      <c r="P49" s="757"/>
      <c r="Q49" s="2"/>
      <c r="R49" s="2"/>
      <c r="S49" s="54"/>
      <c r="T49" s="54"/>
      <c r="U49" s="29"/>
      <c r="V49" s="605"/>
      <c r="X49" s="212">
        <v>20</v>
      </c>
      <c r="Y49" s="212">
        <v>21</v>
      </c>
    </row>
    <row r="50" spans="1:26" ht="18" customHeight="1" thickBot="1" x14ac:dyDescent="0.25">
      <c r="A50" s="14"/>
      <c r="B50" s="2"/>
      <c r="C50" s="49"/>
      <c r="D50" s="49"/>
      <c r="E50" s="49"/>
      <c r="F50" s="49"/>
      <c r="G50" s="49"/>
      <c r="H50" s="49"/>
      <c r="I50" s="49"/>
      <c r="J50" s="18"/>
      <c r="K50" s="55"/>
      <c r="L50" s="54"/>
      <c r="M50" s="2"/>
      <c r="N50" s="2"/>
      <c r="O50" s="55"/>
      <c r="P50" s="54"/>
      <c r="Q50" s="2"/>
      <c r="R50" s="2"/>
      <c r="S50" s="54"/>
      <c r="T50" s="54"/>
      <c r="U50" s="29"/>
      <c r="V50" s="605"/>
    </row>
    <row r="51" spans="1:26" ht="18" customHeight="1" thickBot="1" x14ac:dyDescent="0.25">
      <c r="A51" s="14"/>
      <c r="B51" s="2"/>
      <c r="C51" s="74" t="s">
        <v>961</v>
      </c>
      <c r="D51" s="74"/>
      <c r="E51" s="49"/>
      <c r="F51" s="49"/>
      <c r="G51" s="49"/>
      <c r="H51" s="49"/>
      <c r="I51" s="49"/>
      <c r="J51" s="18"/>
      <c r="K51" s="752">
        <f>VLOOKUP('Part 1'!$L$16,Datasheet4!$B$6:$DH$333,X51,FALSE)</f>
        <v>18790511</v>
      </c>
      <c r="L51" s="753"/>
      <c r="M51" s="29"/>
      <c r="N51" s="29"/>
      <c r="O51" s="752">
        <f>VLOOKUP('Part 1'!$L$16,Datasheet4!$B$6:$DH$333,Y51,FALSE)</f>
        <v>-1125851</v>
      </c>
      <c r="P51" s="777"/>
      <c r="Q51" s="2"/>
      <c r="R51" s="2"/>
      <c r="S51" s="54"/>
      <c r="T51" s="54"/>
      <c r="U51" s="29"/>
      <c r="V51" s="605"/>
      <c r="X51" s="212">
        <v>22</v>
      </c>
      <c r="Y51" s="212">
        <v>23</v>
      </c>
    </row>
    <row r="52" spans="1:26" ht="18" customHeight="1" x14ac:dyDescent="0.2">
      <c r="A52" s="14"/>
      <c r="B52" s="2"/>
      <c r="C52" s="49"/>
      <c r="D52" s="49"/>
      <c r="E52" s="49"/>
      <c r="F52" s="49"/>
      <c r="G52" s="49"/>
      <c r="H52" s="49"/>
      <c r="I52" s="49"/>
      <c r="J52" s="29"/>
      <c r="K52" s="29"/>
      <c r="L52" s="2"/>
      <c r="M52" s="2"/>
      <c r="N52" s="2"/>
      <c r="O52" s="405"/>
      <c r="P52" s="404"/>
      <c r="Q52" s="2"/>
      <c r="R52" s="2"/>
      <c r="S52" s="54"/>
      <c r="T52" s="54"/>
      <c r="U52" s="29"/>
      <c r="V52" s="605"/>
    </row>
    <row r="53" spans="1:26" ht="18" customHeight="1" thickBot="1" x14ac:dyDescent="0.25">
      <c r="A53" s="14"/>
      <c r="B53" s="2"/>
      <c r="C53" s="126" t="s">
        <v>51</v>
      </c>
      <c r="D53" s="126"/>
      <c r="E53" s="49"/>
      <c r="F53" s="49"/>
      <c r="G53" s="49"/>
      <c r="H53" s="49"/>
      <c r="I53" s="49"/>
      <c r="J53" s="29"/>
      <c r="K53" s="29"/>
      <c r="L53" s="2"/>
      <c r="M53" s="2"/>
      <c r="N53" s="2"/>
      <c r="O53" s="405"/>
      <c r="P53" s="405"/>
      <c r="Q53" s="2"/>
      <c r="R53" s="2"/>
      <c r="S53" s="54"/>
      <c r="T53" s="54"/>
      <c r="U53" s="29"/>
      <c r="V53" s="605"/>
    </row>
    <row r="54" spans="1:26" ht="16.5" customHeight="1" thickBot="1" x14ac:dyDescent="0.25">
      <c r="A54" s="14"/>
      <c r="B54" s="2"/>
      <c r="C54" s="744" t="s">
        <v>948</v>
      </c>
      <c r="D54" s="744"/>
      <c r="E54" s="744"/>
      <c r="F54" s="49"/>
      <c r="G54" s="758">
        <f>VLOOKUP('Part 1'!$L$16,Datasheet4!$B$6:$DH$333,W54,FALSE)</f>
        <v>9683586.6302083358</v>
      </c>
      <c r="H54" s="759"/>
      <c r="I54" s="74"/>
      <c r="J54" s="6"/>
      <c r="K54" s="758">
        <f>VLOOKUP('Part 1'!$L$16,Datasheet4!$B$6:$DH$333,X54,FALSE)</f>
        <v>9398310.2280416712</v>
      </c>
      <c r="L54" s="759"/>
      <c r="M54" s="2"/>
      <c r="N54" s="2"/>
      <c r="O54" s="758">
        <f>VLOOKUP('Part 1'!$L$16,Datasheet4!$B$6:$DH$333,Y54,FALSE)</f>
        <v>254328.21164583336</v>
      </c>
      <c r="P54" s="760"/>
      <c r="Q54" s="2"/>
      <c r="R54" s="2"/>
      <c r="S54" s="758">
        <f>VLOOKUP('Part 1'!$L$16,Datasheet4!$B$6:$DH$333,Z54,FALSE)</f>
        <v>30948.190520833334</v>
      </c>
      <c r="T54" s="759"/>
      <c r="U54" s="29"/>
      <c r="V54" s="605"/>
      <c r="W54" s="212">
        <v>24</v>
      </c>
      <c r="X54" s="212">
        <v>25</v>
      </c>
      <c r="Y54" s="212">
        <v>26</v>
      </c>
      <c r="Z54" s="212">
        <v>27</v>
      </c>
    </row>
    <row r="55" spans="1:26" ht="15" x14ac:dyDescent="0.2">
      <c r="A55" s="14"/>
      <c r="B55" s="2"/>
      <c r="C55" s="744"/>
      <c r="D55" s="744"/>
      <c r="E55" s="744"/>
      <c r="F55" s="49"/>
      <c r="G55" s="49"/>
      <c r="H55" s="49"/>
      <c r="I55" s="49"/>
      <c r="J55" s="49"/>
      <c r="K55" s="49"/>
      <c r="L55" s="49"/>
      <c r="M55" s="49"/>
      <c r="N55" s="49"/>
      <c r="O55" s="406"/>
      <c r="P55" s="406"/>
      <c r="Q55" s="49"/>
      <c r="R55" s="49"/>
      <c r="S55" s="49"/>
      <c r="T55" s="49"/>
      <c r="U55" s="29"/>
      <c r="V55" s="605"/>
    </row>
    <row r="56" spans="1:26" ht="15.75" thickBot="1" x14ac:dyDescent="0.25">
      <c r="A56" s="14"/>
      <c r="B56" s="104"/>
      <c r="C56" s="49"/>
      <c r="D56" s="49"/>
      <c r="E56" s="49"/>
      <c r="F56" s="49"/>
      <c r="G56" s="18"/>
      <c r="H56" s="18"/>
      <c r="I56" s="49"/>
      <c r="J56" s="18"/>
      <c r="K56" s="18"/>
      <c r="L56" s="18"/>
      <c r="M56" s="2"/>
      <c r="N56" s="2"/>
      <c r="O56" s="404"/>
      <c r="P56" s="404"/>
      <c r="Q56" s="2"/>
      <c r="R56" s="2"/>
      <c r="S56" s="18"/>
      <c r="T56" s="18"/>
      <c r="U56" s="29"/>
      <c r="V56" s="605"/>
    </row>
    <row r="57" spans="1:26" ht="18" customHeight="1" thickBot="1" x14ac:dyDescent="0.25">
      <c r="A57" s="14"/>
      <c r="B57" s="104"/>
      <c r="C57" s="74" t="s">
        <v>949</v>
      </c>
      <c r="D57" s="74"/>
      <c r="E57" s="49"/>
      <c r="F57" s="49"/>
      <c r="G57" s="774">
        <f>VLOOKUP('Part 1'!$L$16,Datasheet4!$B$6:$DH$333,W57,FALSE)</f>
        <v>7960953.5</v>
      </c>
      <c r="H57" s="775"/>
      <c r="I57" s="49"/>
      <c r="J57" s="18"/>
      <c r="K57" s="754">
        <f>VLOOKUP('Part 1'!$L$16,Datasheet4!$B$6:$DH$333,X57,FALSE)</f>
        <v>7628974.5</v>
      </c>
      <c r="L57" s="755"/>
      <c r="M57" s="2"/>
      <c r="N57" s="2"/>
      <c r="O57" s="756">
        <f>VLOOKUP('Part 1'!$L$16,Datasheet4!$B$6:$DH$333,Y57,FALSE)</f>
        <v>225005</v>
      </c>
      <c r="P57" s="757"/>
      <c r="Q57" s="2"/>
      <c r="R57" s="2"/>
      <c r="S57" s="754">
        <f>VLOOKUP('Part 1'!$L$16,Datasheet4!$B$6:$DH$333,Z57,FALSE)</f>
        <v>27579</v>
      </c>
      <c r="T57" s="755"/>
      <c r="U57" s="29"/>
      <c r="V57" s="605"/>
      <c r="W57" s="212">
        <v>28</v>
      </c>
      <c r="X57" s="212">
        <v>29</v>
      </c>
      <c r="Y57" s="212">
        <v>30</v>
      </c>
      <c r="Z57" s="212">
        <v>31</v>
      </c>
    </row>
    <row r="58" spans="1:26" ht="18" customHeight="1" thickBot="1" x14ac:dyDescent="0.25">
      <c r="A58" s="14"/>
      <c r="B58" s="104"/>
      <c r="C58" s="49"/>
      <c r="D58" s="49"/>
      <c r="E58" s="49"/>
      <c r="F58" s="49"/>
      <c r="G58" s="55"/>
      <c r="H58" s="54"/>
      <c r="I58" s="49"/>
      <c r="J58" s="18"/>
      <c r="K58" s="55"/>
      <c r="L58" s="54"/>
      <c r="M58" s="2"/>
      <c r="N58" s="2"/>
      <c r="O58" s="55"/>
      <c r="P58" s="54"/>
      <c r="Q58" s="2"/>
      <c r="R58" s="2"/>
      <c r="S58" s="55"/>
      <c r="T58" s="54"/>
      <c r="U58" s="29"/>
      <c r="V58" s="605"/>
    </row>
    <row r="59" spans="1:26" ht="18" customHeight="1" thickBot="1" x14ac:dyDescent="0.25">
      <c r="A59" s="14"/>
      <c r="B59" s="104"/>
      <c r="C59" s="74" t="s">
        <v>944</v>
      </c>
      <c r="D59" s="74"/>
      <c r="E59" s="49"/>
      <c r="F59" s="49"/>
      <c r="G59" s="752">
        <f>VLOOKUP('Part 1'!$L$16,Datasheet4!$B$6:$DH$333,W59,FALSE)</f>
        <v>1722633</v>
      </c>
      <c r="H59" s="753"/>
      <c r="I59" s="49"/>
      <c r="J59" s="18"/>
      <c r="K59" s="752">
        <f>ROUND(+K54-K57,0)</f>
        <v>1769336</v>
      </c>
      <c r="L59" s="753"/>
      <c r="M59" s="2"/>
      <c r="N59" s="2"/>
      <c r="O59" s="752">
        <f>ROUND(+O54-O57,0)</f>
        <v>29323</v>
      </c>
      <c r="P59" s="777"/>
      <c r="Q59" s="2"/>
      <c r="R59" s="2"/>
      <c r="S59" s="752">
        <f>ROUND(+S54-S57,0)</f>
        <v>3369</v>
      </c>
      <c r="T59" s="753"/>
      <c r="U59" s="29"/>
      <c r="V59" s="605"/>
      <c r="W59" s="212">
        <v>32</v>
      </c>
      <c r="X59" s="212">
        <v>33</v>
      </c>
      <c r="Y59" s="212">
        <v>34</v>
      </c>
      <c r="Z59" s="212">
        <v>35</v>
      </c>
    </row>
    <row r="60" spans="1:26" ht="18" customHeight="1" x14ac:dyDescent="0.2">
      <c r="A60" s="14"/>
      <c r="B60" s="104"/>
      <c r="C60" s="74"/>
      <c r="D60" s="74"/>
      <c r="E60" s="49"/>
      <c r="F60" s="49"/>
      <c r="G60" s="49"/>
      <c r="H60" s="49"/>
      <c r="I60" s="49"/>
      <c r="J60" s="18"/>
      <c r="K60" s="2"/>
      <c r="L60" s="2"/>
      <c r="M60" s="2"/>
      <c r="N60" s="2"/>
      <c r="O60" s="405"/>
      <c r="P60" s="405"/>
      <c r="Q60" s="2"/>
      <c r="R60" s="2"/>
      <c r="S60" s="55"/>
      <c r="T60" s="54"/>
      <c r="U60" s="29"/>
      <c r="V60" s="605"/>
    </row>
    <row r="61" spans="1:26" ht="18" customHeight="1" x14ac:dyDescent="0.2">
      <c r="A61" s="14"/>
      <c r="B61" s="104"/>
      <c r="C61" s="126" t="s">
        <v>18</v>
      </c>
      <c r="D61" s="126"/>
      <c r="E61" s="127"/>
      <c r="F61" s="127"/>
      <c r="G61" s="127"/>
      <c r="H61" s="127"/>
      <c r="I61" s="127"/>
      <c r="J61" s="2"/>
      <c r="K61" s="2"/>
      <c r="L61" s="2"/>
      <c r="M61" s="2"/>
      <c r="N61" s="2"/>
      <c r="O61" s="405"/>
      <c r="P61" s="405"/>
      <c r="Q61" s="2"/>
      <c r="R61" s="2"/>
      <c r="S61" s="54"/>
      <c r="T61" s="54"/>
      <c r="U61" s="29"/>
      <c r="V61" s="605"/>
    </row>
    <row r="62" spans="1:26" ht="18" customHeight="1" thickBot="1" x14ac:dyDescent="0.25">
      <c r="A62" s="14"/>
      <c r="B62" s="104"/>
      <c r="C62" s="126" t="s">
        <v>19</v>
      </c>
      <c r="D62" s="126"/>
      <c r="E62" s="49"/>
      <c r="F62" s="49"/>
      <c r="G62" s="49"/>
      <c r="H62" s="49"/>
      <c r="I62" s="49"/>
      <c r="J62" s="18"/>
      <c r="K62" s="2"/>
      <c r="L62" s="2"/>
      <c r="M62" s="2"/>
      <c r="N62" s="2"/>
      <c r="O62" s="405"/>
      <c r="P62" s="405"/>
      <c r="Q62" s="2"/>
      <c r="R62" s="2"/>
      <c r="S62" s="54"/>
      <c r="T62" s="54"/>
      <c r="U62" s="29"/>
      <c r="V62" s="605"/>
    </row>
    <row r="63" spans="1:26" ht="18" customHeight="1" thickBot="1" x14ac:dyDescent="0.25">
      <c r="A63" s="14"/>
      <c r="B63" s="104"/>
      <c r="C63" s="74" t="s">
        <v>991</v>
      </c>
      <c r="D63" s="74"/>
      <c r="E63" s="49"/>
      <c r="F63" s="49"/>
      <c r="G63" s="49"/>
      <c r="H63" s="49"/>
      <c r="I63" s="49"/>
      <c r="J63" s="18"/>
      <c r="K63" s="752">
        <f>VLOOKUP('Part 1'!$L$16,Datasheet4!$B$6:$DH$333,X63,FALSE)</f>
        <v>251843503.5872854</v>
      </c>
      <c r="L63" s="753"/>
      <c r="M63" s="452"/>
      <c r="N63" s="452"/>
      <c r="O63" s="752">
        <f>VLOOKUP('Part 1'!$L$16,Datasheet4!$B$6:$DH$333,Y63,FALSE)</f>
        <v>36217594.841865614</v>
      </c>
      <c r="P63" s="753"/>
      <c r="Q63" s="452"/>
      <c r="R63" s="452"/>
      <c r="S63" s="752">
        <f>VLOOKUP('Part 1'!$L$16,Datasheet4!$B$6:$DH$333,Z63,FALSE)</f>
        <v>4053521.961031253</v>
      </c>
      <c r="T63" s="753"/>
      <c r="U63" s="29"/>
      <c r="V63" s="605"/>
      <c r="X63" s="212">
        <v>36</v>
      </c>
      <c r="Y63" s="212">
        <v>37</v>
      </c>
      <c r="Z63" s="212">
        <v>38</v>
      </c>
    </row>
    <row r="64" spans="1:26" ht="18" customHeight="1" thickBot="1" x14ac:dyDescent="0.25">
      <c r="A64" s="14"/>
      <c r="B64" s="104"/>
      <c r="C64" s="49"/>
      <c r="D64" s="49"/>
      <c r="E64" s="49"/>
      <c r="F64" s="49"/>
      <c r="G64" s="49"/>
      <c r="H64" s="49"/>
      <c r="I64" s="49"/>
      <c r="J64" s="18"/>
      <c r="K64" s="453"/>
      <c r="L64" s="453"/>
      <c r="M64" s="452"/>
      <c r="N64" s="452"/>
      <c r="O64" s="454"/>
      <c r="P64" s="454"/>
      <c r="Q64" s="452"/>
      <c r="R64" s="452"/>
      <c r="S64" s="453"/>
      <c r="T64" s="453"/>
      <c r="U64" s="29"/>
      <c r="V64" s="605"/>
    </row>
    <row r="65" spans="1:26" ht="18" customHeight="1" thickBot="1" x14ac:dyDescent="0.25">
      <c r="A65" s="14"/>
      <c r="B65" s="104"/>
      <c r="C65" s="74" t="s">
        <v>992</v>
      </c>
      <c r="D65" s="74"/>
      <c r="E65" s="49"/>
      <c r="F65" s="49"/>
      <c r="G65" s="49"/>
      <c r="H65" s="49"/>
      <c r="I65" s="49"/>
      <c r="J65" s="18"/>
      <c r="K65" s="754">
        <f>VLOOKUP('Part 1'!$L$16,Datasheet4!$B$6:$DH$333,X65,FALSE)</f>
        <v>233393071</v>
      </c>
      <c r="L65" s="755"/>
      <c r="M65" s="452"/>
      <c r="N65" s="452"/>
      <c r="O65" s="756">
        <f>VLOOKUP('Part 1'!$L$16,Datasheet4!$B$6:$DH$333,Y65,FALSE)</f>
        <v>33668620</v>
      </c>
      <c r="P65" s="757"/>
      <c r="Q65" s="452"/>
      <c r="R65" s="452"/>
      <c r="S65" s="754">
        <f>VLOOKUP('Part 1'!$L$16,Datasheet4!$B$6:$DH$333,Z65,FALSE)</f>
        <v>3786112</v>
      </c>
      <c r="T65" s="755"/>
      <c r="U65" s="29"/>
      <c r="V65" s="605"/>
      <c r="X65" s="212">
        <v>39</v>
      </c>
      <c r="Y65" s="212">
        <v>40</v>
      </c>
      <c r="Z65" s="212">
        <v>41</v>
      </c>
    </row>
    <row r="66" spans="1:26" ht="18" customHeight="1" thickBot="1" x14ac:dyDescent="0.25">
      <c r="A66" s="14"/>
      <c r="B66" s="104"/>
      <c r="C66" s="49"/>
      <c r="D66" s="49"/>
      <c r="E66" s="49"/>
      <c r="F66" s="49"/>
      <c r="G66" s="49"/>
      <c r="H66" s="49"/>
      <c r="I66" s="49"/>
      <c r="J66" s="18"/>
      <c r="K66" s="55"/>
      <c r="L66" s="54"/>
      <c r="M66" s="2"/>
      <c r="N66" s="2"/>
      <c r="O66" s="55"/>
      <c r="P66" s="54"/>
      <c r="Q66" s="2"/>
      <c r="R66" s="2"/>
      <c r="S66" s="55"/>
      <c r="T66" s="54"/>
      <c r="U66" s="29"/>
      <c r="V66" s="605"/>
    </row>
    <row r="67" spans="1:26" ht="18" customHeight="1" thickBot="1" x14ac:dyDescent="0.25">
      <c r="A67" s="14"/>
      <c r="B67" s="104"/>
      <c r="C67" s="74" t="s">
        <v>962</v>
      </c>
      <c r="D67" s="74"/>
      <c r="E67" s="49"/>
      <c r="F67" s="49"/>
      <c r="G67" s="49"/>
      <c r="H67" s="49"/>
      <c r="I67" s="49"/>
      <c r="J67" s="18"/>
      <c r="K67" s="752">
        <f>VLOOKUP('Part 1'!$L$16,Datasheet4!$B$6:$DH$333,X67,FALSE)</f>
        <v>18450425</v>
      </c>
      <c r="L67" s="753"/>
      <c r="M67" s="452"/>
      <c r="N67" s="452"/>
      <c r="O67" s="752">
        <f>VLOOKUP('Part 1'!$L$16,Datasheet4!$B$6:$DH$333,Y67,FALSE)</f>
        <v>2548979</v>
      </c>
      <c r="P67" s="753"/>
      <c r="Q67" s="452"/>
      <c r="R67" s="452"/>
      <c r="S67" s="752">
        <f>VLOOKUP('Part 1'!$L$16,Datasheet4!$B$6:$DH$333,Z67,FALSE)</f>
        <v>267411</v>
      </c>
      <c r="T67" s="753"/>
      <c r="U67" s="29"/>
      <c r="V67" s="605"/>
      <c r="X67" s="212">
        <v>42</v>
      </c>
      <c r="Y67" s="212">
        <v>43</v>
      </c>
      <c r="Z67" s="212">
        <v>44</v>
      </c>
    </row>
    <row r="68" spans="1:26" ht="18" customHeight="1" thickBot="1" x14ac:dyDescent="0.25">
      <c r="A68" s="15"/>
      <c r="B68" s="110"/>
      <c r="C68" s="391"/>
      <c r="D68" s="391"/>
      <c r="E68" s="111"/>
      <c r="F68" s="111"/>
      <c r="G68" s="111"/>
      <c r="H68" s="111"/>
      <c r="I68" s="111"/>
      <c r="J68" s="111"/>
      <c r="K68" s="111"/>
      <c r="L68" s="111"/>
      <c r="M68" s="111"/>
      <c r="N68" s="111"/>
      <c r="O68" s="407"/>
      <c r="P68" s="407"/>
      <c r="Q68" s="111"/>
      <c r="R68" s="111"/>
      <c r="S68" s="111"/>
      <c r="T68" s="111"/>
      <c r="U68" s="111"/>
      <c r="V68" s="606"/>
    </row>
    <row r="69" spans="1:26" ht="18" customHeight="1" thickBot="1" x14ac:dyDescent="0.3">
      <c r="A69" s="14"/>
      <c r="B69" s="104"/>
      <c r="C69" s="178" t="s">
        <v>80</v>
      </c>
      <c r="D69" s="178"/>
      <c r="E69" s="29"/>
      <c r="F69" s="29"/>
      <c r="G69" s="29"/>
      <c r="H69" s="29"/>
      <c r="I69" s="29"/>
      <c r="J69" s="29"/>
      <c r="K69" s="29"/>
      <c r="L69" s="29"/>
      <c r="M69" s="29"/>
      <c r="N69" s="29"/>
      <c r="O69" s="404"/>
      <c r="P69" s="404"/>
      <c r="Q69" s="29"/>
      <c r="R69" s="29"/>
      <c r="S69" s="29"/>
      <c r="T69" s="29"/>
      <c r="U69" s="29"/>
      <c r="V69" s="605"/>
    </row>
    <row r="70" spans="1:26" ht="18" customHeight="1" thickBot="1" x14ac:dyDescent="0.25">
      <c r="A70" s="14"/>
      <c r="B70" s="104"/>
      <c r="C70" s="744" t="s">
        <v>996</v>
      </c>
      <c r="D70" s="744"/>
      <c r="E70" s="744"/>
      <c r="F70" s="744"/>
      <c r="G70" s="744"/>
      <c r="H70" s="744"/>
      <c r="I70" s="29"/>
      <c r="J70" s="29"/>
      <c r="K70" s="752">
        <f>VLOOKUP('Part 1'!$L$16,Datasheet4!$B$6:$DH$333,X70,FALSE)</f>
        <v>1692406.8870208333</v>
      </c>
      <c r="L70" s="753"/>
      <c r="M70" s="29"/>
      <c r="N70" s="29"/>
      <c r="O70" s="752">
        <f>VLOOKUP('Part 1'!$L$16,Datasheet4!$B$6:$DH$333,Y70,FALSE)</f>
        <v>245737.17654166665</v>
      </c>
      <c r="P70" s="753"/>
      <c r="Q70" s="29"/>
      <c r="R70" s="29"/>
      <c r="S70" s="752">
        <f>VLOOKUP('Part 1'!$L$16,Datasheet4!$B$6:$DH$333,Z70,FALSE)</f>
        <v>28723.635395833327</v>
      </c>
      <c r="T70" s="753"/>
      <c r="U70" s="29"/>
      <c r="V70" s="605"/>
      <c r="X70" s="212">
        <v>45</v>
      </c>
      <c r="Y70" s="212">
        <v>46</v>
      </c>
      <c r="Z70" s="212">
        <v>47</v>
      </c>
    </row>
    <row r="71" spans="1:26" ht="18" customHeight="1" thickBot="1" x14ac:dyDescent="0.25">
      <c r="A71" s="14"/>
      <c r="B71" s="104"/>
      <c r="C71" s="744"/>
      <c r="D71" s="744"/>
      <c r="E71" s="744"/>
      <c r="F71" s="744"/>
      <c r="G71" s="744"/>
      <c r="H71" s="744"/>
      <c r="I71" s="29"/>
      <c r="J71" s="29"/>
      <c r="K71" s="18"/>
      <c r="L71" s="18"/>
      <c r="M71" s="29"/>
      <c r="N71" s="29"/>
      <c r="O71" s="404"/>
      <c r="P71" s="404"/>
      <c r="Q71" s="29"/>
      <c r="R71" s="29"/>
      <c r="S71" s="18"/>
      <c r="T71" s="18"/>
      <c r="U71" s="29"/>
      <c r="V71" s="605"/>
    </row>
    <row r="72" spans="1:26" ht="18" customHeight="1" thickBot="1" x14ac:dyDescent="0.25">
      <c r="A72" s="14"/>
      <c r="B72" s="104"/>
      <c r="C72" s="74" t="s">
        <v>997</v>
      </c>
      <c r="D72" s="74"/>
      <c r="E72" s="29"/>
      <c r="F72" s="29"/>
      <c r="G72" s="29"/>
      <c r="H72" s="29"/>
      <c r="I72" s="29"/>
      <c r="J72" s="29"/>
      <c r="K72" s="754">
        <f>VLOOKUP('Part 1'!$L$16,Datasheet4!$B$6:$DH$333,X72,FALSE)</f>
        <v>1829649</v>
      </c>
      <c r="L72" s="755"/>
      <c r="M72" s="2"/>
      <c r="N72" s="2"/>
      <c r="O72" s="756">
        <f>VLOOKUP('Part 1'!$L$16,Datasheet4!$B$6:$DH$333,Y72,FALSE)</f>
        <v>117518</v>
      </c>
      <c r="P72" s="757"/>
      <c r="Q72" s="2"/>
      <c r="R72" s="2"/>
      <c r="S72" s="754">
        <f>VLOOKUP('Part 1'!$L$16,Datasheet4!$B$6:$DH$333,Z72,FALSE)</f>
        <v>34248</v>
      </c>
      <c r="T72" s="755"/>
      <c r="U72" s="29"/>
      <c r="V72" s="605"/>
      <c r="X72" s="212">
        <v>48</v>
      </c>
      <c r="Y72" s="212">
        <v>49</v>
      </c>
      <c r="Z72" s="212">
        <v>50</v>
      </c>
    </row>
    <row r="73" spans="1:26" ht="18" customHeight="1" thickBot="1" x14ac:dyDescent="0.25">
      <c r="A73" s="14"/>
      <c r="B73" s="104"/>
      <c r="C73" s="49"/>
      <c r="D73" s="49"/>
      <c r="E73" s="29"/>
      <c r="F73" s="29"/>
      <c r="G73" s="29"/>
      <c r="H73" s="29"/>
      <c r="I73" s="29"/>
      <c r="J73" s="29"/>
      <c r="K73" s="55"/>
      <c r="L73" s="54"/>
      <c r="M73" s="29"/>
      <c r="N73" s="29"/>
      <c r="O73" s="55"/>
      <c r="P73" s="54"/>
      <c r="Q73" s="29"/>
      <c r="R73" s="29"/>
      <c r="S73" s="55"/>
      <c r="T73" s="54"/>
      <c r="U73" s="29"/>
      <c r="V73" s="605"/>
    </row>
    <row r="74" spans="1:26" ht="18" customHeight="1" thickBot="1" x14ac:dyDescent="0.25">
      <c r="A74" s="14"/>
      <c r="B74" s="104"/>
      <c r="C74" s="74" t="s">
        <v>963</v>
      </c>
      <c r="D74" s="74"/>
      <c r="E74" s="29"/>
      <c r="F74" s="29"/>
      <c r="G74" s="29"/>
      <c r="H74" s="29"/>
      <c r="I74" s="29"/>
      <c r="J74" s="29"/>
      <c r="K74" s="752">
        <f>VLOOKUP('Part 1'!$L$16,Datasheet4!$B$6:$DH$333,X74,FALSE)</f>
        <v>-137238</v>
      </c>
      <c r="L74" s="753"/>
      <c r="M74" s="2"/>
      <c r="N74" s="2"/>
      <c r="O74" s="752">
        <f>VLOOKUP('Part 1'!$L$16,Datasheet4!$B$6:$DH$333,Y74,FALSE)</f>
        <v>128223</v>
      </c>
      <c r="P74" s="753"/>
      <c r="Q74" s="2"/>
      <c r="R74" s="2"/>
      <c r="S74" s="752">
        <f>VLOOKUP('Part 1'!$L$16,Datasheet4!$B$6:$DH$333,Z74,FALSE)</f>
        <v>-5526</v>
      </c>
      <c r="T74" s="753"/>
      <c r="U74" s="29"/>
      <c r="V74" s="605"/>
      <c r="X74" s="212">
        <v>51</v>
      </c>
      <c r="Y74" s="212">
        <v>52</v>
      </c>
      <c r="Z74" s="212">
        <v>53</v>
      </c>
    </row>
    <row r="75" spans="1:26" ht="18" customHeight="1" x14ac:dyDescent="0.2">
      <c r="A75" s="14"/>
      <c r="B75" s="104"/>
      <c r="C75" s="29"/>
      <c r="D75" s="29"/>
      <c r="E75" s="29"/>
      <c r="F75" s="29"/>
      <c r="G75" s="29"/>
      <c r="H75" s="29"/>
      <c r="I75" s="29"/>
      <c r="J75" s="29"/>
      <c r="K75" s="29"/>
      <c r="L75" s="29"/>
      <c r="M75" s="29"/>
      <c r="N75" s="29"/>
      <c r="O75" s="404"/>
      <c r="P75" s="404"/>
      <c r="Q75" s="29"/>
      <c r="R75" s="29"/>
      <c r="S75" s="29"/>
      <c r="T75" s="29"/>
      <c r="U75" s="29"/>
      <c r="V75" s="605"/>
    </row>
    <row r="76" spans="1:26" ht="18" customHeight="1" thickBot="1" x14ac:dyDescent="0.3">
      <c r="A76" s="14"/>
      <c r="B76" s="104"/>
      <c r="C76" s="178" t="s">
        <v>3</v>
      </c>
      <c r="D76" s="178"/>
      <c r="E76" s="29"/>
      <c r="F76" s="29"/>
      <c r="G76" s="29"/>
      <c r="H76" s="29"/>
      <c r="I76" s="29"/>
      <c r="J76" s="29"/>
      <c r="K76" s="29"/>
      <c r="L76" s="29"/>
      <c r="M76" s="29"/>
      <c r="N76" s="29"/>
      <c r="O76" s="404"/>
      <c r="P76" s="404"/>
      <c r="Q76" s="29"/>
      <c r="R76" s="29"/>
      <c r="S76" s="29"/>
      <c r="T76" s="29"/>
      <c r="U76" s="29"/>
      <c r="V76" s="605"/>
    </row>
    <row r="77" spans="1:26" ht="18" customHeight="1" thickBot="1" x14ac:dyDescent="0.25">
      <c r="A77" s="14"/>
      <c r="B77" s="104"/>
      <c r="C77" s="744" t="s">
        <v>994</v>
      </c>
      <c r="D77" s="744"/>
      <c r="E77" s="744"/>
      <c r="F77" s="744"/>
      <c r="G77" s="744"/>
      <c r="H77" s="744"/>
      <c r="I77" s="29"/>
      <c r="J77" s="29"/>
      <c r="K77" s="752">
        <f>VLOOKUP('Part 1'!$L$16,Datasheet4!$B$6:$DH$333,X77,FALSE)</f>
        <v>3518960.9677916658</v>
      </c>
      <c r="L77" s="753"/>
      <c r="M77" s="29"/>
      <c r="N77" s="29"/>
      <c r="O77" s="752">
        <f>VLOOKUP('Part 1'!$L$16,Datasheet4!$B$6:$DH$333,Y77,FALSE)</f>
        <v>561915.79845833324</v>
      </c>
      <c r="P77" s="753"/>
      <c r="Q77" s="29"/>
      <c r="R77" s="29"/>
      <c r="S77" s="752">
        <f>VLOOKUP('Part 1'!$L$16,Datasheet4!$B$6:$DH$333,Z77,FALSE)</f>
        <v>47340.052499999983</v>
      </c>
      <c r="T77" s="753"/>
      <c r="U77" s="29"/>
      <c r="V77" s="605"/>
      <c r="X77" s="212">
        <v>54</v>
      </c>
      <c r="Y77" s="212">
        <v>55</v>
      </c>
      <c r="Z77" s="212">
        <v>56</v>
      </c>
    </row>
    <row r="78" spans="1:26" ht="18" customHeight="1" thickBot="1" x14ac:dyDescent="0.25">
      <c r="A78" s="14"/>
      <c r="B78" s="104"/>
      <c r="C78" s="744"/>
      <c r="D78" s="744"/>
      <c r="E78" s="744"/>
      <c r="F78" s="744"/>
      <c r="G78" s="744"/>
      <c r="H78" s="744"/>
      <c r="I78" s="29"/>
      <c r="J78" s="29"/>
      <c r="K78" s="18"/>
      <c r="L78" s="18"/>
      <c r="M78" s="29"/>
      <c r="N78" s="29"/>
      <c r="O78" s="404"/>
      <c r="P78" s="404"/>
      <c r="Q78" s="29"/>
      <c r="R78" s="29"/>
      <c r="S78" s="18"/>
      <c r="T78" s="18"/>
      <c r="U78" s="29"/>
      <c r="V78" s="605"/>
    </row>
    <row r="79" spans="1:26" ht="18" customHeight="1" thickBot="1" x14ac:dyDescent="0.25">
      <c r="A79" s="14"/>
      <c r="B79" s="104"/>
      <c r="C79" s="74" t="s">
        <v>995</v>
      </c>
      <c r="D79" s="74"/>
      <c r="E79" s="29"/>
      <c r="F79" s="29"/>
      <c r="G79" s="29"/>
      <c r="H79" s="29"/>
      <c r="I79" s="29"/>
      <c r="J79" s="29"/>
      <c r="K79" s="754">
        <f>VLOOKUP('Part 1'!$L$16,Datasheet4!$B$6:$DH$333,X79,FALSE)</f>
        <v>3686280</v>
      </c>
      <c r="L79" s="755"/>
      <c r="M79" s="2"/>
      <c r="N79" s="2"/>
      <c r="O79" s="756">
        <f>VLOOKUP('Part 1'!$L$16,Datasheet4!$B$6:$DH$333,Y79,FALSE)</f>
        <v>676470</v>
      </c>
      <c r="P79" s="757"/>
      <c r="Q79" s="2"/>
      <c r="R79" s="2"/>
      <c r="S79" s="754">
        <f>VLOOKUP('Part 1'!$L$16,Datasheet4!$B$6:$DH$333,Z79,FALSE)</f>
        <v>53746</v>
      </c>
      <c r="T79" s="755"/>
      <c r="U79" s="29"/>
      <c r="V79" s="605"/>
      <c r="X79" s="212">
        <v>57</v>
      </c>
      <c r="Y79" s="212">
        <v>58</v>
      </c>
      <c r="Z79" s="212">
        <v>59</v>
      </c>
    </row>
    <row r="80" spans="1:26" ht="18" customHeight="1" thickBot="1" x14ac:dyDescent="0.25">
      <c r="A80" s="14"/>
      <c r="B80" s="104"/>
      <c r="C80" s="49"/>
      <c r="D80" s="49"/>
      <c r="E80" s="29"/>
      <c r="F80" s="29"/>
      <c r="G80" s="29"/>
      <c r="H80" s="29"/>
      <c r="I80" s="29"/>
      <c r="J80" s="29"/>
      <c r="K80" s="55"/>
      <c r="L80" s="54"/>
      <c r="M80" s="29"/>
      <c r="N80" s="29"/>
      <c r="O80" s="55"/>
      <c r="P80" s="54"/>
      <c r="Q80" s="29"/>
      <c r="R80" s="29"/>
      <c r="S80" s="55"/>
      <c r="T80" s="54"/>
      <c r="U80" s="29"/>
      <c r="V80" s="605"/>
    </row>
    <row r="81" spans="1:26" ht="18" customHeight="1" thickBot="1" x14ac:dyDescent="0.25">
      <c r="A81" s="14"/>
      <c r="B81" s="104"/>
      <c r="C81" s="74" t="s">
        <v>981</v>
      </c>
      <c r="D81" s="74"/>
      <c r="E81" s="29"/>
      <c r="F81" s="29"/>
      <c r="G81" s="29"/>
      <c r="H81" s="29"/>
      <c r="I81" s="29"/>
      <c r="J81" s="29"/>
      <c r="K81" s="752">
        <f>VLOOKUP('Part 1'!$L$16,Datasheet4!$B$6:$DH$333,X81,FALSE)</f>
        <v>-167317</v>
      </c>
      <c r="L81" s="753"/>
      <c r="M81" s="2"/>
      <c r="N81" s="2"/>
      <c r="O81" s="752">
        <f>VLOOKUP('Part 1'!$L$16,Datasheet4!$B$6:$DH$333,Y81,FALSE)</f>
        <v>-114553</v>
      </c>
      <c r="P81" s="753"/>
      <c r="Q81" s="2"/>
      <c r="R81" s="2"/>
      <c r="S81" s="752">
        <f>VLOOKUP('Part 1'!$L$16,Datasheet4!$B$6:$DH$333,Z81,FALSE)</f>
        <v>-6404</v>
      </c>
      <c r="T81" s="753"/>
      <c r="U81" s="29"/>
      <c r="V81" s="605"/>
      <c r="X81" s="212">
        <v>60</v>
      </c>
      <c r="Y81" s="212">
        <v>61</v>
      </c>
      <c r="Z81" s="212">
        <v>62</v>
      </c>
    </row>
    <row r="82" spans="1:26" ht="18" customHeight="1" x14ac:dyDescent="0.2">
      <c r="A82" s="14"/>
      <c r="B82" s="104"/>
      <c r="C82" s="29"/>
      <c r="D82" s="29"/>
      <c r="E82" s="29"/>
      <c r="F82" s="29"/>
      <c r="G82" s="29"/>
      <c r="H82" s="29"/>
      <c r="I82" s="29"/>
      <c r="J82" s="29"/>
      <c r="K82" s="29"/>
      <c r="L82" s="29"/>
      <c r="M82" s="29"/>
      <c r="N82" s="29"/>
      <c r="O82" s="404"/>
      <c r="P82" s="404"/>
      <c r="Q82" s="29"/>
      <c r="R82" s="29"/>
      <c r="S82" s="29"/>
      <c r="T82" s="29"/>
      <c r="U82" s="29"/>
      <c r="V82" s="605"/>
    </row>
    <row r="83" spans="1:26" ht="18" customHeight="1" thickBot="1" x14ac:dyDescent="0.3">
      <c r="A83" s="14"/>
      <c r="B83" s="104"/>
      <c r="C83" s="178" t="s">
        <v>81</v>
      </c>
      <c r="D83" s="178"/>
      <c r="E83" s="29"/>
      <c r="F83" s="29"/>
      <c r="G83" s="29"/>
      <c r="H83" s="29"/>
      <c r="I83" s="29"/>
      <c r="J83" s="29"/>
      <c r="K83" s="29"/>
      <c r="L83" s="29"/>
      <c r="M83" s="29"/>
      <c r="N83" s="29"/>
      <c r="O83" s="404"/>
      <c r="P83" s="404"/>
      <c r="Q83" s="29"/>
      <c r="R83" s="29"/>
      <c r="S83" s="29"/>
      <c r="T83" s="29"/>
      <c r="U83" s="29"/>
      <c r="V83" s="605"/>
    </row>
    <row r="84" spans="1:26" ht="18" customHeight="1" thickBot="1" x14ac:dyDescent="0.25">
      <c r="A84" s="14"/>
      <c r="B84" s="104"/>
      <c r="C84" s="744" t="s">
        <v>998</v>
      </c>
      <c r="D84" s="744"/>
      <c r="E84" s="744"/>
      <c r="F84" s="744"/>
      <c r="G84" s="744"/>
      <c r="H84" s="744"/>
      <c r="I84" s="29"/>
      <c r="J84" s="29"/>
      <c r="K84" s="752">
        <f>VLOOKUP('Part 1'!$L$16,Datasheet4!$B$6:$DH$333,X84,FALSE)</f>
        <v>6241827.1131937467</v>
      </c>
      <c r="L84" s="753"/>
      <c r="M84" s="29"/>
      <c r="N84" s="29"/>
      <c r="O84" s="752">
        <f>VLOOKUP('Part 1'!$L$16,Datasheet4!$B$6:$DH$333,Y84,FALSE)</f>
        <v>1067515.6129208331</v>
      </c>
      <c r="P84" s="753"/>
      <c r="Q84" s="29"/>
      <c r="R84" s="29"/>
      <c r="S84" s="752">
        <f>VLOOKUP('Part 1'!$L$16,Datasheet4!$B$6:$DH$333,Z84,FALSE)</f>
        <v>94406.634208333315</v>
      </c>
      <c r="T84" s="753"/>
      <c r="U84" s="29"/>
      <c r="V84" s="605"/>
      <c r="X84" s="212">
        <v>63</v>
      </c>
      <c r="Y84" s="212">
        <v>64</v>
      </c>
      <c r="Z84" s="212">
        <v>65</v>
      </c>
    </row>
    <row r="85" spans="1:26" ht="18" customHeight="1" thickBot="1" x14ac:dyDescent="0.25">
      <c r="A85" s="14"/>
      <c r="B85" s="104"/>
      <c r="C85" s="744"/>
      <c r="D85" s="744"/>
      <c r="E85" s="744"/>
      <c r="F85" s="744"/>
      <c r="G85" s="744"/>
      <c r="H85" s="744"/>
      <c r="I85" s="29"/>
      <c r="J85" s="29"/>
      <c r="K85" s="18"/>
      <c r="L85" s="18"/>
      <c r="M85" s="29"/>
      <c r="N85" s="29"/>
      <c r="O85" s="404"/>
      <c r="P85" s="404"/>
      <c r="Q85" s="29"/>
      <c r="R85" s="29"/>
      <c r="S85" s="18"/>
      <c r="T85" s="18"/>
      <c r="U85" s="29"/>
      <c r="V85" s="605"/>
    </row>
    <row r="86" spans="1:26" ht="18" customHeight="1" thickBot="1" x14ac:dyDescent="0.25">
      <c r="A86" s="14"/>
      <c r="B86" s="104"/>
      <c r="C86" s="74" t="s">
        <v>999</v>
      </c>
      <c r="D86" s="74"/>
      <c r="E86" s="29"/>
      <c r="F86" s="29"/>
      <c r="G86" s="29"/>
      <c r="H86" s="29"/>
      <c r="I86" s="29"/>
      <c r="J86" s="29"/>
      <c r="K86" s="754">
        <f>VLOOKUP('Part 1'!$L$16,Datasheet4!$B$6:$DH$333,X86,FALSE)</f>
        <v>4700093</v>
      </c>
      <c r="L86" s="755"/>
      <c r="M86" s="2"/>
      <c r="N86" s="2"/>
      <c r="O86" s="756">
        <f>VLOOKUP('Part 1'!$L$16,Datasheet4!$B$6:$DH$333,Y86,FALSE)</f>
        <v>579398</v>
      </c>
      <c r="P86" s="757"/>
      <c r="Q86" s="2"/>
      <c r="R86" s="2"/>
      <c r="S86" s="754">
        <f>VLOOKUP('Part 1'!$L$16,Datasheet4!$B$6:$DH$333,Z86,FALSE)</f>
        <v>75172</v>
      </c>
      <c r="T86" s="755"/>
      <c r="U86" s="29"/>
      <c r="V86" s="605"/>
      <c r="X86" s="212">
        <v>66</v>
      </c>
      <c r="Y86" s="212">
        <v>67</v>
      </c>
      <c r="Z86" s="212">
        <v>68</v>
      </c>
    </row>
    <row r="87" spans="1:26" ht="18" customHeight="1" thickBot="1" x14ac:dyDescent="0.25">
      <c r="A87" s="14"/>
      <c r="B87" s="104"/>
      <c r="C87" s="49"/>
      <c r="D87" s="49"/>
      <c r="E87" s="29"/>
      <c r="F87" s="29"/>
      <c r="G87" s="29"/>
      <c r="H87" s="29"/>
      <c r="I87" s="29"/>
      <c r="J87" s="29"/>
      <c r="K87" s="55"/>
      <c r="L87" s="54"/>
      <c r="M87" s="29"/>
      <c r="N87" s="29"/>
      <c r="O87" s="55"/>
      <c r="P87" s="54"/>
      <c r="Q87" s="29"/>
      <c r="R87" s="29"/>
      <c r="S87" s="55"/>
      <c r="T87" s="54"/>
      <c r="U87" s="29"/>
      <c r="V87" s="605"/>
    </row>
    <row r="88" spans="1:26" ht="18" customHeight="1" thickBot="1" x14ac:dyDescent="0.25">
      <c r="A88" s="14"/>
      <c r="B88" s="104"/>
      <c r="C88" s="74" t="s">
        <v>964</v>
      </c>
      <c r="D88" s="74"/>
      <c r="E88" s="29"/>
      <c r="F88" s="29"/>
      <c r="G88" s="29"/>
      <c r="H88" s="29"/>
      <c r="I88" s="29"/>
      <c r="J88" s="29"/>
      <c r="K88" s="752">
        <f>VLOOKUP('Part 1'!$L$16,Datasheet4!$B$6:$DH$333,X88,FALSE)</f>
        <v>1541726</v>
      </c>
      <c r="L88" s="753"/>
      <c r="M88" s="2"/>
      <c r="N88" s="2"/>
      <c r="O88" s="752">
        <f>VLOOKUP('Part 1'!$L$16,Datasheet4!$B$6:$DH$333,Y88,FALSE)</f>
        <v>488119</v>
      </c>
      <c r="P88" s="753"/>
      <c r="Q88" s="2"/>
      <c r="R88" s="2"/>
      <c r="S88" s="752">
        <f>VLOOKUP('Part 1'!$L$16,Datasheet4!$B$6:$DH$333,Z88,FALSE)</f>
        <v>19229</v>
      </c>
      <c r="T88" s="753"/>
      <c r="U88" s="29"/>
      <c r="V88" s="605"/>
      <c r="X88" s="212">
        <v>69</v>
      </c>
      <c r="Y88" s="212">
        <v>70</v>
      </c>
      <c r="Z88" s="212">
        <v>71</v>
      </c>
    </row>
    <row r="89" spans="1:26" ht="18" customHeight="1" x14ac:dyDescent="0.2">
      <c r="A89" s="14"/>
      <c r="B89" s="2"/>
      <c r="C89" s="49"/>
      <c r="D89" s="49"/>
      <c r="E89" s="29"/>
      <c r="F89" s="29"/>
      <c r="G89" s="29"/>
      <c r="H89" s="29"/>
      <c r="I89" s="29"/>
      <c r="J89" s="29"/>
      <c r="K89" s="29"/>
      <c r="L89" s="29"/>
      <c r="M89" s="29"/>
      <c r="N89" s="29"/>
      <c r="O89" s="404"/>
      <c r="P89" s="404"/>
      <c r="Q89" s="29"/>
      <c r="R89" s="29"/>
      <c r="S89" s="29"/>
      <c r="T89" s="29"/>
      <c r="U89" s="29"/>
      <c r="V89" s="605"/>
    </row>
    <row r="90" spans="1:26" ht="18" customHeight="1" thickBot="1" x14ac:dyDescent="0.3">
      <c r="A90" s="14"/>
      <c r="B90" s="2"/>
      <c r="C90" s="178" t="s">
        <v>73</v>
      </c>
      <c r="D90" s="49"/>
      <c r="E90" s="29"/>
      <c r="F90" s="29"/>
      <c r="G90" s="29"/>
      <c r="H90" s="29"/>
      <c r="I90" s="29"/>
      <c r="J90" s="29"/>
      <c r="K90" s="29"/>
      <c r="L90" s="29"/>
      <c r="M90" s="29"/>
      <c r="N90" s="29"/>
      <c r="O90" s="404"/>
      <c r="P90" s="404"/>
      <c r="Q90" s="29"/>
      <c r="R90" s="29"/>
      <c r="S90" s="29"/>
      <c r="T90" s="29"/>
      <c r="U90" s="29"/>
      <c r="V90" s="605"/>
    </row>
    <row r="91" spans="1:26" ht="18" customHeight="1" thickBot="1" x14ac:dyDescent="0.25">
      <c r="A91" s="14"/>
      <c r="B91" s="2"/>
      <c r="C91" s="744" t="s">
        <v>1000</v>
      </c>
      <c r="D91" s="744"/>
      <c r="E91" s="744"/>
      <c r="F91" s="744"/>
      <c r="G91" s="744"/>
      <c r="H91" s="744"/>
      <c r="I91" s="29"/>
      <c r="J91" s="29"/>
      <c r="K91" s="763">
        <f>VLOOKUP('Part 1'!$L$16,Datasheet4!$B$6:$DH$333,X91,FALSE)</f>
        <v>128353060.29458117</v>
      </c>
      <c r="L91" s="764"/>
      <c r="M91" s="29"/>
      <c r="N91" s="29"/>
      <c r="O91" s="763">
        <f>VLOOKUP('Part 1'!$L$16,Datasheet4!$B$6:$DH$333,Y91,FALSE)</f>
        <v>24036412.312439568</v>
      </c>
      <c r="P91" s="764"/>
      <c r="Q91" s="29"/>
      <c r="R91" s="29"/>
      <c r="S91" s="763">
        <f>VLOOKUP('Part 1'!$L$16,Datasheet4!$B$6:$DH$333,Z91,FALSE)</f>
        <v>1882927.2324791676</v>
      </c>
      <c r="T91" s="764"/>
      <c r="U91" s="29"/>
      <c r="V91" s="605"/>
      <c r="X91" s="212">
        <v>72</v>
      </c>
      <c r="Y91" s="212">
        <v>73</v>
      </c>
      <c r="Z91" s="212">
        <v>74</v>
      </c>
    </row>
    <row r="92" spans="1:26" ht="18" customHeight="1" thickBot="1" x14ac:dyDescent="0.25">
      <c r="A92" s="14"/>
      <c r="B92" s="2"/>
      <c r="C92" s="744"/>
      <c r="D92" s="744"/>
      <c r="E92" s="744"/>
      <c r="F92" s="744"/>
      <c r="G92" s="744"/>
      <c r="H92" s="744"/>
      <c r="I92" s="29"/>
      <c r="J92" s="29"/>
      <c r="K92" s="18"/>
      <c r="L92" s="18"/>
      <c r="M92" s="29"/>
      <c r="N92" s="29"/>
      <c r="O92" s="404"/>
      <c r="P92" s="404"/>
      <c r="Q92" s="29"/>
      <c r="R92" s="29"/>
      <c r="S92" s="18"/>
      <c r="T92" s="18"/>
      <c r="U92" s="29"/>
      <c r="V92" s="605"/>
    </row>
    <row r="93" spans="1:26" ht="18" customHeight="1" thickBot="1" x14ac:dyDescent="0.25">
      <c r="A93" s="14"/>
      <c r="B93" s="2"/>
      <c r="C93" s="74" t="s">
        <v>1001</v>
      </c>
      <c r="D93" s="49"/>
      <c r="E93" s="29"/>
      <c r="F93" s="29"/>
      <c r="G93" s="29"/>
      <c r="H93" s="29"/>
      <c r="I93" s="29"/>
      <c r="J93" s="29"/>
      <c r="K93" s="754">
        <f>VLOOKUP('Part 1'!$L$16,Datasheet4!$B$6:$DH$333,X93,FALSE)</f>
        <v>119756808</v>
      </c>
      <c r="L93" s="755"/>
      <c r="M93" s="2"/>
      <c r="N93" s="2"/>
      <c r="O93" s="756">
        <f>VLOOKUP('Part 1'!$L$16,Datasheet4!$B$6:$DH$333,Y93,FALSE)</f>
        <v>22400142</v>
      </c>
      <c r="P93" s="757"/>
      <c r="Q93" s="2"/>
      <c r="R93" s="2"/>
      <c r="S93" s="754">
        <f>VLOOKUP('Part 1'!$L$16,Datasheet4!$B$6:$DH$333,Z93,FALSE)</f>
        <v>1754684</v>
      </c>
      <c r="T93" s="755"/>
      <c r="U93" s="29"/>
      <c r="V93" s="605"/>
      <c r="X93" s="212">
        <v>75</v>
      </c>
      <c r="Y93" s="212">
        <v>76</v>
      </c>
      <c r="Z93" s="212">
        <v>77</v>
      </c>
    </row>
    <row r="94" spans="1:26" ht="18" customHeight="1" thickBot="1" x14ac:dyDescent="0.25">
      <c r="A94" s="14"/>
      <c r="B94" s="2"/>
      <c r="C94" s="49"/>
      <c r="D94" s="49"/>
      <c r="E94" s="29"/>
      <c r="F94" s="29"/>
      <c r="G94" s="29"/>
      <c r="H94" s="29"/>
      <c r="I94" s="29"/>
      <c r="J94" s="29"/>
      <c r="K94" s="55"/>
      <c r="L94" s="54"/>
      <c r="M94" s="29"/>
      <c r="N94" s="29"/>
      <c r="O94" s="55"/>
      <c r="P94" s="54"/>
      <c r="Q94" s="29"/>
      <c r="R94" s="29"/>
      <c r="S94" s="55"/>
      <c r="T94" s="54"/>
      <c r="U94" s="29"/>
      <c r="V94" s="605"/>
    </row>
    <row r="95" spans="1:26" ht="18" customHeight="1" thickBot="1" x14ac:dyDescent="0.25">
      <c r="A95" s="14"/>
      <c r="B95" s="2"/>
      <c r="C95" s="74" t="s">
        <v>965</v>
      </c>
      <c r="D95" s="49"/>
      <c r="E95" s="29"/>
      <c r="F95" s="29"/>
      <c r="G95" s="29"/>
      <c r="H95" s="29"/>
      <c r="I95" s="29"/>
      <c r="J95" s="29"/>
      <c r="K95" s="752">
        <f>VLOOKUP('Part 1'!$L$16,Datasheet4!$B$6:$DH$333,X95,FALSE)</f>
        <v>8596250</v>
      </c>
      <c r="L95" s="753"/>
      <c r="M95" s="2"/>
      <c r="N95" s="2"/>
      <c r="O95" s="752">
        <f>VLOOKUP('Part 1'!$L$16,Datasheet4!$B$6:$DH$333,Y95,FALSE)</f>
        <v>1636268</v>
      </c>
      <c r="P95" s="753"/>
      <c r="Q95" s="2"/>
      <c r="R95" s="2"/>
      <c r="S95" s="752">
        <f>VLOOKUP('Part 1'!$L$16,Datasheet4!$B$6:$DH$333,Z95,FALSE)</f>
        <v>128238</v>
      </c>
      <c r="T95" s="753"/>
      <c r="U95" s="29"/>
      <c r="V95" s="605"/>
      <c r="X95" s="212">
        <v>78</v>
      </c>
      <c r="Y95" s="212">
        <v>79</v>
      </c>
      <c r="Z95" s="212">
        <v>80</v>
      </c>
    </row>
    <row r="96" spans="1:26" ht="15" x14ac:dyDescent="0.2">
      <c r="A96" s="14"/>
      <c r="B96" s="2"/>
      <c r="C96" s="49"/>
      <c r="D96" s="49"/>
      <c r="E96" s="29"/>
      <c r="F96" s="29"/>
      <c r="G96" s="29"/>
      <c r="H96" s="29"/>
      <c r="I96" s="29"/>
      <c r="J96" s="29"/>
      <c r="K96" s="29"/>
      <c r="L96" s="29"/>
      <c r="M96" s="29"/>
      <c r="N96" s="29"/>
      <c r="O96" s="404"/>
      <c r="P96" s="404"/>
      <c r="Q96" s="29"/>
      <c r="R96" s="29"/>
      <c r="S96" s="29"/>
      <c r="T96" s="29"/>
      <c r="U96" s="2"/>
      <c r="V96" s="605"/>
    </row>
    <row r="97" spans="1:26" ht="16.5" thickBot="1" x14ac:dyDescent="0.3">
      <c r="A97" s="14"/>
      <c r="B97" s="2"/>
      <c r="C97" s="178" t="s">
        <v>82</v>
      </c>
      <c r="D97" s="49"/>
      <c r="E97" s="29"/>
      <c r="F97" s="29"/>
      <c r="G97" s="29"/>
      <c r="H97" s="29"/>
      <c r="I97" s="29"/>
      <c r="J97" s="29"/>
      <c r="K97" s="29"/>
      <c r="L97" s="29"/>
      <c r="M97" s="29"/>
      <c r="N97" s="29"/>
      <c r="O97" s="404"/>
      <c r="P97" s="404"/>
      <c r="Q97" s="29"/>
      <c r="R97" s="29"/>
      <c r="S97" s="29"/>
      <c r="T97" s="29"/>
      <c r="U97" s="2"/>
      <c r="V97" s="605"/>
    </row>
    <row r="98" spans="1:26" ht="16.5" thickBot="1" x14ac:dyDescent="0.25">
      <c r="A98" s="14"/>
      <c r="B98" s="2"/>
      <c r="C98" s="744" t="s">
        <v>1002</v>
      </c>
      <c r="D98" s="744"/>
      <c r="E98" s="744"/>
      <c r="F98" s="744"/>
      <c r="G98" s="744"/>
      <c r="H98" s="744"/>
      <c r="I98" s="29"/>
      <c r="J98" s="29"/>
      <c r="K98" s="758">
        <f>VLOOKUP('Part 1'!$L$16,Datasheet4!$B$6:$DH$333,X98,FALSE)</f>
        <v>3271100.288625001</v>
      </c>
      <c r="L98" s="759"/>
      <c r="M98" s="457"/>
      <c r="N98" s="457"/>
      <c r="O98" s="758">
        <f>VLOOKUP('Part 1'!$L$16,Datasheet4!$B$6:$DH$333,Y98,FALSE)</f>
        <v>262832.55567708338</v>
      </c>
      <c r="P98" s="759"/>
      <c r="Q98" s="457"/>
      <c r="R98" s="457"/>
      <c r="S98" s="758">
        <f>VLOOKUP('Part 1'!$L$16,Datasheet4!$B$6:$DH$333,Z98,FALSE)</f>
        <v>54001.634187500007</v>
      </c>
      <c r="T98" s="759"/>
      <c r="U98" s="2"/>
      <c r="V98" s="605"/>
      <c r="X98" s="212">
        <v>81</v>
      </c>
      <c r="Y98" s="212">
        <v>82</v>
      </c>
      <c r="Z98" s="212">
        <v>83</v>
      </c>
    </row>
    <row r="99" spans="1:26" ht="16.5" thickBot="1" x14ac:dyDescent="0.25">
      <c r="A99" s="14"/>
      <c r="B99" s="2"/>
      <c r="C99" s="744"/>
      <c r="D99" s="744"/>
      <c r="E99" s="744"/>
      <c r="F99" s="744"/>
      <c r="G99" s="744"/>
      <c r="H99" s="744"/>
      <c r="I99" s="29"/>
      <c r="J99" s="29"/>
      <c r="K99" s="29"/>
      <c r="L99" s="29"/>
      <c r="M99" s="29"/>
      <c r="N99" s="29"/>
      <c r="O99" s="404"/>
      <c r="P99" s="404"/>
      <c r="Q99" s="29"/>
      <c r="R99" s="29"/>
      <c r="S99" s="455"/>
      <c r="T99" s="456"/>
      <c r="U99" s="2"/>
      <c r="V99" s="605"/>
    </row>
    <row r="100" spans="1:26" ht="16.5" thickBot="1" x14ac:dyDescent="0.25">
      <c r="A100" s="14"/>
      <c r="B100" s="2"/>
      <c r="C100" s="74" t="s">
        <v>1010</v>
      </c>
      <c r="D100" s="49"/>
      <c r="E100" s="29"/>
      <c r="F100" s="29"/>
      <c r="G100" s="29"/>
      <c r="H100" s="29"/>
      <c r="I100" s="29"/>
      <c r="J100" s="29"/>
      <c r="K100" s="754">
        <f>VLOOKUP('Part 1'!$L$16,Datasheet4!$B$6:$DH$333,X100,FALSE)</f>
        <v>6361554</v>
      </c>
      <c r="L100" s="755"/>
      <c r="M100" s="2"/>
      <c r="N100" s="2"/>
      <c r="O100" s="756">
        <f>VLOOKUP('Part 1'!$L$16,Datasheet4!$B$6:$DH$333,Y100,FALSE)</f>
        <v>0</v>
      </c>
      <c r="P100" s="757"/>
      <c r="Q100" s="2"/>
      <c r="R100" s="2"/>
      <c r="S100" s="754">
        <f>VLOOKUP('Part 1'!$L$16,Datasheet4!$B$6:$DH$333,Z100,FALSE)</f>
        <v>0</v>
      </c>
      <c r="T100" s="755"/>
      <c r="U100" s="2"/>
      <c r="V100" s="605"/>
      <c r="X100" s="212">
        <v>84</v>
      </c>
      <c r="Y100" s="212">
        <v>85</v>
      </c>
      <c r="Z100" s="212">
        <v>86</v>
      </c>
    </row>
    <row r="101" spans="1:26" ht="16.5" thickBot="1" x14ac:dyDescent="0.25">
      <c r="A101" s="14"/>
      <c r="B101" s="2"/>
      <c r="C101" s="49"/>
      <c r="D101" s="49"/>
      <c r="E101" s="29"/>
      <c r="F101" s="29"/>
      <c r="G101" s="29"/>
      <c r="H101" s="29"/>
      <c r="I101" s="29"/>
      <c r="J101" s="29"/>
      <c r="K101" s="55"/>
      <c r="L101" s="54"/>
      <c r="M101" s="29"/>
      <c r="N101" s="29"/>
      <c r="O101" s="55"/>
      <c r="P101" s="54"/>
      <c r="Q101" s="29"/>
      <c r="R101" s="29"/>
      <c r="S101" s="55"/>
      <c r="T101" s="54"/>
      <c r="U101" s="2"/>
      <c r="V101" s="605"/>
    </row>
    <row r="102" spans="1:26" ht="16.5" thickBot="1" x14ac:dyDescent="0.25">
      <c r="A102" s="14"/>
      <c r="B102" s="2"/>
      <c r="C102" s="74" t="s">
        <v>1011</v>
      </c>
      <c r="D102" s="74"/>
      <c r="E102" s="74"/>
      <c r="F102" s="74"/>
      <c r="G102" s="74"/>
      <c r="H102" s="29"/>
      <c r="I102" s="29"/>
      <c r="J102" s="29"/>
      <c r="K102" s="752">
        <f>VLOOKUP('Part 1'!$L$16,Datasheet4!$B$6:$DH$333,X102,FALSE)</f>
        <v>-3090452</v>
      </c>
      <c r="L102" s="753"/>
      <c r="M102" s="29"/>
      <c r="N102" s="29"/>
      <c r="O102" s="752">
        <f>VLOOKUP('Part 1'!$L$16,Datasheet4!$B$6:$DH$333,Y102,FALSE)</f>
        <v>262831</v>
      </c>
      <c r="P102" s="753"/>
      <c r="Q102" s="29"/>
      <c r="R102" s="29"/>
      <c r="S102" s="752">
        <f>VLOOKUP('Part 1'!$L$16,Datasheet4!$B$6:$DH$333,Z102,FALSE)</f>
        <v>54002</v>
      </c>
      <c r="T102" s="753"/>
      <c r="U102" s="2"/>
      <c r="V102" s="605"/>
      <c r="X102" s="212">
        <v>87</v>
      </c>
      <c r="Y102" s="212">
        <v>88</v>
      </c>
      <c r="Z102" s="212">
        <v>89</v>
      </c>
    </row>
    <row r="103" spans="1:26" ht="18" customHeight="1" x14ac:dyDescent="0.2">
      <c r="A103" s="14"/>
      <c r="B103" s="2"/>
      <c r="C103" s="74"/>
      <c r="D103" s="49"/>
      <c r="E103" s="29"/>
      <c r="F103" s="29"/>
      <c r="G103" s="29"/>
      <c r="H103" s="29"/>
      <c r="I103" s="29"/>
      <c r="J103" s="29"/>
      <c r="K103" s="29"/>
      <c r="L103" s="29"/>
      <c r="M103" s="29"/>
      <c r="N103" s="29"/>
      <c r="O103" s="404"/>
      <c r="P103" s="404"/>
      <c r="Q103" s="29"/>
      <c r="R103" s="29"/>
      <c r="S103" s="29"/>
      <c r="T103" s="29"/>
      <c r="U103" s="2"/>
      <c r="V103" s="605"/>
    </row>
    <row r="104" spans="1:26" ht="18" customHeight="1" thickBot="1" x14ac:dyDescent="0.3">
      <c r="A104" s="14"/>
      <c r="B104" s="2"/>
      <c r="C104" s="178" t="s">
        <v>1003</v>
      </c>
      <c r="D104" s="49"/>
      <c r="E104" s="29"/>
      <c r="F104" s="29"/>
      <c r="G104" s="29"/>
      <c r="H104" s="29"/>
      <c r="I104" s="29"/>
      <c r="J104" s="29"/>
      <c r="K104" s="29"/>
      <c r="L104" s="29"/>
      <c r="M104" s="29"/>
      <c r="N104" s="29"/>
      <c r="O104" s="404"/>
      <c r="P104" s="404"/>
      <c r="Q104" s="29"/>
      <c r="R104" s="29"/>
      <c r="S104" s="29"/>
      <c r="T104" s="29"/>
      <c r="U104" s="2"/>
      <c r="V104" s="605"/>
    </row>
    <row r="105" spans="1:26" ht="18" customHeight="1" thickBot="1" x14ac:dyDescent="0.25">
      <c r="A105" s="14"/>
      <c r="B105" s="2"/>
      <c r="C105" s="658" t="s">
        <v>1019</v>
      </c>
      <c r="D105" s="751"/>
      <c r="E105" s="751"/>
      <c r="F105" s="751"/>
      <c r="G105" s="751"/>
      <c r="H105" s="29"/>
      <c r="I105" s="29"/>
      <c r="J105" s="29"/>
      <c r="K105" s="758">
        <f>VLOOKUP('Part 1'!$L$16,Datasheet4!$B$6:$DH$333,X105,FALSE)</f>
        <v>1867372.3571083336</v>
      </c>
      <c r="L105" s="760"/>
      <c r="M105" s="2"/>
      <c r="N105" s="2"/>
      <c r="O105" s="758">
        <f>VLOOKUP('Part 1'!$L$16,Datasheet4!$B$6:$DH$333,Y105,FALSE)</f>
        <v>372465.68014166638</v>
      </c>
      <c r="P105" s="759"/>
      <c r="Q105" s="2"/>
      <c r="R105" s="2"/>
      <c r="S105" s="758">
        <f>VLOOKUP('Part 1'!$L$16,Datasheet4!$B$6:$DH$333,Z105,FALSE)</f>
        <v>27307.530708333346</v>
      </c>
      <c r="T105" s="759"/>
      <c r="U105" s="2"/>
      <c r="V105" s="605"/>
      <c r="X105" s="212">
        <v>90</v>
      </c>
      <c r="Y105" s="212">
        <v>91</v>
      </c>
      <c r="Z105" s="212">
        <v>92</v>
      </c>
    </row>
    <row r="106" spans="1:26" ht="18" customHeight="1" thickBot="1" x14ac:dyDescent="0.25">
      <c r="A106" s="14"/>
      <c r="B106" s="2"/>
      <c r="C106" s="751"/>
      <c r="D106" s="751"/>
      <c r="E106" s="751"/>
      <c r="F106" s="751"/>
      <c r="G106" s="751"/>
      <c r="H106" s="29"/>
      <c r="I106" s="29"/>
      <c r="J106" s="29"/>
      <c r="K106" s="18"/>
      <c r="L106" s="18"/>
      <c r="M106" s="29"/>
      <c r="N106" s="29"/>
      <c r="O106" s="404"/>
      <c r="P106" s="404"/>
      <c r="Q106" s="29"/>
      <c r="R106" s="29"/>
      <c r="S106" s="18"/>
      <c r="T106" s="18"/>
      <c r="U106" s="2"/>
      <c r="V106" s="605"/>
    </row>
    <row r="107" spans="1:26" ht="18" customHeight="1" thickBot="1" x14ac:dyDescent="0.25">
      <c r="A107" s="14"/>
      <c r="B107" s="2"/>
      <c r="C107" s="74" t="s">
        <v>1012</v>
      </c>
      <c r="D107" s="74"/>
      <c r="E107" s="457"/>
      <c r="F107" s="457"/>
      <c r="G107" s="457"/>
      <c r="H107" s="29"/>
      <c r="I107" s="29"/>
      <c r="J107" s="29"/>
      <c r="K107" s="761">
        <f>VLOOKUP('Part 1'!$L$16,Datasheet4!$B$6:$DH$333,X107,FALSE)</f>
        <v>0</v>
      </c>
      <c r="L107" s="762"/>
      <c r="M107" s="2"/>
      <c r="N107" s="2"/>
      <c r="O107" s="756">
        <f>VLOOKUP('Part 1'!$L$16,Datasheet4!$B$6:$DH$333,Y107,FALSE)</f>
        <v>0</v>
      </c>
      <c r="P107" s="757"/>
      <c r="Q107" s="2"/>
      <c r="R107" s="2"/>
      <c r="S107" s="754">
        <f>VLOOKUP('Part 1'!$L$16,Datasheet4!$B$6:$DH$333,Z107,FALSE)</f>
        <v>0</v>
      </c>
      <c r="T107" s="755"/>
      <c r="U107" s="2"/>
      <c r="V107" s="605"/>
      <c r="X107" s="212">
        <v>93</v>
      </c>
      <c r="Y107" s="212">
        <v>94</v>
      </c>
      <c r="Z107" s="212">
        <v>95</v>
      </c>
    </row>
    <row r="108" spans="1:26" ht="18" customHeight="1" thickBot="1" x14ac:dyDescent="0.25">
      <c r="A108" s="14"/>
      <c r="B108" s="2"/>
      <c r="C108" s="74"/>
      <c r="D108" s="74"/>
      <c r="E108" s="457"/>
      <c r="F108" s="457"/>
      <c r="G108" s="457"/>
      <c r="H108" s="29"/>
      <c r="I108" s="29"/>
      <c r="J108" s="29"/>
      <c r="K108" s="55"/>
      <c r="L108" s="54"/>
      <c r="M108" s="29"/>
      <c r="N108" s="29"/>
      <c r="O108" s="55"/>
      <c r="P108" s="54"/>
      <c r="Q108" s="29"/>
      <c r="R108" s="29"/>
      <c r="S108" s="55"/>
      <c r="T108" s="54"/>
      <c r="U108" s="2"/>
      <c r="V108" s="605"/>
    </row>
    <row r="109" spans="1:26" ht="18" customHeight="1" thickBot="1" x14ac:dyDescent="0.25">
      <c r="A109" s="14"/>
      <c r="B109" s="2"/>
      <c r="C109" s="74" t="s">
        <v>1013</v>
      </c>
      <c r="D109" s="74"/>
      <c r="E109" s="457"/>
      <c r="F109" s="457"/>
      <c r="G109" s="457"/>
      <c r="H109" s="29"/>
      <c r="I109" s="29"/>
      <c r="J109" s="29"/>
      <c r="K109" s="752">
        <f>VLOOKUP('Part 1'!$L$16,Datasheet4!$B$6:$DH$333,X109,FALSE)</f>
        <v>1867368</v>
      </c>
      <c r="L109" s="753"/>
      <c r="M109" s="29"/>
      <c r="N109" s="29"/>
      <c r="O109" s="752">
        <f>VLOOKUP('Part 1'!$L$16,Datasheet4!$B$6:$DH$333,Y109,FALSE)</f>
        <v>372470</v>
      </c>
      <c r="P109" s="753"/>
      <c r="Q109" s="29"/>
      <c r="R109" s="29"/>
      <c r="S109" s="752">
        <f>VLOOKUP('Part 1'!$L$16,Datasheet4!$B$6:$DH$333,Z109,FALSE)</f>
        <v>27316</v>
      </c>
      <c r="T109" s="753"/>
      <c r="U109" s="2"/>
      <c r="V109" s="605"/>
      <c r="X109" s="212">
        <v>96</v>
      </c>
      <c r="Y109" s="212">
        <v>97</v>
      </c>
      <c r="Z109" s="212">
        <v>98</v>
      </c>
    </row>
    <row r="110" spans="1:26" ht="18" customHeight="1" x14ac:dyDescent="0.2">
      <c r="A110" s="14"/>
      <c r="B110" s="2"/>
      <c r="C110" s="74"/>
      <c r="D110" s="49"/>
      <c r="E110" s="29"/>
      <c r="F110" s="29"/>
      <c r="G110" s="29"/>
      <c r="H110" s="29"/>
      <c r="I110" s="29"/>
      <c r="J110" s="29"/>
      <c r="K110" s="29"/>
      <c r="L110" s="29"/>
      <c r="M110" s="29"/>
      <c r="N110" s="29"/>
      <c r="O110" s="29"/>
      <c r="P110" s="29"/>
      <c r="Q110" s="29"/>
      <c r="R110" s="29"/>
      <c r="S110" s="29"/>
      <c r="T110" s="29"/>
      <c r="U110" s="2"/>
      <c r="V110" s="605"/>
    </row>
    <row r="111" spans="1:26" ht="18" customHeight="1" thickBot="1" x14ac:dyDescent="0.3">
      <c r="A111" s="14"/>
      <c r="B111" s="2"/>
      <c r="C111" s="178" t="s">
        <v>1017</v>
      </c>
      <c r="D111" s="49"/>
      <c r="E111" s="29"/>
      <c r="F111" s="29"/>
      <c r="G111" s="29"/>
      <c r="H111" s="29"/>
      <c r="I111" s="29"/>
      <c r="J111" s="29"/>
      <c r="K111" s="29"/>
      <c r="L111" s="29"/>
      <c r="M111" s="29"/>
      <c r="N111" s="29"/>
      <c r="O111" s="404"/>
      <c r="P111" s="404"/>
      <c r="Q111" s="29"/>
      <c r="R111" s="29"/>
      <c r="S111" s="29"/>
      <c r="T111" s="29"/>
      <c r="U111" s="2"/>
      <c r="V111" s="605"/>
    </row>
    <row r="112" spans="1:26" ht="18" customHeight="1" thickBot="1" x14ac:dyDescent="0.25">
      <c r="A112" s="14"/>
      <c r="B112" s="2"/>
      <c r="C112" s="74" t="s">
        <v>1014</v>
      </c>
      <c r="D112" s="49"/>
      <c r="E112" s="29"/>
      <c r="F112" s="29"/>
      <c r="G112" s="29"/>
      <c r="H112" s="29"/>
      <c r="I112" s="29"/>
      <c r="J112" s="29"/>
      <c r="K112" s="752">
        <f>VLOOKUP('Part 1'!$L$16,Datasheet4!$B$6:$DH$333,X112,FALSE)</f>
        <v>133038422.16380475</v>
      </c>
      <c r="L112" s="753"/>
      <c r="M112" s="29"/>
      <c r="N112" s="29"/>
      <c r="O112" s="752">
        <f>VLOOKUP('Part 1'!$L$16,Datasheet4!$B$6:$DH$333,Y112,FALSE)</f>
        <v>29365420.467546042</v>
      </c>
      <c r="P112" s="753"/>
      <c r="Q112" s="29"/>
      <c r="R112" s="29"/>
      <c r="S112" s="752">
        <f>VLOOKUP('Part 1'!$L$16,Datasheet4!$B$6:$DH$333,Z112,FALSE)</f>
        <v>1806333.3337116663</v>
      </c>
      <c r="T112" s="753"/>
      <c r="U112" s="2"/>
      <c r="V112" s="605"/>
      <c r="X112" s="212">
        <v>99</v>
      </c>
      <c r="Y112" s="212">
        <v>100</v>
      </c>
      <c r="Z112" s="212">
        <v>101</v>
      </c>
    </row>
    <row r="113" spans="1:26" ht="18" customHeight="1" thickBot="1" x14ac:dyDescent="0.25">
      <c r="A113" s="14"/>
      <c r="B113" s="2"/>
      <c r="C113" s="49"/>
      <c r="D113" s="49"/>
      <c r="E113" s="29"/>
      <c r="F113" s="29"/>
      <c r="G113" s="29"/>
      <c r="H113" s="29"/>
      <c r="I113" s="29"/>
      <c r="J113" s="29"/>
      <c r="K113" s="18"/>
      <c r="L113" s="18"/>
      <c r="M113" s="29"/>
      <c r="N113" s="29"/>
      <c r="O113" s="404"/>
      <c r="P113" s="404"/>
      <c r="Q113" s="29"/>
      <c r="R113" s="29"/>
      <c r="S113" s="18"/>
      <c r="T113" s="18"/>
      <c r="U113" s="2"/>
      <c r="V113" s="605"/>
    </row>
    <row r="114" spans="1:26" ht="18" customHeight="1" thickBot="1" x14ac:dyDescent="0.25">
      <c r="A114" s="14"/>
      <c r="B114" s="2"/>
      <c r="C114" s="74" t="s">
        <v>1015</v>
      </c>
      <c r="D114" s="49"/>
      <c r="E114" s="29"/>
      <c r="F114" s="29"/>
      <c r="G114" s="29"/>
      <c r="H114" s="29"/>
      <c r="I114" s="29"/>
      <c r="J114" s="29"/>
      <c r="K114" s="754">
        <f>VLOOKUP('Part 1'!$L$16,Datasheet4!$B$6:$DH$333,X114,FALSE)</f>
        <v>137343228</v>
      </c>
      <c r="L114" s="755"/>
      <c r="M114" s="2"/>
      <c r="N114" s="2"/>
      <c r="O114" s="756">
        <f>VLOOKUP('Part 1'!$L$16,Datasheet4!$B$6:$DH$333,Y114,FALSE)</f>
        <v>30258775</v>
      </c>
      <c r="P114" s="757"/>
      <c r="Q114" s="2"/>
      <c r="R114" s="2"/>
      <c r="S114" s="754">
        <f>VLOOKUP('Part 1'!$L$16,Datasheet4!$B$6:$DH$333,Z114,FALSE)</f>
        <v>1869898</v>
      </c>
      <c r="T114" s="755"/>
      <c r="U114" s="2"/>
      <c r="V114" s="605"/>
      <c r="X114" s="212">
        <v>102</v>
      </c>
      <c r="Y114" s="212">
        <v>103</v>
      </c>
      <c r="Z114" s="212">
        <v>104</v>
      </c>
    </row>
    <row r="115" spans="1:26" ht="18" customHeight="1" thickBot="1" x14ac:dyDescent="0.25">
      <c r="A115" s="14"/>
      <c r="B115" s="2"/>
      <c r="C115" s="49"/>
      <c r="D115" s="49"/>
      <c r="E115" s="29"/>
      <c r="F115" s="29"/>
      <c r="G115" s="29"/>
      <c r="H115" s="29"/>
      <c r="I115" s="29"/>
      <c r="J115" s="29"/>
      <c r="K115" s="55"/>
      <c r="L115" s="54"/>
      <c r="M115" s="29"/>
      <c r="N115" s="29"/>
      <c r="O115" s="55"/>
      <c r="P115" s="54"/>
      <c r="Q115" s="29"/>
      <c r="R115" s="29"/>
      <c r="S115" s="55"/>
      <c r="T115" s="54"/>
      <c r="U115" s="2"/>
      <c r="V115" s="605"/>
    </row>
    <row r="116" spans="1:26" ht="18" customHeight="1" thickBot="1" x14ac:dyDescent="0.25">
      <c r="A116" s="14"/>
      <c r="B116" s="2"/>
      <c r="C116" s="74" t="s">
        <v>1016</v>
      </c>
      <c r="D116" s="49"/>
      <c r="E116" s="29"/>
      <c r="F116" s="29"/>
      <c r="G116" s="29"/>
      <c r="H116" s="29"/>
      <c r="I116" s="29"/>
      <c r="J116" s="29"/>
      <c r="K116" s="752">
        <f>VLOOKUP('Part 1'!$L$16,Datasheet4!$B$6:$DH$333,X116,FALSE)</f>
        <v>-4304804</v>
      </c>
      <c r="L116" s="753"/>
      <c r="M116" s="29"/>
      <c r="N116" s="29"/>
      <c r="O116" s="752">
        <f>VLOOKUP('Part 1'!$L$16,Datasheet4!$B$6:$DH$333,Y116,FALSE)</f>
        <v>-893351</v>
      </c>
      <c r="P116" s="753"/>
      <c r="Q116" s="29"/>
      <c r="R116" s="29"/>
      <c r="S116" s="752">
        <f>VLOOKUP('Part 1'!$L$16,Datasheet4!$B$6:$DH$333,Z116,FALSE)</f>
        <v>-63561</v>
      </c>
      <c r="T116" s="753"/>
      <c r="U116" s="2"/>
      <c r="V116" s="605"/>
      <c r="X116" s="212">
        <v>105</v>
      </c>
      <c r="Y116" s="212">
        <v>106</v>
      </c>
      <c r="Z116" s="212">
        <v>107</v>
      </c>
    </row>
    <row r="117" spans="1:26" ht="18" customHeight="1" x14ac:dyDescent="0.2">
      <c r="A117" s="14"/>
      <c r="B117" s="2"/>
      <c r="C117" s="74"/>
      <c r="D117" s="49"/>
      <c r="E117" s="29"/>
      <c r="F117" s="29"/>
      <c r="G117" s="29"/>
      <c r="H117" s="29"/>
      <c r="I117" s="29"/>
      <c r="J117" s="29"/>
      <c r="K117" s="29"/>
      <c r="L117" s="29"/>
      <c r="M117" s="29"/>
      <c r="N117" s="29"/>
      <c r="O117" s="29"/>
      <c r="P117" s="29"/>
      <c r="Q117" s="29"/>
      <c r="R117" s="29"/>
      <c r="S117" s="29"/>
      <c r="T117" s="29"/>
      <c r="U117" s="2"/>
      <c r="V117" s="605"/>
    </row>
    <row r="118" spans="1:26" ht="15.75" thickBot="1" x14ac:dyDescent="0.25">
      <c r="A118" s="15"/>
      <c r="B118" s="16"/>
      <c r="C118" s="128"/>
      <c r="D118" s="128"/>
      <c r="E118" s="16"/>
      <c r="F118" s="16"/>
      <c r="G118" s="128"/>
      <c r="H118" s="128"/>
      <c r="I118" s="16"/>
      <c r="J118" s="16"/>
      <c r="K118" s="128"/>
      <c r="L118" s="128"/>
      <c r="M118" s="16"/>
      <c r="N118" s="16"/>
      <c r="O118" s="128"/>
      <c r="P118" s="128"/>
      <c r="Q118" s="16"/>
      <c r="R118" s="16"/>
      <c r="S118" s="128"/>
      <c r="T118" s="128"/>
      <c r="U118" s="16"/>
      <c r="V118" s="606"/>
    </row>
  </sheetData>
  <mergeCells count="156">
    <mergeCell ref="N12:Q12"/>
    <mergeCell ref="S12:T12"/>
    <mergeCell ref="N26:Q26"/>
    <mergeCell ref="R26:U26"/>
    <mergeCell ref="J26:M26"/>
    <mergeCell ref="F24:I25"/>
    <mergeCell ref="F26:I26"/>
    <mergeCell ref="O51:P51"/>
    <mergeCell ref="O57:P57"/>
    <mergeCell ref="G32:H32"/>
    <mergeCell ref="G27:H27"/>
    <mergeCell ref="K27:L27"/>
    <mergeCell ref="O27:P27"/>
    <mergeCell ref="S27:T27"/>
    <mergeCell ref="S16:T16"/>
    <mergeCell ref="K19:L19"/>
    <mergeCell ref="O19:P19"/>
    <mergeCell ref="S19:T19"/>
    <mergeCell ref="S23:T23"/>
    <mergeCell ref="K47:L47"/>
    <mergeCell ref="K49:L49"/>
    <mergeCell ref="K35:L35"/>
    <mergeCell ref="K37:L37"/>
    <mergeCell ref="G29:H29"/>
    <mergeCell ref="K13:L13"/>
    <mergeCell ref="O13:P13"/>
    <mergeCell ref="S67:T67"/>
    <mergeCell ref="S63:T63"/>
    <mergeCell ref="K63:L63"/>
    <mergeCell ref="S57:T57"/>
    <mergeCell ref="K51:L51"/>
    <mergeCell ref="O59:P59"/>
    <mergeCell ref="S59:T59"/>
    <mergeCell ref="K54:L54"/>
    <mergeCell ref="K57:L57"/>
    <mergeCell ref="K59:L59"/>
    <mergeCell ref="S54:T54"/>
    <mergeCell ref="K67:L67"/>
    <mergeCell ref="O67:P67"/>
    <mergeCell ref="C91:H92"/>
    <mergeCell ref="O84:P84"/>
    <mergeCell ref="K79:L79"/>
    <mergeCell ref="K81:L81"/>
    <mergeCell ref="K42:L42"/>
    <mergeCell ref="C98:H99"/>
    <mergeCell ref="G23:H23"/>
    <mergeCell ref="K23:L23"/>
    <mergeCell ref="O23:P23"/>
    <mergeCell ref="C54:E55"/>
    <mergeCell ref="O72:P72"/>
    <mergeCell ref="O74:P74"/>
    <mergeCell ref="O77:P77"/>
    <mergeCell ref="O79:P79"/>
    <mergeCell ref="O81:P81"/>
    <mergeCell ref="K84:L84"/>
    <mergeCell ref="K32:L32"/>
    <mergeCell ref="G54:H54"/>
    <mergeCell ref="G57:H57"/>
    <mergeCell ref="G59:H59"/>
    <mergeCell ref="C70:H71"/>
    <mergeCell ref="C77:H78"/>
    <mergeCell ref="C84:H85"/>
    <mergeCell ref="K70:L70"/>
    <mergeCell ref="A2:V2"/>
    <mergeCell ref="A3:V3"/>
    <mergeCell ref="C7:I7"/>
    <mergeCell ref="S65:T65"/>
    <mergeCell ref="K65:L65"/>
    <mergeCell ref="K14:L14"/>
    <mergeCell ref="K16:L16"/>
    <mergeCell ref="O16:P16"/>
    <mergeCell ref="K33:L33"/>
    <mergeCell ref="O14:P14"/>
    <mergeCell ref="K40:L40"/>
    <mergeCell ref="S14:T14"/>
    <mergeCell ref="K44:L44"/>
    <mergeCell ref="S29:T29"/>
    <mergeCell ref="A29:F30"/>
    <mergeCell ref="K29:L29"/>
    <mergeCell ref="O63:P63"/>
    <mergeCell ref="O65:P65"/>
    <mergeCell ref="S10:T11"/>
    <mergeCell ref="O32:P32"/>
    <mergeCell ref="S32:T32"/>
    <mergeCell ref="N24:Q25"/>
    <mergeCell ref="J24:M25"/>
    <mergeCell ref="A4:V4"/>
    <mergeCell ref="A5:V5"/>
    <mergeCell ref="O9:P9"/>
    <mergeCell ref="S9:T9"/>
    <mergeCell ref="K9:L9"/>
    <mergeCell ref="N10:Q11"/>
    <mergeCell ref="J10:M11"/>
    <mergeCell ref="O29:P29"/>
    <mergeCell ref="O70:P70"/>
    <mergeCell ref="S86:T86"/>
    <mergeCell ref="K72:L72"/>
    <mergeCell ref="K74:L74"/>
    <mergeCell ref="S70:T70"/>
    <mergeCell ref="S72:T72"/>
    <mergeCell ref="S74:T74"/>
    <mergeCell ref="K77:L77"/>
    <mergeCell ref="S77:T77"/>
    <mergeCell ref="S13:T13"/>
    <mergeCell ref="K12:L12"/>
    <mergeCell ref="R24:U25"/>
    <mergeCell ref="O54:P54"/>
    <mergeCell ref="O47:P47"/>
    <mergeCell ref="O49:P49"/>
    <mergeCell ref="C14:H14"/>
    <mergeCell ref="C16:H17"/>
    <mergeCell ref="S88:T88"/>
    <mergeCell ref="K91:L91"/>
    <mergeCell ref="K93:L93"/>
    <mergeCell ref="K95:L95"/>
    <mergeCell ref="O91:P91"/>
    <mergeCell ref="O93:P93"/>
    <mergeCell ref="O95:P95"/>
    <mergeCell ref="S79:T79"/>
    <mergeCell ref="S81:T81"/>
    <mergeCell ref="S84:T84"/>
    <mergeCell ref="O86:P86"/>
    <mergeCell ref="O88:P88"/>
    <mergeCell ref="K86:L86"/>
    <mergeCell ref="K88:L88"/>
    <mergeCell ref="S91:T91"/>
    <mergeCell ref="S93:T93"/>
    <mergeCell ref="S95:T95"/>
    <mergeCell ref="K100:L100"/>
    <mergeCell ref="K102:L102"/>
    <mergeCell ref="S100:T100"/>
    <mergeCell ref="S102:T102"/>
    <mergeCell ref="S98:T98"/>
    <mergeCell ref="O107:P107"/>
    <mergeCell ref="O102:P102"/>
    <mergeCell ref="O105:P105"/>
    <mergeCell ref="O100:P100"/>
    <mergeCell ref="O98:P98"/>
    <mergeCell ref="K98:L98"/>
    <mergeCell ref="C105:G106"/>
    <mergeCell ref="K112:L112"/>
    <mergeCell ref="O112:P112"/>
    <mergeCell ref="S112:T112"/>
    <mergeCell ref="K114:L114"/>
    <mergeCell ref="O114:P114"/>
    <mergeCell ref="S114:T114"/>
    <mergeCell ref="K116:L116"/>
    <mergeCell ref="O116:P116"/>
    <mergeCell ref="S116:T116"/>
    <mergeCell ref="S105:T105"/>
    <mergeCell ref="S107:T107"/>
    <mergeCell ref="S109:T109"/>
    <mergeCell ref="K105:L105"/>
    <mergeCell ref="K107:L107"/>
    <mergeCell ref="K109:L109"/>
    <mergeCell ref="O109:P109"/>
  </mergeCells>
  <phoneticPr fontId="5" type="noConversion"/>
  <printOptions horizontalCentered="1"/>
  <pageMargins left="0.59055118110236227" right="0.59055118110236227" top="0.59055118110236227" bottom="0.59055118110236227" header="0.51181102362204722" footer="0.51181102362204722"/>
  <pageSetup paperSize="9" scale="58" fitToHeight="0" orientation="portrait" r:id="rId1"/>
  <headerFooter alignWithMargins="0"/>
  <rowBreaks count="1" manualBreakCount="1">
    <brk id="68"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87"/>
  <sheetViews>
    <sheetView showGridLines="0" view="pageBreakPreview" zoomScale="70" zoomScaleNormal="80" zoomScaleSheetLayoutView="70" workbookViewId="0">
      <selection activeCell="K17" sqref="K17:L17"/>
    </sheetView>
  </sheetViews>
  <sheetFormatPr defaultColWidth="9.140625" defaultRowHeight="15" x14ac:dyDescent="0.2"/>
  <cols>
    <col min="1" max="2" width="1.7109375" style="5" customWidth="1"/>
    <col min="3" max="3" width="5.5703125" style="5" customWidth="1"/>
    <col min="4" max="6" width="9.140625" style="5"/>
    <col min="7" max="7" width="10.7109375" style="5" bestFit="1" customWidth="1"/>
    <col min="8" max="8" width="9.140625" style="5"/>
    <col min="9" max="9" width="13" style="5" bestFit="1" customWidth="1"/>
    <col min="10" max="10" width="3.7109375" style="5" customWidth="1"/>
    <col min="11" max="11" width="9.28515625" style="5" customWidth="1"/>
    <col min="12" max="12" width="9.7109375" style="5" customWidth="1"/>
    <col min="13" max="14" width="2.7109375" style="5" customWidth="1"/>
    <col min="15" max="16" width="9.140625" style="5"/>
    <col min="17" max="18" width="2.7109375" style="5" customWidth="1"/>
    <col min="19" max="19" width="11" style="5" customWidth="1"/>
    <col min="20" max="20" width="9.5703125" style="5" customWidth="1"/>
    <col min="21" max="22" width="2.7109375" style="5" customWidth="1"/>
    <col min="23" max="24" width="11.42578125" style="5" customWidth="1"/>
    <col min="25" max="26" width="2.7109375" style="5" customWidth="1"/>
    <col min="27" max="28" width="9.140625" style="5"/>
    <col min="29" max="29" width="1.5703125" style="5" customWidth="1"/>
    <col min="30" max="30" width="1.7109375" style="5" customWidth="1"/>
    <col min="31" max="31" width="4.5703125" style="5" customWidth="1"/>
    <col min="32" max="32" width="10.7109375" style="595" hidden="1" customWidth="1"/>
    <col min="33" max="33" width="9.140625" style="595" hidden="1" customWidth="1"/>
    <col min="34" max="34" width="16.28515625" style="595" hidden="1" customWidth="1"/>
    <col min="35" max="36" width="0" style="595" hidden="1" customWidth="1"/>
    <col min="37" max="16384" width="9.140625" style="5"/>
  </cols>
  <sheetData>
    <row r="1" spans="1:31" x14ac:dyDescent="0.2">
      <c r="A1" s="11"/>
      <c r="B1" s="12"/>
      <c r="C1" s="12"/>
      <c r="D1" s="12"/>
      <c r="E1" s="12"/>
      <c r="F1" s="72">
        <f>+'Part 1'!F1</f>
        <v>327</v>
      </c>
      <c r="G1" s="12"/>
      <c r="H1" s="12"/>
      <c r="I1" s="12"/>
      <c r="J1" s="12"/>
      <c r="K1" s="12"/>
      <c r="L1" s="12"/>
      <c r="M1" s="12"/>
      <c r="N1" s="12"/>
      <c r="O1" s="12"/>
      <c r="P1" s="12"/>
      <c r="Q1" s="12"/>
      <c r="R1" s="12"/>
      <c r="S1" s="12"/>
      <c r="T1" s="671"/>
      <c r="U1" s="671"/>
      <c r="V1" s="671"/>
      <c r="W1" s="12"/>
      <c r="X1" s="12"/>
      <c r="Y1" s="12"/>
      <c r="Z1" s="12"/>
      <c r="AA1" s="12"/>
      <c r="AB1" s="12"/>
      <c r="AC1" s="12"/>
      <c r="AD1" s="13"/>
      <c r="AE1" s="38"/>
    </row>
    <row r="2" spans="1:31" ht="15.75" x14ac:dyDescent="0.25">
      <c r="A2" s="698" t="s">
        <v>40</v>
      </c>
      <c r="B2" s="673"/>
      <c r="C2" s="673"/>
      <c r="D2" s="673"/>
      <c r="E2" s="673"/>
      <c r="F2" s="673"/>
      <c r="G2" s="673"/>
      <c r="H2" s="673"/>
      <c r="I2" s="673"/>
      <c r="J2" s="673"/>
      <c r="K2" s="673"/>
      <c r="L2" s="673"/>
      <c r="M2" s="673"/>
      <c r="N2" s="673"/>
      <c r="O2" s="673"/>
      <c r="P2" s="673"/>
      <c r="Q2" s="673"/>
      <c r="R2" s="673"/>
      <c r="S2" s="673"/>
      <c r="T2" s="673"/>
      <c r="U2" s="673"/>
      <c r="V2" s="673"/>
      <c r="W2" s="673"/>
      <c r="X2" s="673"/>
      <c r="Y2" s="673"/>
      <c r="Z2" s="673"/>
      <c r="AA2" s="673"/>
      <c r="AB2" s="673"/>
      <c r="AC2" s="673"/>
      <c r="AD2" s="674"/>
      <c r="AE2" s="586"/>
    </row>
    <row r="3" spans="1:31" ht="15.75" x14ac:dyDescent="0.25">
      <c r="A3" s="672" t="s">
        <v>982</v>
      </c>
      <c r="B3" s="673"/>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4"/>
      <c r="AE3" s="586"/>
    </row>
    <row r="4" spans="1:31" x14ac:dyDescent="0.2">
      <c r="A4" s="43"/>
      <c r="B4" s="78"/>
      <c r="C4" s="78"/>
      <c r="D4" s="78"/>
      <c r="E4" s="78"/>
      <c r="F4" s="78"/>
      <c r="G4" s="78"/>
      <c r="H4" s="78"/>
      <c r="I4" s="78"/>
      <c r="J4" s="78"/>
      <c r="K4" s="78"/>
      <c r="L4" s="78"/>
      <c r="M4" s="349"/>
      <c r="N4" s="78"/>
      <c r="O4" s="78"/>
      <c r="P4" s="78"/>
      <c r="Q4" s="349"/>
      <c r="R4" s="78"/>
      <c r="S4" s="78"/>
      <c r="T4" s="78"/>
      <c r="U4" s="349"/>
      <c r="V4" s="78"/>
      <c r="W4" s="78"/>
      <c r="X4" s="78"/>
      <c r="Y4" s="349"/>
      <c r="Z4" s="78"/>
      <c r="AA4" s="78"/>
      <c r="AB4" s="78"/>
      <c r="AC4" s="78"/>
      <c r="AD4" s="79"/>
      <c r="AE4" s="587"/>
    </row>
    <row r="5" spans="1:31" ht="15.75" thickBot="1" x14ac:dyDescent="0.25">
      <c r="A5" s="40"/>
      <c r="B5" s="41"/>
      <c r="C5" s="41"/>
      <c r="D5" s="41"/>
      <c r="E5" s="41"/>
      <c r="F5" s="41"/>
      <c r="G5" s="41"/>
      <c r="H5" s="41"/>
      <c r="I5" s="41"/>
      <c r="J5" s="41"/>
      <c r="K5" s="41"/>
      <c r="L5" s="41"/>
      <c r="M5" s="41"/>
      <c r="N5" s="41"/>
      <c r="O5" s="41"/>
      <c r="P5" s="41"/>
      <c r="Q5" s="41"/>
      <c r="R5" s="41"/>
      <c r="S5" s="41"/>
      <c r="T5" s="41"/>
      <c r="U5" s="41"/>
      <c r="V5" s="41"/>
      <c r="W5" s="41"/>
      <c r="X5" s="41"/>
      <c r="Y5" s="41"/>
      <c r="Z5" s="41"/>
      <c r="AA5" s="69"/>
      <c r="AB5" s="86"/>
      <c r="AC5" s="41"/>
      <c r="AD5" s="42"/>
      <c r="AE5" s="38"/>
    </row>
    <row r="6" spans="1:31" x14ac:dyDescent="0.2">
      <c r="A6" s="7"/>
      <c r="B6" s="6"/>
      <c r="C6" s="6"/>
      <c r="D6" s="6"/>
      <c r="E6" s="6"/>
      <c r="F6" s="6"/>
      <c r="G6" s="6"/>
      <c r="H6" s="6"/>
      <c r="I6" s="6"/>
      <c r="J6" s="6"/>
      <c r="K6" s="6"/>
      <c r="L6" s="6"/>
      <c r="M6" s="6"/>
      <c r="N6" s="6"/>
      <c r="O6" s="6"/>
      <c r="P6" s="6"/>
      <c r="Q6" s="6"/>
      <c r="R6" s="6"/>
      <c r="S6" s="6"/>
      <c r="T6" s="6"/>
      <c r="U6" s="6"/>
      <c r="V6" s="6"/>
      <c r="W6" s="6"/>
      <c r="X6" s="6"/>
      <c r="Y6" s="6"/>
      <c r="Z6" s="6"/>
      <c r="AA6" s="6"/>
      <c r="AB6" s="6"/>
      <c r="AC6" s="6"/>
      <c r="AD6" s="8"/>
      <c r="AE6" s="6"/>
    </row>
    <row r="7" spans="1:31" ht="15.75" x14ac:dyDescent="0.25">
      <c r="A7" s="7"/>
      <c r="B7" s="6"/>
      <c r="C7" s="101" t="str">
        <f>+'Part 2'!C10</f>
        <v>Local Authority : England</v>
      </c>
      <c r="D7" s="6"/>
      <c r="E7" s="6"/>
      <c r="F7" s="6"/>
      <c r="G7" s="6"/>
      <c r="H7" s="6"/>
      <c r="I7" s="6"/>
      <c r="J7" s="6"/>
      <c r="K7" s="64"/>
      <c r="L7" s="64"/>
      <c r="M7" s="64"/>
      <c r="N7" s="64"/>
      <c r="O7" s="64"/>
      <c r="P7" s="68"/>
      <c r="Q7" s="68"/>
      <c r="R7" s="64"/>
      <c r="S7" s="64"/>
      <c r="T7" s="64"/>
      <c r="U7" s="64"/>
      <c r="V7" s="75"/>
      <c r="W7" s="64"/>
      <c r="X7" s="64"/>
      <c r="Y7" s="64"/>
      <c r="Z7" s="64"/>
      <c r="AA7" s="64"/>
      <c r="AB7" s="64"/>
      <c r="AC7" s="6"/>
      <c r="AD7" s="8"/>
      <c r="AE7" s="6"/>
    </row>
    <row r="8" spans="1:31" x14ac:dyDescent="0.2">
      <c r="A8" s="7"/>
      <c r="B8" s="6"/>
      <c r="C8" s="6"/>
      <c r="D8" s="6"/>
      <c r="E8" s="6"/>
      <c r="F8" s="6"/>
      <c r="G8" s="6"/>
      <c r="H8" s="6"/>
      <c r="I8" s="6"/>
      <c r="J8" s="6"/>
      <c r="K8" s="64"/>
      <c r="L8" s="64"/>
      <c r="M8" s="64"/>
      <c r="N8" s="64"/>
      <c r="O8" s="64"/>
      <c r="P8" s="64"/>
      <c r="Q8" s="64"/>
      <c r="R8" s="64"/>
      <c r="S8" s="64"/>
      <c r="T8" s="64"/>
      <c r="U8" s="64"/>
      <c r="V8" s="64"/>
      <c r="W8" s="64"/>
      <c r="X8" s="64"/>
      <c r="Y8" s="64"/>
      <c r="Z8" s="64"/>
      <c r="AA8" s="64"/>
      <c r="AB8" s="64"/>
      <c r="AC8" s="6"/>
      <c r="AD8" s="8"/>
      <c r="AE8" s="6"/>
    </row>
    <row r="9" spans="1:31" ht="15.75" x14ac:dyDescent="0.25">
      <c r="A9" s="7"/>
      <c r="B9" s="6"/>
      <c r="C9" s="745" t="s">
        <v>46</v>
      </c>
      <c r="D9" s="745"/>
      <c r="E9" s="745"/>
      <c r="F9" s="745"/>
      <c r="G9" s="745"/>
      <c r="H9" s="745"/>
      <c r="I9" s="6"/>
      <c r="J9" s="6"/>
      <c r="K9" s="64"/>
      <c r="L9" s="64"/>
      <c r="M9" s="64"/>
      <c r="N9" s="64"/>
      <c r="O9" s="64"/>
      <c r="P9" s="64"/>
      <c r="Q9" s="64"/>
      <c r="R9" s="64"/>
      <c r="S9" s="64"/>
      <c r="T9" s="64"/>
      <c r="U9" s="64"/>
      <c r="V9" s="64"/>
      <c r="W9" s="64"/>
      <c r="X9" s="64"/>
      <c r="Y9" s="64"/>
      <c r="Z9" s="64"/>
      <c r="AA9" s="64"/>
      <c r="AB9" s="64"/>
      <c r="AC9" s="6"/>
      <c r="AD9" s="8"/>
      <c r="AE9" s="6"/>
    </row>
    <row r="10" spans="1:31" x14ac:dyDescent="0.2">
      <c r="A10" s="7"/>
      <c r="B10" s="6"/>
      <c r="C10" s="789" t="s">
        <v>4</v>
      </c>
      <c r="D10" s="790"/>
      <c r="E10" s="790"/>
      <c r="F10" s="790"/>
      <c r="G10" s="790"/>
      <c r="H10" s="790"/>
      <c r="I10" s="790"/>
      <c r="J10" s="790"/>
      <c r="K10" s="790"/>
      <c r="L10" s="790"/>
      <c r="M10" s="790"/>
      <c r="N10" s="790"/>
      <c r="O10" s="790"/>
      <c r="P10" s="790"/>
      <c r="Q10" s="790"/>
      <c r="R10" s="790"/>
      <c r="S10" s="790"/>
      <c r="T10" s="790"/>
      <c r="U10" s="790"/>
      <c r="V10" s="790"/>
      <c r="W10" s="790"/>
      <c r="X10" s="790"/>
      <c r="Y10" s="790"/>
      <c r="Z10" s="790"/>
      <c r="AA10" s="790"/>
      <c r="AB10" s="64"/>
      <c r="AC10" s="6"/>
      <c r="AD10" s="8"/>
      <c r="AE10" s="6"/>
    </row>
    <row r="11" spans="1:31" x14ac:dyDescent="0.2">
      <c r="A11" s="7"/>
      <c r="B11" s="6"/>
      <c r="C11" s="790"/>
      <c r="D11" s="790"/>
      <c r="E11" s="790"/>
      <c r="F11" s="790"/>
      <c r="G11" s="790"/>
      <c r="H11" s="790"/>
      <c r="I11" s="790"/>
      <c r="J11" s="790"/>
      <c r="K11" s="790"/>
      <c r="L11" s="790"/>
      <c r="M11" s="790"/>
      <c r="N11" s="790"/>
      <c r="O11" s="790"/>
      <c r="P11" s="790"/>
      <c r="Q11" s="790"/>
      <c r="R11" s="790"/>
      <c r="S11" s="790"/>
      <c r="T11" s="790"/>
      <c r="U11" s="790"/>
      <c r="V11" s="790"/>
      <c r="W11" s="790"/>
      <c r="X11" s="790"/>
      <c r="Y11" s="790"/>
      <c r="Z11" s="790"/>
      <c r="AA11" s="790"/>
      <c r="AB11" s="64"/>
      <c r="AC11" s="6"/>
      <c r="AD11" s="8"/>
      <c r="AE11" s="6"/>
    </row>
    <row r="12" spans="1:31" x14ac:dyDescent="0.2">
      <c r="A12" s="7"/>
      <c r="B12" s="6"/>
      <c r="C12" s="6"/>
      <c r="D12" s="6"/>
      <c r="E12" s="6"/>
      <c r="F12" s="6"/>
      <c r="G12" s="6"/>
      <c r="H12" s="6"/>
      <c r="I12" s="6"/>
      <c r="J12" s="6"/>
      <c r="K12" s="776" t="s">
        <v>23</v>
      </c>
      <c r="L12" s="776"/>
      <c r="M12" s="351"/>
      <c r="N12" s="64"/>
      <c r="O12" s="776" t="s">
        <v>24</v>
      </c>
      <c r="P12" s="776"/>
      <c r="Q12" s="351"/>
      <c r="R12" s="107"/>
      <c r="S12" s="776" t="s">
        <v>25</v>
      </c>
      <c r="T12" s="776"/>
      <c r="U12" s="351"/>
      <c r="V12" s="107"/>
      <c r="W12" s="776" t="s">
        <v>26</v>
      </c>
      <c r="X12" s="776"/>
      <c r="Y12" s="351"/>
      <c r="Z12" s="107"/>
      <c r="AA12" s="776" t="s">
        <v>5</v>
      </c>
      <c r="AB12" s="776"/>
      <c r="AC12" s="6"/>
      <c r="AD12" s="8"/>
      <c r="AE12" s="6"/>
    </row>
    <row r="13" spans="1:31" ht="15.75" customHeight="1" x14ac:dyDescent="0.25">
      <c r="A13" s="7"/>
      <c r="B13" s="6"/>
      <c r="C13" s="6"/>
      <c r="D13" s="6"/>
      <c r="E13" s="6"/>
      <c r="F13" s="6"/>
      <c r="G13" s="6"/>
      <c r="H13" s="6"/>
      <c r="I13" s="6"/>
      <c r="J13" s="6"/>
      <c r="K13" s="767" t="s">
        <v>1285</v>
      </c>
      <c r="L13" s="790"/>
      <c r="M13" s="429"/>
      <c r="N13" s="424"/>
      <c r="O13" s="767" t="str">
        <f>VLOOKUP('Part 1'!$L$16,Datasheet1!$B$6:$R$332,15,FALSE)</f>
        <v>-</v>
      </c>
      <c r="P13" s="790"/>
      <c r="Q13" s="429"/>
      <c r="R13" s="430"/>
      <c r="S13" s="767" t="str">
        <f>VLOOKUP('Part 1'!$L$16,Datasheet1!$B$6:$R$332,16,FALSE)</f>
        <v>-</v>
      </c>
      <c r="T13" s="790"/>
      <c r="U13" s="429"/>
      <c r="V13" s="430"/>
      <c r="W13" s="767" t="str">
        <f>VLOOKUP('Part 1'!$L$16,Datasheet1!$B$6:$R$332,17,FALSE)</f>
        <v>-</v>
      </c>
      <c r="X13" s="790"/>
      <c r="Y13" s="429"/>
      <c r="Z13" s="424"/>
      <c r="AA13" s="767" t="s">
        <v>7</v>
      </c>
      <c r="AB13" s="767"/>
      <c r="AC13" s="6"/>
      <c r="AD13" s="8"/>
      <c r="AE13" s="6"/>
    </row>
    <row r="14" spans="1:31" ht="15" customHeight="1" x14ac:dyDescent="0.25">
      <c r="A14" s="7"/>
      <c r="B14" s="6"/>
      <c r="C14" s="6"/>
      <c r="D14" s="6"/>
      <c r="E14" s="6"/>
      <c r="F14" s="6"/>
      <c r="G14" s="6"/>
      <c r="H14" s="6"/>
      <c r="I14" s="6"/>
      <c r="J14" s="6"/>
      <c r="K14" s="790" t="e">
        <f>VLOOKUP('Part 1'!$L$16,Datasheet5!$B$6:$DH$332,AF14,FALSE)</f>
        <v>#VALUE!</v>
      </c>
      <c r="L14" s="790"/>
      <c r="M14" s="429"/>
      <c r="N14" s="424"/>
      <c r="O14" s="790"/>
      <c r="P14" s="790"/>
      <c r="Q14" s="429"/>
      <c r="R14" s="430"/>
      <c r="S14" s="790"/>
      <c r="T14" s="790"/>
      <c r="U14" s="429"/>
      <c r="V14" s="430"/>
      <c r="W14" s="790"/>
      <c r="X14" s="790"/>
      <c r="Y14" s="429"/>
      <c r="Z14" s="430"/>
      <c r="AA14" s="430"/>
      <c r="AB14" s="430"/>
      <c r="AC14" s="6"/>
      <c r="AD14" s="8"/>
      <c r="AE14" s="6"/>
    </row>
    <row r="15" spans="1:31" ht="15.75" x14ac:dyDescent="0.2">
      <c r="A15" s="7"/>
      <c r="B15" s="6"/>
      <c r="C15" s="6"/>
      <c r="D15" s="6"/>
      <c r="E15" s="6"/>
      <c r="F15" s="6"/>
      <c r="G15" s="6"/>
      <c r="H15" s="6"/>
      <c r="I15" s="6"/>
      <c r="J15" s="6"/>
      <c r="K15" s="786" t="s">
        <v>20</v>
      </c>
      <c r="L15" s="786"/>
      <c r="M15" s="351"/>
      <c r="N15" s="108"/>
      <c r="O15" s="786" t="s">
        <v>20</v>
      </c>
      <c r="P15" s="786"/>
      <c r="Q15" s="351"/>
      <c r="R15" s="64"/>
      <c r="S15" s="786" t="s">
        <v>20</v>
      </c>
      <c r="T15" s="786"/>
      <c r="U15" s="351"/>
      <c r="V15" s="64"/>
      <c r="W15" s="786" t="s">
        <v>20</v>
      </c>
      <c r="X15" s="786"/>
      <c r="Y15" s="351"/>
      <c r="Z15" s="108"/>
      <c r="AA15" s="786" t="s">
        <v>20</v>
      </c>
      <c r="AB15" s="786"/>
      <c r="AC15" s="6"/>
      <c r="AD15" s="8"/>
      <c r="AE15" s="6"/>
    </row>
    <row r="16" spans="1:31" ht="16.5" thickBot="1" x14ac:dyDescent="0.3">
      <c r="A16" s="7"/>
      <c r="B16" s="6"/>
      <c r="C16" s="109" t="s">
        <v>1004</v>
      </c>
      <c r="D16" s="109"/>
      <c r="E16" s="6"/>
      <c r="F16" s="6"/>
      <c r="G16" s="6"/>
      <c r="H16" s="6"/>
      <c r="I16" s="6"/>
      <c r="J16" s="6"/>
      <c r="K16" s="218"/>
      <c r="L16" s="218"/>
      <c r="M16" s="351"/>
      <c r="N16" s="217"/>
      <c r="O16" s="218"/>
      <c r="P16" s="218"/>
      <c r="Q16" s="351"/>
      <c r="R16" s="64"/>
      <c r="S16" s="218"/>
      <c r="T16" s="218"/>
      <c r="U16" s="351"/>
      <c r="V16" s="64"/>
      <c r="W16" s="218"/>
      <c r="X16" s="218"/>
      <c r="Y16" s="351"/>
      <c r="Z16" s="217"/>
      <c r="AA16" s="218"/>
      <c r="AB16" s="218"/>
      <c r="AC16" s="6"/>
      <c r="AD16" s="8"/>
      <c r="AE16" s="6"/>
    </row>
    <row r="17" spans="1:36" ht="16.5" thickBot="1" x14ac:dyDescent="0.25">
      <c r="A17" s="7"/>
      <c r="B17" s="6"/>
      <c r="C17" s="6"/>
      <c r="D17" s="789" t="s">
        <v>943</v>
      </c>
      <c r="E17" s="791"/>
      <c r="F17" s="791"/>
      <c r="G17" s="791"/>
      <c r="H17" s="791"/>
      <c r="I17" s="791"/>
      <c r="J17" s="6"/>
      <c r="K17" s="787">
        <f>VLOOKUP('Part 1'!$L$16,Datasheet5!$B$6:$DH$332,AF17,FALSE)</f>
        <v>0</v>
      </c>
      <c r="L17" s="788"/>
      <c r="M17" s="351"/>
      <c r="N17" s="314"/>
      <c r="O17" s="787">
        <f>VLOOKUP('Part 1'!$L$16,Datasheet5!$B$6:$DH$332,AG17,FALSE)</f>
        <v>0</v>
      </c>
      <c r="P17" s="788"/>
      <c r="Q17" s="351"/>
      <c r="R17" s="314"/>
      <c r="S17" s="787">
        <f>VLOOKUP('Part 1'!$L$16,Datasheet5!$B$6:$DH$332,AH17,FALSE)</f>
        <v>0</v>
      </c>
      <c r="T17" s="788"/>
      <c r="U17" s="351"/>
      <c r="V17" s="314"/>
      <c r="W17" s="787">
        <f>VLOOKUP('Part 1'!$L$16,Datasheet5!$B$6:$DH$332,AI17,FALSE)</f>
        <v>0</v>
      </c>
      <c r="X17" s="788"/>
      <c r="Y17" s="351"/>
      <c r="Z17" s="64"/>
      <c r="AA17" s="787">
        <f>VLOOKUP('Part 1'!$L$16,Datasheet5!$B$6:$DH$332,AJ17,FALSE)</f>
        <v>0</v>
      </c>
      <c r="AB17" s="788"/>
      <c r="AC17" s="6"/>
      <c r="AD17" s="8"/>
      <c r="AE17" s="6"/>
      <c r="AF17" s="595">
        <v>107</v>
      </c>
      <c r="AG17" s="595">
        <v>108</v>
      </c>
      <c r="AH17" s="595">
        <v>109</v>
      </c>
      <c r="AI17" s="595">
        <v>110</v>
      </c>
      <c r="AJ17" s="595">
        <v>111</v>
      </c>
    </row>
    <row r="18" spans="1:36" ht="15.75" x14ac:dyDescent="0.2">
      <c r="A18" s="7"/>
      <c r="B18" s="6"/>
      <c r="C18" s="6"/>
      <c r="D18" s="791"/>
      <c r="E18" s="791"/>
      <c r="F18" s="791"/>
      <c r="G18" s="791"/>
      <c r="H18" s="791"/>
      <c r="I18" s="791"/>
      <c r="J18" s="6"/>
      <c r="K18" s="218"/>
      <c r="L18" s="218"/>
      <c r="M18" s="351"/>
      <c r="N18" s="217"/>
      <c r="O18" s="218"/>
      <c r="P18" s="218"/>
      <c r="Q18" s="351"/>
      <c r="R18" s="64"/>
      <c r="S18" s="218"/>
      <c r="T18" s="218"/>
      <c r="U18" s="351"/>
      <c r="V18" s="64"/>
      <c r="W18" s="218"/>
      <c r="X18" s="218"/>
      <c r="Y18" s="351"/>
      <c r="Z18" s="217"/>
      <c r="AA18" s="218"/>
      <c r="AB18" s="218"/>
      <c r="AC18" s="6"/>
      <c r="AD18" s="8"/>
      <c r="AE18" s="6"/>
    </row>
    <row r="19" spans="1:36" ht="15.75" x14ac:dyDescent="0.2">
      <c r="A19" s="7"/>
      <c r="B19" s="6"/>
      <c r="C19" s="6"/>
      <c r="D19" s="6"/>
      <c r="E19" s="6"/>
      <c r="F19" s="6"/>
      <c r="G19" s="6"/>
      <c r="H19" s="6"/>
      <c r="I19" s="6"/>
      <c r="J19" s="6"/>
      <c r="K19" s="6"/>
      <c r="L19" s="218"/>
      <c r="M19" s="351"/>
      <c r="N19" s="217"/>
      <c r="O19" s="218"/>
      <c r="P19" s="218"/>
      <c r="Q19" s="351"/>
      <c r="R19" s="64"/>
      <c r="S19" s="218"/>
      <c r="T19" s="218"/>
      <c r="U19" s="351"/>
      <c r="V19" s="64"/>
      <c r="W19" s="218"/>
      <c r="X19" s="218"/>
      <c r="Y19" s="351"/>
      <c r="Z19" s="217"/>
      <c r="AA19" s="218"/>
      <c r="AB19" s="218"/>
      <c r="AC19" s="6"/>
      <c r="AD19" s="8"/>
      <c r="AE19" s="6"/>
    </row>
    <row r="20" spans="1:36" ht="16.5" thickBot="1" x14ac:dyDescent="0.3">
      <c r="A20" s="7"/>
      <c r="B20" s="6"/>
      <c r="C20" s="109" t="s">
        <v>1004</v>
      </c>
      <c r="D20" s="6"/>
      <c r="E20" s="6"/>
      <c r="F20" s="6"/>
      <c r="G20" s="6"/>
      <c r="H20" s="6"/>
      <c r="I20" s="6"/>
      <c r="J20" s="6"/>
      <c r="K20" s="64"/>
      <c r="L20" s="64"/>
      <c r="M20" s="351"/>
      <c r="N20" s="64"/>
      <c r="O20" s="64"/>
      <c r="P20" s="64"/>
      <c r="Q20" s="351"/>
      <c r="R20" s="64"/>
      <c r="S20" s="64"/>
      <c r="T20" s="64"/>
      <c r="U20" s="351"/>
      <c r="V20" s="64"/>
      <c r="W20" s="64"/>
      <c r="X20" s="64"/>
      <c r="Y20" s="351"/>
      <c r="Z20" s="64"/>
      <c r="AA20" s="64"/>
      <c r="AB20" s="64"/>
      <c r="AC20" s="6"/>
      <c r="AD20" s="8"/>
      <c r="AE20" s="6"/>
      <c r="AF20" s="596"/>
    </row>
    <row r="21" spans="1:36" s="368" customFormat="1" ht="16.5" customHeight="1" thickBot="1" x14ac:dyDescent="0.25">
      <c r="A21" s="365"/>
      <c r="B21" s="366"/>
      <c r="C21" s="366"/>
      <c r="D21" s="366" t="s">
        <v>8</v>
      </c>
      <c r="E21" s="366"/>
      <c r="F21" s="366"/>
      <c r="G21" s="366"/>
      <c r="H21" s="366"/>
      <c r="I21" s="366"/>
      <c r="J21" s="366"/>
      <c r="K21" s="651">
        <f>VLOOKUP('Part 1'!$L$16,Datasheet5!$B$6:$DH$332,AF21,FALSE)</f>
        <v>11208657846.779999</v>
      </c>
      <c r="L21" s="783"/>
      <c r="M21" s="64"/>
      <c r="N21" s="64"/>
      <c r="O21" s="651">
        <f>VLOOKUP('Part 1'!$L$16,Datasheet5!$B$6:$DH$332,AG21,FALSE)</f>
        <v>9072772098</v>
      </c>
      <c r="P21" s="783"/>
      <c r="Q21" s="64"/>
      <c r="R21" s="64"/>
      <c r="S21" s="651">
        <f>VLOOKUP('Part 1'!$L$16,Datasheet5!$B$6:$DH$332,AH21,FALSE)</f>
        <v>2012022903</v>
      </c>
      <c r="T21" s="783"/>
      <c r="U21" s="447"/>
      <c r="V21" s="64"/>
      <c r="W21" s="651">
        <f>VLOOKUP('Part 1'!$L$16,Datasheet5!$B$6:$DH$332,AI21,FALSE)</f>
        <v>123862860</v>
      </c>
      <c r="X21" s="783"/>
      <c r="Y21" s="64"/>
      <c r="Z21" s="64"/>
      <c r="AA21" s="651">
        <f>VLOOKUP('Part 1'!$L$16,Datasheet5!$B$6:$DH$332,AJ21,FALSE)</f>
        <v>22417315707.779999</v>
      </c>
      <c r="AB21" s="783"/>
      <c r="AC21" s="366"/>
      <c r="AD21" s="367"/>
      <c r="AE21" s="366"/>
      <c r="AF21" s="597">
        <v>3</v>
      </c>
      <c r="AG21" s="598">
        <v>4</v>
      </c>
      <c r="AH21" s="598">
        <v>5</v>
      </c>
      <c r="AI21" s="598">
        <v>6</v>
      </c>
      <c r="AJ21" s="598">
        <v>7</v>
      </c>
    </row>
    <row r="22" spans="1:36" s="368" customFormat="1" ht="15.75" thickBot="1" x14ac:dyDescent="0.25">
      <c r="A22" s="365"/>
      <c r="B22" s="366"/>
      <c r="C22" s="366"/>
      <c r="D22" s="366"/>
      <c r="E22" s="366"/>
      <c r="F22" s="366"/>
      <c r="G22" s="366"/>
      <c r="H22" s="366"/>
      <c r="I22" s="366"/>
      <c r="J22" s="366"/>
      <c r="K22" s="64"/>
      <c r="L22" s="64"/>
      <c r="M22" s="64"/>
      <c r="N22" s="64"/>
      <c r="O22" s="64"/>
      <c r="P22" s="64"/>
      <c r="Q22" s="64"/>
      <c r="R22" s="64"/>
      <c r="S22" s="64"/>
      <c r="T22" s="64"/>
      <c r="U22" s="447"/>
      <c r="V22" s="64"/>
      <c r="W22" s="64"/>
      <c r="X22" s="64"/>
      <c r="Y22" s="64"/>
      <c r="Z22" s="64"/>
      <c r="AA22" s="64"/>
      <c r="AB22" s="64"/>
      <c r="AC22" s="366"/>
      <c r="AD22" s="367"/>
      <c r="AE22" s="366"/>
      <c r="AF22" s="597"/>
      <c r="AG22" s="598"/>
      <c r="AH22" s="598"/>
      <c r="AI22" s="598"/>
      <c r="AJ22" s="598"/>
    </row>
    <row r="23" spans="1:36" s="368" customFormat="1" ht="16.5" thickBot="1" x14ac:dyDescent="0.25">
      <c r="A23" s="365"/>
      <c r="B23" s="366"/>
      <c r="C23" s="366"/>
      <c r="D23" s="366" t="s">
        <v>9</v>
      </c>
      <c r="E23" s="366"/>
      <c r="F23" s="366"/>
      <c r="G23" s="366"/>
      <c r="H23" s="366"/>
      <c r="I23" s="366"/>
      <c r="J23" s="366"/>
      <c r="K23" s="651">
        <f>VLOOKUP('Part 1'!$L$16,Datasheet5!$B$6:$DH$332,AF23,FALSE)</f>
        <v>9683586.6302083358</v>
      </c>
      <c r="L23" s="783"/>
      <c r="M23" s="64"/>
      <c r="N23" s="64"/>
      <c r="O23" s="64"/>
      <c r="P23" s="64"/>
      <c r="Q23" s="64"/>
      <c r="R23" s="64"/>
      <c r="S23" s="64"/>
      <c r="T23" s="64"/>
      <c r="U23" s="447"/>
      <c r="V23" s="64"/>
      <c r="W23" s="64"/>
      <c r="X23" s="64"/>
      <c r="Y23" s="64"/>
      <c r="Z23" s="64"/>
      <c r="AA23" s="651">
        <f>VLOOKUP('Part 1'!$L$16,Datasheet5!$B$6:$DH$332,AJ23,FALSE)</f>
        <v>9683586.6302083358</v>
      </c>
      <c r="AB23" s="783"/>
      <c r="AC23" s="366"/>
      <c r="AD23" s="367"/>
      <c r="AE23" s="366"/>
      <c r="AF23" s="597">
        <v>8</v>
      </c>
      <c r="AG23" s="598"/>
      <c r="AH23" s="598"/>
      <c r="AI23" s="598"/>
      <c r="AJ23" s="598">
        <v>9</v>
      </c>
    </row>
    <row r="24" spans="1:36" s="368" customFormat="1" ht="15.75" thickBot="1" x14ac:dyDescent="0.25">
      <c r="A24" s="365"/>
      <c r="B24" s="366"/>
      <c r="C24" s="366"/>
      <c r="D24" s="366"/>
      <c r="E24" s="366"/>
      <c r="F24" s="366"/>
      <c r="G24" s="366"/>
      <c r="H24" s="366"/>
      <c r="I24" s="366"/>
      <c r="J24" s="366"/>
      <c r="K24" s="64"/>
      <c r="L24" s="64"/>
      <c r="M24" s="64"/>
      <c r="N24" s="64"/>
      <c r="O24" s="64"/>
      <c r="P24" s="64"/>
      <c r="Q24" s="64"/>
      <c r="R24" s="64"/>
      <c r="S24" s="64"/>
      <c r="T24" s="64"/>
      <c r="U24" s="447"/>
      <c r="V24" s="64"/>
      <c r="W24" s="64"/>
      <c r="X24" s="64"/>
      <c r="Y24" s="64"/>
      <c r="Z24" s="64"/>
      <c r="AA24" s="64"/>
      <c r="AB24" s="64"/>
      <c r="AC24" s="366"/>
      <c r="AD24" s="367"/>
      <c r="AE24" s="366"/>
      <c r="AF24" s="597"/>
      <c r="AG24" s="598"/>
      <c r="AH24" s="598"/>
      <c r="AI24" s="598"/>
      <c r="AJ24" s="598"/>
    </row>
    <row r="25" spans="1:36" s="368" customFormat="1" ht="16.5" thickBot="1" x14ac:dyDescent="0.25">
      <c r="A25" s="365"/>
      <c r="B25" s="366"/>
      <c r="C25" s="366"/>
      <c r="D25" s="370">
        <v>3</v>
      </c>
      <c r="E25" s="366"/>
      <c r="F25" s="366"/>
      <c r="G25" s="366"/>
      <c r="H25" s="366"/>
      <c r="I25" s="366"/>
      <c r="J25" s="371" t="s">
        <v>978</v>
      </c>
      <c r="K25" s="651">
        <f>VLOOKUP('Part 1'!$L$16,Datasheet5!$B$6:$DH$332,AF25,FALSE)</f>
        <v>11198974260.149792</v>
      </c>
      <c r="L25" s="783"/>
      <c r="M25" s="64"/>
      <c r="N25" s="64"/>
      <c r="O25" s="64"/>
      <c r="P25" s="64"/>
      <c r="Q25" s="64"/>
      <c r="R25" s="64"/>
      <c r="S25" s="64"/>
      <c r="T25" s="64"/>
      <c r="U25" s="447"/>
      <c r="V25" s="64"/>
      <c r="W25" s="64"/>
      <c r="X25" s="64"/>
      <c r="Y25" s="64"/>
      <c r="Z25" s="64"/>
      <c r="AA25" s="64"/>
      <c r="AB25" s="64"/>
      <c r="AC25" s="366"/>
      <c r="AD25" s="367"/>
      <c r="AE25" s="366"/>
      <c r="AF25" s="597">
        <v>10</v>
      </c>
      <c r="AG25" s="598"/>
      <c r="AH25" s="598"/>
      <c r="AI25" s="598"/>
      <c r="AJ25" s="598"/>
    </row>
    <row r="26" spans="1:36" s="368" customFormat="1" x14ac:dyDescent="0.2">
      <c r="A26" s="365"/>
      <c r="B26" s="366"/>
      <c r="C26" s="366"/>
      <c r="D26" s="366"/>
      <c r="E26" s="366"/>
      <c r="F26" s="366"/>
      <c r="G26" s="366"/>
      <c r="H26" s="366"/>
      <c r="I26" s="366"/>
      <c r="J26" s="366"/>
      <c r="K26" s="64"/>
      <c r="L26" s="64"/>
      <c r="M26" s="64"/>
      <c r="N26" s="64"/>
      <c r="O26" s="64"/>
      <c r="P26" s="64"/>
      <c r="Q26" s="64"/>
      <c r="R26" s="64"/>
      <c r="S26" s="64"/>
      <c r="T26" s="64"/>
      <c r="U26" s="447"/>
      <c r="V26" s="64"/>
      <c r="W26" s="64"/>
      <c r="X26" s="64"/>
      <c r="Y26" s="64"/>
      <c r="Z26" s="64"/>
      <c r="AA26" s="64"/>
      <c r="AB26" s="64"/>
      <c r="AC26" s="366"/>
      <c r="AD26" s="367"/>
      <c r="AE26" s="366"/>
      <c r="AF26" s="597"/>
      <c r="AG26" s="598"/>
      <c r="AH26" s="598"/>
      <c r="AI26" s="598"/>
      <c r="AJ26" s="598"/>
    </row>
    <row r="27" spans="1:36" s="368" customFormat="1" ht="16.5" thickBot="1" x14ac:dyDescent="0.25">
      <c r="A27" s="365"/>
      <c r="B27" s="366"/>
      <c r="C27" s="372" t="s">
        <v>1005</v>
      </c>
      <c r="D27" s="366"/>
      <c r="E27" s="366"/>
      <c r="F27" s="366"/>
      <c r="G27" s="366"/>
      <c r="H27" s="366"/>
      <c r="I27" s="366"/>
      <c r="J27" s="366"/>
      <c r="K27" s="64"/>
      <c r="L27" s="64"/>
      <c r="M27" s="64"/>
      <c r="N27" s="64"/>
      <c r="O27" s="64"/>
      <c r="P27" s="64"/>
      <c r="Q27" s="64"/>
      <c r="R27" s="64"/>
      <c r="S27" s="64"/>
      <c r="T27" s="64"/>
      <c r="U27" s="447"/>
      <c r="V27" s="64"/>
      <c r="W27" s="64"/>
      <c r="X27" s="64"/>
      <c r="Y27" s="64"/>
      <c r="Z27" s="64"/>
      <c r="AA27" s="64"/>
      <c r="AB27" s="64"/>
      <c r="AC27" s="366"/>
      <c r="AD27" s="367"/>
      <c r="AE27" s="366"/>
      <c r="AF27" s="597"/>
      <c r="AG27" s="598"/>
      <c r="AH27" s="598"/>
      <c r="AI27" s="598"/>
      <c r="AJ27" s="598"/>
    </row>
    <row r="28" spans="1:36" s="368" customFormat="1" ht="16.5" thickBot="1" x14ac:dyDescent="0.25">
      <c r="A28" s="365"/>
      <c r="B28" s="366"/>
      <c r="C28" s="366"/>
      <c r="D28" s="366" t="s">
        <v>10</v>
      </c>
      <c r="E28" s="366"/>
      <c r="F28" s="366"/>
      <c r="G28" s="366"/>
      <c r="H28" s="366"/>
      <c r="I28" s="366"/>
      <c r="J28" s="366"/>
      <c r="K28" s="64"/>
      <c r="L28" s="64"/>
      <c r="M28" s="64"/>
      <c r="N28" s="64"/>
      <c r="O28" s="651">
        <f>VLOOKUP('Part 1'!$L$16,Datasheet5!$B$6:$DH$332,AG28,FALSE)</f>
        <v>84154322</v>
      </c>
      <c r="P28" s="783"/>
      <c r="Q28" s="64"/>
      <c r="R28" s="64"/>
      <c r="S28" s="64"/>
      <c r="T28" s="64"/>
      <c r="U28" s="447"/>
      <c r="V28" s="64"/>
      <c r="W28" s="64"/>
      <c r="X28" s="64"/>
      <c r="Y28" s="64"/>
      <c r="Z28" s="64"/>
      <c r="AA28" s="651">
        <f>VLOOKUP('Part 1'!$L$16,Datasheet5!$B$6:$DH$332,AJ28,FALSE)</f>
        <v>84154322</v>
      </c>
      <c r="AB28" s="783"/>
      <c r="AC28" s="366"/>
      <c r="AD28" s="367"/>
      <c r="AE28" s="366"/>
      <c r="AF28" s="597"/>
      <c r="AG28" s="598">
        <v>11</v>
      </c>
      <c r="AH28" s="598"/>
      <c r="AI28" s="598"/>
      <c r="AJ28" s="598">
        <v>12</v>
      </c>
    </row>
    <row r="29" spans="1:36" s="368" customFormat="1" ht="15.75" thickBot="1" x14ac:dyDescent="0.25">
      <c r="A29" s="365"/>
      <c r="B29" s="366"/>
      <c r="C29" s="366"/>
      <c r="D29" s="366"/>
      <c r="E29" s="366"/>
      <c r="F29" s="366"/>
      <c r="G29" s="366"/>
      <c r="H29" s="366"/>
      <c r="I29" s="366"/>
      <c r="J29" s="366"/>
      <c r="K29" s="64"/>
      <c r="L29" s="64"/>
      <c r="M29" s="64"/>
      <c r="N29" s="64"/>
      <c r="O29" s="64"/>
      <c r="P29" s="64"/>
      <c r="Q29" s="64"/>
      <c r="R29" s="64"/>
      <c r="S29" s="64"/>
      <c r="T29" s="64"/>
      <c r="U29" s="447"/>
      <c r="V29" s="64"/>
      <c r="W29" s="64"/>
      <c r="X29" s="64"/>
      <c r="Y29" s="64"/>
      <c r="Z29" s="64"/>
      <c r="AA29" s="64"/>
      <c r="AB29" s="64"/>
      <c r="AC29" s="366"/>
      <c r="AD29" s="367"/>
      <c r="AE29" s="366"/>
      <c r="AF29" s="597"/>
      <c r="AG29" s="598"/>
      <c r="AH29" s="598"/>
      <c r="AI29" s="598"/>
      <c r="AJ29" s="598"/>
    </row>
    <row r="30" spans="1:36" s="368" customFormat="1" ht="16.5" thickBot="1" x14ac:dyDescent="0.25">
      <c r="A30" s="365"/>
      <c r="B30" s="366"/>
      <c r="C30" s="366"/>
      <c r="D30" s="366" t="s">
        <v>83</v>
      </c>
      <c r="E30" s="366"/>
      <c r="F30" s="366"/>
      <c r="G30" s="366"/>
      <c r="H30" s="366"/>
      <c r="I30" s="366"/>
      <c r="J30" s="366"/>
      <c r="K30" s="64"/>
      <c r="L30" s="64"/>
      <c r="M30" s="64"/>
      <c r="N30" s="64"/>
      <c r="O30" s="651">
        <f>VLOOKUP('Part 1'!$L$16,Datasheet5!$B$6:$DH$332,AG30,FALSE)</f>
        <v>13817176</v>
      </c>
      <c r="P30" s="783"/>
      <c r="Q30" s="64"/>
      <c r="R30" s="64"/>
      <c r="S30" s="64"/>
      <c r="T30" s="64"/>
      <c r="U30" s="447"/>
      <c r="V30" s="64"/>
      <c r="W30" s="64"/>
      <c r="X30" s="64"/>
      <c r="Y30" s="64"/>
      <c r="Z30" s="64"/>
      <c r="AA30" s="651">
        <f>VLOOKUP('Part 1'!$L$16,Datasheet5!$B$6:$DH$332,AJ30,FALSE)</f>
        <v>13817176</v>
      </c>
      <c r="AB30" s="783"/>
      <c r="AC30" s="366"/>
      <c r="AD30" s="367"/>
      <c r="AE30" s="366"/>
      <c r="AF30" s="597"/>
      <c r="AG30" s="598">
        <v>13</v>
      </c>
      <c r="AH30" s="598"/>
      <c r="AI30" s="598"/>
      <c r="AJ30" s="598">
        <v>14</v>
      </c>
    </row>
    <row r="31" spans="1:36" s="368" customFormat="1" ht="15.75" thickBot="1" x14ac:dyDescent="0.25">
      <c r="A31" s="365"/>
      <c r="B31" s="366"/>
      <c r="C31" s="366"/>
      <c r="D31" s="366"/>
      <c r="E31" s="366"/>
      <c r="F31" s="366"/>
      <c r="G31" s="366"/>
      <c r="H31" s="366"/>
      <c r="I31" s="366"/>
      <c r="J31" s="366"/>
      <c r="K31" s="64"/>
      <c r="L31" s="64"/>
      <c r="M31" s="64"/>
      <c r="N31" s="64"/>
      <c r="O31" s="64"/>
      <c r="P31" s="64"/>
      <c r="Q31" s="64"/>
      <c r="R31" s="64"/>
      <c r="S31" s="64"/>
      <c r="T31" s="64"/>
      <c r="U31" s="447"/>
      <c r="V31" s="64"/>
      <c r="W31" s="64"/>
      <c r="X31" s="64"/>
      <c r="Y31" s="64"/>
      <c r="Z31" s="64"/>
      <c r="AA31" s="64"/>
      <c r="AB31" s="64"/>
      <c r="AC31" s="366"/>
      <c r="AD31" s="367"/>
      <c r="AE31" s="366"/>
      <c r="AF31" s="597"/>
      <c r="AG31" s="598"/>
      <c r="AH31" s="598"/>
      <c r="AI31" s="598"/>
      <c r="AJ31" s="598"/>
    </row>
    <row r="32" spans="1:36" s="368" customFormat="1" ht="16.5" thickBot="1" x14ac:dyDescent="0.25">
      <c r="A32" s="365"/>
      <c r="B32" s="366"/>
      <c r="C32" s="366"/>
      <c r="D32" s="366" t="s">
        <v>951</v>
      </c>
      <c r="E32" s="366"/>
      <c r="F32" s="366"/>
      <c r="G32" s="366"/>
      <c r="H32" s="366"/>
      <c r="I32" s="366"/>
      <c r="J32" s="366"/>
      <c r="K32" s="64"/>
      <c r="L32" s="64"/>
      <c r="M32" s="64"/>
      <c r="N32" s="64"/>
      <c r="O32" s="651">
        <f>VLOOKUP('Part 1'!$L$16,Datasheet5!$B$6:$DH$332,AG32,FALSE)</f>
        <v>36045395</v>
      </c>
      <c r="P32" s="783"/>
      <c r="Q32" s="64"/>
      <c r="R32" s="64"/>
      <c r="S32" s="651">
        <f>VLOOKUP('Part 1'!$L$16,Datasheet5!$B$6:$DH$332,AH32,FALSE)</f>
        <v>1605927</v>
      </c>
      <c r="T32" s="783"/>
      <c r="U32" s="447"/>
      <c r="V32" s="64"/>
      <c r="W32" s="64"/>
      <c r="X32" s="64"/>
      <c r="Y32" s="64"/>
      <c r="Z32" s="64"/>
      <c r="AA32" s="651">
        <f>VLOOKUP('Part 1'!$L$16,Datasheet5!$B$6:$DH$332,AJ32,FALSE)</f>
        <v>37651322</v>
      </c>
      <c r="AB32" s="783"/>
      <c r="AC32" s="366"/>
      <c r="AD32" s="367"/>
      <c r="AE32" s="366"/>
      <c r="AF32" s="597"/>
      <c r="AG32" s="598">
        <v>15</v>
      </c>
      <c r="AH32" s="598">
        <v>16</v>
      </c>
      <c r="AI32" s="598"/>
      <c r="AJ32" s="598">
        <v>17</v>
      </c>
    </row>
    <row r="33" spans="1:36" s="368" customFormat="1" ht="15.75" thickBot="1" x14ac:dyDescent="0.25">
      <c r="A33" s="365"/>
      <c r="B33" s="366"/>
      <c r="C33" s="366"/>
      <c r="D33" s="366"/>
      <c r="E33" s="366"/>
      <c r="F33" s="366"/>
      <c r="G33" s="366"/>
      <c r="H33" s="366"/>
      <c r="I33" s="366"/>
      <c r="J33" s="366"/>
      <c r="K33" s="64"/>
      <c r="L33" s="64"/>
      <c r="M33" s="64"/>
      <c r="N33" s="64"/>
      <c r="O33" s="64"/>
      <c r="P33" s="64"/>
      <c r="Q33" s="64"/>
      <c r="R33" s="64"/>
      <c r="S33" s="64"/>
      <c r="T33" s="64"/>
      <c r="U33" s="447"/>
      <c r="V33" s="64"/>
      <c r="W33" s="64"/>
      <c r="X33" s="64"/>
      <c r="Y33" s="64"/>
      <c r="Z33" s="64"/>
      <c r="AA33" s="64"/>
      <c r="AB33" s="64"/>
      <c r="AC33" s="366"/>
      <c r="AD33" s="367"/>
      <c r="AE33" s="366"/>
      <c r="AF33" s="597"/>
      <c r="AG33" s="598"/>
      <c r="AH33" s="598"/>
      <c r="AI33" s="598"/>
      <c r="AJ33" s="598"/>
    </row>
    <row r="34" spans="1:36" s="368" customFormat="1" ht="16.5" thickBot="1" x14ac:dyDescent="0.25">
      <c r="A34" s="365"/>
      <c r="B34" s="366"/>
      <c r="C34" s="366"/>
      <c r="D34" s="366" t="s">
        <v>952</v>
      </c>
      <c r="E34" s="366"/>
      <c r="F34" s="366"/>
      <c r="G34" s="366"/>
      <c r="H34" s="366"/>
      <c r="I34" s="366"/>
      <c r="J34" s="366"/>
      <c r="K34" s="64"/>
      <c r="L34" s="64"/>
      <c r="M34" s="64"/>
      <c r="N34" s="64"/>
      <c r="O34" s="651">
        <f>VLOOKUP('Part 1'!$L$16,Datasheet5!$B$6:$DH$332,AG34,FALSE)</f>
        <v>9398310.2280416712</v>
      </c>
      <c r="P34" s="783"/>
      <c r="Q34" s="64"/>
      <c r="R34" s="64"/>
      <c r="S34" s="651">
        <f>VLOOKUP('Part 1'!$L$16,Datasheet5!$B$6:$DH$332,AH34,FALSE)</f>
        <v>254328.21164583336</v>
      </c>
      <c r="T34" s="783"/>
      <c r="U34" s="447"/>
      <c r="V34" s="64"/>
      <c r="W34" s="651">
        <f>VLOOKUP('Part 1'!$L$16,Datasheet5!$B$6:$DH$332,AI34,FALSE)</f>
        <v>30948.190520833334</v>
      </c>
      <c r="X34" s="783"/>
      <c r="Y34" s="64"/>
      <c r="Z34" s="64"/>
      <c r="AA34" s="651">
        <f>VLOOKUP('Part 1'!$L$16,Datasheet5!$B$6:$DH$332,AJ34,FALSE)</f>
        <v>9683586.6302083358</v>
      </c>
      <c r="AB34" s="783"/>
      <c r="AC34" s="366"/>
      <c r="AD34" s="367"/>
      <c r="AE34" s="366"/>
      <c r="AF34" s="597"/>
      <c r="AG34" s="598">
        <v>18</v>
      </c>
      <c r="AH34" s="598">
        <v>19</v>
      </c>
      <c r="AI34" s="598">
        <v>20</v>
      </c>
      <c r="AJ34" s="598">
        <v>21</v>
      </c>
    </row>
    <row r="35" spans="1:36" s="368" customFormat="1" ht="15.75" x14ac:dyDescent="0.2">
      <c r="A35" s="365"/>
      <c r="B35" s="366"/>
      <c r="C35" s="366"/>
      <c r="D35" s="366"/>
      <c r="E35" s="366"/>
      <c r="F35" s="366"/>
      <c r="G35" s="366"/>
      <c r="H35" s="366"/>
      <c r="I35" s="366"/>
      <c r="J35" s="366"/>
      <c r="K35" s="64"/>
      <c r="L35" s="64"/>
      <c r="M35" s="64"/>
      <c r="N35" s="64"/>
      <c r="O35" s="76"/>
      <c r="P35" s="64"/>
      <c r="Q35" s="64"/>
      <c r="R35" s="64"/>
      <c r="S35" s="76"/>
      <c r="T35" s="64"/>
      <c r="U35" s="447"/>
      <c r="V35" s="64"/>
      <c r="W35" s="76"/>
      <c r="X35" s="64"/>
      <c r="Y35" s="64"/>
      <c r="Z35" s="64"/>
      <c r="AA35" s="76"/>
      <c r="AB35" s="64"/>
      <c r="AC35" s="366"/>
      <c r="AD35" s="367"/>
      <c r="AE35" s="366"/>
      <c r="AF35" s="597"/>
      <c r="AG35" s="598"/>
      <c r="AH35" s="598"/>
      <c r="AI35" s="598"/>
      <c r="AJ35" s="598"/>
    </row>
    <row r="36" spans="1:36" s="368" customFormat="1" ht="15.75" x14ac:dyDescent="0.2">
      <c r="A36" s="365"/>
      <c r="B36" s="366"/>
      <c r="C36" s="372" t="s">
        <v>11</v>
      </c>
      <c r="D36" s="366"/>
      <c r="E36" s="366"/>
      <c r="F36" s="366"/>
      <c r="G36" s="366"/>
      <c r="H36" s="366"/>
      <c r="I36" s="366"/>
      <c r="J36" s="366"/>
      <c r="K36" s="64"/>
      <c r="L36" s="64"/>
      <c r="M36" s="64"/>
      <c r="N36" s="64"/>
      <c r="O36" s="76"/>
      <c r="P36" s="64"/>
      <c r="Q36" s="64"/>
      <c r="R36" s="64"/>
      <c r="S36" s="76"/>
      <c r="T36" s="64"/>
      <c r="U36" s="447"/>
      <c r="V36" s="64"/>
      <c r="W36" s="76"/>
      <c r="X36" s="64"/>
      <c r="Y36" s="64"/>
      <c r="Z36" s="64"/>
      <c r="AA36" s="76"/>
      <c r="AB36" s="64"/>
      <c r="AC36" s="366"/>
      <c r="AD36" s="367"/>
      <c r="AE36" s="366"/>
      <c r="AF36" s="597"/>
      <c r="AG36" s="598"/>
      <c r="AH36" s="598"/>
      <c r="AI36" s="598"/>
      <c r="AJ36" s="598"/>
    </row>
    <row r="37" spans="1:36" s="368" customFormat="1" ht="16.5" thickBot="1" x14ac:dyDescent="0.25">
      <c r="A37" s="365"/>
      <c r="B37" s="366"/>
      <c r="C37" s="372" t="s">
        <v>12</v>
      </c>
      <c r="D37" s="366"/>
      <c r="E37" s="366"/>
      <c r="F37" s="366"/>
      <c r="G37" s="366"/>
      <c r="H37" s="366"/>
      <c r="I37" s="366"/>
      <c r="J37" s="366"/>
      <c r="K37" s="785" t="s">
        <v>20</v>
      </c>
      <c r="L37" s="785"/>
      <c r="M37" s="64"/>
      <c r="N37" s="450"/>
      <c r="O37" s="785" t="s">
        <v>20</v>
      </c>
      <c r="P37" s="785"/>
      <c r="Q37" s="64"/>
      <c r="R37" s="64"/>
      <c r="S37" s="785" t="s">
        <v>20</v>
      </c>
      <c r="T37" s="785"/>
      <c r="U37" s="447"/>
      <c r="V37" s="64"/>
      <c r="W37" s="785" t="s">
        <v>20</v>
      </c>
      <c r="X37" s="785"/>
      <c r="Y37" s="64"/>
      <c r="Z37" s="450"/>
      <c r="AA37" s="785" t="s">
        <v>20</v>
      </c>
      <c r="AB37" s="785"/>
      <c r="AC37" s="366"/>
      <c r="AD37" s="367"/>
      <c r="AE37" s="366"/>
      <c r="AF37" s="597"/>
      <c r="AG37" s="598"/>
      <c r="AH37" s="598"/>
      <c r="AI37" s="598"/>
      <c r="AJ37" s="598"/>
    </row>
    <row r="38" spans="1:36" s="368" customFormat="1" ht="16.5" thickBot="1" x14ac:dyDescent="0.25">
      <c r="A38" s="365"/>
      <c r="B38" s="366"/>
      <c r="C38" s="366"/>
      <c r="D38" s="366" t="s">
        <v>979</v>
      </c>
      <c r="E38" s="366"/>
      <c r="F38" s="366"/>
      <c r="G38" s="366"/>
      <c r="H38" s="366"/>
      <c r="I38" s="366"/>
      <c r="J38" s="366"/>
      <c r="K38" s="651">
        <f>VLOOKUP('Part 1'!$L$16,Datasheet5!$B$6:$DH$332,AF38,FALSE)</f>
        <v>645112884.62</v>
      </c>
      <c r="L38" s="783"/>
      <c r="M38" s="64"/>
      <c r="N38" s="64"/>
      <c r="O38" s="651">
        <f>VLOOKUP('Part 1'!$L$16,Datasheet5!$B$6:$DH$332,AG38,FALSE)</f>
        <v>545569181</v>
      </c>
      <c r="P38" s="783"/>
      <c r="Q38" s="64"/>
      <c r="R38" s="64"/>
      <c r="S38" s="651">
        <f>VLOOKUP('Part 1'!$L$16,Datasheet5!$B$6:$DH$332,AH38,FALSE)</f>
        <v>91076220</v>
      </c>
      <c r="T38" s="783"/>
      <c r="U38" s="447"/>
      <c r="V38" s="64"/>
      <c r="W38" s="651">
        <f>VLOOKUP('Part 1'!$L$16,Datasheet5!$B$6:$DH$332,AI38,FALSE)</f>
        <v>8467489</v>
      </c>
      <c r="X38" s="783"/>
      <c r="Y38" s="64"/>
      <c r="Z38" s="64"/>
      <c r="AA38" s="651">
        <f>VLOOKUP('Part 1'!$L$16,Datasheet5!$B$6:$DH$332,AJ38,FALSE)</f>
        <v>1290225774.6200001</v>
      </c>
      <c r="AB38" s="783"/>
      <c r="AC38" s="366"/>
      <c r="AD38" s="367"/>
      <c r="AE38" s="366"/>
      <c r="AF38" s="597">
        <v>22</v>
      </c>
      <c r="AG38" s="598">
        <v>23</v>
      </c>
      <c r="AH38" s="598">
        <v>24</v>
      </c>
      <c r="AI38" s="598">
        <v>25</v>
      </c>
      <c r="AJ38" s="598">
        <v>26</v>
      </c>
    </row>
    <row r="39" spans="1:36" s="368" customFormat="1" ht="15.75" thickBot="1" x14ac:dyDescent="0.25">
      <c r="A39" s="365"/>
      <c r="B39" s="366"/>
      <c r="C39" s="366"/>
      <c r="D39" s="366"/>
      <c r="E39" s="366"/>
      <c r="F39" s="366"/>
      <c r="G39" s="366"/>
      <c r="H39" s="366"/>
      <c r="I39" s="366"/>
      <c r="J39" s="366"/>
      <c r="K39" s="64"/>
      <c r="L39" s="64"/>
      <c r="M39" s="64"/>
      <c r="N39" s="64"/>
      <c r="O39" s="64"/>
      <c r="P39" s="64"/>
      <c r="Q39" s="64"/>
      <c r="R39" s="64"/>
      <c r="S39" s="64"/>
      <c r="T39" s="64"/>
      <c r="U39" s="447"/>
      <c r="V39" s="64"/>
      <c r="W39" s="64"/>
      <c r="X39" s="64"/>
      <c r="Y39" s="64"/>
      <c r="Z39" s="64"/>
      <c r="AA39" s="64"/>
      <c r="AB39" s="64"/>
      <c r="AC39" s="366"/>
      <c r="AD39" s="367"/>
      <c r="AE39" s="366"/>
      <c r="AF39" s="597"/>
      <c r="AG39" s="598"/>
      <c r="AH39" s="598"/>
      <c r="AI39" s="598"/>
      <c r="AJ39" s="598"/>
    </row>
    <row r="40" spans="1:36" s="368" customFormat="1" ht="18" customHeight="1" thickBot="1" x14ac:dyDescent="0.25">
      <c r="A40" s="365"/>
      <c r="B40" s="366"/>
      <c r="C40" s="366"/>
      <c r="D40" s="366" t="s">
        <v>1123</v>
      </c>
      <c r="E40" s="366"/>
      <c r="F40" s="366"/>
      <c r="G40" s="366"/>
      <c r="H40" s="366"/>
      <c r="I40" s="366"/>
      <c r="J40" s="366"/>
      <c r="K40" s="651">
        <f>VLOOKUP('Part 1'!$L$16,Datasheet5!$B$6:$DH$332,AF40,FALSE)</f>
        <v>-371535379.54000002</v>
      </c>
      <c r="L40" s="783"/>
      <c r="M40" s="64"/>
      <c r="N40" s="64"/>
      <c r="O40" s="651">
        <f>VLOOKUP('Part 1'!$L$16,Datasheet5!$B$6:$DH$332,AG40,FALSE)</f>
        <v>-283017446</v>
      </c>
      <c r="P40" s="783"/>
      <c r="Q40" s="64"/>
      <c r="R40" s="64"/>
      <c r="S40" s="651">
        <f>VLOOKUP('Part 1'!$L$16,Datasheet5!$B$6:$DH$332,AH40,FALSE)</f>
        <v>-85509338</v>
      </c>
      <c r="T40" s="783"/>
      <c r="U40" s="447"/>
      <c r="V40" s="64"/>
      <c r="W40" s="651">
        <f>VLOOKUP('Part 1'!$L$16,Datasheet5!$B$6:$DH$332,AI40,FALSE)</f>
        <v>-3008626</v>
      </c>
      <c r="X40" s="783"/>
      <c r="Y40" s="64"/>
      <c r="Z40" s="64"/>
      <c r="AA40" s="651">
        <f>VLOOKUP('Part 1'!$L$16,Datasheet5!$B$6:$DH$332,AJ40,FALSE)</f>
        <v>-743070789.53999996</v>
      </c>
      <c r="AB40" s="783"/>
      <c r="AC40" s="366"/>
      <c r="AD40" s="367"/>
      <c r="AE40" s="366"/>
      <c r="AF40" s="597">
        <v>27</v>
      </c>
      <c r="AG40" s="598">
        <v>28</v>
      </c>
      <c r="AH40" s="598">
        <v>29</v>
      </c>
      <c r="AI40" s="598">
        <v>30</v>
      </c>
      <c r="AJ40" s="598">
        <v>31</v>
      </c>
    </row>
    <row r="41" spans="1:36" s="368" customFormat="1" x14ac:dyDescent="0.2">
      <c r="A41" s="365"/>
      <c r="B41" s="366"/>
      <c r="C41" s="366"/>
      <c r="D41" s="366"/>
      <c r="E41" s="366"/>
      <c r="F41" s="366"/>
      <c r="G41" s="366"/>
      <c r="H41" s="366"/>
      <c r="I41" s="366"/>
      <c r="J41" s="366"/>
      <c r="K41" s="64"/>
      <c r="L41" s="64"/>
      <c r="M41" s="64"/>
      <c r="N41" s="64"/>
      <c r="O41" s="64"/>
      <c r="P41" s="64"/>
      <c r="Q41" s="64"/>
      <c r="R41" s="64"/>
      <c r="S41" s="64"/>
      <c r="T41" s="64"/>
      <c r="U41" s="447"/>
      <c r="V41" s="64"/>
      <c r="W41" s="64"/>
      <c r="X41" s="64"/>
      <c r="Y41" s="64"/>
      <c r="Z41" s="64"/>
      <c r="AA41" s="64"/>
      <c r="AB41" s="64"/>
      <c r="AC41" s="366"/>
      <c r="AD41" s="367"/>
      <c r="AE41" s="366"/>
      <c r="AF41" s="597"/>
      <c r="AG41" s="598"/>
      <c r="AH41" s="598"/>
      <c r="AI41" s="598"/>
      <c r="AJ41" s="598"/>
    </row>
    <row r="42" spans="1:36" s="368" customFormat="1" ht="16.5" thickBot="1" x14ac:dyDescent="0.25">
      <c r="A42" s="373"/>
      <c r="B42" s="369"/>
      <c r="C42" s="372" t="s">
        <v>84</v>
      </c>
      <c r="D42" s="366"/>
      <c r="E42" s="369"/>
      <c r="F42" s="369"/>
      <c r="G42" s="369"/>
      <c r="H42" s="369"/>
      <c r="I42" s="369"/>
      <c r="J42" s="369"/>
      <c r="K42" s="451"/>
      <c r="L42" s="451"/>
      <c r="M42" s="64"/>
      <c r="N42" s="451"/>
      <c r="O42" s="451"/>
      <c r="P42" s="451"/>
      <c r="Q42" s="64"/>
      <c r="R42" s="451"/>
      <c r="S42" s="451"/>
      <c r="T42" s="451"/>
      <c r="U42" s="447"/>
      <c r="V42" s="451"/>
      <c r="W42" s="451"/>
      <c r="X42" s="451"/>
      <c r="Y42" s="64"/>
      <c r="Z42" s="451"/>
      <c r="AA42" s="451"/>
      <c r="AB42" s="451"/>
      <c r="AC42" s="369"/>
      <c r="AD42" s="367"/>
      <c r="AE42" s="366"/>
      <c r="AF42" s="597"/>
      <c r="AG42" s="598"/>
      <c r="AH42" s="598"/>
      <c r="AI42" s="598"/>
      <c r="AJ42" s="598"/>
    </row>
    <row r="43" spans="1:36" s="368" customFormat="1" ht="16.5" thickBot="1" x14ac:dyDescent="0.25">
      <c r="A43" s="373"/>
      <c r="B43" s="369"/>
      <c r="C43" s="374"/>
      <c r="D43" s="366" t="s">
        <v>1006</v>
      </c>
      <c r="E43" s="369"/>
      <c r="F43" s="369"/>
      <c r="G43" s="369"/>
      <c r="H43" s="369"/>
      <c r="I43" s="369"/>
      <c r="J43" s="369"/>
      <c r="K43" s="781">
        <f>VLOOKUP('Part 1'!$L$16,Datasheet5!$B$6:$DH$332,AF43,FALSE)</f>
        <v>-328297335.30499995</v>
      </c>
      <c r="L43" s="782"/>
      <c r="M43" s="64"/>
      <c r="N43" s="64"/>
      <c r="O43" s="781">
        <f>VLOOKUP('Part 1'!$L$16,Datasheet5!$B$6:$DH$332,AG43,FALSE)</f>
        <v>-270706125.86899996</v>
      </c>
      <c r="P43" s="782"/>
      <c r="Q43" s="64"/>
      <c r="R43" s="64"/>
      <c r="S43" s="781">
        <f>VLOOKUP('Part 1'!$L$16,Datasheet5!$B$6:$DH$332,AH43,FALSE)</f>
        <v>-50622355.936000004</v>
      </c>
      <c r="T43" s="782"/>
      <c r="U43" s="447"/>
      <c r="V43" s="64"/>
      <c r="W43" s="781">
        <f>VLOOKUP('Part 1'!$L$16,Datasheet5!$B$6:$DH$332,AI43,FALSE)</f>
        <v>-4074445.16</v>
      </c>
      <c r="X43" s="782"/>
      <c r="Y43" s="64"/>
      <c r="Z43" s="64"/>
      <c r="AA43" s="781">
        <f>VLOOKUP('Part 1'!$L$16,Datasheet5!$B$6:$DH$332,AJ43,FALSE)</f>
        <v>-653700260.7900002</v>
      </c>
      <c r="AB43" s="782"/>
      <c r="AC43" s="369"/>
      <c r="AD43" s="367"/>
      <c r="AE43" s="366"/>
      <c r="AF43" s="595">
        <v>32</v>
      </c>
      <c r="AG43" s="595">
        <v>33</v>
      </c>
      <c r="AH43" s="598">
        <v>34</v>
      </c>
      <c r="AI43" s="598">
        <v>35</v>
      </c>
      <c r="AJ43" s="598">
        <v>36</v>
      </c>
    </row>
    <row r="44" spans="1:36" s="368" customFormat="1" ht="16.5" thickBot="1" x14ac:dyDescent="0.25">
      <c r="A44" s="373"/>
      <c r="B44" s="369"/>
      <c r="C44" s="374"/>
      <c r="D44" s="374"/>
      <c r="E44" s="369"/>
      <c r="F44" s="369"/>
      <c r="G44" s="369"/>
      <c r="H44" s="369"/>
      <c r="I44" s="369"/>
      <c r="J44" s="375"/>
      <c r="K44" s="448"/>
      <c r="L44" s="448"/>
      <c r="M44" s="64"/>
      <c r="N44" s="449"/>
      <c r="O44" s="448"/>
      <c r="P44" s="448"/>
      <c r="Q44" s="64"/>
      <c r="R44" s="449"/>
      <c r="S44" s="448"/>
      <c r="T44" s="448"/>
      <c r="U44" s="447"/>
      <c r="V44" s="449"/>
      <c r="W44" s="448"/>
      <c r="X44" s="448"/>
      <c r="Y44" s="64"/>
      <c r="Z44" s="449"/>
      <c r="AA44" s="448"/>
      <c r="AB44" s="449"/>
      <c r="AC44" s="375"/>
      <c r="AD44" s="376"/>
      <c r="AE44" s="593"/>
      <c r="AF44" s="597"/>
      <c r="AG44" s="598"/>
      <c r="AH44" s="598"/>
      <c r="AI44" s="598"/>
      <c r="AJ44" s="598"/>
    </row>
    <row r="45" spans="1:36" s="368" customFormat="1" ht="16.5" thickBot="1" x14ac:dyDescent="0.25">
      <c r="A45" s="373"/>
      <c r="B45" s="369"/>
      <c r="C45" s="374"/>
      <c r="D45" s="366" t="s">
        <v>953</v>
      </c>
      <c r="E45" s="369"/>
      <c r="F45" s="369"/>
      <c r="G45" s="369"/>
      <c r="H45" s="369"/>
      <c r="I45" s="369"/>
      <c r="J45" s="375"/>
      <c r="K45" s="651">
        <f>VLOOKUP('Part 1'!$L$16,Datasheet5!$B$6:$DH$332,AF45,FALSE)</f>
        <v>92437415.49000001</v>
      </c>
      <c r="L45" s="783"/>
      <c r="M45" s="64"/>
      <c r="N45" s="64"/>
      <c r="O45" s="651">
        <f>VLOOKUP('Part 1'!$L$16,Datasheet5!$B$6:$DH$332,AG45,FALSE)</f>
        <v>78243149</v>
      </c>
      <c r="P45" s="783"/>
      <c r="Q45" s="64"/>
      <c r="R45" s="64"/>
      <c r="S45" s="651">
        <f>VLOOKUP('Part 1'!$L$16,Datasheet5!$B$6:$DH$332,AH45,FALSE)</f>
        <v>12982366</v>
      </c>
      <c r="T45" s="783"/>
      <c r="U45" s="447"/>
      <c r="V45" s="64"/>
      <c r="W45" s="651">
        <f>VLOOKUP('Part 1'!$L$16,Datasheet5!$B$6:$DH$332,AI45,FALSE)</f>
        <v>1211913</v>
      </c>
      <c r="X45" s="783"/>
      <c r="Y45" s="64"/>
      <c r="Z45" s="449"/>
      <c r="AA45" s="651">
        <f>VLOOKUP('Part 1'!$L$16,Datasheet5!$B$6:$DH$332,AJ45,FALSE)</f>
        <v>184874843.49000001</v>
      </c>
      <c r="AB45" s="783"/>
      <c r="AC45" s="375"/>
      <c r="AD45" s="376"/>
      <c r="AE45" s="593"/>
      <c r="AF45" s="597">
        <v>37</v>
      </c>
      <c r="AG45" s="598">
        <v>38</v>
      </c>
      <c r="AH45" s="598">
        <v>39</v>
      </c>
      <c r="AI45" s="598">
        <v>40</v>
      </c>
      <c r="AJ45" s="598">
        <v>41</v>
      </c>
    </row>
    <row r="46" spans="1:36" s="368" customFormat="1" ht="15.75" thickBot="1" x14ac:dyDescent="0.25">
      <c r="A46" s="373"/>
      <c r="B46" s="369"/>
      <c r="C46" s="374"/>
      <c r="D46" s="374"/>
      <c r="E46" s="369"/>
      <c r="F46" s="369"/>
      <c r="G46" s="369"/>
      <c r="H46" s="369"/>
      <c r="I46" s="369"/>
      <c r="J46" s="369"/>
      <c r="K46" s="451"/>
      <c r="L46" s="451"/>
      <c r="M46" s="64"/>
      <c r="N46" s="451"/>
      <c r="O46" s="451"/>
      <c r="P46" s="451"/>
      <c r="Q46" s="64"/>
      <c r="R46" s="451"/>
      <c r="S46" s="451"/>
      <c r="T46" s="451"/>
      <c r="U46" s="447"/>
      <c r="V46" s="451"/>
      <c r="W46" s="451"/>
      <c r="X46" s="451"/>
      <c r="Y46" s="64"/>
      <c r="Z46" s="451"/>
      <c r="AA46" s="451"/>
      <c r="AB46" s="451"/>
      <c r="AC46" s="369"/>
      <c r="AD46" s="367"/>
      <c r="AE46" s="366"/>
      <c r="AF46" s="597"/>
      <c r="AG46" s="598"/>
      <c r="AH46" s="598"/>
      <c r="AI46" s="598"/>
      <c r="AJ46" s="598"/>
    </row>
    <row r="47" spans="1:36" s="368" customFormat="1" ht="16.5" thickBot="1" x14ac:dyDescent="0.25">
      <c r="A47" s="373"/>
      <c r="B47" s="369"/>
      <c r="C47" s="374"/>
      <c r="D47" s="366" t="s">
        <v>954</v>
      </c>
      <c r="E47" s="369"/>
      <c r="F47" s="369"/>
      <c r="G47" s="369"/>
      <c r="H47" s="369"/>
      <c r="I47" s="369"/>
      <c r="J47" s="369"/>
      <c r="K47" s="651">
        <f>VLOOKUP('Part 1'!$L$16,Datasheet5!$B$6:$DH$332,AF47,FALSE)</f>
        <v>-99204579.129999995</v>
      </c>
      <c r="L47" s="783"/>
      <c r="M47" s="64"/>
      <c r="N47" s="64"/>
      <c r="O47" s="651">
        <f>VLOOKUP('Part 1'!$L$16,Datasheet5!$B$6:$DH$332,AG47,FALSE)</f>
        <v>-87680152</v>
      </c>
      <c r="P47" s="783"/>
      <c r="Q47" s="64"/>
      <c r="R47" s="64"/>
      <c r="S47" s="651">
        <f>VLOOKUP('Part 1'!$L$16,Datasheet5!$B$6:$DH$332,AH47,FALSE)</f>
        <v>-10026732</v>
      </c>
      <c r="T47" s="783"/>
      <c r="U47" s="447"/>
      <c r="V47" s="64"/>
      <c r="W47" s="651">
        <f>VLOOKUP('Part 1'!$L$16,Datasheet5!$B$6:$DH$332,AI47,FALSE)</f>
        <v>-1497708</v>
      </c>
      <c r="X47" s="783"/>
      <c r="Y47" s="64"/>
      <c r="Z47" s="64"/>
      <c r="AA47" s="651">
        <f>VLOOKUP('Part 1'!$L$16,Datasheet5!$B$6:$DH$332,AJ47,FALSE)</f>
        <v>-198409171.13</v>
      </c>
      <c r="AB47" s="783"/>
      <c r="AC47" s="369"/>
      <c r="AD47" s="367"/>
      <c r="AE47" s="366"/>
      <c r="AF47" s="597">
        <v>42</v>
      </c>
      <c r="AG47" s="598">
        <v>43</v>
      </c>
      <c r="AH47" s="598">
        <v>44</v>
      </c>
      <c r="AI47" s="598">
        <v>45</v>
      </c>
      <c r="AJ47" s="598">
        <v>46</v>
      </c>
    </row>
    <row r="48" spans="1:36" s="368" customFormat="1" ht="15.75" thickBot="1" x14ac:dyDescent="0.25">
      <c r="A48" s="373"/>
      <c r="B48" s="369"/>
      <c r="C48" s="374"/>
      <c r="D48" s="374"/>
      <c r="E48" s="369"/>
      <c r="F48" s="369"/>
      <c r="G48" s="369"/>
      <c r="H48" s="369"/>
      <c r="I48" s="369"/>
      <c r="J48" s="369"/>
      <c r="K48" s="451"/>
      <c r="L48" s="451"/>
      <c r="M48" s="64"/>
      <c r="N48" s="451"/>
      <c r="O48" s="451"/>
      <c r="P48" s="451"/>
      <c r="Q48" s="64"/>
      <c r="R48" s="451"/>
      <c r="S48" s="451"/>
      <c r="T48" s="451"/>
      <c r="U48" s="447"/>
      <c r="V48" s="451"/>
      <c r="W48" s="451"/>
      <c r="X48" s="451"/>
      <c r="Y48" s="64"/>
      <c r="Z48" s="451"/>
      <c r="AA48" s="451"/>
      <c r="AB48" s="451"/>
      <c r="AC48" s="369"/>
      <c r="AD48" s="367"/>
      <c r="AE48" s="366"/>
      <c r="AF48" s="597"/>
      <c r="AG48" s="598"/>
      <c r="AH48" s="598"/>
      <c r="AI48" s="598"/>
      <c r="AJ48" s="598"/>
    </row>
    <row r="49" spans="1:36" s="368" customFormat="1" ht="16.5" thickBot="1" x14ac:dyDescent="0.25">
      <c r="A49" s="373"/>
      <c r="B49" s="369"/>
      <c r="C49" s="374"/>
      <c r="D49" s="366" t="s">
        <v>1007</v>
      </c>
      <c r="E49" s="369"/>
      <c r="F49" s="369"/>
      <c r="G49" s="369"/>
      <c r="H49" s="369"/>
      <c r="I49" s="369"/>
      <c r="J49" s="369"/>
      <c r="K49" s="651">
        <f>VLOOKUP('Part 1'!$L$16,Datasheet5!$B$6:$DH$332,AF49,FALSE)</f>
        <v>-335064498.94499999</v>
      </c>
      <c r="L49" s="783"/>
      <c r="M49" s="64"/>
      <c r="N49" s="64"/>
      <c r="O49" s="651">
        <f>VLOOKUP('Part 1'!$L$16,Datasheet5!$B$6:$DH$332,AG49,FALSE)</f>
        <v>-280143128.86899996</v>
      </c>
      <c r="P49" s="783"/>
      <c r="Q49" s="64"/>
      <c r="R49" s="64"/>
      <c r="S49" s="651">
        <f>VLOOKUP('Part 1'!$L$16,Datasheet5!$B$6:$DH$332,AH49,FALSE)</f>
        <v>-47666721.936000004</v>
      </c>
      <c r="T49" s="783"/>
      <c r="U49" s="447"/>
      <c r="V49" s="64"/>
      <c r="W49" s="651">
        <f>VLOOKUP('Part 1'!$L$16,Datasheet5!$B$6:$DH$332,AI49,FALSE)</f>
        <v>-4360240.16</v>
      </c>
      <c r="X49" s="783"/>
      <c r="Y49" s="64"/>
      <c r="Z49" s="64"/>
      <c r="AA49" s="651">
        <f>VLOOKUP('Part 1'!$L$16,Datasheet5!$B$6:$DH$332,AJ49,FALSE)</f>
        <v>-667234588.43000019</v>
      </c>
      <c r="AB49" s="783"/>
      <c r="AC49" s="369"/>
      <c r="AD49" s="367"/>
      <c r="AE49" s="366"/>
      <c r="AF49" s="597">
        <v>47</v>
      </c>
      <c r="AG49" s="598">
        <v>48</v>
      </c>
      <c r="AH49" s="598">
        <v>49</v>
      </c>
      <c r="AI49" s="598">
        <v>50</v>
      </c>
      <c r="AJ49" s="598">
        <v>51</v>
      </c>
    </row>
    <row r="50" spans="1:36" s="368" customFormat="1" x14ac:dyDescent="0.2">
      <c r="A50" s="373"/>
      <c r="B50" s="369"/>
      <c r="C50" s="374"/>
      <c r="D50" s="374"/>
      <c r="E50" s="369"/>
      <c r="F50" s="369"/>
      <c r="G50" s="369"/>
      <c r="H50" s="369"/>
      <c r="I50" s="369"/>
      <c r="J50" s="369"/>
      <c r="K50" s="451"/>
      <c r="L50" s="451"/>
      <c r="M50" s="64"/>
      <c r="N50" s="451"/>
      <c r="O50" s="451"/>
      <c r="P50" s="451"/>
      <c r="Q50" s="64"/>
      <c r="R50" s="451"/>
      <c r="S50" s="451"/>
      <c r="T50" s="451"/>
      <c r="U50" s="447"/>
      <c r="V50" s="451"/>
      <c r="W50" s="451"/>
      <c r="X50" s="451"/>
      <c r="Y50" s="64"/>
      <c r="Z50" s="451"/>
      <c r="AA50" s="451"/>
      <c r="AB50" s="451"/>
      <c r="AC50" s="369"/>
      <c r="AD50" s="367"/>
      <c r="AE50" s="366"/>
      <c r="AF50" s="597"/>
      <c r="AG50" s="598"/>
      <c r="AH50" s="598"/>
      <c r="AI50" s="598"/>
      <c r="AJ50" s="598"/>
    </row>
    <row r="51" spans="1:36" s="368" customFormat="1" ht="15.75" x14ac:dyDescent="0.2">
      <c r="A51" s="373"/>
      <c r="B51" s="369"/>
      <c r="C51" s="377" t="s">
        <v>13</v>
      </c>
      <c r="D51" s="374"/>
      <c r="E51" s="369"/>
      <c r="F51" s="369"/>
      <c r="G51" s="369"/>
      <c r="H51" s="369"/>
      <c r="I51" s="369"/>
      <c r="J51" s="369"/>
      <c r="K51" s="451"/>
      <c r="L51" s="451"/>
      <c r="M51" s="64"/>
      <c r="N51" s="451"/>
      <c r="O51" s="451"/>
      <c r="P51" s="451"/>
      <c r="Q51" s="64"/>
      <c r="R51" s="451"/>
      <c r="S51" s="451"/>
      <c r="T51" s="451"/>
      <c r="U51" s="447"/>
      <c r="V51" s="451"/>
      <c r="W51" s="451"/>
      <c r="X51" s="451"/>
      <c r="Y51" s="64"/>
      <c r="Z51" s="451"/>
      <c r="AA51" s="451"/>
      <c r="AB51" s="451"/>
      <c r="AC51" s="369"/>
      <c r="AD51" s="367"/>
      <c r="AE51" s="366"/>
      <c r="AF51" s="597"/>
      <c r="AG51" s="598"/>
      <c r="AH51" s="598"/>
      <c r="AI51" s="598"/>
      <c r="AJ51" s="598"/>
    </row>
    <row r="52" spans="1:36" s="368" customFormat="1" ht="16.5" thickBot="1" x14ac:dyDescent="0.25">
      <c r="A52" s="373"/>
      <c r="B52" s="369"/>
      <c r="C52" s="377"/>
      <c r="D52" s="377" t="s">
        <v>14</v>
      </c>
      <c r="E52" s="369"/>
      <c r="F52" s="369"/>
      <c r="G52" s="369"/>
      <c r="H52" s="369"/>
      <c r="I52" s="369"/>
      <c r="J52" s="369"/>
      <c r="K52" s="451"/>
      <c r="L52" s="451"/>
      <c r="M52" s="64"/>
      <c r="N52" s="451"/>
      <c r="O52" s="451"/>
      <c r="P52" s="451"/>
      <c r="Q52" s="64"/>
      <c r="R52" s="451"/>
      <c r="S52" s="451"/>
      <c r="T52" s="451"/>
      <c r="U52" s="447"/>
      <c r="V52" s="451"/>
      <c r="W52" s="451"/>
      <c r="X52" s="451"/>
      <c r="Y52" s="64"/>
      <c r="Z52" s="451"/>
      <c r="AA52" s="451"/>
      <c r="AB52" s="451"/>
      <c r="AC52" s="369"/>
      <c r="AD52" s="367"/>
      <c r="AE52" s="366"/>
      <c r="AF52" s="597"/>
      <c r="AG52" s="598"/>
      <c r="AH52" s="598"/>
      <c r="AI52" s="598"/>
      <c r="AJ52" s="598"/>
    </row>
    <row r="53" spans="1:36" s="368" customFormat="1" ht="16.5" thickBot="1" x14ac:dyDescent="0.25">
      <c r="A53" s="373"/>
      <c r="B53" s="369"/>
      <c r="C53" s="374"/>
      <c r="D53" s="366" t="s">
        <v>1008</v>
      </c>
      <c r="E53" s="369"/>
      <c r="F53" s="369"/>
      <c r="G53" s="369"/>
      <c r="H53" s="369"/>
      <c r="I53" s="369"/>
      <c r="J53" s="369"/>
      <c r="K53" s="761">
        <f>VLOOKUP('Part 1'!$L$16,Datasheet5!$B$6:$DH$332,AF53,FALSE)</f>
        <v>-1257613308.9399998</v>
      </c>
      <c r="L53" s="784"/>
      <c r="M53" s="64"/>
      <c r="N53" s="64"/>
      <c r="O53" s="761">
        <f>VLOOKUP('Part 1'!$L$16,Datasheet5!$B$6:$DH$332,AG53,FALSE)</f>
        <v>-1009122947</v>
      </c>
      <c r="P53" s="784"/>
      <c r="Q53" s="64"/>
      <c r="R53" s="64"/>
      <c r="S53" s="761">
        <f>VLOOKUP('Part 1'!$L$16,Datasheet5!$B$6:$DH$332,AH53,FALSE)</f>
        <v>-234978802</v>
      </c>
      <c r="T53" s="784"/>
      <c r="U53" s="447"/>
      <c r="V53" s="64"/>
      <c r="W53" s="761">
        <f>VLOOKUP('Part 1'!$L$16,Datasheet5!$B$6:$DH$332,AI53,FALSE)</f>
        <v>-13511582</v>
      </c>
      <c r="X53" s="784"/>
      <c r="Y53" s="64"/>
      <c r="Z53" s="64"/>
      <c r="AA53" s="761">
        <f>VLOOKUP('Part 1'!$L$16,Datasheet5!$B$6:$DH$332,AJ53,FALSE)</f>
        <v>-2515226637.7000003</v>
      </c>
      <c r="AB53" s="784"/>
      <c r="AC53" s="369"/>
      <c r="AD53" s="367"/>
      <c r="AE53" s="366"/>
      <c r="AF53" s="595">
        <v>52</v>
      </c>
      <c r="AG53" s="595">
        <v>53</v>
      </c>
      <c r="AH53" s="598">
        <v>54</v>
      </c>
      <c r="AI53" s="598">
        <v>55</v>
      </c>
      <c r="AJ53" s="598">
        <v>56</v>
      </c>
    </row>
    <row r="54" spans="1:36" s="368" customFormat="1" ht="15.75" thickBot="1" x14ac:dyDescent="0.25">
      <c r="A54" s="373"/>
      <c r="B54" s="369"/>
      <c r="C54" s="374"/>
      <c r="D54" s="374"/>
      <c r="E54" s="369"/>
      <c r="F54" s="369"/>
      <c r="G54" s="369"/>
      <c r="H54" s="369"/>
      <c r="I54" s="369"/>
      <c r="J54" s="369"/>
      <c r="K54" s="451"/>
      <c r="L54" s="451"/>
      <c r="M54" s="64"/>
      <c r="N54" s="451"/>
      <c r="O54" s="451"/>
      <c r="P54" s="451"/>
      <c r="Q54" s="64"/>
      <c r="R54" s="451"/>
      <c r="S54" s="451"/>
      <c r="T54" s="451"/>
      <c r="U54" s="447"/>
      <c r="V54" s="451"/>
      <c r="W54" s="451"/>
      <c r="X54" s="451"/>
      <c r="Y54" s="64"/>
      <c r="Z54" s="451"/>
      <c r="AA54" s="451"/>
      <c r="AB54" s="451"/>
      <c r="AC54" s="369"/>
      <c r="AD54" s="367"/>
      <c r="AE54" s="366"/>
      <c r="AF54" s="597"/>
      <c r="AG54" s="598"/>
      <c r="AH54" s="598"/>
      <c r="AI54" s="598"/>
      <c r="AJ54" s="598"/>
    </row>
    <row r="55" spans="1:36" s="368" customFormat="1" ht="16.5" thickBot="1" x14ac:dyDescent="0.25">
      <c r="A55" s="373"/>
      <c r="B55" s="369"/>
      <c r="C55" s="374"/>
      <c r="D55" s="366" t="s">
        <v>955</v>
      </c>
      <c r="E55" s="369"/>
      <c r="F55" s="369"/>
      <c r="G55" s="369"/>
      <c r="H55" s="369"/>
      <c r="I55" s="369"/>
      <c r="J55" s="369"/>
      <c r="K55" s="651">
        <f>VLOOKUP('Part 1'!$L$16,Datasheet5!$B$6:$DH$332,AF55,FALSE)</f>
        <v>381720228.70999998</v>
      </c>
      <c r="L55" s="783"/>
      <c r="M55" s="64"/>
      <c r="N55" s="64"/>
      <c r="O55" s="651">
        <f>VLOOKUP('Part 1'!$L$16,Datasheet5!$B$6:$DH$332,AG55,FALSE)</f>
        <v>323953338</v>
      </c>
      <c r="P55" s="783"/>
      <c r="Q55" s="64"/>
      <c r="R55" s="64"/>
      <c r="S55" s="651">
        <f>VLOOKUP('Part 1'!$L$16,Datasheet5!$B$6:$DH$332,AH55,FALSE)</f>
        <v>52758548</v>
      </c>
      <c r="T55" s="783"/>
      <c r="U55" s="447"/>
      <c r="V55" s="64"/>
      <c r="W55" s="651">
        <f>VLOOKUP('Part 1'!$L$16,Datasheet5!$B$6:$DH$332,AI55,FALSE)</f>
        <v>5008365</v>
      </c>
      <c r="X55" s="783"/>
      <c r="Y55" s="64"/>
      <c r="Z55" s="451"/>
      <c r="AA55" s="651">
        <f>VLOOKUP('Part 1'!$L$16,Datasheet5!$B$6:$DH$332,AJ55,FALSE)</f>
        <v>763440479.71000004</v>
      </c>
      <c r="AB55" s="783"/>
      <c r="AC55" s="369"/>
      <c r="AD55" s="367"/>
      <c r="AE55" s="366"/>
      <c r="AF55" s="597">
        <v>57</v>
      </c>
      <c r="AG55" s="598">
        <v>58</v>
      </c>
      <c r="AH55" s="598">
        <v>59</v>
      </c>
      <c r="AI55" s="598">
        <v>60</v>
      </c>
      <c r="AJ55" s="598">
        <v>61</v>
      </c>
    </row>
    <row r="56" spans="1:36" s="368" customFormat="1" ht="15.75" thickBot="1" x14ac:dyDescent="0.25">
      <c r="A56" s="373"/>
      <c r="B56" s="369"/>
      <c r="C56" s="374"/>
      <c r="D56" s="374"/>
      <c r="E56" s="369"/>
      <c r="F56" s="369"/>
      <c r="G56" s="369"/>
      <c r="H56" s="369"/>
      <c r="I56" s="369"/>
      <c r="J56" s="369"/>
      <c r="K56" s="451"/>
      <c r="L56" s="451"/>
      <c r="M56" s="64"/>
      <c r="N56" s="451"/>
      <c r="O56" s="451"/>
      <c r="P56" s="451"/>
      <c r="Q56" s="64"/>
      <c r="R56" s="451"/>
      <c r="S56" s="451"/>
      <c r="T56" s="451"/>
      <c r="U56" s="447"/>
      <c r="V56" s="451"/>
      <c r="W56" s="451"/>
      <c r="X56" s="451"/>
      <c r="Y56" s="64"/>
      <c r="Z56" s="451"/>
      <c r="AA56" s="451"/>
      <c r="AB56" s="451"/>
      <c r="AC56" s="369"/>
      <c r="AD56" s="367"/>
      <c r="AE56" s="366"/>
      <c r="AF56" s="597"/>
      <c r="AG56" s="598"/>
      <c r="AH56" s="598"/>
      <c r="AI56" s="598"/>
      <c r="AJ56" s="598"/>
    </row>
    <row r="57" spans="1:36" s="368" customFormat="1" ht="16.5" thickBot="1" x14ac:dyDescent="0.25">
      <c r="A57" s="373"/>
      <c r="B57" s="369"/>
      <c r="C57" s="374"/>
      <c r="D57" s="366" t="s">
        <v>956</v>
      </c>
      <c r="E57" s="369"/>
      <c r="F57" s="369"/>
      <c r="G57" s="369"/>
      <c r="H57" s="369"/>
      <c r="I57" s="369"/>
      <c r="J57" s="369"/>
      <c r="K57" s="651">
        <f>VLOOKUP('Part 1'!$L$16,Datasheet5!$B$6:$DH$332,AF57,FALSE)</f>
        <v>-525319874.25</v>
      </c>
      <c r="L57" s="783"/>
      <c r="M57" s="64"/>
      <c r="N57" s="64"/>
      <c r="O57" s="651">
        <f>VLOOKUP('Part 1'!$L$16,Datasheet5!$B$6:$DH$332,AG57,FALSE)</f>
        <v>-430815221</v>
      </c>
      <c r="P57" s="783"/>
      <c r="Q57" s="64"/>
      <c r="R57" s="64"/>
      <c r="S57" s="651">
        <f>VLOOKUP('Part 1'!$L$16,Datasheet5!$B$6:$DH$332,AH57,FALSE)</f>
        <v>-88054474</v>
      </c>
      <c r="T57" s="783"/>
      <c r="U57" s="447"/>
      <c r="V57" s="64"/>
      <c r="W57" s="651">
        <f>VLOOKUP('Part 1'!$L$16,Datasheet5!$B$6:$DH$332,AI57,FALSE)</f>
        <v>-6450195</v>
      </c>
      <c r="X57" s="783"/>
      <c r="Y57" s="64"/>
      <c r="Z57" s="64"/>
      <c r="AA57" s="651">
        <f>VLOOKUP('Part 1'!$L$16,Datasheet5!$B$6:$DH$332,AJ57,FALSE)</f>
        <v>-1050639764.25</v>
      </c>
      <c r="AB57" s="783"/>
      <c r="AC57" s="369"/>
      <c r="AD57" s="367"/>
      <c r="AE57" s="366"/>
      <c r="AF57" s="597">
        <v>62</v>
      </c>
      <c r="AG57" s="598">
        <v>63</v>
      </c>
      <c r="AH57" s="598">
        <v>64</v>
      </c>
      <c r="AI57" s="598">
        <v>65</v>
      </c>
      <c r="AJ57" s="598">
        <v>66</v>
      </c>
    </row>
    <row r="58" spans="1:36" s="368" customFormat="1" ht="15.75" thickBot="1" x14ac:dyDescent="0.25">
      <c r="A58" s="373"/>
      <c r="B58" s="369"/>
      <c r="C58" s="374"/>
      <c r="D58" s="374"/>
      <c r="E58" s="369"/>
      <c r="F58" s="369"/>
      <c r="G58" s="369"/>
      <c r="H58" s="369"/>
      <c r="I58" s="369"/>
      <c r="J58" s="369"/>
      <c r="K58" s="451"/>
      <c r="L58" s="451"/>
      <c r="M58" s="64"/>
      <c r="N58" s="451"/>
      <c r="O58" s="451"/>
      <c r="P58" s="451"/>
      <c r="Q58" s="64"/>
      <c r="R58" s="451"/>
      <c r="S58" s="451"/>
      <c r="T58" s="451"/>
      <c r="U58" s="447"/>
      <c r="V58" s="451"/>
      <c r="W58" s="451"/>
      <c r="X58" s="451"/>
      <c r="Y58" s="64"/>
      <c r="Z58" s="451"/>
      <c r="AA58" s="451"/>
      <c r="AB58" s="451"/>
      <c r="AC58" s="369"/>
      <c r="AD58" s="367"/>
      <c r="AE58" s="366"/>
      <c r="AF58" s="597"/>
      <c r="AG58" s="598"/>
      <c r="AH58" s="598"/>
      <c r="AI58" s="598"/>
      <c r="AJ58" s="598"/>
    </row>
    <row r="59" spans="1:36" s="368" customFormat="1" ht="16.5" thickBot="1" x14ac:dyDescent="0.25">
      <c r="A59" s="373"/>
      <c r="B59" s="369"/>
      <c r="C59" s="374"/>
      <c r="D59" s="366" t="s">
        <v>1009</v>
      </c>
      <c r="E59" s="369"/>
      <c r="F59" s="369"/>
      <c r="G59" s="369"/>
      <c r="H59" s="369"/>
      <c r="I59" s="369"/>
      <c r="J59" s="369"/>
      <c r="K59" s="651">
        <f>VLOOKUP('Part 1'!$L$16,Datasheet5!$B$6:$DH$332,AF59,FALSE)</f>
        <v>-1401212954.4799998</v>
      </c>
      <c r="L59" s="783"/>
      <c r="M59" s="64"/>
      <c r="N59" s="64"/>
      <c r="O59" s="651">
        <f>VLOOKUP('Part 1'!$L$16,Datasheet5!$B$6:$DH$332,AG59,FALSE)</f>
        <v>-1115984830</v>
      </c>
      <c r="P59" s="783"/>
      <c r="Q59" s="64"/>
      <c r="R59" s="64"/>
      <c r="S59" s="651">
        <f>VLOOKUP('Part 1'!$L$16,Datasheet5!$B$6:$DH$332,AH59,FALSE)</f>
        <v>-270274728</v>
      </c>
      <c r="T59" s="783"/>
      <c r="U59" s="447"/>
      <c r="V59" s="64"/>
      <c r="W59" s="651">
        <f>VLOOKUP('Part 1'!$L$16,Datasheet5!$B$6:$DH$332,AI59,FALSE)</f>
        <v>-14953412</v>
      </c>
      <c r="X59" s="783"/>
      <c r="Y59" s="64"/>
      <c r="Z59" s="64"/>
      <c r="AA59" s="651">
        <f>VLOOKUP('Part 1'!$L$16,Datasheet5!$B$6:$DH$332,AJ59,FALSE)</f>
        <v>-2802425922.2400002</v>
      </c>
      <c r="AB59" s="783"/>
      <c r="AC59" s="369"/>
      <c r="AD59" s="367"/>
      <c r="AE59" s="366"/>
      <c r="AF59" s="597">
        <v>67</v>
      </c>
      <c r="AG59" s="598">
        <v>68</v>
      </c>
      <c r="AH59" s="598">
        <v>69</v>
      </c>
      <c r="AI59" s="598">
        <v>70</v>
      </c>
      <c r="AJ59" s="598">
        <v>71</v>
      </c>
    </row>
    <row r="60" spans="1:36" ht="15.75" thickBot="1" x14ac:dyDescent="0.25">
      <c r="A60" s="14"/>
      <c r="B60" s="2"/>
      <c r="C60" s="18"/>
      <c r="D60" s="49"/>
      <c r="E60" s="127"/>
      <c r="F60" s="127"/>
      <c r="G60" s="127"/>
      <c r="H60" s="127"/>
      <c r="I60" s="127"/>
      <c r="J60" s="2"/>
      <c r="K60" s="2"/>
      <c r="L60" s="2"/>
      <c r="M60" s="351"/>
      <c r="N60" s="2"/>
      <c r="O60" s="2"/>
      <c r="P60" s="2"/>
      <c r="Q60" s="2"/>
      <c r="R60" s="2"/>
      <c r="S60" s="2"/>
      <c r="T60" s="2"/>
      <c r="U60" s="351"/>
      <c r="V60" s="2"/>
      <c r="W60" s="2"/>
      <c r="X60" s="2"/>
      <c r="Y60" s="351"/>
      <c r="Z60" s="2"/>
      <c r="AA60" s="2"/>
      <c r="AB60" s="2"/>
      <c r="AC60" s="2"/>
      <c r="AD60" s="8"/>
      <c r="AE60" s="6"/>
      <c r="AF60" s="596"/>
    </row>
    <row r="61" spans="1:36" ht="15.75" thickBot="1" x14ac:dyDescent="0.25">
      <c r="A61" s="458"/>
      <c r="B61" s="459"/>
      <c r="C61" s="418"/>
      <c r="D61" s="418"/>
      <c r="E61" s="459"/>
      <c r="F61" s="459"/>
      <c r="G61" s="459"/>
      <c r="H61" s="459"/>
      <c r="I61" s="459"/>
      <c r="J61" s="459"/>
      <c r="K61" s="459"/>
      <c r="L61" s="459"/>
      <c r="M61" s="460"/>
      <c r="N61" s="459"/>
      <c r="O61" s="459"/>
      <c r="P61" s="459"/>
      <c r="Q61" s="459"/>
      <c r="R61" s="459"/>
      <c r="S61" s="459"/>
      <c r="T61" s="459"/>
      <c r="U61" s="459"/>
      <c r="V61" s="459"/>
      <c r="W61" s="459"/>
      <c r="X61" s="459"/>
      <c r="Y61" s="459"/>
      <c r="Z61" s="459"/>
      <c r="AA61" s="459"/>
      <c r="AB61" s="459"/>
      <c r="AC61" s="459"/>
      <c r="AD61" s="461"/>
      <c r="AE61" s="6"/>
      <c r="AF61" s="596"/>
    </row>
    <row r="62" spans="1:36" x14ac:dyDescent="0.2">
      <c r="A62" s="14"/>
      <c r="B62" s="2"/>
      <c r="C62" s="462"/>
      <c r="D62" s="463"/>
      <c r="E62" s="464"/>
      <c r="F62" s="464"/>
      <c r="G62" s="464"/>
      <c r="H62" s="464"/>
      <c r="I62" s="464"/>
      <c r="J62" s="464"/>
      <c r="K62" s="464"/>
      <c r="L62" s="464"/>
      <c r="M62" s="465"/>
      <c r="N62" s="464"/>
      <c r="O62" s="464"/>
      <c r="P62" s="464"/>
      <c r="Q62" s="464"/>
      <c r="R62" s="464"/>
      <c r="S62" s="464"/>
      <c r="T62" s="464"/>
      <c r="U62" s="464"/>
      <c r="V62" s="464"/>
      <c r="W62" s="464"/>
      <c r="X62" s="464"/>
      <c r="Y62" s="464"/>
      <c r="Z62" s="464"/>
      <c r="AA62" s="464"/>
      <c r="AB62" s="464"/>
      <c r="AC62" s="466"/>
      <c r="AD62" s="8"/>
      <c r="AE62" s="6"/>
      <c r="AF62" s="596"/>
    </row>
    <row r="63" spans="1:36" ht="15.75" x14ac:dyDescent="0.25">
      <c r="A63" s="14"/>
      <c r="B63" s="2"/>
      <c r="C63" s="467" t="s">
        <v>1020</v>
      </c>
      <c r="D63" s="468"/>
      <c r="E63" s="469"/>
      <c r="F63" s="469"/>
      <c r="G63" s="469"/>
      <c r="H63" s="469"/>
      <c r="I63" s="469"/>
      <c r="J63" s="469"/>
      <c r="K63" s="469"/>
      <c r="L63" s="469"/>
      <c r="M63" s="470"/>
      <c r="N63" s="469"/>
      <c r="O63" s="469"/>
      <c r="P63" s="469"/>
      <c r="Q63" s="469"/>
      <c r="R63" s="469"/>
      <c r="S63" s="469"/>
      <c r="T63" s="469"/>
      <c r="U63" s="469"/>
      <c r="V63" s="469"/>
      <c r="W63" s="469"/>
      <c r="X63" s="469"/>
      <c r="Y63" s="469"/>
      <c r="Z63" s="469"/>
      <c r="AA63" s="469"/>
      <c r="AB63" s="469"/>
      <c r="AC63" s="471"/>
      <c r="AD63" s="8"/>
      <c r="AE63" s="6"/>
      <c r="AF63" s="596"/>
    </row>
    <row r="64" spans="1:36" ht="15.75" x14ac:dyDescent="0.25">
      <c r="A64" s="14"/>
      <c r="B64" s="2"/>
      <c r="C64" s="467"/>
      <c r="D64" s="468"/>
      <c r="E64" s="469"/>
      <c r="F64" s="469"/>
      <c r="G64" s="469"/>
      <c r="H64" s="469"/>
      <c r="I64" s="469"/>
      <c r="J64" s="469"/>
      <c r="K64" s="469"/>
      <c r="L64" s="469"/>
      <c r="M64" s="470"/>
      <c r="N64" s="469"/>
      <c r="O64" s="469"/>
      <c r="P64" s="469"/>
      <c r="Q64" s="469"/>
      <c r="R64" s="469"/>
      <c r="S64" s="469"/>
      <c r="T64" s="469"/>
      <c r="U64" s="469"/>
      <c r="V64" s="469"/>
      <c r="W64" s="469"/>
      <c r="X64" s="469"/>
      <c r="Y64" s="469"/>
      <c r="Z64" s="469"/>
      <c r="AA64" s="469"/>
      <c r="AB64" s="469"/>
      <c r="AC64" s="471"/>
      <c r="AD64" s="8"/>
      <c r="AE64" s="6"/>
      <c r="AF64" s="596"/>
    </row>
    <row r="65" spans="1:36" ht="15.75" x14ac:dyDescent="0.25">
      <c r="A65" s="14"/>
      <c r="B65" s="2"/>
      <c r="C65" s="467"/>
      <c r="D65" s="468"/>
      <c r="E65" s="469"/>
      <c r="F65" s="469"/>
      <c r="G65" s="469"/>
      <c r="H65" s="469"/>
      <c r="I65" s="469"/>
      <c r="J65" s="469"/>
      <c r="K65" s="799" t="s">
        <v>6</v>
      </c>
      <c r="L65" s="800"/>
      <c r="M65" s="578"/>
      <c r="N65" s="579"/>
      <c r="O65" s="799" t="str">
        <f>VLOOKUP('Part 1'!$L$16,Datasheet1!$B$6:$R$332,15,FALSE)</f>
        <v>-</v>
      </c>
      <c r="P65" s="800"/>
      <c r="Q65" s="578"/>
      <c r="R65" s="580"/>
      <c r="S65" s="799" t="str">
        <f>VLOOKUP('Part 1'!$L$16,Datasheet1!$B$6:$R$332,16,FALSE)</f>
        <v>-</v>
      </c>
      <c r="T65" s="800"/>
      <c r="U65" s="578"/>
      <c r="V65" s="580"/>
      <c r="W65" s="799" t="str">
        <f>VLOOKUP('Part 1'!$L$16,Datasheet1!$B$6:$R$332,17,FALSE)</f>
        <v>-</v>
      </c>
      <c r="X65" s="800"/>
      <c r="Y65" s="578"/>
      <c r="Z65" s="579"/>
      <c r="AA65" s="799" t="s">
        <v>7</v>
      </c>
      <c r="AB65" s="799"/>
      <c r="AC65" s="471"/>
      <c r="AD65" s="8"/>
      <c r="AE65" s="6"/>
      <c r="AF65" s="596"/>
    </row>
    <row r="66" spans="1:36" ht="15.75" x14ac:dyDescent="0.25">
      <c r="A66" s="14"/>
      <c r="B66" s="2"/>
      <c r="C66" s="472"/>
      <c r="D66" s="468"/>
      <c r="E66" s="469"/>
      <c r="F66" s="469"/>
      <c r="G66" s="469"/>
      <c r="H66" s="469"/>
      <c r="I66" s="469"/>
      <c r="J66" s="469"/>
      <c r="K66" s="800"/>
      <c r="L66" s="800"/>
      <c r="M66" s="578"/>
      <c r="N66" s="579"/>
      <c r="O66" s="800"/>
      <c r="P66" s="800"/>
      <c r="Q66" s="578"/>
      <c r="R66" s="580"/>
      <c r="S66" s="800"/>
      <c r="T66" s="800"/>
      <c r="U66" s="578"/>
      <c r="V66" s="580"/>
      <c r="W66" s="800"/>
      <c r="X66" s="800"/>
      <c r="Y66" s="578"/>
      <c r="Z66" s="580"/>
      <c r="AA66" s="580"/>
      <c r="AB66" s="580"/>
      <c r="AC66" s="471"/>
      <c r="AD66" s="8"/>
      <c r="AE66" s="6"/>
      <c r="AF66" s="596"/>
    </row>
    <row r="67" spans="1:36" ht="16.5" thickBot="1" x14ac:dyDescent="0.3">
      <c r="A67" s="14"/>
      <c r="B67" s="2"/>
      <c r="C67" s="472"/>
      <c r="D67" s="473" t="s">
        <v>1021</v>
      </c>
      <c r="E67" s="469"/>
      <c r="F67" s="469"/>
      <c r="G67" s="469"/>
      <c r="H67" s="469"/>
      <c r="I67" s="469"/>
      <c r="J67" s="469"/>
      <c r="K67" s="801" t="s">
        <v>20</v>
      </c>
      <c r="L67" s="801"/>
      <c r="M67" s="470"/>
      <c r="N67" s="469"/>
      <c r="O67" s="801" t="s">
        <v>20</v>
      </c>
      <c r="P67" s="801"/>
      <c r="Q67" s="469"/>
      <c r="R67" s="469"/>
      <c r="S67" s="801" t="s">
        <v>20</v>
      </c>
      <c r="T67" s="801"/>
      <c r="U67" s="469"/>
      <c r="V67" s="469"/>
      <c r="W67" s="801" t="s">
        <v>20</v>
      </c>
      <c r="X67" s="801"/>
      <c r="Y67" s="469"/>
      <c r="Z67" s="469"/>
      <c r="AA67" s="801" t="s">
        <v>20</v>
      </c>
      <c r="AB67" s="801"/>
      <c r="AC67" s="471"/>
      <c r="AD67" s="8"/>
      <c r="AE67" s="6"/>
      <c r="AF67" s="596"/>
    </row>
    <row r="68" spans="1:36" ht="16.5" thickBot="1" x14ac:dyDescent="0.25">
      <c r="A68" s="14"/>
      <c r="B68" s="2"/>
      <c r="C68" s="472"/>
      <c r="D68" s="474" t="s">
        <v>1079</v>
      </c>
      <c r="E68" s="475"/>
      <c r="F68" s="475"/>
      <c r="G68" s="475"/>
      <c r="H68" s="475"/>
      <c r="I68" s="475"/>
      <c r="J68" s="475"/>
      <c r="K68" s="796">
        <f>VLOOKUP('Part 1'!$L$16,Datasheet5!$B$6:$DH$332,AF68,FALSE)</f>
        <v>-714560125.60100031</v>
      </c>
      <c r="L68" s="797"/>
      <c r="M68" s="470"/>
      <c r="N68" s="469"/>
      <c r="O68" s="792">
        <f>VLOOKUP('Part 1'!$L$16,Datasheet5!$B$6:$DH$332,AG68,FALSE)</f>
        <v>-568354327</v>
      </c>
      <c r="P68" s="793"/>
      <c r="Q68" s="469"/>
      <c r="R68" s="469"/>
      <c r="S68" s="792">
        <f>VLOOKUP('Part 1'!$L$16,Datasheet5!$B$6:$DH$332,AH68,FALSE)</f>
        <v>-139010194</v>
      </c>
      <c r="T68" s="793"/>
      <c r="U68" s="469"/>
      <c r="V68" s="469"/>
      <c r="W68" s="792">
        <f>VLOOKUP('Part 1'!$L$16,Datasheet5!$B$6:$DH$332,AI68,FALSE)</f>
        <v>-7195598</v>
      </c>
      <c r="X68" s="793"/>
      <c r="Y68" s="469"/>
      <c r="Z68" s="469"/>
      <c r="AA68" s="794">
        <f>VLOOKUP('Part 1'!$L$16,Datasheet5!$B$6:$DH$332,AJ68,FALSE)</f>
        <v>-1429120244.6010003</v>
      </c>
      <c r="AB68" s="795"/>
      <c r="AC68" s="471"/>
      <c r="AD68" s="8"/>
      <c r="AE68" s="6"/>
      <c r="AF68" s="596">
        <v>72</v>
      </c>
      <c r="AG68" s="595">
        <v>73</v>
      </c>
      <c r="AH68" s="595">
        <v>74</v>
      </c>
      <c r="AI68" s="595">
        <v>75</v>
      </c>
      <c r="AJ68" s="595">
        <v>76</v>
      </c>
    </row>
    <row r="69" spans="1:36" ht="15.75" thickBot="1" x14ac:dyDescent="0.25">
      <c r="A69" s="14"/>
      <c r="B69" s="2"/>
      <c r="C69" s="472"/>
      <c r="D69" s="468"/>
      <c r="E69" s="469"/>
      <c r="F69" s="469"/>
      <c r="G69" s="469"/>
      <c r="H69" s="469"/>
      <c r="I69" s="469"/>
      <c r="J69" s="469"/>
      <c r="K69" s="469"/>
      <c r="L69" s="469"/>
      <c r="M69" s="470"/>
      <c r="N69" s="469"/>
      <c r="O69" s="469"/>
      <c r="P69" s="469"/>
      <c r="Q69" s="469"/>
      <c r="R69" s="469"/>
      <c r="S69" s="469"/>
      <c r="T69" s="469"/>
      <c r="U69" s="469"/>
      <c r="V69" s="469"/>
      <c r="W69" s="469"/>
      <c r="X69" s="469"/>
      <c r="Y69" s="469"/>
      <c r="Z69" s="469"/>
      <c r="AA69" s="469"/>
      <c r="AB69" s="469"/>
      <c r="AC69" s="471"/>
      <c r="AD69" s="8"/>
      <c r="AE69" s="6"/>
      <c r="AF69" s="596"/>
    </row>
    <row r="70" spans="1:36" ht="16.5" thickBot="1" x14ac:dyDescent="0.25">
      <c r="A70" s="14"/>
      <c r="B70" s="2"/>
      <c r="C70" s="472"/>
      <c r="D70" s="474" t="s">
        <v>1076</v>
      </c>
      <c r="E70" s="475"/>
      <c r="F70" s="475"/>
      <c r="G70" s="475"/>
      <c r="H70" s="475"/>
      <c r="I70" s="475"/>
      <c r="J70" s="475"/>
      <c r="K70" s="796">
        <f>VLOOKUP('Part 1'!$L$16,Datasheet5!$B$6:$DH$332,AF70,FALSE)</f>
        <v>-224018136.73000002</v>
      </c>
      <c r="L70" s="797"/>
      <c r="M70" s="470"/>
      <c r="N70" s="469"/>
      <c r="O70" s="792">
        <f>VLOOKUP('Part 1'!$L$16,Datasheet5!$B$6:$DH$332,AG70,FALSE)</f>
        <v>-181744396</v>
      </c>
      <c r="P70" s="793"/>
      <c r="Q70" s="469"/>
      <c r="R70" s="469"/>
      <c r="S70" s="792">
        <f>VLOOKUP('Part 1'!$L$16,Datasheet5!$B$6:$DH$332,AH70,FALSE)</f>
        <v>-40170368</v>
      </c>
      <c r="T70" s="793"/>
      <c r="U70" s="469"/>
      <c r="V70" s="469"/>
      <c r="W70" s="792">
        <f>VLOOKUP('Part 1'!$L$16,Datasheet5!$B$6:$DH$332,AI70,FALSE)</f>
        <v>-2103380</v>
      </c>
      <c r="X70" s="793"/>
      <c r="Y70" s="469"/>
      <c r="Z70" s="469"/>
      <c r="AA70" s="794">
        <f>VLOOKUP('Part 1'!$L$16,Datasheet5!$B$6:$DH$332,AJ70,FALSE)</f>
        <v>-448036280.73000002</v>
      </c>
      <c r="AB70" s="795"/>
      <c r="AC70" s="471"/>
      <c r="AD70" s="8"/>
      <c r="AE70" s="6"/>
      <c r="AF70" s="596">
        <v>77</v>
      </c>
      <c r="AG70" s="595">
        <v>78</v>
      </c>
      <c r="AH70" s="595">
        <v>79</v>
      </c>
      <c r="AI70" s="595">
        <v>80</v>
      </c>
      <c r="AJ70" s="595">
        <v>81</v>
      </c>
    </row>
    <row r="71" spans="1:36" ht="15.75" thickBot="1" x14ac:dyDescent="0.25">
      <c r="A71" s="14"/>
      <c r="B71" s="2"/>
      <c r="C71" s="472"/>
      <c r="D71" s="468"/>
      <c r="E71" s="469"/>
      <c r="F71" s="469"/>
      <c r="G71" s="469"/>
      <c r="H71" s="469"/>
      <c r="I71" s="469"/>
      <c r="J71" s="469"/>
      <c r="K71" s="469"/>
      <c r="L71" s="469"/>
      <c r="M71" s="470"/>
      <c r="N71" s="469"/>
      <c r="O71" s="469"/>
      <c r="P71" s="469"/>
      <c r="Q71" s="469"/>
      <c r="R71" s="469"/>
      <c r="S71" s="469"/>
      <c r="T71" s="469"/>
      <c r="U71" s="469"/>
      <c r="V71" s="469"/>
      <c r="W71" s="469"/>
      <c r="X71" s="469"/>
      <c r="Y71" s="469"/>
      <c r="Z71" s="469"/>
      <c r="AA71" s="469"/>
      <c r="AB71" s="469"/>
      <c r="AC71" s="471"/>
      <c r="AD71" s="8"/>
      <c r="AE71" s="6"/>
      <c r="AF71" s="596"/>
    </row>
    <row r="72" spans="1:36" ht="16.5" thickBot="1" x14ac:dyDescent="0.25">
      <c r="A72" s="14"/>
      <c r="B72" s="2"/>
      <c r="C72" s="472"/>
      <c r="D72" s="798" t="s">
        <v>1078</v>
      </c>
      <c r="E72" s="791"/>
      <c r="F72" s="791"/>
      <c r="G72" s="791"/>
      <c r="H72" s="791"/>
      <c r="I72" s="483"/>
      <c r="J72" s="475"/>
      <c r="K72" s="792">
        <f>VLOOKUP('Part 1'!$L$16,Datasheet5!$B$6:$DH$332,AF72,FALSE)</f>
        <v>-490541988.87100029</v>
      </c>
      <c r="L72" s="793"/>
      <c r="M72" s="470"/>
      <c r="N72" s="469"/>
      <c r="O72" s="792">
        <f>VLOOKUP('Part 1'!$L$16,Datasheet5!$B$6:$DH$332,AG72,FALSE)</f>
        <v>-386609931</v>
      </c>
      <c r="P72" s="793"/>
      <c r="Q72" s="469"/>
      <c r="R72" s="469"/>
      <c r="S72" s="792">
        <f>VLOOKUP('Part 1'!$L$16,Datasheet5!$B$6:$DH$332,AH72,FALSE)</f>
        <v>-98839826</v>
      </c>
      <c r="T72" s="793"/>
      <c r="U72" s="469"/>
      <c r="V72" s="469"/>
      <c r="W72" s="792">
        <f>VLOOKUP('Part 1'!$L$16,Datasheet5!$B$6:$DH$332,AI72,FALSE)</f>
        <v>-5092218</v>
      </c>
      <c r="X72" s="793"/>
      <c r="Y72" s="469"/>
      <c r="Z72" s="469"/>
      <c r="AA72" s="792">
        <f>VLOOKUP('Part 1'!$L$16,Datasheet5!$B$6:$DH$332,AJ72,FALSE)</f>
        <v>-981083963.87100041</v>
      </c>
      <c r="AB72" s="793"/>
      <c r="AC72" s="471"/>
      <c r="AD72" s="8"/>
      <c r="AE72" s="6"/>
      <c r="AF72" s="596">
        <v>82</v>
      </c>
      <c r="AG72" s="595">
        <v>83</v>
      </c>
      <c r="AH72" s="595">
        <v>84</v>
      </c>
      <c r="AI72" s="595">
        <v>85</v>
      </c>
      <c r="AJ72" s="595">
        <v>86</v>
      </c>
    </row>
    <row r="73" spans="1:36" x14ac:dyDescent="0.2">
      <c r="A73" s="14"/>
      <c r="B73" s="2"/>
      <c r="C73" s="472"/>
      <c r="D73" s="791"/>
      <c r="E73" s="791"/>
      <c r="F73" s="791"/>
      <c r="G73" s="791"/>
      <c r="H73" s="791"/>
      <c r="I73" s="483"/>
      <c r="J73" s="469"/>
      <c r="K73" s="469"/>
      <c r="L73" s="469"/>
      <c r="M73" s="470"/>
      <c r="N73" s="469"/>
      <c r="O73" s="469"/>
      <c r="P73" s="469"/>
      <c r="Q73" s="469"/>
      <c r="R73" s="469"/>
      <c r="S73" s="469"/>
      <c r="T73" s="469"/>
      <c r="U73" s="469"/>
      <c r="V73" s="469"/>
      <c r="W73" s="469"/>
      <c r="X73" s="469"/>
      <c r="Y73" s="469"/>
      <c r="Z73" s="469"/>
      <c r="AA73" s="469"/>
      <c r="AB73" s="469"/>
      <c r="AC73" s="471"/>
      <c r="AD73" s="8"/>
      <c r="AE73" s="6"/>
      <c r="AF73" s="596"/>
    </row>
    <row r="74" spans="1:36" ht="15.75" thickBot="1" x14ac:dyDescent="0.25">
      <c r="A74" s="14"/>
      <c r="B74" s="2"/>
      <c r="C74" s="472"/>
      <c r="D74" s="468"/>
      <c r="E74" s="469"/>
      <c r="F74" s="469"/>
      <c r="G74" s="469"/>
      <c r="H74" s="469"/>
      <c r="I74" s="469"/>
      <c r="J74" s="469"/>
      <c r="K74" s="469"/>
      <c r="L74" s="469"/>
      <c r="M74" s="470"/>
      <c r="N74" s="469"/>
      <c r="O74" s="469"/>
      <c r="P74" s="469"/>
      <c r="Q74" s="469"/>
      <c r="R74" s="469"/>
      <c r="S74" s="469"/>
      <c r="T74" s="469"/>
      <c r="U74" s="469"/>
      <c r="V74" s="469"/>
      <c r="W74" s="469"/>
      <c r="X74" s="469"/>
      <c r="Y74" s="469"/>
      <c r="Z74" s="469"/>
      <c r="AA74" s="469"/>
      <c r="AB74" s="469"/>
      <c r="AC74" s="471"/>
      <c r="AD74" s="8"/>
      <c r="AE74" s="6"/>
      <c r="AF74" s="596"/>
    </row>
    <row r="75" spans="1:36" ht="16.5" thickBot="1" x14ac:dyDescent="0.25">
      <c r="A75" s="14"/>
      <c r="B75" s="2"/>
      <c r="C75" s="472"/>
      <c r="D75" s="476" t="s">
        <v>1022</v>
      </c>
      <c r="E75" s="469"/>
      <c r="F75" s="469"/>
      <c r="G75" s="469"/>
      <c r="H75" s="469"/>
      <c r="I75" s="469"/>
      <c r="J75" s="469"/>
      <c r="K75" s="796">
        <f>VLOOKUP('Part 1'!$L$16,Datasheet5!$B$6:$DH$332,AF75,FALSE)</f>
        <v>11560060423</v>
      </c>
      <c r="L75" s="797"/>
      <c r="M75" s="470"/>
      <c r="N75" s="469"/>
      <c r="O75" s="792">
        <f>VLOOKUP('Part 1'!$L$16,Datasheet5!$B$6:$DH$332,AG75,FALSE)</f>
        <v>9359944299</v>
      </c>
      <c r="P75" s="793"/>
      <c r="Q75" s="469"/>
      <c r="R75" s="469"/>
      <c r="S75" s="792">
        <f>VLOOKUP('Part 1'!$L$16,Datasheet5!$B$6:$DH$332,AH75,FALSE)</f>
        <v>2071930587</v>
      </c>
      <c r="T75" s="793"/>
      <c r="U75" s="469"/>
      <c r="V75" s="469"/>
      <c r="W75" s="792">
        <f>VLOOKUP('Part 1'!$L$16,Datasheet5!$B$6:$DH$332,AI75,FALSE)</f>
        <v>128185574</v>
      </c>
      <c r="X75" s="793"/>
      <c r="Y75" s="469"/>
      <c r="Z75" s="469"/>
      <c r="AA75" s="794">
        <f>VLOOKUP('Part 1'!$L$16,Datasheet5!$B$6:$DH$332,AJ75,FALSE)</f>
        <v>23120120883</v>
      </c>
      <c r="AB75" s="795"/>
      <c r="AC75" s="471"/>
      <c r="AD75" s="8"/>
      <c r="AE75" s="6"/>
      <c r="AF75" s="596">
        <v>87</v>
      </c>
      <c r="AG75" s="595">
        <v>88</v>
      </c>
      <c r="AH75" s="595">
        <v>89</v>
      </c>
      <c r="AI75" s="595">
        <v>90</v>
      </c>
      <c r="AJ75" s="595">
        <v>91</v>
      </c>
    </row>
    <row r="76" spans="1:36" ht="15.75" thickBot="1" x14ac:dyDescent="0.25">
      <c r="A76" s="14"/>
      <c r="B76" s="2"/>
      <c r="C76" s="472"/>
      <c r="D76" s="468"/>
      <c r="E76" s="469"/>
      <c r="F76" s="469"/>
      <c r="G76" s="469"/>
      <c r="H76" s="469"/>
      <c r="I76" s="469"/>
      <c r="J76" s="469"/>
      <c r="K76" s="469"/>
      <c r="L76" s="469"/>
      <c r="M76" s="470"/>
      <c r="N76" s="469"/>
      <c r="O76" s="469"/>
      <c r="P76" s="469"/>
      <c r="Q76" s="469"/>
      <c r="R76" s="469"/>
      <c r="S76" s="469"/>
      <c r="T76" s="469"/>
      <c r="U76" s="469"/>
      <c r="V76" s="469"/>
      <c r="W76" s="469"/>
      <c r="X76" s="469"/>
      <c r="Y76" s="469"/>
      <c r="Z76" s="469"/>
      <c r="AA76" s="469"/>
      <c r="AB76" s="469"/>
      <c r="AC76" s="471"/>
      <c r="AD76" s="8"/>
      <c r="AE76" s="6"/>
      <c r="AF76" s="596"/>
    </row>
    <row r="77" spans="1:36" ht="16.5" thickBot="1" x14ac:dyDescent="0.25">
      <c r="A77" s="14"/>
      <c r="B77" s="2"/>
      <c r="C77" s="472"/>
      <c r="D77" s="476" t="s">
        <v>1023</v>
      </c>
      <c r="E77" s="469"/>
      <c r="F77" s="469"/>
      <c r="G77" s="469"/>
      <c r="H77" s="469"/>
      <c r="I77" s="469"/>
      <c r="J77" s="469"/>
      <c r="K77" s="792">
        <f>VLOOKUP('Part 1'!$L$16,Datasheet5!$B$6:$DH$332,AF77,FALSE)</f>
        <v>11208657846.779999</v>
      </c>
      <c r="L77" s="793"/>
      <c r="M77" s="470"/>
      <c r="N77" s="469"/>
      <c r="O77" s="792">
        <f>VLOOKUP('Part 1'!$L$16,Datasheet5!$B$6:$DH$332,AG77,FALSE)</f>
        <v>9072772098</v>
      </c>
      <c r="P77" s="793"/>
      <c r="Q77" s="469"/>
      <c r="R77" s="469"/>
      <c r="S77" s="792">
        <f>VLOOKUP('Part 1'!$L$16,Datasheet5!$B$6:$DH$332,AH77,FALSE)</f>
        <v>2012022903</v>
      </c>
      <c r="T77" s="793"/>
      <c r="U77" s="469"/>
      <c r="V77" s="469"/>
      <c r="W77" s="792">
        <f>VLOOKUP('Part 1'!$L$16,Datasheet5!$B$6:$DH$332,AI77,FALSE)</f>
        <v>123862860</v>
      </c>
      <c r="X77" s="793"/>
      <c r="Y77" s="469"/>
      <c r="Z77" s="469"/>
      <c r="AA77" s="792">
        <f>VLOOKUP('Part 1'!$L$16,Datasheet5!$B$6:$DH$332,AJ77,FALSE)</f>
        <v>22417315707.779999</v>
      </c>
      <c r="AB77" s="793"/>
      <c r="AC77" s="471"/>
      <c r="AD77" s="8"/>
      <c r="AE77" s="6"/>
      <c r="AF77" s="596">
        <v>92</v>
      </c>
      <c r="AG77" s="595">
        <v>93</v>
      </c>
      <c r="AH77" s="595">
        <v>94</v>
      </c>
      <c r="AI77" s="595">
        <v>95</v>
      </c>
      <c r="AJ77" s="595">
        <v>96</v>
      </c>
    </row>
    <row r="78" spans="1:36" ht="15.75" thickBot="1" x14ac:dyDescent="0.25">
      <c r="A78" s="14"/>
      <c r="B78" s="2"/>
      <c r="C78" s="472"/>
      <c r="D78" s="468"/>
      <c r="E78" s="469"/>
      <c r="F78" s="469"/>
      <c r="G78" s="469"/>
      <c r="H78" s="469"/>
      <c r="I78" s="469"/>
      <c r="J78" s="469"/>
      <c r="K78" s="469"/>
      <c r="L78" s="469"/>
      <c r="M78" s="470"/>
      <c r="N78" s="469"/>
      <c r="O78" s="469"/>
      <c r="P78" s="469"/>
      <c r="Q78" s="469"/>
      <c r="R78" s="469"/>
      <c r="S78" s="469"/>
      <c r="T78" s="469"/>
      <c r="U78" s="469"/>
      <c r="V78" s="469"/>
      <c r="W78" s="469"/>
      <c r="X78" s="469"/>
      <c r="Y78" s="469"/>
      <c r="Z78" s="469"/>
      <c r="AA78" s="469"/>
      <c r="AB78" s="469"/>
      <c r="AC78" s="471"/>
      <c r="AD78" s="8"/>
      <c r="AE78" s="6"/>
      <c r="AF78" s="596"/>
    </row>
    <row r="79" spans="1:36" ht="16.5" thickBot="1" x14ac:dyDescent="0.25">
      <c r="A79" s="14"/>
      <c r="B79" s="2"/>
      <c r="C79" s="472"/>
      <c r="D79" s="484" t="s">
        <v>1077</v>
      </c>
      <c r="E79" s="469"/>
      <c r="F79" s="469"/>
      <c r="G79" s="469"/>
      <c r="H79" s="469"/>
      <c r="I79" s="469"/>
      <c r="J79" s="469"/>
      <c r="K79" s="792">
        <f>VLOOKUP('Part 1'!$L$16,Datasheet5!$B$6:$DH$332,AF79,FALSE)</f>
        <v>-351402576.22000003</v>
      </c>
      <c r="L79" s="793"/>
      <c r="M79" s="470"/>
      <c r="N79" s="469"/>
      <c r="O79" s="792">
        <f>VLOOKUP('Part 1'!$L$16,Datasheet5!$B$6:$DH$332,AG79,FALSE)</f>
        <v>-287172201</v>
      </c>
      <c r="P79" s="793"/>
      <c r="Q79" s="469"/>
      <c r="R79" s="469"/>
      <c r="S79" s="792">
        <f>VLOOKUP('Part 1'!$L$16,Datasheet5!$B$6:$DH$332,AH79,FALSE)</f>
        <v>-59907684</v>
      </c>
      <c r="T79" s="793"/>
      <c r="U79" s="469"/>
      <c r="V79" s="469"/>
      <c r="W79" s="792">
        <f>VLOOKUP('Part 1'!$L$16,Datasheet5!$B$6:$DH$332,AI79,FALSE)</f>
        <v>-4322714</v>
      </c>
      <c r="X79" s="793"/>
      <c r="Y79" s="469"/>
      <c r="Z79" s="469"/>
      <c r="AA79" s="792">
        <f>VLOOKUP('Part 1'!$L$16,Datasheet5!$B$6:$DH$332,AJ79,FALSE)</f>
        <v>-702805175.21999991</v>
      </c>
      <c r="AB79" s="793"/>
      <c r="AC79" s="471"/>
      <c r="AD79" s="8"/>
      <c r="AE79" s="6"/>
      <c r="AF79" s="595">
        <v>97</v>
      </c>
      <c r="AG79" s="595">
        <v>98</v>
      </c>
      <c r="AH79" s="595">
        <v>99</v>
      </c>
      <c r="AI79" s="595">
        <v>100</v>
      </c>
      <c r="AJ79" s="595">
        <v>101</v>
      </c>
    </row>
    <row r="80" spans="1:36" ht="15.75" thickBot="1" x14ac:dyDescent="0.25">
      <c r="A80" s="14"/>
      <c r="B80" s="2"/>
      <c r="C80" s="472"/>
      <c r="D80" s="468"/>
      <c r="E80" s="469"/>
      <c r="F80" s="469"/>
      <c r="G80" s="469"/>
      <c r="H80" s="469"/>
      <c r="I80" s="469"/>
      <c r="J80" s="469"/>
      <c r="K80" s="469"/>
      <c r="L80" s="469"/>
      <c r="M80" s="470"/>
      <c r="N80" s="469"/>
      <c r="O80" s="469"/>
      <c r="P80" s="469"/>
      <c r="Q80" s="469"/>
      <c r="R80" s="469"/>
      <c r="S80" s="469"/>
      <c r="T80" s="469"/>
      <c r="U80" s="469"/>
      <c r="V80" s="469"/>
      <c r="W80" s="469"/>
      <c r="X80" s="469"/>
      <c r="Y80" s="469"/>
      <c r="Z80" s="469"/>
      <c r="AA80" s="469"/>
      <c r="AB80" s="469"/>
      <c r="AC80" s="471"/>
      <c r="AD80" s="8"/>
      <c r="AE80" s="6"/>
      <c r="AF80" s="596"/>
    </row>
    <row r="81" spans="1:36" ht="16.5" thickBot="1" x14ac:dyDescent="0.25">
      <c r="A81" s="14"/>
      <c r="B81" s="2"/>
      <c r="C81" s="472"/>
      <c r="D81" s="476" t="s">
        <v>1080</v>
      </c>
      <c r="E81" s="469"/>
      <c r="F81" s="469"/>
      <c r="G81" s="469"/>
      <c r="H81" s="469"/>
      <c r="I81" s="469"/>
      <c r="J81" s="469"/>
      <c r="K81" s="792">
        <f>VLOOKUP('Part 1'!$L$16,Datasheet5!$B$6:$DH$332,AF81,FALSE)</f>
        <v>-841434221.09100044</v>
      </c>
      <c r="L81" s="793"/>
      <c r="M81" s="470"/>
      <c r="N81" s="469"/>
      <c r="O81" s="792">
        <f>VLOOKUP('Part 1'!$L$16,Datasheet5!$B$6:$DH$332,AG81,FALSE)</f>
        <v>-673281993</v>
      </c>
      <c r="P81" s="793"/>
      <c r="Q81" s="469"/>
      <c r="R81" s="469"/>
      <c r="S81" s="792">
        <f>VLOOKUP('Part 1'!$L$16,Datasheet5!$B$6:$DH$332,AH81,FALSE)</f>
        <v>-158747510</v>
      </c>
      <c r="T81" s="793"/>
      <c r="U81" s="469"/>
      <c r="V81" s="469"/>
      <c r="W81" s="792">
        <f>VLOOKUP('Part 1'!$L$16,Datasheet5!$B$6:$DH$332,AI81,FALSE)</f>
        <v>-9404725</v>
      </c>
      <c r="X81" s="793"/>
      <c r="Y81" s="469"/>
      <c r="Z81" s="469"/>
      <c r="AA81" s="792">
        <f>VLOOKUP('Part 1'!$L$16,Datasheet5!$B$6:$DH$332,AJ81,FALSE)</f>
        <v>-1682868449.0910006</v>
      </c>
      <c r="AB81" s="793"/>
      <c r="AC81" s="471"/>
      <c r="AD81" s="8"/>
      <c r="AE81" s="6"/>
      <c r="AF81" s="595">
        <v>102</v>
      </c>
      <c r="AG81" s="595">
        <v>103</v>
      </c>
      <c r="AH81" s="595">
        <v>104</v>
      </c>
      <c r="AI81" s="595">
        <v>105</v>
      </c>
      <c r="AJ81" s="595">
        <v>106</v>
      </c>
    </row>
    <row r="82" spans="1:36" ht="15.75" thickBot="1" x14ac:dyDescent="0.25">
      <c r="A82" s="14"/>
      <c r="B82" s="2"/>
      <c r="C82" s="477"/>
      <c r="D82" s="478"/>
      <c r="E82" s="479"/>
      <c r="F82" s="479"/>
      <c r="G82" s="479"/>
      <c r="H82" s="479"/>
      <c r="I82" s="479"/>
      <c r="J82" s="479"/>
      <c r="K82" s="479"/>
      <c r="L82" s="479"/>
      <c r="M82" s="480"/>
      <c r="N82" s="479"/>
      <c r="O82" s="479"/>
      <c r="P82" s="479"/>
      <c r="Q82" s="479"/>
      <c r="R82" s="479"/>
      <c r="S82" s="479"/>
      <c r="T82" s="479"/>
      <c r="U82" s="479"/>
      <c r="V82" s="479"/>
      <c r="W82" s="479"/>
      <c r="X82" s="479"/>
      <c r="Y82" s="479"/>
      <c r="Z82" s="479"/>
      <c r="AA82" s="479"/>
      <c r="AB82" s="479"/>
      <c r="AC82" s="481"/>
      <c r="AD82" s="8"/>
      <c r="AE82" s="6"/>
      <c r="AF82" s="596"/>
    </row>
    <row r="83" spans="1:36" ht="15.75" x14ac:dyDescent="0.2">
      <c r="A83" s="14"/>
      <c r="B83" s="2"/>
      <c r="C83" s="804"/>
      <c r="D83" s="804"/>
      <c r="E83" s="804"/>
      <c r="F83" s="804"/>
      <c r="G83" s="804"/>
      <c r="H83" s="804"/>
      <c r="I83" s="804"/>
      <c r="J83" s="804"/>
      <c r="K83" s="804"/>
      <c r="L83" s="804"/>
      <c r="M83" s="804"/>
      <c r="N83" s="804"/>
      <c r="O83" s="804"/>
      <c r="P83" s="804"/>
      <c r="Q83" s="804"/>
      <c r="R83" s="804"/>
      <c r="S83" s="804"/>
      <c r="T83" s="804"/>
      <c r="U83" s="804"/>
      <c r="V83" s="804"/>
      <c r="W83" s="804"/>
      <c r="X83" s="804"/>
      <c r="Y83" s="804"/>
      <c r="Z83" s="804"/>
      <c r="AA83" s="804"/>
      <c r="AB83" s="2"/>
      <c r="AC83" s="2"/>
      <c r="AD83" s="8"/>
      <c r="AE83" s="6"/>
      <c r="AF83" s="596"/>
    </row>
    <row r="84" spans="1:36" ht="15.75" thickBot="1" x14ac:dyDescent="0.25">
      <c r="A84" s="15"/>
      <c r="B84" s="16"/>
      <c r="C84" s="70"/>
      <c r="D84" s="70"/>
      <c r="E84" s="16"/>
      <c r="F84" s="16"/>
      <c r="G84" s="16"/>
      <c r="H84" s="16"/>
      <c r="I84" s="16"/>
      <c r="J84" s="16"/>
      <c r="K84" s="111"/>
      <c r="L84" s="111"/>
      <c r="M84" s="111"/>
      <c r="N84" s="111"/>
      <c r="O84" s="111"/>
      <c r="P84" s="111"/>
      <c r="Q84" s="111"/>
      <c r="R84" s="111"/>
      <c r="S84" s="111"/>
      <c r="T84" s="111"/>
      <c r="U84" s="111"/>
      <c r="V84" s="111"/>
      <c r="W84" s="111"/>
      <c r="X84" s="111"/>
      <c r="Y84" s="111"/>
      <c r="Z84" s="111"/>
      <c r="AA84" s="111"/>
      <c r="AB84" s="111"/>
      <c r="AC84" s="111"/>
      <c r="AD84" s="571"/>
      <c r="AE84" s="6"/>
    </row>
    <row r="87" spans="1:36" x14ac:dyDescent="0.2">
      <c r="K87" s="802"/>
      <c r="L87" s="803"/>
      <c r="M87" s="803"/>
      <c r="N87" s="803"/>
      <c r="O87" s="803"/>
      <c r="P87" s="803"/>
      <c r="Q87" s="803"/>
      <c r="R87" s="803"/>
      <c r="S87" s="803"/>
    </row>
  </sheetData>
  <mergeCells count="148">
    <mergeCell ref="AA81:AB81"/>
    <mergeCell ref="K81:L81"/>
    <mergeCell ref="K67:L67"/>
    <mergeCell ref="K87:S87"/>
    <mergeCell ref="K59:L59"/>
    <mergeCell ref="O59:P59"/>
    <mergeCell ref="S59:T59"/>
    <mergeCell ref="O77:P77"/>
    <mergeCell ref="S77:T77"/>
    <mergeCell ref="K65:L66"/>
    <mergeCell ref="O65:P66"/>
    <mergeCell ref="S65:T66"/>
    <mergeCell ref="O72:P72"/>
    <mergeCell ref="S72:T72"/>
    <mergeCell ref="O75:P75"/>
    <mergeCell ref="S75:T75"/>
    <mergeCell ref="O79:P79"/>
    <mergeCell ref="S79:T79"/>
    <mergeCell ref="O67:P67"/>
    <mergeCell ref="S67:T67"/>
    <mergeCell ref="O81:P81"/>
    <mergeCell ref="S81:T81"/>
    <mergeCell ref="C83:AA83"/>
    <mergeCell ref="W81:X81"/>
    <mergeCell ref="S70:T70"/>
    <mergeCell ref="D72:H73"/>
    <mergeCell ref="W65:X66"/>
    <mergeCell ref="AA65:AB65"/>
    <mergeCell ref="W67:X67"/>
    <mergeCell ref="AA67:AB67"/>
    <mergeCell ref="O53:P53"/>
    <mergeCell ref="O49:P49"/>
    <mergeCell ref="S49:T49"/>
    <mergeCell ref="S53:T53"/>
    <mergeCell ref="S57:T57"/>
    <mergeCell ref="AA59:AB59"/>
    <mergeCell ref="W59:X59"/>
    <mergeCell ref="K68:L68"/>
    <mergeCell ref="K55:L55"/>
    <mergeCell ref="K49:L49"/>
    <mergeCell ref="K57:L57"/>
    <mergeCell ref="O68:P68"/>
    <mergeCell ref="S68:T68"/>
    <mergeCell ref="W68:X68"/>
    <mergeCell ref="AA68:AB68"/>
    <mergeCell ref="W70:X70"/>
    <mergeCell ref="AA70:AB70"/>
    <mergeCell ref="W72:X72"/>
    <mergeCell ref="AA72:AB72"/>
    <mergeCell ref="W75:X75"/>
    <mergeCell ref="AA75:AB75"/>
    <mergeCell ref="W77:X77"/>
    <mergeCell ref="AA77:AB77"/>
    <mergeCell ref="W79:X79"/>
    <mergeCell ref="AA79:AB79"/>
    <mergeCell ref="O15:P15"/>
    <mergeCell ref="K47:L47"/>
    <mergeCell ref="K45:L45"/>
    <mergeCell ref="O45:P45"/>
    <mergeCell ref="K43:L43"/>
    <mergeCell ref="K40:L40"/>
    <mergeCell ref="K79:L79"/>
    <mergeCell ref="K75:L75"/>
    <mergeCell ref="K77:L77"/>
    <mergeCell ref="K70:L70"/>
    <mergeCell ref="K72:L72"/>
    <mergeCell ref="O70:P70"/>
    <mergeCell ref="K38:L38"/>
    <mergeCell ref="O55:P55"/>
    <mergeCell ref="K23:L23"/>
    <mergeCell ref="O30:P30"/>
    <mergeCell ref="S47:T47"/>
    <mergeCell ref="K25:L25"/>
    <mergeCell ref="O28:P28"/>
    <mergeCell ref="K53:L53"/>
    <mergeCell ref="O38:P38"/>
    <mergeCell ref="S38:T38"/>
    <mergeCell ref="S34:T34"/>
    <mergeCell ref="O34:P34"/>
    <mergeCell ref="K37:L37"/>
    <mergeCell ref="O37:P37"/>
    <mergeCell ref="S37:T37"/>
    <mergeCell ref="S32:T32"/>
    <mergeCell ref="O32:P32"/>
    <mergeCell ref="T1:V1"/>
    <mergeCell ref="A3:AD3"/>
    <mergeCell ref="C10:AA11"/>
    <mergeCell ref="A2:AD2"/>
    <mergeCell ref="W13:X14"/>
    <mergeCell ref="S13:T14"/>
    <mergeCell ref="S21:T21"/>
    <mergeCell ref="AA12:AB12"/>
    <mergeCell ref="W12:X12"/>
    <mergeCell ref="C9:H9"/>
    <mergeCell ref="K12:L12"/>
    <mergeCell ref="K13:L14"/>
    <mergeCell ref="W17:X17"/>
    <mergeCell ref="AA17:AB17"/>
    <mergeCell ref="D17:I18"/>
    <mergeCell ref="AA21:AB21"/>
    <mergeCell ref="O12:P12"/>
    <mergeCell ref="K15:L15"/>
    <mergeCell ref="O21:P21"/>
    <mergeCell ref="K17:L17"/>
    <mergeCell ref="K21:L21"/>
    <mergeCell ref="O13:P14"/>
    <mergeCell ref="S15:T15"/>
    <mergeCell ref="O17:P17"/>
    <mergeCell ref="S12:T12"/>
    <mergeCell ref="AA34:AB34"/>
    <mergeCell ref="W38:X38"/>
    <mergeCell ref="AA32:AB32"/>
    <mergeCell ref="AA37:AB37"/>
    <mergeCell ref="AA13:AB13"/>
    <mergeCell ref="AA23:AB23"/>
    <mergeCell ref="W15:X15"/>
    <mergeCell ref="AA28:AB28"/>
    <mergeCell ref="AA30:AB30"/>
    <mergeCell ref="AA15:AB15"/>
    <mergeCell ref="W21:X21"/>
    <mergeCell ref="AA38:AB38"/>
    <mergeCell ref="W37:X37"/>
    <mergeCell ref="W34:X34"/>
    <mergeCell ref="S17:T17"/>
    <mergeCell ref="AA43:AB43"/>
    <mergeCell ref="S55:T55"/>
    <mergeCell ref="W55:X55"/>
    <mergeCell ref="S40:T40"/>
    <mergeCell ref="AA45:AB45"/>
    <mergeCell ref="S45:T45"/>
    <mergeCell ref="W45:X45"/>
    <mergeCell ref="W43:X43"/>
    <mergeCell ref="O57:P57"/>
    <mergeCell ref="W57:X57"/>
    <mergeCell ref="AA57:AB57"/>
    <mergeCell ref="W47:X47"/>
    <mergeCell ref="W49:X49"/>
    <mergeCell ref="AA47:AB47"/>
    <mergeCell ref="AA49:AB49"/>
    <mergeCell ref="AA55:AB55"/>
    <mergeCell ref="AA53:AB53"/>
    <mergeCell ref="W53:X53"/>
    <mergeCell ref="W40:X40"/>
    <mergeCell ref="O43:P43"/>
    <mergeCell ref="S43:T43"/>
    <mergeCell ref="O47:P47"/>
    <mergeCell ref="O40:P40"/>
    <mergeCell ref="AA40:AB40"/>
  </mergeCells>
  <phoneticPr fontId="5" type="noConversion"/>
  <dataValidations count="1">
    <dataValidation type="whole" operator="equal" allowBlank="1" showInputMessage="1" showErrorMessage="1" error="Line 14 Column 5 Total is no the sum of Columns 1 to 4" sqref="AA53:AB53">
      <formula1>K53+O53+S53+W53</formula1>
    </dataValidation>
  </dataValidations>
  <printOptions horizontalCentered="1"/>
  <pageMargins left="0.39370078740157483" right="0.39370078740157483" top="0.59055118110236227" bottom="0.59055118110236227" header="0.51181102362204722" footer="0.51181102362204722"/>
  <pageSetup paperSize="9" scale="4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16"/>
  <sheetViews>
    <sheetView workbookViewId="0">
      <selection sqref="A1:J1"/>
    </sheetView>
  </sheetViews>
  <sheetFormatPr defaultRowHeight="15" x14ac:dyDescent="0.2"/>
  <cols>
    <col min="1" max="1" width="8.42578125" style="5" customWidth="1"/>
    <col min="2" max="2" width="33.140625" style="5" customWidth="1"/>
    <col min="3" max="3" width="12.28515625" style="5" customWidth="1"/>
    <col min="4" max="28" width="9.140625" style="214"/>
    <col min="29" max="30" width="9.140625" style="214" customWidth="1"/>
    <col min="31" max="45" width="9.140625" style="214"/>
  </cols>
  <sheetData>
    <row r="1" spans="1:45" s="212" customFormat="1" ht="12.75" x14ac:dyDescent="0.2">
      <c r="A1" s="219"/>
      <c r="B1" s="220"/>
      <c r="C1" s="221">
        <v>1516</v>
      </c>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577" t="s">
        <v>1127</v>
      </c>
      <c r="AE1" s="577" t="s">
        <v>1125</v>
      </c>
      <c r="AF1" s="215"/>
      <c r="AG1" s="215"/>
      <c r="AH1" s="215"/>
      <c r="AI1" s="215"/>
      <c r="AJ1" s="215"/>
      <c r="AK1" s="215"/>
      <c r="AL1" s="215"/>
      <c r="AM1" s="215"/>
      <c r="AN1" s="215"/>
      <c r="AO1" s="215"/>
      <c r="AP1" s="215"/>
      <c r="AQ1" s="215"/>
      <c r="AR1" s="215"/>
      <c r="AS1" s="215"/>
    </row>
    <row r="2" spans="1:45" ht="12.75" x14ac:dyDescent="0.2">
      <c r="A2" s="222"/>
      <c r="B2" s="223"/>
      <c r="C2" s="224"/>
    </row>
    <row r="3" spans="1:45" ht="12.75" x14ac:dyDescent="0.2">
      <c r="A3" s="225">
        <v>1</v>
      </c>
      <c r="B3" s="226">
        <v>2</v>
      </c>
      <c r="C3" s="227">
        <v>3</v>
      </c>
    </row>
    <row r="4" spans="1:45" ht="12.75" x14ac:dyDescent="0.2">
      <c r="A4" s="228"/>
      <c r="B4" s="229"/>
      <c r="C4" s="224"/>
    </row>
    <row r="5" spans="1:45" ht="12.75" x14ac:dyDescent="0.2">
      <c r="A5" s="230" t="s">
        <v>89</v>
      </c>
      <c r="B5" s="231" t="s">
        <v>90</v>
      </c>
      <c r="C5" s="232" t="s">
        <v>91</v>
      </c>
    </row>
    <row r="6" spans="1:45" ht="13.5" thickBot="1" x14ac:dyDescent="0.25">
      <c r="A6" s="233"/>
      <c r="B6" s="234"/>
      <c r="C6" s="235" t="s">
        <v>1018</v>
      </c>
    </row>
    <row r="7" spans="1:45" s="402" customFormat="1" ht="13.5" thickBot="1" x14ac:dyDescent="0.25">
      <c r="A7" s="400"/>
      <c r="B7" s="400"/>
      <c r="C7" s="400" t="s">
        <v>980</v>
      </c>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row>
    <row r="8" spans="1:45" s="402" customFormat="1" ht="13.5" thickBot="1" x14ac:dyDescent="0.25">
      <c r="A8" s="482"/>
      <c r="B8" s="600"/>
      <c r="C8" s="601"/>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row>
    <row r="9" spans="1:45" ht="12.75" x14ac:dyDescent="0.2">
      <c r="A9" s="236">
        <v>1</v>
      </c>
      <c r="B9" s="237" t="s">
        <v>94</v>
      </c>
      <c r="C9" s="238" t="s">
        <v>95</v>
      </c>
    </row>
    <row r="10" spans="1:45" ht="12.75" x14ac:dyDescent="0.2">
      <c r="A10" s="236">
        <v>2</v>
      </c>
      <c r="B10" s="240" t="s">
        <v>96</v>
      </c>
      <c r="C10" s="241" t="s">
        <v>97</v>
      </c>
    </row>
    <row r="11" spans="1:45" ht="12.75" x14ac:dyDescent="0.2">
      <c r="A11" s="236">
        <v>3</v>
      </c>
      <c r="B11" s="240" t="s">
        <v>98</v>
      </c>
      <c r="C11" s="241" t="s">
        <v>99</v>
      </c>
    </row>
    <row r="12" spans="1:45" ht="12.75" x14ac:dyDescent="0.2">
      <c r="A12" s="236">
        <v>4</v>
      </c>
      <c r="B12" s="240" t="s">
        <v>100</v>
      </c>
      <c r="C12" s="241" t="s">
        <v>101</v>
      </c>
    </row>
    <row r="13" spans="1:45" ht="12.75" x14ac:dyDescent="0.2">
      <c r="A13" s="236">
        <v>5</v>
      </c>
      <c r="B13" s="240" t="s">
        <v>102</v>
      </c>
      <c r="C13" s="241" t="s">
        <v>103</v>
      </c>
    </row>
    <row r="14" spans="1:45" ht="12.75" x14ac:dyDescent="0.2">
      <c r="A14" s="236">
        <v>6</v>
      </c>
      <c r="B14" s="240" t="s">
        <v>104</v>
      </c>
      <c r="C14" s="241" t="s">
        <v>105</v>
      </c>
    </row>
    <row r="15" spans="1:45" ht="12.75" x14ac:dyDescent="0.2">
      <c r="A15" s="236">
        <v>7</v>
      </c>
      <c r="B15" s="240" t="s">
        <v>106</v>
      </c>
      <c r="C15" s="241" t="s">
        <v>107</v>
      </c>
    </row>
    <row r="16" spans="1:45" ht="12.75" x14ac:dyDescent="0.2">
      <c r="A16" s="236">
        <v>8</v>
      </c>
      <c r="B16" s="240" t="s">
        <v>108</v>
      </c>
      <c r="C16" s="241" t="s">
        <v>109</v>
      </c>
    </row>
    <row r="17" spans="1:3" ht="12.75" x14ac:dyDescent="0.2">
      <c r="A17" s="236">
        <v>9</v>
      </c>
      <c r="B17" s="240" t="s">
        <v>110</v>
      </c>
      <c r="C17" s="241" t="s">
        <v>111</v>
      </c>
    </row>
    <row r="18" spans="1:3" ht="12.75" x14ac:dyDescent="0.2">
      <c r="A18" s="236">
        <v>10</v>
      </c>
      <c r="B18" s="240" t="s">
        <v>112</v>
      </c>
      <c r="C18" s="241" t="s">
        <v>113</v>
      </c>
    </row>
    <row r="19" spans="1:3" ht="12.75" x14ac:dyDescent="0.2">
      <c r="A19" s="236">
        <v>11</v>
      </c>
      <c r="B19" s="240" t="s">
        <v>114</v>
      </c>
      <c r="C19" s="241" t="s">
        <v>115</v>
      </c>
    </row>
    <row r="20" spans="1:3" ht="12.75" x14ac:dyDescent="0.2">
      <c r="A20" s="236">
        <v>12</v>
      </c>
      <c r="B20" s="240" t="s">
        <v>116</v>
      </c>
      <c r="C20" s="241" t="s">
        <v>117</v>
      </c>
    </row>
    <row r="21" spans="1:3" ht="12.75" x14ac:dyDescent="0.2">
      <c r="A21" s="236">
        <v>13</v>
      </c>
      <c r="B21" s="240" t="s">
        <v>118</v>
      </c>
      <c r="C21" s="241" t="s">
        <v>119</v>
      </c>
    </row>
    <row r="22" spans="1:3" ht="12.75" x14ac:dyDescent="0.2">
      <c r="A22" s="236">
        <v>14</v>
      </c>
      <c r="B22" s="240" t="s">
        <v>120</v>
      </c>
      <c r="C22" s="241" t="s">
        <v>121</v>
      </c>
    </row>
    <row r="23" spans="1:3" ht="12.75" x14ac:dyDescent="0.2">
      <c r="A23" s="236">
        <v>15</v>
      </c>
      <c r="B23" s="240" t="s">
        <v>122</v>
      </c>
      <c r="C23" s="241" t="s">
        <v>123</v>
      </c>
    </row>
    <row r="24" spans="1:3" ht="12.75" x14ac:dyDescent="0.2">
      <c r="A24" s="236">
        <v>16</v>
      </c>
      <c r="B24" s="240" t="s">
        <v>124</v>
      </c>
      <c r="C24" s="241" t="s">
        <v>125</v>
      </c>
    </row>
    <row r="25" spans="1:3" ht="12.75" x14ac:dyDescent="0.2">
      <c r="A25" s="236">
        <v>17</v>
      </c>
      <c r="B25" s="240" t="s">
        <v>126</v>
      </c>
      <c r="C25" s="241" t="s">
        <v>127</v>
      </c>
    </row>
    <row r="26" spans="1:3" ht="12.75" x14ac:dyDescent="0.2">
      <c r="A26" s="236">
        <v>18</v>
      </c>
      <c r="B26" s="240" t="s">
        <v>128</v>
      </c>
      <c r="C26" s="241" t="s">
        <v>129</v>
      </c>
    </row>
    <row r="27" spans="1:3" ht="12.75" x14ac:dyDescent="0.2">
      <c r="A27" s="236">
        <v>19</v>
      </c>
      <c r="B27" s="240" t="s">
        <v>130</v>
      </c>
      <c r="C27" s="241" t="s">
        <v>131</v>
      </c>
    </row>
    <row r="28" spans="1:3" ht="12.75" x14ac:dyDescent="0.2">
      <c r="A28" s="236">
        <v>20</v>
      </c>
      <c r="B28" s="240" t="s">
        <v>132</v>
      </c>
      <c r="C28" s="241" t="s">
        <v>133</v>
      </c>
    </row>
    <row r="29" spans="1:3" ht="12.75" x14ac:dyDescent="0.2">
      <c r="A29" s="236">
        <v>21</v>
      </c>
      <c r="B29" s="240" t="s">
        <v>134</v>
      </c>
      <c r="C29" s="241" t="s">
        <v>135</v>
      </c>
    </row>
    <row r="30" spans="1:3" ht="12.75" x14ac:dyDescent="0.2">
      <c r="A30" s="236">
        <v>22</v>
      </c>
      <c r="B30" s="240" t="s">
        <v>136</v>
      </c>
      <c r="C30" s="241" t="s">
        <v>137</v>
      </c>
    </row>
    <row r="31" spans="1:3" ht="12.75" x14ac:dyDescent="0.2">
      <c r="A31" s="236">
        <v>23</v>
      </c>
      <c r="B31" s="240" t="s">
        <v>138</v>
      </c>
      <c r="C31" s="241" t="s">
        <v>139</v>
      </c>
    </row>
    <row r="32" spans="1:3" ht="12.75" x14ac:dyDescent="0.2">
      <c r="A32" s="236">
        <v>24</v>
      </c>
      <c r="B32" s="240" t="s">
        <v>140</v>
      </c>
      <c r="C32" s="241" t="s">
        <v>141</v>
      </c>
    </row>
    <row r="33" spans="1:3" ht="12.75" x14ac:dyDescent="0.2">
      <c r="A33" s="236">
        <v>25</v>
      </c>
      <c r="B33" s="240" t="s">
        <v>142</v>
      </c>
      <c r="C33" s="241" t="s">
        <v>143</v>
      </c>
    </row>
    <row r="34" spans="1:3" ht="12.75" x14ac:dyDescent="0.2">
      <c r="A34" s="236">
        <v>26</v>
      </c>
      <c r="B34" s="240" t="s">
        <v>144</v>
      </c>
      <c r="C34" s="241" t="s">
        <v>145</v>
      </c>
    </row>
    <row r="35" spans="1:3" ht="12.75" x14ac:dyDescent="0.2">
      <c r="A35" s="236">
        <v>27</v>
      </c>
      <c r="B35" s="240" t="s">
        <v>146</v>
      </c>
      <c r="C35" s="241" t="s">
        <v>147</v>
      </c>
    </row>
    <row r="36" spans="1:3" ht="12.75" x14ac:dyDescent="0.2">
      <c r="A36" s="236">
        <v>28</v>
      </c>
      <c r="B36" s="240" t="s">
        <v>148</v>
      </c>
      <c r="C36" s="241" t="s">
        <v>149</v>
      </c>
    </row>
    <row r="37" spans="1:3" ht="12.75" x14ac:dyDescent="0.2">
      <c r="A37" s="236">
        <v>29</v>
      </c>
      <c r="B37" s="240" t="s">
        <v>150</v>
      </c>
      <c r="C37" s="241" t="s">
        <v>151</v>
      </c>
    </row>
    <row r="38" spans="1:3" ht="12.75" x14ac:dyDescent="0.2">
      <c r="A38" s="236">
        <v>30</v>
      </c>
      <c r="B38" s="240" t="s">
        <v>152</v>
      </c>
      <c r="C38" s="241" t="s">
        <v>153</v>
      </c>
    </row>
    <row r="39" spans="1:3" ht="12.75" x14ac:dyDescent="0.2">
      <c r="A39" s="236">
        <v>31</v>
      </c>
      <c r="B39" s="240" t="s">
        <v>154</v>
      </c>
      <c r="C39" s="241" t="s">
        <v>155</v>
      </c>
    </row>
    <row r="40" spans="1:3" ht="12.75" x14ac:dyDescent="0.2">
      <c r="A40" s="236">
        <v>32</v>
      </c>
      <c r="B40" s="240" t="s">
        <v>156</v>
      </c>
      <c r="C40" s="241" t="s">
        <v>157</v>
      </c>
    </row>
    <row r="41" spans="1:3" ht="12.75" x14ac:dyDescent="0.2">
      <c r="A41" s="236">
        <v>33</v>
      </c>
      <c r="B41" s="240" t="s">
        <v>158</v>
      </c>
      <c r="C41" s="241" t="s">
        <v>159</v>
      </c>
    </row>
    <row r="42" spans="1:3" ht="12.75" x14ac:dyDescent="0.2">
      <c r="A42" s="236">
        <v>34</v>
      </c>
      <c r="B42" s="240" t="s">
        <v>160</v>
      </c>
      <c r="C42" s="241" t="s">
        <v>161</v>
      </c>
    </row>
    <row r="43" spans="1:3" ht="12.75" x14ac:dyDescent="0.2">
      <c r="A43" s="236">
        <v>35</v>
      </c>
      <c r="B43" s="240" t="s">
        <v>162</v>
      </c>
      <c r="C43" s="241" t="s">
        <v>163</v>
      </c>
    </row>
    <row r="44" spans="1:3" ht="12.75" x14ac:dyDescent="0.2">
      <c r="A44" s="236">
        <v>36</v>
      </c>
      <c r="B44" s="240" t="s">
        <v>164</v>
      </c>
      <c r="C44" s="241" t="s">
        <v>165</v>
      </c>
    </row>
    <row r="45" spans="1:3" ht="12.75" x14ac:dyDescent="0.2">
      <c r="A45" s="236">
        <v>37</v>
      </c>
      <c r="B45" s="240" t="s">
        <v>166</v>
      </c>
      <c r="C45" s="241" t="s">
        <v>167</v>
      </c>
    </row>
    <row r="46" spans="1:3" ht="12.75" x14ac:dyDescent="0.2">
      <c r="A46" s="236">
        <v>38</v>
      </c>
      <c r="B46" s="240" t="s">
        <v>168</v>
      </c>
      <c r="C46" s="241" t="s">
        <v>169</v>
      </c>
    </row>
    <row r="47" spans="1:3" ht="12.75" x14ac:dyDescent="0.2">
      <c r="A47" s="236">
        <v>39</v>
      </c>
      <c r="B47" s="240" t="s">
        <v>170</v>
      </c>
      <c r="C47" s="241" t="s">
        <v>171</v>
      </c>
    </row>
    <row r="48" spans="1:3" ht="12.75" x14ac:dyDescent="0.2">
      <c r="A48" s="236">
        <v>40</v>
      </c>
      <c r="B48" s="240" t="s">
        <v>172</v>
      </c>
      <c r="C48" s="241" t="s">
        <v>173</v>
      </c>
    </row>
    <row r="49" spans="1:3" ht="12.75" x14ac:dyDescent="0.2">
      <c r="A49" s="236">
        <v>41</v>
      </c>
      <c r="B49" s="240" t="s">
        <v>174</v>
      </c>
      <c r="C49" s="241" t="s">
        <v>175</v>
      </c>
    </row>
    <row r="50" spans="1:3" ht="12.75" x14ac:dyDescent="0.2">
      <c r="A50" s="236">
        <v>42</v>
      </c>
      <c r="B50" s="240" t="s">
        <v>176</v>
      </c>
      <c r="C50" s="241" t="s">
        <v>177</v>
      </c>
    </row>
    <row r="51" spans="1:3" ht="12.75" x14ac:dyDescent="0.2">
      <c r="A51" s="236">
        <v>43</v>
      </c>
      <c r="B51" s="240" t="s">
        <v>178</v>
      </c>
      <c r="C51" s="241" t="s">
        <v>179</v>
      </c>
    </row>
    <row r="52" spans="1:3" ht="12.75" x14ac:dyDescent="0.2">
      <c r="A52" s="236">
        <v>44</v>
      </c>
      <c r="B52" s="240" t="s">
        <v>180</v>
      </c>
      <c r="C52" s="241" t="s">
        <v>181</v>
      </c>
    </row>
    <row r="53" spans="1:3" ht="12.75" x14ac:dyDescent="0.2">
      <c r="A53" s="236">
        <v>45</v>
      </c>
      <c r="B53" s="240" t="s">
        <v>182</v>
      </c>
      <c r="C53" s="241" t="s">
        <v>183</v>
      </c>
    </row>
    <row r="54" spans="1:3" ht="12.75" x14ac:dyDescent="0.2">
      <c r="A54" s="236">
        <v>46</v>
      </c>
      <c r="B54" s="240" t="s">
        <v>184</v>
      </c>
      <c r="C54" s="241" t="s">
        <v>185</v>
      </c>
    </row>
    <row r="55" spans="1:3" ht="12.75" x14ac:dyDescent="0.2">
      <c r="A55" s="236">
        <v>47</v>
      </c>
      <c r="B55" s="240" t="s">
        <v>186</v>
      </c>
      <c r="C55" s="241" t="s">
        <v>187</v>
      </c>
    </row>
    <row r="56" spans="1:3" ht="12.75" x14ac:dyDescent="0.2">
      <c r="A56" s="236">
        <v>48</v>
      </c>
      <c r="B56" s="240" t="s">
        <v>188</v>
      </c>
      <c r="C56" s="241" t="s">
        <v>189</v>
      </c>
    </row>
    <row r="57" spans="1:3" ht="12.75" x14ac:dyDescent="0.2">
      <c r="A57" s="236">
        <v>49</v>
      </c>
      <c r="B57" s="242" t="s">
        <v>190</v>
      </c>
      <c r="C57" s="243" t="s">
        <v>191</v>
      </c>
    </row>
    <row r="58" spans="1:3" ht="12.75" x14ac:dyDescent="0.2">
      <c r="A58" s="236">
        <v>50</v>
      </c>
      <c r="B58" s="240" t="s">
        <v>192</v>
      </c>
      <c r="C58" s="241" t="s">
        <v>193</v>
      </c>
    </row>
    <row r="59" spans="1:3" ht="12.75" x14ac:dyDescent="0.2">
      <c r="A59" s="236">
        <v>51</v>
      </c>
      <c r="B59" s="240" t="s">
        <v>194</v>
      </c>
      <c r="C59" s="241" t="s">
        <v>195</v>
      </c>
    </row>
    <row r="60" spans="1:3" ht="12.75" x14ac:dyDescent="0.2">
      <c r="A60" s="236">
        <v>52</v>
      </c>
      <c r="B60" s="240" t="s">
        <v>196</v>
      </c>
      <c r="C60" s="241" t="s">
        <v>197</v>
      </c>
    </row>
    <row r="61" spans="1:3" ht="12.75" x14ac:dyDescent="0.2">
      <c r="A61" s="236">
        <v>53</v>
      </c>
      <c r="B61" s="240" t="s">
        <v>198</v>
      </c>
      <c r="C61" s="241" t="s">
        <v>199</v>
      </c>
    </row>
    <row r="62" spans="1:3" ht="12.75" x14ac:dyDescent="0.2">
      <c r="A62" s="236">
        <v>54</v>
      </c>
      <c r="B62" s="240" t="s">
        <v>200</v>
      </c>
      <c r="C62" s="241" t="s">
        <v>201</v>
      </c>
    </row>
    <row r="63" spans="1:3" ht="12.75" x14ac:dyDescent="0.2">
      <c r="A63" s="236">
        <v>55</v>
      </c>
      <c r="B63" s="240" t="s">
        <v>202</v>
      </c>
      <c r="C63" s="241" t="s">
        <v>203</v>
      </c>
    </row>
    <row r="64" spans="1:3" ht="12.75" x14ac:dyDescent="0.2">
      <c r="A64" s="236">
        <v>56</v>
      </c>
      <c r="B64" s="240" t="s">
        <v>204</v>
      </c>
      <c r="C64" s="241" t="s">
        <v>205</v>
      </c>
    </row>
    <row r="65" spans="1:3" ht="12.75" x14ac:dyDescent="0.2">
      <c r="A65" s="236">
        <v>57</v>
      </c>
      <c r="B65" s="240" t="s">
        <v>206</v>
      </c>
      <c r="C65" s="241" t="s">
        <v>207</v>
      </c>
    </row>
    <row r="66" spans="1:3" ht="12.75" x14ac:dyDescent="0.2">
      <c r="A66" s="236">
        <v>58</v>
      </c>
      <c r="B66" s="240" t="s">
        <v>208</v>
      </c>
      <c r="C66" s="241" t="s">
        <v>209</v>
      </c>
    </row>
    <row r="67" spans="1:3" ht="12.75" x14ac:dyDescent="0.2">
      <c r="A67" s="236">
        <v>59</v>
      </c>
      <c r="B67" s="240" t="s">
        <v>210</v>
      </c>
      <c r="C67" s="241" t="s">
        <v>211</v>
      </c>
    </row>
    <row r="68" spans="1:3" ht="12.75" x14ac:dyDescent="0.2">
      <c r="A68" s="236">
        <v>60</v>
      </c>
      <c r="B68" s="240" t="s">
        <v>212</v>
      </c>
      <c r="C68" s="241" t="s">
        <v>213</v>
      </c>
    </row>
    <row r="69" spans="1:3" ht="12.75" x14ac:dyDescent="0.2">
      <c r="A69" s="236">
        <v>61</v>
      </c>
      <c r="B69" s="240" t="s">
        <v>214</v>
      </c>
      <c r="C69" s="241" t="s">
        <v>215</v>
      </c>
    </row>
    <row r="70" spans="1:3" ht="12.75" x14ac:dyDescent="0.2">
      <c r="A70" s="236">
        <v>62</v>
      </c>
      <c r="B70" s="240" t="s">
        <v>216</v>
      </c>
      <c r="C70" s="241" t="s">
        <v>217</v>
      </c>
    </row>
    <row r="71" spans="1:3" ht="12.75" x14ac:dyDescent="0.2">
      <c r="A71" s="236">
        <v>63</v>
      </c>
      <c r="B71" s="240" t="s">
        <v>218</v>
      </c>
      <c r="C71" s="241" t="s">
        <v>219</v>
      </c>
    </row>
    <row r="72" spans="1:3" ht="12.75" x14ac:dyDescent="0.2">
      <c r="A72" s="236">
        <v>64</v>
      </c>
      <c r="B72" s="240" t="s">
        <v>220</v>
      </c>
      <c r="C72" s="241" t="s">
        <v>221</v>
      </c>
    </row>
    <row r="73" spans="1:3" ht="12.75" x14ac:dyDescent="0.2">
      <c r="A73" s="236">
        <v>65</v>
      </c>
      <c r="B73" s="240" t="s">
        <v>222</v>
      </c>
      <c r="C73" s="241" t="s">
        <v>223</v>
      </c>
    </row>
    <row r="74" spans="1:3" ht="12.75" x14ac:dyDescent="0.2">
      <c r="A74" s="236">
        <v>66</v>
      </c>
      <c r="B74" s="240" t="s">
        <v>224</v>
      </c>
      <c r="C74" s="241" t="s">
        <v>225</v>
      </c>
    </row>
    <row r="75" spans="1:3" ht="12.75" x14ac:dyDescent="0.2">
      <c r="A75" s="236">
        <v>67</v>
      </c>
      <c r="B75" s="240" t="s">
        <v>226</v>
      </c>
      <c r="C75" s="241" t="s">
        <v>227</v>
      </c>
    </row>
    <row r="76" spans="1:3" ht="12.75" x14ac:dyDescent="0.2">
      <c r="A76" s="236">
        <v>68</v>
      </c>
      <c r="B76" s="240" t="s">
        <v>228</v>
      </c>
      <c r="C76" s="241" t="s">
        <v>229</v>
      </c>
    </row>
    <row r="77" spans="1:3" ht="12.75" x14ac:dyDescent="0.2">
      <c r="A77" s="236">
        <v>69</v>
      </c>
      <c r="B77" s="240" t="s">
        <v>230</v>
      </c>
      <c r="C77" s="241" t="s">
        <v>231</v>
      </c>
    </row>
    <row r="78" spans="1:3" ht="12.75" x14ac:dyDescent="0.2">
      <c r="A78" s="236">
        <v>70</v>
      </c>
      <c r="B78" s="240" t="s">
        <v>232</v>
      </c>
      <c r="C78" s="241" t="s">
        <v>233</v>
      </c>
    </row>
    <row r="79" spans="1:3" ht="12.75" x14ac:dyDescent="0.2">
      <c r="A79" s="236">
        <v>71</v>
      </c>
      <c r="B79" s="240" t="s">
        <v>234</v>
      </c>
      <c r="C79" s="241" t="s">
        <v>235</v>
      </c>
    </row>
    <row r="80" spans="1:3" ht="12.75" x14ac:dyDescent="0.2">
      <c r="A80" s="236">
        <v>72</v>
      </c>
      <c r="B80" s="240" t="s">
        <v>236</v>
      </c>
      <c r="C80" s="241" t="s">
        <v>237</v>
      </c>
    </row>
    <row r="81" spans="1:3" ht="12.75" x14ac:dyDescent="0.2">
      <c r="A81" s="236">
        <v>73</v>
      </c>
      <c r="B81" s="240" t="s">
        <v>238</v>
      </c>
      <c r="C81" s="241" t="s">
        <v>239</v>
      </c>
    </row>
    <row r="82" spans="1:3" ht="12.75" x14ac:dyDescent="0.2">
      <c r="A82" s="236">
        <v>74</v>
      </c>
      <c r="B82" s="240" t="s">
        <v>240</v>
      </c>
      <c r="C82" s="241" t="s">
        <v>241</v>
      </c>
    </row>
    <row r="83" spans="1:3" ht="12.75" x14ac:dyDescent="0.2">
      <c r="A83" s="236">
        <v>75</v>
      </c>
      <c r="B83" s="240" t="s">
        <v>242</v>
      </c>
      <c r="C83" s="241" t="s">
        <v>243</v>
      </c>
    </row>
    <row r="84" spans="1:3" ht="12.75" x14ac:dyDescent="0.2">
      <c r="A84" s="236">
        <v>76</v>
      </c>
      <c r="B84" s="240" t="s">
        <v>244</v>
      </c>
      <c r="C84" s="241" t="s">
        <v>245</v>
      </c>
    </row>
    <row r="85" spans="1:3" ht="12.75" x14ac:dyDescent="0.2">
      <c r="A85" s="236">
        <v>77</v>
      </c>
      <c r="B85" s="240" t="s">
        <v>246</v>
      </c>
      <c r="C85" s="241" t="s">
        <v>247</v>
      </c>
    </row>
    <row r="86" spans="1:3" ht="12.75" x14ac:dyDescent="0.2">
      <c r="A86" s="236">
        <v>78</v>
      </c>
      <c r="B86" s="240" t="s">
        <v>248</v>
      </c>
      <c r="C86" s="241" t="s">
        <v>249</v>
      </c>
    </row>
    <row r="87" spans="1:3" ht="12.75" x14ac:dyDescent="0.2">
      <c r="A87" s="236">
        <v>79</v>
      </c>
      <c r="B87" s="240" t="s">
        <v>250</v>
      </c>
      <c r="C87" s="241" t="s">
        <v>251</v>
      </c>
    </row>
    <row r="88" spans="1:3" ht="12.75" x14ac:dyDescent="0.2">
      <c r="A88" s="236">
        <v>80</v>
      </c>
      <c r="B88" s="240" t="s">
        <v>252</v>
      </c>
      <c r="C88" s="241" t="s">
        <v>253</v>
      </c>
    </row>
    <row r="89" spans="1:3" ht="12.75" x14ac:dyDescent="0.2">
      <c r="A89" s="236">
        <v>81</v>
      </c>
      <c r="B89" s="240" t="s">
        <v>254</v>
      </c>
      <c r="C89" s="241" t="s">
        <v>255</v>
      </c>
    </row>
    <row r="90" spans="1:3" ht="12.75" x14ac:dyDescent="0.2">
      <c r="A90" s="236">
        <v>82</v>
      </c>
      <c r="B90" s="240" t="s">
        <v>256</v>
      </c>
      <c r="C90" s="241" t="s">
        <v>257</v>
      </c>
    </row>
    <row r="91" spans="1:3" ht="12.75" x14ac:dyDescent="0.2">
      <c r="A91" s="236">
        <v>83</v>
      </c>
      <c r="B91" s="240" t="s">
        <v>258</v>
      </c>
      <c r="C91" s="241" t="s">
        <v>259</v>
      </c>
    </row>
    <row r="92" spans="1:3" ht="12.75" x14ac:dyDescent="0.2">
      <c r="A92" s="236">
        <v>84</v>
      </c>
      <c r="B92" s="240" t="s">
        <v>260</v>
      </c>
      <c r="C92" s="241" t="s">
        <v>261</v>
      </c>
    </row>
    <row r="93" spans="1:3" ht="12.75" x14ac:dyDescent="0.2">
      <c r="A93" s="236">
        <v>85</v>
      </c>
      <c r="B93" s="240" t="s">
        <v>262</v>
      </c>
      <c r="C93" s="241" t="s">
        <v>263</v>
      </c>
    </row>
    <row r="94" spans="1:3" ht="12.75" x14ac:dyDescent="0.2">
      <c r="A94" s="236">
        <v>86</v>
      </c>
      <c r="B94" s="240" t="s">
        <v>264</v>
      </c>
      <c r="C94" s="241" t="s">
        <v>265</v>
      </c>
    </row>
    <row r="95" spans="1:3" ht="12.75" x14ac:dyDescent="0.2">
      <c r="A95" s="236">
        <v>87</v>
      </c>
      <c r="B95" s="240" t="s">
        <v>266</v>
      </c>
      <c r="C95" s="241" t="s">
        <v>267</v>
      </c>
    </row>
    <row r="96" spans="1:3" ht="12.75" x14ac:dyDescent="0.2">
      <c r="A96" s="236">
        <v>88</v>
      </c>
      <c r="B96" s="240" t="s">
        <v>268</v>
      </c>
      <c r="C96" s="241" t="s">
        <v>269</v>
      </c>
    </row>
    <row r="97" spans="1:3" ht="12.75" x14ac:dyDescent="0.2">
      <c r="A97" s="236">
        <v>89</v>
      </c>
      <c r="B97" s="240" t="s">
        <v>270</v>
      </c>
      <c r="C97" s="241" t="s">
        <v>271</v>
      </c>
    </row>
    <row r="98" spans="1:3" ht="12.75" x14ac:dyDescent="0.2">
      <c r="A98" s="236">
        <v>90</v>
      </c>
      <c r="B98" s="240" t="s">
        <v>272</v>
      </c>
      <c r="C98" s="241" t="s">
        <v>273</v>
      </c>
    </row>
    <row r="99" spans="1:3" ht="12.75" x14ac:dyDescent="0.2">
      <c r="A99" s="236">
        <v>91</v>
      </c>
      <c r="B99" s="240" t="s">
        <v>274</v>
      </c>
      <c r="C99" s="241" t="s">
        <v>275</v>
      </c>
    </row>
    <row r="100" spans="1:3" ht="12.75" x14ac:dyDescent="0.2">
      <c r="A100" s="236">
        <v>92</v>
      </c>
      <c r="B100" s="240" t="s">
        <v>276</v>
      </c>
      <c r="C100" s="241" t="s">
        <v>277</v>
      </c>
    </row>
    <row r="101" spans="1:3" ht="12.75" x14ac:dyDescent="0.2">
      <c r="A101" s="236">
        <v>93</v>
      </c>
      <c r="B101" s="240" t="s">
        <v>278</v>
      </c>
      <c r="C101" s="241" t="s">
        <v>279</v>
      </c>
    </row>
    <row r="102" spans="1:3" ht="12.75" x14ac:dyDescent="0.2">
      <c r="A102" s="236">
        <v>94</v>
      </c>
      <c r="B102" s="240" t="s">
        <v>280</v>
      </c>
      <c r="C102" s="241" t="s">
        <v>281</v>
      </c>
    </row>
    <row r="103" spans="1:3" ht="12.75" x14ac:dyDescent="0.2">
      <c r="A103" s="236">
        <v>95</v>
      </c>
      <c r="B103" s="240" t="s">
        <v>282</v>
      </c>
      <c r="C103" s="241" t="s">
        <v>283</v>
      </c>
    </row>
    <row r="104" spans="1:3" ht="12.75" x14ac:dyDescent="0.2">
      <c r="A104" s="236">
        <v>96</v>
      </c>
      <c r="B104" s="240" t="s">
        <v>284</v>
      </c>
      <c r="C104" s="241" t="s">
        <v>285</v>
      </c>
    </row>
    <row r="105" spans="1:3" ht="12.75" x14ac:dyDescent="0.2">
      <c r="A105" s="236">
        <v>97</v>
      </c>
      <c r="B105" s="240" t="s">
        <v>286</v>
      </c>
      <c r="C105" s="241" t="s">
        <v>287</v>
      </c>
    </row>
    <row r="106" spans="1:3" ht="12.75" x14ac:dyDescent="0.2">
      <c r="A106" s="236">
        <v>98</v>
      </c>
      <c r="B106" s="240" t="s">
        <v>288</v>
      </c>
      <c r="C106" s="241" t="s">
        <v>289</v>
      </c>
    </row>
    <row r="107" spans="1:3" ht="12.75" x14ac:dyDescent="0.2">
      <c r="A107" s="236">
        <v>99</v>
      </c>
      <c r="B107" s="240" t="s">
        <v>290</v>
      </c>
      <c r="C107" s="241" t="s">
        <v>291</v>
      </c>
    </row>
    <row r="108" spans="1:3" ht="12.75" x14ac:dyDescent="0.2">
      <c r="A108" s="236">
        <v>100</v>
      </c>
      <c r="B108" s="240" t="s">
        <v>292</v>
      </c>
      <c r="C108" s="241" t="s">
        <v>293</v>
      </c>
    </row>
    <row r="109" spans="1:3" ht="12.75" x14ac:dyDescent="0.2">
      <c r="A109" s="236">
        <v>101</v>
      </c>
      <c r="B109" s="240" t="s">
        <v>294</v>
      </c>
      <c r="C109" s="241" t="s">
        <v>295</v>
      </c>
    </row>
    <row r="110" spans="1:3" ht="12.75" x14ac:dyDescent="0.2">
      <c r="A110" s="236">
        <v>102</v>
      </c>
      <c r="B110" s="240" t="s">
        <v>296</v>
      </c>
      <c r="C110" s="241" t="s">
        <v>297</v>
      </c>
    </row>
    <row r="111" spans="1:3" ht="12.75" x14ac:dyDescent="0.2">
      <c r="A111" s="236">
        <v>103</v>
      </c>
      <c r="B111" s="240" t="s">
        <v>298</v>
      </c>
      <c r="C111" s="241" t="s">
        <v>299</v>
      </c>
    </row>
    <row r="112" spans="1:3" ht="12.75" x14ac:dyDescent="0.2">
      <c r="A112" s="236">
        <v>104</v>
      </c>
      <c r="B112" s="240" t="s">
        <v>300</v>
      </c>
      <c r="C112" s="241" t="s">
        <v>301</v>
      </c>
    </row>
    <row r="113" spans="1:3" ht="12.75" x14ac:dyDescent="0.2">
      <c r="A113" s="236">
        <v>105</v>
      </c>
      <c r="B113" s="240" t="s">
        <v>302</v>
      </c>
      <c r="C113" s="241" t="s">
        <v>303</v>
      </c>
    </row>
    <row r="114" spans="1:3" ht="12.75" x14ac:dyDescent="0.2">
      <c r="A114" s="236">
        <v>106</v>
      </c>
      <c r="B114" s="240" t="s">
        <v>304</v>
      </c>
      <c r="C114" s="241" t="s">
        <v>305</v>
      </c>
    </row>
    <row r="115" spans="1:3" ht="12.75" x14ac:dyDescent="0.2">
      <c r="A115" s="236">
        <v>107</v>
      </c>
      <c r="B115" s="240" t="s">
        <v>306</v>
      </c>
      <c r="C115" s="241" t="s">
        <v>307</v>
      </c>
    </row>
    <row r="116" spans="1:3" ht="12.75" x14ac:dyDescent="0.2">
      <c r="A116" s="236">
        <v>108</v>
      </c>
      <c r="B116" s="240" t="s">
        <v>308</v>
      </c>
      <c r="C116" s="241" t="s">
        <v>309</v>
      </c>
    </row>
    <row r="117" spans="1:3" ht="12.75" x14ac:dyDescent="0.2">
      <c r="A117" s="236">
        <v>109</v>
      </c>
      <c r="B117" s="240" t="s">
        <v>310</v>
      </c>
      <c r="C117" s="241" t="s">
        <v>311</v>
      </c>
    </row>
    <row r="118" spans="1:3" ht="12.75" x14ac:dyDescent="0.2">
      <c r="A118" s="236">
        <v>110</v>
      </c>
      <c r="B118" s="240" t="s">
        <v>312</v>
      </c>
      <c r="C118" s="241" t="s">
        <v>313</v>
      </c>
    </row>
    <row r="119" spans="1:3" ht="12.75" x14ac:dyDescent="0.2">
      <c r="A119" s="236">
        <v>111</v>
      </c>
      <c r="B119" s="240" t="s">
        <v>314</v>
      </c>
      <c r="C119" s="241" t="s">
        <v>315</v>
      </c>
    </row>
    <row r="120" spans="1:3" ht="12.75" x14ac:dyDescent="0.2">
      <c r="A120" s="236">
        <v>112</v>
      </c>
      <c r="B120" s="240" t="s">
        <v>316</v>
      </c>
      <c r="C120" s="241" t="s">
        <v>317</v>
      </c>
    </row>
    <row r="121" spans="1:3" ht="12.75" x14ac:dyDescent="0.2">
      <c r="A121" s="236">
        <v>113</v>
      </c>
      <c r="B121" s="240" t="s">
        <v>318</v>
      </c>
      <c r="C121" s="241" t="s">
        <v>319</v>
      </c>
    </row>
    <row r="122" spans="1:3" ht="12.75" x14ac:dyDescent="0.2">
      <c r="A122" s="236">
        <v>114</v>
      </c>
      <c r="B122" s="240" t="s">
        <v>320</v>
      </c>
      <c r="C122" s="241" t="s">
        <v>321</v>
      </c>
    </row>
    <row r="123" spans="1:3" ht="12.75" x14ac:dyDescent="0.2">
      <c r="A123" s="236">
        <v>115</v>
      </c>
      <c r="B123" s="240" t="s">
        <v>322</v>
      </c>
      <c r="C123" s="241" t="s">
        <v>323</v>
      </c>
    </row>
    <row r="124" spans="1:3" ht="12.75" x14ac:dyDescent="0.2">
      <c r="A124" s="236">
        <v>116</v>
      </c>
      <c r="B124" s="240" t="s">
        <v>324</v>
      </c>
      <c r="C124" s="241" t="s">
        <v>325</v>
      </c>
    </row>
    <row r="125" spans="1:3" ht="12.75" x14ac:dyDescent="0.2">
      <c r="A125" s="236">
        <v>117</v>
      </c>
      <c r="B125" s="240" t="s">
        <v>326</v>
      </c>
      <c r="C125" s="241" t="s">
        <v>327</v>
      </c>
    </row>
    <row r="126" spans="1:3" ht="12.75" x14ac:dyDescent="0.2">
      <c r="A126" s="236">
        <v>118</v>
      </c>
      <c r="B126" s="240" t="s">
        <v>328</v>
      </c>
      <c r="C126" s="241" t="s">
        <v>329</v>
      </c>
    </row>
    <row r="127" spans="1:3" ht="12.75" x14ac:dyDescent="0.2">
      <c r="A127" s="236">
        <v>119</v>
      </c>
      <c r="B127" s="240" t="s">
        <v>330</v>
      </c>
      <c r="C127" s="241" t="s">
        <v>331</v>
      </c>
    </row>
    <row r="128" spans="1:3" ht="12.75" x14ac:dyDescent="0.2">
      <c r="A128" s="236">
        <v>120</v>
      </c>
      <c r="B128" s="240" t="s">
        <v>332</v>
      </c>
      <c r="C128" s="241" t="s">
        <v>333</v>
      </c>
    </row>
    <row r="129" spans="1:3" ht="12.75" x14ac:dyDescent="0.2">
      <c r="A129" s="236">
        <v>121</v>
      </c>
      <c r="B129" s="240" t="s">
        <v>334</v>
      </c>
      <c r="C129" s="241" t="s">
        <v>335</v>
      </c>
    </row>
    <row r="130" spans="1:3" ht="12.75" x14ac:dyDescent="0.2">
      <c r="A130" s="236">
        <v>122</v>
      </c>
      <c r="B130" s="240" t="s">
        <v>336</v>
      </c>
      <c r="C130" s="241" t="s">
        <v>337</v>
      </c>
    </row>
    <row r="131" spans="1:3" ht="12.75" x14ac:dyDescent="0.2">
      <c r="A131" s="236">
        <v>123</v>
      </c>
      <c r="B131" s="240" t="s">
        <v>338</v>
      </c>
      <c r="C131" s="241" t="s">
        <v>339</v>
      </c>
    </row>
    <row r="132" spans="1:3" ht="12.75" x14ac:dyDescent="0.2">
      <c r="A132" s="236">
        <v>124</v>
      </c>
      <c r="B132" s="240" t="s">
        <v>340</v>
      </c>
      <c r="C132" s="241" t="s">
        <v>341</v>
      </c>
    </row>
    <row r="133" spans="1:3" ht="12.75" x14ac:dyDescent="0.2">
      <c r="A133" s="236">
        <v>125</v>
      </c>
      <c r="B133" s="240" t="s">
        <v>342</v>
      </c>
      <c r="C133" s="241" t="s">
        <v>343</v>
      </c>
    </row>
    <row r="134" spans="1:3" ht="12.75" x14ac:dyDescent="0.2">
      <c r="A134" s="236">
        <v>126</v>
      </c>
      <c r="B134" s="240" t="s">
        <v>344</v>
      </c>
      <c r="C134" s="241" t="s">
        <v>345</v>
      </c>
    </row>
    <row r="135" spans="1:3" ht="12.75" x14ac:dyDescent="0.2">
      <c r="A135" s="236">
        <v>127</v>
      </c>
      <c r="B135" s="240" t="s">
        <v>346</v>
      </c>
      <c r="C135" s="241" t="s">
        <v>347</v>
      </c>
    </row>
    <row r="136" spans="1:3" ht="12.75" x14ac:dyDescent="0.2">
      <c r="A136" s="236">
        <v>128</v>
      </c>
      <c r="B136" s="240" t="s">
        <v>348</v>
      </c>
      <c r="C136" s="241" t="s">
        <v>349</v>
      </c>
    </row>
    <row r="137" spans="1:3" ht="12.75" x14ac:dyDescent="0.2">
      <c r="A137" s="236">
        <v>129</v>
      </c>
      <c r="B137" s="240" t="s">
        <v>350</v>
      </c>
      <c r="C137" s="241" t="s">
        <v>351</v>
      </c>
    </row>
    <row r="138" spans="1:3" ht="12.75" x14ac:dyDescent="0.2">
      <c r="A138" s="236">
        <v>130</v>
      </c>
      <c r="B138" s="240" t="s">
        <v>352</v>
      </c>
      <c r="C138" s="241" t="s">
        <v>353</v>
      </c>
    </row>
    <row r="139" spans="1:3" ht="12.75" x14ac:dyDescent="0.2">
      <c r="A139" s="236">
        <v>131</v>
      </c>
      <c r="B139" s="240" t="s">
        <v>354</v>
      </c>
      <c r="C139" s="241" t="s">
        <v>355</v>
      </c>
    </row>
    <row r="140" spans="1:3" ht="12.75" x14ac:dyDescent="0.2">
      <c r="A140" s="236">
        <v>132</v>
      </c>
      <c r="B140" s="240" t="s">
        <v>356</v>
      </c>
      <c r="C140" s="241" t="s">
        <v>357</v>
      </c>
    </row>
    <row r="141" spans="1:3" ht="12.75" x14ac:dyDescent="0.2">
      <c r="A141" s="236">
        <v>133</v>
      </c>
      <c r="B141" s="240" t="s">
        <v>358</v>
      </c>
      <c r="C141" s="241" t="s">
        <v>359</v>
      </c>
    </row>
    <row r="142" spans="1:3" ht="12.75" x14ac:dyDescent="0.2">
      <c r="A142" s="236">
        <v>134</v>
      </c>
      <c r="B142" s="240" t="s">
        <v>360</v>
      </c>
      <c r="C142" s="241" t="s">
        <v>361</v>
      </c>
    </row>
    <row r="143" spans="1:3" ht="12.75" x14ac:dyDescent="0.2">
      <c r="A143" s="236">
        <v>135</v>
      </c>
      <c r="B143" s="240" t="s">
        <v>362</v>
      </c>
      <c r="C143" s="241" t="s">
        <v>363</v>
      </c>
    </row>
    <row r="144" spans="1:3" ht="12.75" x14ac:dyDescent="0.2">
      <c r="A144" s="236">
        <v>136</v>
      </c>
      <c r="B144" s="240" t="s">
        <v>364</v>
      </c>
      <c r="C144" s="241" t="s">
        <v>365</v>
      </c>
    </row>
    <row r="145" spans="1:3" ht="12.75" x14ac:dyDescent="0.2">
      <c r="A145" s="236">
        <v>137</v>
      </c>
      <c r="B145" s="240" t="s">
        <v>366</v>
      </c>
      <c r="C145" s="241" t="s">
        <v>367</v>
      </c>
    </row>
    <row r="146" spans="1:3" ht="12.75" x14ac:dyDescent="0.2">
      <c r="A146" s="236">
        <v>138</v>
      </c>
      <c r="B146" s="240" t="s">
        <v>368</v>
      </c>
      <c r="C146" s="241" t="s">
        <v>369</v>
      </c>
    </row>
    <row r="147" spans="1:3" ht="12.75" x14ac:dyDescent="0.2">
      <c r="A147" s="236">
        <v>139</v>
      </c>
      <c r="B147" s="240" t="s">
        <v>370</v>
      </c>
      <c r="C147" s="241" t="s">
        <v>371</v>
      </c>
    </row>
    <row r="148" spans="1:3" ht="12.75" x14ac:dyDescent="0.2">
      <c r="A148" s="236">
        <v>140</v>
      </c>
      <c r="B148" s="240" t="s">
        <v>372</v>
      </c>
      <c r="C148" s="241" t="s">
        <v>373</v>
      </c>
    </row>
    <row r="149" spans="1:3" ht="12.75" x14ac:dyDescent="0.2">
      <c r="A149" s="236">
        <v>141</v>
      </c>
      <c r="B149" s="240" t="s">
        <v>374</v>
      </c>
      <c r="C149" s="241" t="s">
        <v>375</v>
      </c>
    </row>
    <row r="150" spans="1:3" ht="12.75" x14ac:dyDescent="0.2">
      <c r="A150" s="236">
        <v>142</v>
      </c>
      <c r="B150" s="240" t="s">
        <v>376</v>
      </c>
      <c r="C150" s="241" t="s">
        <v>377</v>
      </c>
    </row>
    <row r="151" spans="1:3" ht="12.75" x14ac:dyDescent="0.2">
      <c r="A151" s="236">
        <v>143</v>
      </c>
      <c r="B151" s="240" t="s">
        <v>378</v>
      </c>
      <c r="C151" s="241" t="s">
        <v>379</v>
      </c>
    </row>
    <row r="152" spans="1:3" ht="12.75" x14ac:dyDescent="0.2">
      <c r="A152" s="236">
        <v>144</v>
      </c>
      <c r="B152" s="240" t="s">
        <v>380</v>
      </c>
      <c r="C152" s="241" t="s">
        <v>381</v>
      </c>
    </row>
    <row r="153" spans="1:3" ht="12.75" x14ac:dyDescent="0.2">
      <c r="A153" s="236">
        <v>145</v>
      </c>
      <c r="B153" s="240" t="s">
        <v>382</v>
      </c>
      <c r="C153" s="241" t="s">
        <v>383</v>
      </c>
    </row>
    <row r="154" spans="1:3" ht="12.75" x14ac:dyDescent="0.2">
      <c r="A154" s="236">
        <v>146</v>
      </c>
      <c r="B154" s="240" t="s">
        <v>384</v>
      </c>
      <c r="C154" s="241" t="s">
        <v>385</v>
      </c>
    </row>
    <row r="155" spans="1:3" ht="12.75" x14ac:dyDescent="0.2">
      <c r="A155" s="236">
        <v>147</v>
      </c>
      <c r="B155" s="240" t="s">
        <v>386</v>
      </c>
      <c r="C155" s="241" t="s">
        <v>387</v>
      </c>
    </row>
    <row r="156" spans="1:3" ht="12.75" x14ac:dyDescent="0.2">
      <c r="A156" s="236">
        <v>148</v>
      </c>
      <c r="B156" s="240" t="s">
        <v>388</v>
      </c>
      <c r="C156" s="241" t="s">
        <v>389</v>
      </c>
    </row>
    <row r="157" spans="1:3" ht="12.75" x14ac:dyDescent="0.2">
      <c r="A157" s="236">
        <v>149</v>
      </c>
      <c r="B157" s="240" t="s">
        <v>390</v>
      </c>
      <c r="C157" s="241" t="s">
        <v>391</v>
      </c>
    </row>
    <row r="158" spans="1:3" ht="12.75" x14ac:dyDescent="0.2">
      <c r="A158" s="236">
        <v>150</v>
      </c>
      <c r="B158" s="240" t="s">
        <v>392</v>
      </c>
      <c r="C158" s="241" t="s">
        <v>393</v>
      </c>
    </row>
    <row r="159" spans="1:3" ht="12.75" x14ac:dyDescent="0.2">
      <c r="A159" s="236">
        <v>151</v>
      </c>
      <c r="B159" s="240" t="s">
        <v>394</v>
      </c>
      <c r="C159" s="241" t="s">
        <v>395</v>
      </c>
    </row>
    <row r="160" spans="1:3" ht="12.75" x14ac:dyDescent="0.2">
      <c r="A160" s="236">
        <v>152</v>
      </c>
      <c r="B160" s="240" t="s">
        <v>396</v>
      </c>
      <c r="C160" s="241" t="s">
        <v>397</v>
      </c>
    </row>
    <row r="161" spans="1:3" ht="12.75" x14ac:dyDescent="0.2">
      <c r="A161" s="236">
        <v>153</v>
      </c>
      <c r="B161" s="240" t="s">
        <v>398</v>
      </c>
      <c r="C161" s="241" t="s">
        <v>399</v>
      </c>
    </row>
    <row r="162" spans="1:3" ht="12.75" x14ac:dyDescent="0.2">
      <c r="A162" s="236">
        <v>154</v>
      </c>
      <c r="B162" s="240" t="s">
        <v>400</v>
      </c>
      <c r="C162" s="241" t="s">
        <v>401</v>
      </c>
    </row>
    <row r="163" spans="1:3" ht="12.75" x14ac:dyDescent="0.2">
      <c r="A163" s="236">
        <v>155</v>
      </c>
      <c r="B163" s="240" t="s">
        <v>402</v>
      </c>
      <c r="C163" s="241" t="s">
        <v>403</v>
      </c>
    </row>
    <row r="164" spans="1:3" ht="12.75" x14ac:dyDescent="0.2">
      <c r="A164" s="236">
        <v>156</v>
      </c>
      <c r="B164" s="240" t="s">
        <v>404</v>
      </c>
      <c r="C164" s="241" t="s">
        <v>405</v>
      </c>
    </row>
    <row r="165" spans="1:3" ht="12.75" x14ac:dyDescent="0.2">
      <c r="A165" s="236">
        <v>157</v>
      </c>
      <c r="B165" s="240" t="s">
        <v>406</v>
      </c>
      <c r="C165" s="241" t="s">
        <v>407</v>
      </c>
    </row>
    <row r="166" spans="1:3" ht="12.75" x14ac:dyDescent="0.2">
      <c r="A166" s="236">
        <v>158</v>
      </c>
      <c r="B166" s="240" t="s">
        <v>408</v>
      </c>
      <c r="C166" s="241" t="s">
        <v>409</v>
      </c>
    </row>
    <row r="167" spans="1:3" ht="12.75" x14ac:dyDescent="0.2">
      <c r="A167" s="236">
        <v>159</v>
      </c>
      <c r="B167" s="240" t="s">
        <v>410</v>
      </c>
      <c r="C167" s="241" t="s">
        <v>411</v>
      </c>
    </row>
    <row r="168" spans="1:3" ht="12.75" x14ac:dyDescent="0.2">
      <c r="A168" s="236">
        <v>160</v>
      </c>
      <c r="B168" s="240" t="s">
        <v>412</v>
      </c>
      <c r="C168" s="241" t="s">
        <v>413</v>
      </c>
    </row>
    <row r="169" spans="1:3" ht="12.75" x14ac:dyDescent="0.2">
      <c r="A169" s="236">
        <v>161</v>
      </c>
      <c r="B169" s="240" t="s">
        <v>414</v>
      </c>
      <c r="C169" s="241" t="s">
        <v>415</v>
      </c>
    </row>
    <row r="170" spans="1:3" ht="12.75" x14ac:dyDescent="0.2">
      <c r="A170" s="236">
        <v>162</v>
      </c>
      <c r="B170" s="240" t="s">
        <v>416</v>
      </c>
      <c r="C170" s="241" t="s">
        <v>417</v>
      </c>
    </row>
    <row r="171" spans="1:3" ht="12.75" x14ac:dyDescent="0.2">
      <c r="A171" s="236">
        <v>163</v>
      </c>
      <c r="B171" s="240" t="s">
        <v>418</v>
      </c>
      <c r="C171" s="241" t="s">
        <v>419</v>
      </c>
    </row>
    <row r="172" spans="1:3" ht="12.75" x14ac:dyDescent="0.2">
      <c r="A172" s="236">
        <v>164</v>
      </c>
      <c r="B172" s="240" t="s">
        <v>420</v>
      </c>
      <c r="C172" s="241" t="s">
        <v>421</v>
      </c>
    </row>
    <row r="173" spans="1:3" ht="12.75" x14ac:dyDescent="0.2">
      <c r="A173" s="236">
        <v>165</v>
      </c>
      <c r="B173" s="240" t="s">
        <v>422</v>
      </c>
      <c r="C173" s="241" t="s">
        <v>423</v>
      </c>
    </row>
    <row r="174" spans="1:3" ht="12.75" x14ac:dyDescent="0.2">
      <c r="A174" s="236">
        <v>166</v>
      </c>
      <c r="B174" s="240" t="s">
        <v>424</v>
      </c>
      <c r="C174" s="241" t="s">
        <v>425</v>
      </c>
    </row>
    <row r="175" spans="1:3" ht="12.75" x14ac:dyDescent="0.2">
      <c r="A175" s="236">
        <v>167</v>
      </c>
      <c r="B175" s="240" t="s">
        <v>426</v>
      </c>
      <c r="C175" s="241" t="s">
        <v>427</v>
      </c>
    </row>
    <row r="176" spans="1:3" ht="12.75" x14ac:dyDescent="0.2">
      <c r="A176" s="236">
        <v>168</v>
      </c>
      <c r="B176" s="240" t="s">
        <v>428</v>
      </c>
      <c r="C176" s="241" t="s">
        <v>429</v>
      </c>
    </row>
    <row r="177" spans="1:3" ht="12.75" x14ac:dyDescent="0.2">
      <c r="A177" s="236">
        <v>169</v>
      </c>
      <c r="B177" s="240" t="s">
        <v>430</v>
      </c>
      <c r="C177" s="241" t="s">
        <v>431</v>
      </c>
    </row>
    <row r="178" spans="1:3" ht="12.75" x14ac:dyDescent="0.2">
      <c r="A178" s="236">
        <v>170</v>
      </c>
      <c r="B178" s="240" t="s">
        <v>432</v>
      </c>
      <c r="C178" s="241" t="s">
        <v>433</v>
      </c>
    </row>
    <row r="179" spans="1:3" ht="12.75" x14ac:dyDescent="0.2">
      <c r="A179" s="236">
        <v>171</v>
      </c>
      <c r="B179" s="240" t="s">
        <v>434</v>
      </c>
      <c r="C179" s="241" t="s">
        <v>435</v>
      </c>
    </row>
    <row r="180" spans="1:3" ht="12.75" x14ac:dyDescent="0.2">
      <c r="A180" s="236">
        <v>172</v>
      </c>
      <c r="B180" s="240" t="s">
        <v>436</v>
      </c>
      <c r="C180" s="241" t="s">
        <v>437</v>
      </c>
    </row>
    <row r="181" spans="1:3" ht="12.75" x14ac:dyDescent="0.2">
      <c r="A181" s="236">
        <v>173</v>
      </c>
      <c r="B181" s="240" t="s">
        <v>438</v>
      </c>
      <c r="C181" s="241" t="s">
        <v>439</v>
      </c>
    </row>
    <row r="182" spans="1:3" ht="12.75" x14ac:dyDescent="0.2">
      <c r="A182" s="236">
        <v>174</v>
      </c>
      <c r="B182" s="240" t="s">
        <v>440</v>
      </c>
      <c r="C182" s="241" t="s">
        <v>441</v>
      </c>
    </row>
    <row r="183" spans="1:3" ht="12.75" x14ac:dyDescent="0.2">
      <c r="A183" s="236">
        <v>175</v>
      </c>
      <c r="B183" s="240" t="s">
        <v>442</v>
      </c>
      <c r="C183" s="241" t="s">
        <v>443</v>
      </c>
    </row>
    <row r="184" spans="1:3" ht="12.75" x14ac:dyDescent="0.2">
      <c r="A184" s="236">
        <v>176</v>
      </c>
      <c r="B184" s="240" t="s">
        <v>444</v>
      </c>
      <c r="C184" s="241" t="s">
        <v>445</v>
      </c>
    </row>
    <row r="185" spans="1:3" ht="12.75" x14ac:dyDescent="0.2">
      <c r="A185" s="236">
        <v>177</v>
      </c>
      <c r="B185" s="240" t="s">
        <v>446</v>
      </c>
      <c r="C185" s="241" t="s">
        <v>447</v>
      </c>
    </row>
    <row r="186" spans="1:3" ht="12.75" x14ac:dyDescent="0.2">
      <c r="A186" s="236">
        <v>178</v>
      </c>
      <c r="B186" s="240" t="s">
        <v>448</v>
      </c>
      <c r="C186" s="241" t="s">
        <v>449</v>
      </c>
    </row>
    <row r="187" spans="1:3" ht="12.75" x14ac:dyDescent="0.2">
      <c r="A187" s="236">
        <v>179</v>
      </c>
      <c r="B187" s="240" t="s">
        <v>450</v>
      </c>
      <c r="C187" s="241" t="s">
        <v>451</v>
      </c>
    </row>
    <row r="188" spans="1:3" ht="12.75" x14ac:dyDescent="0.2">
      <c r="A188" s="236">
        <v>180</v>
      </c>
      <c r="B188" s="240" t="s">
        <v>452</v>
      </c>
      <c r="C188" s="241" t="s">
        <v>453</v>
      </c>
    </row>
    <row r="189" spans="1:3" ht="12.75" x14ac:dyDescent="0.2">
      <c r="A189" s="236">
        <v>181</v>
      </c>
      <c r="B189" s="240" t="s">
        <v>454</v>
      </c>
      <c r="C189" s="241" t="s">
        <v>455</v>
      </c>
    </row>
    <row r="190" spans="1:3" ht="12.75" x14ac:dyDescent="0.2">
      <c r="A190" s="236">
        <v>182</v>
      </c>
      <c r="B190" s="240" t="s">
        <v>456</v>
      </c>
      <c r="C190" s="241" t="s">
        <v>457</v>
      </c>
    </row>
    <row r="191" spans="1:3" ht="12.75" x14ac:dyDescent="0.2">
      <c r="A191" s="236">
        <v>183</v>
      </c>
      <c r="B191" s="240" t="s">
        <v>458</v>
      </c>
      <c r="C191" s="241" t="s">
        <v>459</v>
      </c>
    </row>
    <row r="192" spans="1:3" ht="12.75" x14ac:dyDescent="0.2">
      <c r="A192" s="236">
        <v>184</v>
      </c>
      <c r="B192" s="240" t="s">
        <v>460</v>
      </c>
      <c r="C192" s="241" t="s">
        <v>461</v>
      </c>
    </row>
    <row r="193" spans="1:3" ht="12.75" x14ac:dyDescent="0.2">
      <c r="A193" s="236">
        <v>185</v>
      </c>
      <c r="B193" s="240" t="s">
        <v>462</v>
      </c>
      <c r="C193" s="241" t="s">
        <v>463</v>
      </c>
    </row>
    <row r="194" spans="1:3" ht="12.75" x14ac:dyDescent="0.2">
      <c r="A194" s="236">
        <v>186</v>
      </c>
      <c r="B194" s="240" t="s">
        <v>464</v>
      </c>
      <c r="C194" s="241" t="s">
        <v>465</v>
      </c>
    </row>
    <row r="195" spans="1:3" ht="12.75" x14ac:dyDescent="0.2">
      <c r="A195" s="236">
        <v>187</v>
      </c>
      <c r="B195" s="240" t="s">
        <v>466</v>
      </c>
      <c r="C195" s="241" t="s">
        <v>467</v>
      </c>
    </row>
    <row r="196" spans="1:3" ht="12.75" x14ac:dyDescent="0.2">
      <c r="A196" s="236">
        <v>188</v>
      </c>
      <c r="B196" s="240" t="s">
        <v>468</v>
      </c>
      <c r="C196" s="241" t="s">
        <v>469</v>
      </c>
    </row>
    <row r="197" spans="1:3" ht="12.75" x14ac:dyDescent="0.2">
      <c r="A197" s="236">
        <v>189</v>
      </c>
      <c r="B197" s="240" t="s">
        <v>470</v>
      </c>
      <c r="C197" s="241" t="s">
        <v>471</v>
      </c>
    </row>
    <row r="198" spans="1:3" ht="12.75" x14ac:dyDescent="0.2">
      <c r="A198" s="236">
        <v>190</v>
      </c>
      <c r="B198" s="240" t="s">
        <v>472</v>
      </c>
      <c r="C198" s="241" t="s">
        <v>473</v>
      </c>
    </row>
    <row r="199" spans="1:3" ht="12.75" x14ac:dyDescent="0.2">
      <c r="A199" s="236">
        <v>191</v>
      </c>
      <c r="B199" s="240" t="s">
        <v>474</v>
      </c>
      <c r="C199" s="241" t="s">
        <v>475</v>
      </c>
    </row>
    <row r="200" spans="1:3" ht="12.75" x14ac:dyDescent="0.2">
      <c r="A200" s="236">
        <v>192</v>
      </c>
      <c r="B200" s="240" t="s">
        <v>476</v>
      </c>
      <c r="C200" s="241" t="s">
        <v>477</v>
      </c>
    </row>
    <row r="201" spans="1:3" ht="12.75" x14ac:dyDescent="0.2">
      <c r="A201" s="236">
        <v>193</v>
      </c>
      <c r="B201" s="240" t="s">
        <v>478</v>
      </c>
      <c r="C201" s="241" t="s">
        <v>479</v>
      </c>
    </row>
    <row r="202" spans="1:3" ht="12.75" x14ac:dyDescent="0.2">
      <c r="A202" s="236">
        <v>194</v>
      </c>
      <c r="B202" s="240" t="s">
        <v>480</v>
      </c>
      <c r="C202" s="241" t="s">
        <v>481</v>
      </c>
    </row>
    <row r="203" spans="1:3" ht="12.75" x14ac:dyDescent="0.2">
      <c r="A203" s="236">
        <v>195</v>
      </c>
      <c r="B203" s="240" t="s">
        <v>482</v>
      </c>
      <c r="C203" s="241" t="s">
        <v>483</v>
      </c>
    </row>
    <row r="204" spans="1:3" ht="12.75" x14ac:dyDescent="0.2">
      <c r="A204" s="236">
        <v>196</v>
      </c>
      <c r="B204" s="240" t="s">
        <v>484</v>
      </c>
      <c r="C204" s="241" t="s">
        <v>485</v>
      </c>
    </row>
    <row r="205" spans="1:3" ht="12.75" x14ac:dyDescent="0.2">
      <c r="A205" s="236">
        <v>197</v>
      </c>
      <c r="B205" s="240" t="s">
        <v>486</v>
      </c>
      <c r="C205" s="241" t="s">
        <v>487</v>
      </c>
    </row>
    <row r="206" spans="1:3" ht="12.75" x14ac:dyDescent="0.2">
      <c r="A206" s="236">
        <v>198</v>
      </c>
      <c r="B206" s="240" t="s">
        <v>488</v>
      </c>
      <c r="C206" s="241" t="s">
        <v>489</v>
      </c>
    </row>
    <row r="207" spans="1:3" ht="12.75" x14ac:dyDescent="0.2">
      <c r="A207" s="236">
        <v>199</v>
      </c>
      <c r="B207" s="240" t="s">
        <v>490</v>
      </c>
      <c r="C207" s="241" t="s">
        <v>491</v>
      </c>
    </row>
    <row r="208" spans="1:3" ht="12.75" x14ac:dyDescent="0.2">
      <c r="A208" s="236">
        <v>200</v>
      </c>
      <c r="B208" s="240" t="s">
        <v>492</v>
      </c>
      <c r="C208" s="241" t="s">
        <v>493</v>
      </c>
    </row>
    <row r="209" spans="1:3" ht="12.75" x14ac:dyDescent="0.2">
      <c r="A209" s="236">
        <v>201</v>
      </c>
      <c r="B209" s="240" t="s">
        <v>494</v>
      </c>
      <c r="C209" s="241" t="s">
        <v>495</v>
      </c>
    </row>
    <row r="210" spans="1:3" ht="12.75" x14ac:dyDescent="0.2">
      <c r="A210" s="236">
        <v>202</v>
      </c>
      <c r="B210" s="240" t="s">
        <v>496</v>
      </c>
      <c r="C210" s="241" t="s">
        <v>497</v>
      </c>
    </row>
    <row r="211" spans="1:3" ht="12.75" x14ac:dyDescent="0.2">
      <c r="A211" s="236">
        <v>203</v>
      </c>
      <c r="B211" s="240" t="s">
        <v>498</v>
      </c>
      <c r="C211" s="241" t="s">
        <v>499</v>
      </c>
    </row>
    <row r="212" spans="1:3" ht="12.75" x14ac:dyDescent="0.2">
      <c r="A212" s="236">
        <v>204</v>
      </c>
      <c r="B212" s="240" t="s">
        <v>500</v>
      </c>
      <c r="C212" s="241" t="s">
        <v>501</v>
      </c>
    </row>
    <row r="213" spans="1:3" ht="12.75" x14ac:dyDescent="0.2">
      <c r="A213" s="236">
        <v>205</v>
      </c>
      <c r="B213" s="240" t="s">
        <v>502</v>
      </c>
      <c r="C213" s="241" t="s">
        <v>503</v>
      </c>
    </row>
    <row r="214" spans="1:3" ht="12.75" x14ac:dyDescent="0.2">
      <c r="A214" s="236">
        <v>206</v>
      </c>
      <c r="B214" s="240" t="s">
        <v>504</v>
      </c>
      <c r="C214" s="241" t="s">
        <v>505</v>
      </c>
    </row>
    <row r="215" spans="1:3" ht="12.75" x14ac:dyDescent="0.2">
      <c r="A215" s="236">
        <v>207</v>
      </c>
      <c r="B215" s="240" t="s">
        <v>506</v>
      </c>
      <c r="C215" s="241" t="s">
        <v>507</v>
      </c>
    </row>
    <row r="216" spans="1:3" ht="12.75" x14ac:dyDescent="0.2">
      <c r="A216" s="236">
        <v>208</v>
      </c>
      <c r="B216" s="240" t="s">
        <v>508</v>
      </c>
      <c r="C216" s="241" t="s">
        <v>509</v>
      </c>
    </row>
    <row r="217" spans="1:3" ht="12.75" x14ac:dyDescent="0.2">
      <c r="A217" s="236">
        <v>209</v>
      </c>
      <c r="B217" s="240" t="s">
        <v>510</v>
      </c>
      <c r="C217" s="241" t="s">
        <v>511</v>
      </c>
    </row>
    <row r="218" spans="1:3" ht="12.75" x14ac:dyDescent="0.2">
      <c r="A218" s="236">
        <v>210</v>
      </c>
      <c r="B218" s="240" t="s">
        <v>512</v>
      </c>
      <c r="C218" s="241" t="s">
        <v>513</v>
      </c>
    </row>
    <row r="219" spans="1:3" ht="12.75" x14ac:dyDescent="0.2">
      <c r="A219" s="236">
        <v>211</v>
      </c>
      <c r="B219" s="240" t="s">
        <v>514</v>
      </c>
      <c r="C219" s="241" t="s">
        <v>515</v>
      </c>
    </row>
    <row r="220" spans="1:3" ht="12.75" x14ac:dyDescent="0.2">
      <c r="A220" s="236">
        <v>212</v>
      </c>
      <c r="B220" s="240" t="s">
        <v>516</v>
      </c>
      <c r="C220" s="241" t="s">
        <v>517</v>
      </c>
    </row>
    <row r="221" spans="1:3" ht="12.75" x14ac:dyDescent="0.2">
      <c r="A221" s="236">
        <v>213</v>
      </c>
      <c r="B221" s="240" t="s">
        <v>518</v>
      </c>
      <c r="C221" s="241" t="s">
        <v>519</v>
      </c>
    </row>
    <row r="222" spans="1:3" ht="12.75" x14ac:dyDescent="0.2">
      <c r="A222" s="236">
        <v>214</v>
      </c>
      <c r="B222" s="240" t="s">
        <v>520</v>
      </c>
      <c r="C222" s="241" t="s">
        <v>521</v>
      </c>
    </row>
    <row r="223" spans="1:3" ht="12.75" x14ac:dyDescent="0.2">
      <c r="A223" s="236">
        <v>215</v>
      </c>
      <c r="B223" s="240" t="s">
        <v>522</v>
      </c>
      <c r="C223" s="241" t="s">
        <v>523</v>
      </c>
    </row>
    <row r="224" spans="1:3" ht="12.75" x14ac:dyDescent="0.2">
      <c r="A224" s="236">
        <v>216</v>
      </c>
      <c r="B224" s="240" t="s">
        <v>524</v>
      </c>
      <c r="C224" s="241" t="s">
        <v>525</v>
      </c>
    </row>
    <row r="225" spans="1:3" ht="12.75" x14ac:dyDescent="0.2">
      <c r="A225" s="236">
        <v>217</v>
      </c>
      <c r="B225" s="240" t="s">
        <v>526</v>
      </c>
      <c r="C225" s="241" t="s">
        <v>527</v>
      </c>
    </row>
    <row r="226" spans="1:3" ht="12.75" x14ac:dyDescent="0.2">
      <c r="A226" s="236">
        <v>218</v>
      </c>
      <c r="B226" s="240" t="s">
        <v>528</v>
      </c>
      <c r="C226" s="241" t="s">
        <v>529</v>
      </c>
    </row>
    <row r="227" spans="1:3" ht="12.75" x14ac:dyDescent="0.2">
      <c r="A227" s="236">
        <v>219</v>
      </c>
      <c r="B227" s="240" t="s">
        <v>530</v>
      </c>
      <c r="C227" s="241" t="s">
        <v>531</v>
      </c>
    </row>
    <row r="228" spans="1:3" ht="12.75" x14ac:dyDescent="0.2">
      <c r="A228" s="236">
        <v>220</v>
      </c>
      <c r="B228" s="240" t="s">
        <v>532</v>
      </c>
      <c r="C228" s="241" t="s">
        <v>533</v>
      </c>
    </row>
    <row r="229" spans="1:3" ht="12.75" x14ac:dyDescent="0.2">
      <c r="A229" s="236">
        <v>221</v>
      </c>
      <c r="B229" s="240" t="s">
        <v>534</v>
      </c>
      <c r="C229" s="241" t="s">
        <v>535</v>
      </c>
    </row>
    <row r="230" spans="1:3" ht="12.75" x14ac:dyDescent="0.2">
      <c r="A230" s="236">
        <v>222</v>
      </c>
      <c r="B230" s="240" t="s">
        <v>536</v>
      </c>
      <c r="C230" s="241" t="s">
        <v>537</v>
      </c>
    </row>
    <row r="231" spans="1:3" ht="12.75" x14ac:dyDescent="0.2">
      <c r="A231" s="236">
        <v>223</v>
      </c>
      <c r="B231" s="240" t="s">
        <v>538</v>
      </c>
      <c r="C231" s="241" t="s">
        <v>539</v>
      </c>
    </row>
    <row r="232" spans="1:3" ht="12.75" x14ac:dyDescent="0.2">
      <c r="A232" s="236">
        <v>224</v>
      </c>
      <c r="B232" s="240" t="s">
        <v>540</v>
      </c>
      <c r="C232" s="241" t="s">
        <v>541</v>
      </c>
    </row>
    <row r="233" spans="1:3" ht="12.75" x14ac:dyDescent="0.2">
      <c r="A233" s="236">
        <v>225</v>
      </c>
      <c r="B233" s="240" t="s">
        <v>542</v>
      </c>
      <c r="C233" s="241" t="s">
        <v>543</v>
      </c>
    </row>
    <row r="234" spans="1:3" ht="12.75" x14ac:dyDescent="0.2">
      <c r="A234" s="236">
        <v>226</v>
      </c>
      <c r="B234" s="240" t="s">
        <v>544</v>
      </c>
      <c r="C234" s="241" t="s">
        <v>545</v>
      </c>
    </row>
    <row r="235" spans="1:3" ht="12.75" x14ac:dyDescent="0.2">
      <c r="A235" s="236">
        <v>227</v>
      </c>
      <c r="B235" s="240" t="s">
        <v>546</v>
      </c>
      <c r="C235" s="241" t="s">
        <v>547</v>
      </c>
    </row>
    <row r="236" spans="1:3" ht="12.75" x14ac:dyDescent="0.2">
      <c r="A236" s="236">
        <v>228</v>
      </c>
      <c r="B236" s="240" t="s">
        <v>548</v>
      </c>
      <c r="C236" s="241" t="s">
        <v>549</v>
      </c>
    </row>
    <row r="237" spans="1:3" ht="12.75" x14ac:dyDescent="0.2">
      <c r="A237" s="236">
        <v>229</v>
      </c>
      <c r="B237" s="240" t="s">
        <v>550</v>
      </c>
      <c r="C237" s="241" t="s">
        <v>551</v>
      </c>
    </row>
    <row r="238" spans="1:3" ht="12.75" x14ac:dyDescent="0.2">
      <c r="A238" s="236">
        <v>230</v>
      </c>
      <c r="B238" s="240" t="s">
        <v>552</v>
      </c>
      <c r="C238" s="241" t="s">
        <v>553</v>
      </c>
    </row>
    <row r="239" spans="1:3" ht="12.75" x14ac:dyDescent="0.2">
      <c r="A239" s="236">
        <v>231</v>
      </c>
      <c r="B239" s="240" t="s">
        <v>554</v>
      </c>
      <c r="C239" s="241" t="s">
        <v>555</v>
      </c>
    </row>
    <row r="240" spans="1:3" ht="12.75" x14ac:dyDescent="0.2">
      <c r="A240" s="236">
        <v>232</v>
      </c>
      <c r="B240" s="240" t="s">
        <v>556</v>
      </c>
      <c r="C240" s="241" t="s">
        <v>557</v>
      </c>
    </row>
    <row r="241" spans="1:6" ht="12.75" x14ac:dyDescent="0.2">
      <c r="A241" s="236">
        <v>233</v>
      </c>
      <c r="B241" s="240" t="s">
        <v>558</v>
      </c>
      <c r="C241" s="241" t="s">
        <v>559</v>
      </c>
    </row>
    <row r="242" spans="1:6" ht="12.75" x14ac:dyDescent="0.2">
      <c r="A242" s="236">
        <v>234</v>
      </c>
      <c r="B242" s="240" t="s">
        <v>560</v>
      </c>
      <c r="C242" s="241" t="s">
        <v>561</v>
      </c>
    </row>
    <row r="243" spans="1:6" ht="12.75" x14ac:dyDescent="0.2">
      <c r="A243" s="236">
        <v>235</v>
      </c>
      <c r="B243" s="240" t="s">
        <v>562</v>
      </c>
      <c r="C243" s="241" t="s">
        <v>563</v>
      </c>
    </row>
    <row r="244" spans="1:6" ht="12.75" x14ac:dyDescent="0.2">
      <c r="A244" s="236">
        <v>236</v>
      </c>
      <c r="B244" s="240" t="s">
        <v>564</v>
      </c>
      <c r="C244" s="241" t="s">
        <v>565</v>
      </c>
    </row>
    <row r="245" spans="1:6" ht="12.75" x14ac:dyDescent="0.2">
      <c r="A245" s="236">
        <v>237</v>
      </c>
      <c r="B245" s="240" t="s">
        <v>566</v>
      </c>
      <c r="C245" s="241" t="s">
        <v>567</v>
      </c>
    </row>
    <row r="246" spans="1:6" ht="12.75" x14ac:dyDescent="0.2">
      <c r="A246" s="236">
        <v>238</v>
      </c>
      <c r="B246" s="240" t="s">
        <v>568</v>
      </c>
      <c r="C246" s="241" t="s">
        <v>569</v>
      </c>
    </row>
    <row r="247" spans="1:6" ht="12.75" x14ac:dyDescent="0.2">
      <c r="A247" s="236">
        <v>239</v>
      </c>
      <c r="B247" s="240" t="s">
        <v>570</v>
      </c>
      <c r="C247" s="241" t="s">
        <v>571</v>
      </c>
    </row>
    <row r="248" spans="1:6" ht="12.75" x14ac:dyDescent="0.2">
      <c r="A248" s="236">
        <v>240</v>
      </c>
      <c r="B248" s="240" t="s">
        <v>572</v>
      </c>
      <c r="C248" s="241" t="s">
        <v>573</v>
      </c>
    </row>
    <row r="249" spans="1:6" ht="12.75" x14ac:dyDescent="0.2">
      <c r="A249" s="236">
        <v>241</v>
      </c>
      <c r="B249" s="240" t="s">
        <v>574</v>
      </c>
      <c r="C249" s="241" t="s">
        <v>575</v>
      </c>
    </row>
    <row r="250" spans="1:6" ht="12.75" x14ac:dyDescent="0.2">
      <c r="A250" s="236">
        <v>242</v>
      </c>
      <c r="B250" s="240" t="s">
        <v>576</v>
      </c>
      <c r="C250" s="241" t="s">
        <v>577</v>
      </c>
    </row>
    <row r="251" spans="1:6" ht="12.75" x14ac:dyDescent="0.2">
      <c r="A251" s="236">
        <v>243</v>
      </c>
      <c r="B251" s="240" t="s">
        <v>578</v>
      </c>
      <c r="C251" s="241" t="s">
        <v>579</v>
      </c>
    </row>
    <row r="252" spans="1:6" ht="12.75" x14ac:dyDescent="0.2">
      <c r="A252" s="236">
        <v>244</v>
      </c>
      <c r="B252" s="240" t="s">
        <v>580</v>
      </c>
      <c r="C252" s="241" t="s">
        <v>581</v>
      </c>
    </row>
    <row r="253" spans="1:6" ht="12.75" x14ac:dyDescent="0.2">
      <c r="A253" s="236">
        <v>245</v>
      </c>
      <c r="B253" s="240" t="s">
        <v>582</v>
      </c>
      <c r="C253" s="241" t="s">
        <v>583</v>
      </c>
    </row>
    <row r="254" spans="1:6" ht="12.75" x14ac:dyDescent="0.2">
      <c r="A254" s="236">
        <v>246</v>
      </c>
      <c r="B254" s="240" t="s">
        <v>584</v>
      </c>
      <c r="C254" s="241" t="s">
        <v>585</v>
      </c>
      <c r="D254" s="239"/>
      <c r="E254" s="239"/>
      <c r="F254" s="239"/>
    </row>
    <row r="255" spans="1:6" ht="12.75" x14ac:dyDescent="0.2">
      <c r="A255" s="236">
        <v>247</v>
      </c>
      <c r="B255" s="240" t="s">
        <v>586</v>
      </c>
      <c r="C255" s="241" t="s">
        <v>587</v>
      </c>
    </row>
    <row r="256" spans="1:6" ht="12.75" x14ac:dyDescent="0.2">
      <c r="A256" s="236">
        <v>248</v>
      </c>
      <c r="B256" s="240" t="s">
        <v>588</v>
      </c>
      <c r="C256" s="241" t="s">
        <v>589</v>
      </c>
    </row>
    <row r="257" spans="1:3" ht="12.75" x14ac:dyDescent="0.2">
      <c r="A257" s="236">
        <v>249</v>
      </c>
      <c r="B257" s="240" t="s">
        <v>590</v>
      </c>
      <c r="C257" s="241" t="s">
        <v>591</v>
      </c>
    </row>
    <row r="258" spans="1:3" ht="12.75" x14ac:dyDescent="0.2">
      <c r="A258" s="236">
        <v>250</v>
      </c>
      <c r="B258" s="240" t="s">
        <v>592</v>
      </c>
      <c r="C258" s="241" t="s">
        <v>593</v>
      </c>
    </row>
    <row r="259" spans="1:3" ht="12.75" x14ac:dyDescent="0.2">
      <c r="A259" s="236">
        <v>251</v>
      </c>
      <c r="B259" s="240" t="s">
        <v>594</v>
      </c>
      <c r="C259" s="241" t="s">
        <v>595</v>
      </c>
    </row>
    <row r="260" spans="1:3" ht="12.75" x14ac:dyDescent="0.2">
      <c r="A260" s="236">
        <v>252</v>
      </c>
      <c r="B260" s="240" t="s">
        <v>596</v>
      </c>
      <c r="C260" s="241" t="s">
        <v>597</v>
      </c>
    </row>
    <row r="261" spans="1:3" ht="12.75" x14ac:dyDescent="0.2">
      <c r="A261" s="236">
        <v>253</v>
      </c>
      <c r="B261" s="240" t="s">
        <v>598</v>
      </c>
      <c r="C261" s="241" t="s">
        <v>599</v>
      </c>
    </row>
    <row r="262" spans="1:3" ht="12.75" x14ac:dyDescent="0.2">
      <c r="A262" s="236">
        <v>254</v>
      </c>
      <c r="B262" s="240" t="s">
        <v>600</v>
      </c>
      <c r="C262" s="241" t="s">
        <v>601</v>
      </c>
    </row>
    <row r="263" spans="1:3" ht="12.75" x14ac:dyDescent="0.2">
      <c r="A263" s="236">
        <v>255</v>
      </c>
      <c r="B263" s="240" t="s">
        <v>602</v>
      </c>
      <c r="C263" s="241" t="s">
        <v>603</v>
      </c>
    </row>
    <row r="264" spans="1:3" ht="12.75" x14ac:dyDescent="0.2">
      <c r="A264" s="236">
        <v>256</v>
      </c>
      <c r="B264" s="240" t="s">
        <v>604</v>
      </c>
      <c r="C264" s="241" t="s">
        <v>605</v>
      </c>
    </row>
    <row r="265" spans="1:3" ht="12.75" x14ac:dyDescent="0.2">
      <c r="A265" s="236">
        <v>257</v>
      </c>
      <c r="B265" s="240" t="s">
        <v>606</v>
      </c>
      <c r="C265" s="241" t="s">
        <v>607</v>
      </c>
    </row>
    <row r="266" spans="1:3" ht="12.75" x14ac:dyDescent="0.2">
      <c r="A266" s="236">
        <v>258</v>
      </c>
      <c r="B266" s="240" t="s">
        <v>608</v>
      </c>
      <c r="C266" s="241" t="s">
        <v>609</v>
      </c>
    </row>
    <row r="267" spans="1:3" ht="12.75" x14ac:dyDescent="0.2">
      <c r="A267" s="236">
        <v>259</v>
      </c>
      <c r="B267" s="240" t="s">
        <v>610</v>
      </c>
      <c r="C267" s="241" t="s">
        <v>611</v>
      </c>
    </row>
    <row r="268" spans="1:3" ht="12.75" x14ac:dyDescent="0.2">
      <c r="A268" s="236">
        <v>260</v>
      </c>
      <c r="B268" s="240" t="s">
        <v>612</v>
      </c>
      <c r="C268" s="241" t="s">
        <v>613</v>
      </c>
    </row>
    <row r="269" spans="1:3" ht="12.75" x14ac:dyDescent="0.2">
      <c r="A269" s="236">
        <v>261</v>
      </c>
      <c r="B269" s="240" t="s">
        <v>614</v>
      </c>
      <c r="C269" s="241" t="s">
        <v>615</v>
      </c>
    </row>
    <row r="270" spans="1:3" ht="12.75" x14ac:dyDescent="0.2">
      <c r="A270" s="236">
        <v>262</v>
      </c>
      <c r="B270" s="240" t="s">
        <v>616</v>
      </c>
      <c r="C270" s="241" t="s">
        <v>617</v>
      </c>
    </row>
    <row r="271" spans="1:3" ht="12.75" x14ac:dyDescent="0.2">
      <c r="A271" s="236">
        <v>263</v>
      </c>
      <c r="B271" s="240" t="s">
        <v>618</v>
      </c>
      <c r="C271" s="241" t="s">
        <v>619</v>
      </c>
    </row>
    <row r="272" spans="1:3" ht="12.75" x14ac:dyDescent="0.2">
      <c r="A272" s="236">
        <v>264</v>
      </c>
      <c r="B272" s="240" t="s">
        <v>620</v>
      </c>
      <c r="C272" s="241" t="s">
        <v>621</v>
      </c>
    </row>
    <row r="273" spans="1:3" ht="12.75" x14ac:dyDescent="0.2">
      <c r="A273" s="236">
        <v>265</v>
      </c>
      <c r="B273" s="240" t="s">
        <v>622</v>
      </c>
      <c r="C273" s="241" t="s">
        <v>623</v>
      </c>
    </row>
    <row r="274" spans="1:3" ht="12.75" x14ac:dyDescent="0.2">
      <c r="A274" s="236">
        <v>266</v>
      </c>
      <c r="B274" s="240" t="s">
        <v>624</v>
      </c>
      <c r="C274" s="241" t="s">
        <v>625</v>
      </c>
    </row>
    <row r="275" spans="1:3" ht="12.75" x14ac:dyDescent="0.2">
      <c r="A275" s="236">
        <v>267</v>
      </c>
      <c r="B275" s="240" t="s">
        <v>626</v>
      </c>
      <c r="C275" s="241" t="s">
        <v>627</v>
      </c>
    </row>
    <row r="276" spans="1:3" ht="12.75" x14ac:dyDescent="0.2">
      <c r="A276" s="236">
        <v>268</v>
      </c>
      <c r="B276" s="240" t="s">
        <v>628</v>
      </c>
      <c r="C276" s="241" t="s">
        <v>629</v>
      </c>
    </row>
    <row r="277" spans="1:3" ht="12.75" x14ac:dyDescent="0.2">
      <c r="A277" s="236">
        <v>269</v>
      </c>
      <c r="B277" s="240" t="s">
        <v>630</v>
      </c>
      <c r="C277" s="241" t="s">
        <v>631</v>
      </c>
    </row>
    <row r="278" spans="1:3" ht="12.75" x14ac:dyDescent="0.2">
      <c r="A278" s="236">
        <v>270</v>
      </c>
      <c r="B278" s="240" t="s">
        <v>632</v>
      </c>
      <c r="C278" s="241" t="s">
        <v>633</v>
      </c>
    </row>
    <row r="279" spans="1:3" ht="12.75" x14ac:dyDescent="0.2">
      <c r="A279" s="236">
        <v>271</v>
      </c>
      <c r="B279" s="240" t="s">
        <v>634</v>
      </c>
      <c r="C279" s="241" t="s">
        <v>635</v>
      </c>
    </row>
    <row r="280" spans="1:3" ht="12.75" x14ac:dyDescent="0.2">
      <c r="A280" s="236">
        <v>272</v>
      </c>
      <c r="B280" s="240" t="s">
        <v>636</v>
      </c>
      <c r="C280" s="241" t="s">
        <v>637</v>
      </c>
    </row>
    <row r="281" spans="1:3" ht="12.75" x14ac:dyDescent="0.2">
      <c r="A281" s="236">
        <v>273</v>
      </c>
      <c r="B281" s="240" t="s">
        <v>638</v>
      </c>
      <c r="C281" s="241" t="s">
        <v>639</v>
      </c>
    </row>
    <row r="282" spans="1:3" ht="12.75" x14ac:dyDescent="0.2">
      <c r="A282" s="236">
        <v>274</v>
      </c>
      <c r="B282" s="240" t="s">
        <v>640</v>
      </c>
      <c r="C282" s="241" t="s">
        <v>641</v>
      </c>
    </row>
    <row r="283" spans="1:3" ht="12.75" x14ac:dyDescent="0.2">
      <c r="A283" s="236">
        <v>275</v>
      </c>
      <c r="B283" s="240" t="s">
        <v>642</v>
      </c>
      <c r="C283" s="241" t="s">
        <v>643</v>
      </c>
    </row>
    <row r="284" spans="1:3" ht="12.75" x14ac:dyDescent="0.2">
      <c r="A284" s="236">
        <v>276</v>
      </c>
      <c r="B284" s="240" t="s">
        <v>644</v>
      </c>
      <c r="C284" s="241" t="s">
        <v>645</v>
      </c>
    </row>
    <row r="285" spans="1:3" ht="12.75" x14ac:dyDescent="0.2">
      <c r="A285" s="236">
        <v>277</v>
      </c>
      <c r="B285" s="240" t="s">
        <v>646</v>
      </c>
      <c r="C285" s="241" t="s">
        <v>647</v>
      </c>
    </row>
    <row r="286" spans="1:3" ht="12.75" x14ac:dyDescent="0.2">
      <c r="A286" s="236">
        <v>278</v>
      </c>
      <c r="B286" s="240" t="s">
        <v>648</v>
      </c>
      <c r="C286" s="241" t="s">
        <v>649</v>
      </c>
    </row>
    <row r="287" spans="1:3" ht="12.75" x14ac:dyDescent="0.2">
      <c r="A287" s="236">
        <v>279</v>
      </c>
      <c r="B287" s="240" t="s">
        <v>650</v>
      </c>
      <c r="C287" s="241" t="s">
        <v>651</v>
      </c>
    </row>
    <row r="288" spans="1:3" ht="12.75" x14ac:dyDescent="0.2">
      <c r="A288" s="236">
        <v>280</v>
      </c>
      <c r="B288" s="240" t="s">
        <v>652</v>
      </c>
      <c r="C288" s="241" t="s">
        <v>653</v>
      </c>
    </row>
    <row r="289" spans="1:3" ht="12.75" x14ac:dyDescent="0.2">
      <c r="A289" s="236">
        <v>281</v>
      </c>
      <c r="B289" s="240" t="s">
        <v>654</v>
      </c>
      <c r="C289" s="241" t="s">
        <v>655</v>
      </c>
    </row>
    <row r="290" spans="1:3" ht="12.75" x14ac:dyDescent="0.2">
      <c r="A290" s="236">
        <v>282</v>
      </c>
      <c r="B290" s="240" t="s">
        <v>656</v>
      </c>
      <c r="C290" s="241" t="s">
        <v>657</v>
      </c>
    </row>
    <row r="291" spans="1:3" ht="12.75" x14ac:dyDescent="0.2">
      <c r="A291" s="236">
        <v>283</v>
      </c>
      <c r="B291" s="240" t="s">
        <v>658</v>
      </c>
      <c r="C291" s="241" t="s">
        <v>659</v>
      </c>
    </row>
    <row r="292" spans="1:3" ht="12.75" x14ac:dyDescent="0.2">
      <c r="A292" s="236">
        <v>284</v>
      </c>
      <c r="B292" s="240" t="s">
        <v>660</v>
      </c>
      <c r="C292" s="241" t="s">
        <v>661</v>
      </c>
    </row>
    <row r="293" spans="1:3" ht="12.75" x14ac:dyDescent="0.2">
      <c r="A293" s="236">
        <v>285</v>
      </c>
      <c r="B293" s="240" t="s">
        <v>662</v>
      </c>
      <c r="C293" s="241" t="s">
        <v>663</v>
      </c>
    </row>
    <row r="294" spans="1:3" ht="12.75" x14ac:dyDescent="0.2">
      <c r="A294" s="236">
        <v>286</v>
      </c>
      <c r="B294" s="240" t="s">
        <v>664</v>
      </c>
      <c r="C294" s="241" t="s">
        <v>665</v>
      </c>
    </row>
    <row r="295" spans="1:3" ht="12.75" x14ac:dyDescent="0.2">
      <c r="A295" s="236">
        <v>287</v>
      </c>
      <c r="B295" s="240" t="s">
        <v>666</v>
      </c>
      <c r="C295" s="241" t="s">
        <v>667</v>
      </c>
    </row>
    <row r="296" spans="1:3" ht="12.75" x14ac:dyDescent="0.2">
      <c r="A296" s="236">
        <v>288</v>
      </c>
      <c r="B296" s="240" t="s">
        <v>668</v>
      </c>
      <c r="C296" s="241" t="s">
        <v>669</v>
      </c>
    </row>
    <row r="297" spans="1:3" ht="12.75" x14ac:dyDescent="0.2">
      <c r="A297" s="236">
        <v>289</v>
      </c>
      <c r="B297" s="240" t="s">
        <v>670</v>
      </c>
      <c r="C297" s="241" t="s">
        <v>671</v>
      </c>
    </row>
    <row r="298" spans="1:3" ht="12.75" x14ac:dyDescent="0.2">
      <c r="A298" s="236">
        <v>290</v>
      </c>
      <c r="B298" s="240" t="s">
        <v>672</v>
      </c>
      <c r="C298" s="241" t="s">
        <v>673</v>
      </c>
    </row>
    <row r="299" spans="1:3" ht="12.75" x14ac:dyDescent="0.2">
      <c r="A299" s="236">
        <v>291</v>
      </c>
      <c r="B299" s="240" t="s">
        <v>674</v>
      </c>
      <c r="C299" s="241" t="s">
        <v>675</v>
      </c>
    </row>
    <row r="300" spans="1:3" ht="12.75" x14ac:dyDescent="0.2">
      <c r="A300" s="236">
        <v>292</v>
      </c>
      <c r="B300" s="240" t="s">
        <v>676</v>
      </c>
      <c r="C300" s="241" t="s">
        <v>677</v>
      </c>
    </row>
    <row r="301" spans="1:3" ht="12.75" x14ac:dyDescent="0.2">
      <c r="A301" s="236">
        <v>293</v>
      </c>
      <c r="B301" s="240" t="s">
        <v>678</v>
      </c>
      <c r="C301" s="241" t="s">
        <v>679</v>
      </c>
    </row>
    <row r="302" spans="1:3" ht="12.75" x14ac:dyDescent="0.2">
      <c r="A302" s="236">
        <v>294</v>
      </c>
      <c r="B302" s="240" t="s">
        <v>680</v>
      </c>
      <c r="C302" s="241" t="s">
        <v>681</v>
      </c>
    </row>
    <row r="303" spans="1:3" ht="12.75" x14ac:dyDescent="0.2">
      <c r="A303" s="236">
        <v>295</v>
      </c>
      <c r="B303" s="240" t="s">
        <v>682</v>
      </c>
      <c r="C303" s="241" t="s">
        <v>683</v>
      </c>
    </row>
    <row r="304" spans="1:3" ht="12.75" x14ac:dyDescent="0.2">
      <c r="A304" s="236">
        <v>296</v>
      </c>
      <c r="B304" s="240" t="s">
        <v>684</v>
      </c>
      <c r="C304" s="241" t="s">
        <v>685</v>
      </c>
    </row>
    <row r="305" spans="1:3" ht="12.75" x14ac:dyDescent="0.2">
      <c r="A305" s="236">
        <v>297</v>
      </c>
      <c r="B305" s="240" t="s">
        <v>686</v>
      </c>
      <c r="C305" s="241" t="s">
        <v>687</v>
      </c>
    </row>
    <row r="306" spans="1:3" ht="12.75" x14ac:dyDescent="0.2">
      <c r="A306" s="236">
        <v>298</v>
      </c>
      <c r="B306" s="240" t="s">
        <v>688</v>
      </c>
      <c r="C306" s="241" t="s">
        <v>689</v>
      </c>
    </row>
    <row r="307" spans="1:3" ht="12.75" x14ac:dyDescent="0.2">
      <c r="A307" s="236">
        <v>299</v>
      </c>
      <c r="B307" s="240" t="s">
        <v>690</v>
      </c>
      <c r="C307" s="241" t="s">
        <v>691</v>
      </c>
    </row>
    <row r="308" spans="1:3" ht="12.75" x14ac:dyDescent="0.2">
      <c r="A308" s="236">
        <v>300</v>
      </c>
      <c r="B308" s="240" t="s">
        <v>692</v>
      </c>
      <c r="C308" s="241" t="s">
        <v>693</v>
      </c>
    </row>
    <row r="309" spans="1:3" ht="12.75" x14ac:dyDescent="0.2">
      <c r="A309" s="236">
        <v>301</v>
      </c>
      <c r="B309" s="240" t="s">
        <v>694</v>
      </c>
      <c r="C309" s="241" t="s">
        <v>695</v>
      </c>
    </row>
    <row r="310" spans="1:3" ht="12.75" x14ac:dyDescent="0.2">
      <c r="A310" s="236">
        <v>302</v>
      </c>
      <c r="B310" s="240" t="s">
        <v>696</v>
      </c>
      <c r="C310" s="241" t="s">
        <v>697</v>
      </c>
    </row>
    <row r="311" spans="1:3" ht="12.75" x14ac:dyDescent="0.2">
      <c r="A311" s="236">
        <v>303</v>
      </c>
      <c r="B311" s="240" t="s">
        <v>698</v>
      </c>
      <c r="C311" s="241" t="s">
        <v>699</v>
      </c>
    </row>
    <row r="312" spans="1:3" ht="12.75" x14ac:dyDescent="0.2">
      <c r="A312" s="236">
        <v>304</v>
      </c>
      <c r="B312" s="240" t="s">
        <v>700</v>
      </c>
      <c r="C312" s="241" t="s">
        <v>701</v>
      </c>
    </row>
    <row r="313" spans="1:3" ht="12.75" x14ac:dyDescent="0.2">
      <c r="A313" s="236">
        <v>305</v>
      </c>
      <c r="B313" s="240" t="s">
        <v>702</v>
      </c>
      <c r="C313" s="241" t="s">
        <v>703</v>
      </c>
    </row>
    <row r="314" spans="1:3" ht="12.75" x14ac:dyDescent="0.2">
      <c r="A314" s="236">
        <v>306</v>
      </c>
      <c r="B314" s="240" t="s">
        <v>704</v>
      </c>
      <c r="C314" s="241" t="s">
        <v>705</v>
      </c>
    </row>
    <row r="315" spans="1:3" ht="12.75" x14ac:dyDescent="0.2">
      <c r="A315" s="236">
        <v>307</v>
      </c>
      <c r="B315" s="240" t="s">
        <v>706</v>
      </c>
      <c r="C315" s="241" t="s">
        <v>707</v>
      </c>
    </row>
    <row r="316" spans="1:3" ht="12.75" x14ac:dyDescent="0.2">
      <c r="A316" s="236">
        <v>308</v>
      </c>
      <c r="B316" s="240" t="s">
        <v>708</v>
      </c>
      <c r="C316" s="241" t="s">
        <v>709</v>
      </c>
    </row>
    <row r="317" spans="1:3" ht="12.75" x14ac:dyDescent="0.2">
      <c r="A317" s="236">
        <v>309</v>
      </c>
      <c r="B317" s="240" t="s">
        <v>710</v>
      </c>
      <c r="C317" s="241" t="s">
        <v>711</v>
      </c>
    </row>
    <row r="318" spans="1:3" ht="12.75" x14ac:dyDescent="0.2">
      <c r="A318" s="236">
        <v>310</v>
      </c>
      <c r="B318" s="240" t="s">
        <v>712</v>
      </c>
      <c r="C318" s="241" t="s">
        <v>713</v>
      </c>
    </row>
    <row r="319" spans="1:3" ht="12.75" x14ac:dyDescent="0.2">
      <c r="A319" s="236">
        <v>311</v>
      </c>
      <c r="B319" s="240" t="s">
        <v>714</v>
      </c>
      <c r="C319" s="241" t="s">
        <v>715</v>
      </c>
    </row>
    <row r="320" spans="1:3" ht="12.75" x14ac:dyDescent="0.2">
      <c r="A320" s="236">
        <v>312</v>
      </c>
      <c r="B320" s="240" t="s">
        <v>716</v>
      </c>
      <c r="C320" s="241" t="s">
        <v>717</v>
      </c>
    </row>
    <row r="321" spans="1:3" ht="12.75" x14ac:dyDescent="0.2">
      <c r="A321" s="236">
        <v>313</v>
      </c>
      <c r="B321" s="240" t="s">
        <v>718</v>
      </c>
      <c r="C321" s="241" t="s">
        <v>719</v>
      </c>
    </row>
    <row r="322" spans="1:3" ht="12.75" x14ac:dyDescent="0.2">
      <c r="A322" s="236">
        <v>314</v>
      </c>
      <c r="B322" s="240" t="s">
        <v>720</v>
      </c>
      <c r="C322" s="241" t="s">
        <v>721</v>
      </c>
    </row>
    <row r="323" spans="1:3" ht="12.75" x14ac:dyDescent="0.2">
      <c r="A323" s="236">
        <v>315</v>
      </c>
      <c r="B323" s="240" t="s">
        <v>722</v>
      </c>
      <c r="C323" s="241" t="s">
        <v>723</v>
      </c>
    </row>
    <row r="324" spans="1:3" ht="12.75" x14ac:dyDescent="0.2">
      <c r="A324" s="236">
        <v>316</v>
      </c>
      <c r="B324" s="240" t="s">
        <v>724</v>
      </c>
      <c r="C324" s="241" t="s">
        <v>725</v>
      </c>
    </row>
    <row r="325" spans="1:3" ht="12.75" x14ac:dyDescent="0.2">
      <c r="A325" s="236">
        <v>317</v>
      </c>
      <c r="B325" s="240" t="s">
        <v>726</v>
      </c>
      <c r="C325" s="241" t="s">
        <v>727</v>
      </c>
    </row>
    <row r="326" spans="1:3" ht="12.75" x14ac:dyDescent="0.2">
      <c r="A326" s="236">
        <v>318</v>
      </c>
      <c r="B326" s="240" t="s">
        <v>728</v>
      </c>
      <c r="C326" s="241" t="s">
        <v>729</v>
      </c>
    </row>
    <row r="327" spans="1:3" ht="12.75" x14ac:dyDescent="0.2">
      <c r="A327" s="236">
        <v>319</v>
      </c>
      <c r="B327" s="240" t="s">
        <v>730</v>
      </c>
      <c r="C327" s="241" t="s">
        <v>731</v>
      </c>
    </row>
    <row r="328" spans="1:3" ht="12.75" x14ac:dyDescent="0.2">
      <c r="A328" s="236">
        <v>320</v>
      </c>
      <c r="B328" s="240" t="s">
        <v>732</v>
      </c>
      <c r="C328" s="241" t="s">
        <v>733</v>
      </c>
    </row>
    <row r="329" spans="1:3" ht="12.75" x14ac:dyDescent="0.2">
      <c r="A329" s="236">
        <v>321</v>
      </c>
      <c r="B329" s="240" t="s">
        <v>734</v>
      </c>
      <c r="C329" s="241" t="s">
        <v>735</v>
      </c>
    </row>
    <row r="330" spans="1:3" ht="12.75" x14ac:dyDescent="0.2">
      <c r="A330" s="236">
        <v>322</v>
      </c>
      <c r="B330" s="240" t="s">
        <v>736</v>
      </c>
      <c r="C330" s="241" t="s">
        <v>737</v>
      </c>
    </row>
    <row r="331" spans="1:3" ht="12.75" x14ac:dyDescent="0.2">
      <c r="A331" s="236">
        <v>323</v>
      </c>
      <c r="B331" s="240" t="s">
        <v>738</v>
      </c>
      <c r="C331" s="241" t="s">
        <v>739</v>
      </c>
    </row>
    <row r="332" spans="1:3" ht="12.75" x14ac:dyDescent="0.2">
      <c r="A332" s="236">
        <v>324</v>
      </c>
      <c r="B332" s="240" t="s">
        <v>740</v>
      </c>
      <c r="C332" s="241" t="s">
        <v>741</v>
      </c>
    </row>
    <row r="333" spans="1:3" ht="12.75" x14ac:dyDescent="0.2">
      <c r="A333" s="236">
        <v>325</v>
      </c>
      <c r="B333" s="240" t="s">
        <v>742</v>
      </c>
      <c r="C333" s="241" t="s">
        <v>743</v>
      </c>
    </row>
    <row r="334" spans="1:3" ht="13.5" thickBot="1" x14ac:dyDescent="0.25">
      <c r="A334" s="244">
        <v>326</v>
      </c>
      <c r="B334" s="245" t="s">
        <v>744</v>
      </c>
      <c r="C334" s="246" t="s">
        <v>745</v>
      </c>
    </row>
    <row r="335" spans="1:3" ht="12.75" x14ac:dyDescent="0.2">
      <c r="A335" s="247">
        <v>327</v>
      </c>
      <c r="B335" s="248" t="s">
        <v>1278</v>
      </c>
      <c r="C335" s="249" t="s">
        <v>1286</v>
      </c>
    </row>
    <row r="336" spans="1:3" s="251" customFormat="1" ht="12.75" x14ac:dyDescent="0.2">
      <c r="A336" s="250"/>
      <c r="B336" s="250"/>
      <c r="C336" s="250"/>
    </row>
    <row r="337" spans="1:3" s="251" customFormat="1" x14ac:dyDescent="0.2">
      <c r="A337" s="114"/>
      <c r="B337" s="114"/>
      <c r="C337" s="114"/>
    </row>
    <row r="338" spans="1:3" s="251" customFormat="1" x14ac:dyDescent="0.2">
      <c r="A338" s="114"/>
      <c r="B338" s="114"/>
      <c r="C338" s="114"/>
    </row>
    <row r="339" spans="1:3" s="251" customFormat="1" x14ac:dyDescent="0.2">
      <c r="A339" s="114"/>
      <c r="B339" s="114"/>
      <c r="C339" s="114"/>
    </row>
    <row r="340" spans="1:3" s="251" customFormat="1" x14ac:dyDescent="0.2">
      <c r="A340" s="114"/>
      <c r="B340" s="114"/>
      <c r="C340" s="114"/>
    </row>
    <row r="341" spans="1:3" s="251" customFormat="1" x14ac:dyDescent="0.2">
      <c r="A341" s="114"/>
      <c r="B341" s="114"/>
      <c r="C341" s="114"/>
    </row>
    <row r="342" spans="1:3" s="251" customFormat="1" x14ac:dyDescent="0.2">
      <c r="A342" s="114"/>
      <c r="B342" s="114"/>
      <c r="C342" s="114"/>
    </row>
    <row r="343" spans="1:3" s="251" customFormat="1" x14ac:dyDescent="0.2">
      <c r="A343" s="114"/>
      <c r="B343" s="114"/>
      <c r="C343" s="114"/>
    </row>
    <row r="344" spans="1:3" s="251" customFormat="1" x14ac:dyDescent="0.2">
      <c r="A344" s="114"/>
      <c r="B344" s="114"/>
      <c r="C344" s="114"/>
    </row>
    <row r="345" spans="1:3" s="251" customFormat="1" x14ac:dyDescent="0.2">
      <c r="A345" s="114"/>
      <c r="B345" s="114"/>
      <c r="C345" s="114"/>
    </row>
    <row r="346" spans="1:3" s="251" customFormat="1" x14ac:dyDescent="0.2">
      <c r="A346" s="114"/>
      <c r="B346" s="114"/>
      <c r="C346" s="114"/>
    </row>
    <row r="347" spans="1:3" s="251" customFormat="1" x14ac:dyDescent="0.2">
      <c r="A347" s="114"/>
      <c r="B347" s="114"/>
      <c r="C347" s="114"/>
    </row>
    <row r="348" spans="1:3" s="251" customFormat="1" x14ac:dyDescent="0.2">
      <c r="A348" s="114"/>
      <c r="B348" s="114"/>
      <c r="C348" s="114"/>
    </row>
    <row r="349" spans="1:3" s="251" customFormat="1" x14ac:dyDescent="0.2">
      <c r="A349" s="114"/>
      <c r="B349" s="114"/>
      <c r="C349" s="114"/>
    </row>
    <row r="350" spans="1:3" s="251" customFormat="1" x14ac:dyDescent="0.2">
      <c r="A350" s="114"/>
      <c r="B350" s="114"/>
      <c r="C350" s="114"/>
    </row>
    <row r="351" spans="1:3" s="251" customFormat="1" x14ac:dyDescent="0.2">
      <c r="A351" s="114"/>
      <c r="B351" s="114"/>
      <c r="C351" s="114"/>
    </row>
    <row r="352" spans="1:3" s="251" customFormat="1" x14ac:dyDescent="0.2">
      <c r="A352" s="114"/>
      <c r="B352" s="114"/>
      <c r="C352" s="114"/>
    </row>
    <row r="353" spans="1:3" s="251" customFormat="1" x14ac:dyDescent="0.2">
      <c r="A353" s="114"/>
      <c r="B353" s="114"/>
      <c r="C353" s="114"/>
    </row>
    <row r="354" spans="1:3" s="251" customFormat="1" x14ac:dyDescent="0.2">
      <c r="A354" s="114"/>
      <c r="B354" s="114"/>
      <c r="C354" s="114"/>
    </row>
    <row r="355" spans="1:3" s="251" customFormat="1" x14ac:dyDescent="0.2">
      <c r="A355" s="114"/>
      <c r="B355" s="114"/>
      <c r="C355" s="114"/>
    </row>
    <row r="356" spans="1:3" s="251" customFormat="1" x14ac:dyDescent="0.2">
      <c r="A356" s="114"/>
      <c r="B356" s="114"/>
      <c r="C356" s="114"/>
    </row>
    <row r="357" spans="1:3" s="251" customFormat="1" x14ac:dyDescent="0.2">
      <c r="A357" s="114"/>
      <c r="B357" s="114"/>
      <c r="C357" s="114"/>
    </row>
    <row r="358" spans="1:3" s="251" customFormat="1" x14ac:dyDescent="0.2">
      <c r="A358" s="114"/>
      <c r="B358" s="114"/>
      <c r="C358" s="114"/>
    </row>
    <row r="359" spans="1:3" s="251" customFormat="1" x14ac:dyDescent="0.2">
      <c r="A359" s="114"/>
      <c r="B359" s="114"/>
      <c r="C359" s="114"/>
    </row>
    <row r="360" spans="1:3" s="251" customFormat="1" x14ac:dyDescent="0.2">
      <c r="A360" s="114"/>
      <c r="B360" s="114"/>
      <c r="C360" s="114"/>
    </row>
    <row r="361" spans="1:3" s="251" customFormat="1" x14ac:dyDescent="0.2">
      <c r="A361" s="114"/>
      <c r="B361" s="114"/>
      <c r="C361" s="114"/>
    </row>
    <row r="362" spans="1:3" s="251" customFormat="1" x14ac:dyDescent="0.2">
      <c r="A362" s="114"/>
      <c r="B362" s="114"/>
      <c r="C362" s="114"/>
    </row>
    <row r="363" spans="1:3" s="251" customFormat="1" x14ac:dyDescent="0.2">
      <c r="A363" s="114"/>
      <c r="B363" s="114"/>
      <c r="C363" s="114"/>
    </row>
    <row r="364" spans="1:3" s="251" customFormat="1" x14ac:dyDescent="0.2">
      <c r="A364" s="114"/>
      <c r="B364" s="114"/>
      <c r="C364" s="114"/>
    </row>
    <row r="365" spans="1:3" s="251" customFormat="1" x14ac:dyDescent="0.2">
      <c r="A365" s="114"/>
      <c r="B365" s="114"/>
      <c r="C365" s="114"/>
    </row>
    <row r="366" spans="1:3" s="251" customFormat="1" x14ac:dyDescent="0.2">
      <c r="A366" s="114"/>
      <c r="B366" s="114"/>
      <c r="C366" s="114"/>
    </row>
    <row r="367" spans="1:3" s="251" customFormat="1" x14ac:dyDescent="0.2">
      <c r="A367" s="114"/>
      <c r="B367" s="114"/>
      <c r="C367" s="114"/>
    </row>
    <row r="368" spans="1:3" s="251" customFormat="1" x14ac:dyDescent="0.2">
      <c r="A368" s="114"/>
      <c r="B368" s="114"/>
      <c r="C368" s="114"/>
    </row>
    <row r="369" spans="1:3" s="251" customFormat="1" x14ac:dyDescent="0.2">
      <c r="A369" s="114"/>
      <c r="B369" s="114"/>
      <c r="C369" s="114"/>
    </row>
    <row r="370" spans="1:3" s="251" customFormat="1" x14ac:dyDescent="0.2">
      <c r="A370" s="114"/>
      <c r="B370" s="114"/>
      <c r="C370" s="114"/>
    </row>
    <row r="371" spans="1:3" s="251" customFormat="1" x14ac:dyDescent="0.2">
      <c r="A371" s="114"/>
      <c r="B371" s="114"/>
      <c r="C371" s="114"/>
    </row>
    <row r="372" spans="1:3" s="251" customFormat="1" x14ac:dyDescent="0.2">
      <c r="A372" s="114"/>
      <c r="B372" s="114"/>
      <c r="C372" s="114"/>
    </row>
    <row r="373" spans="1:3" s="251" customFormat="1" x14ac:dyDescent="0.2">
      <c r="A373" s="114"/>
      <c r="B373" s="114"/>
      <c r="C373" s="114"/>
    </row>
    <row r="374" spans="1:3" s="251" customFormat="1" x14ac:dyDescent="0.2">
      <c r="A374" s="114"/>
      <c r="B374" s="114"/>
      <c r="C374" s="114"/>
    </row>
    <row r="375" spans="1:3" s="251" customFormat="1" x14ac:dyDescent="0.2">
      <c r="A375" s="114"/>
      <c r="B375" s="114"/>
      <c r="C375" s="114"/>
    </row>
    <row r="376" spans="1:3" s="251" customFormat="1" x14ac:dyDescent="0.2">
      <c r="A376" s="114"/>
      <c r="B376" s="114"/>
      <c r="C376" s="114"/>
    </row>
    <row r="377" spans="1:3" s="251" customFormat="1" x14ac:dyDescent="0.2">
      <c r="A377" s="114"/>
      <c r="B377" s="114"/>
      <c r="C377" s="114"/>
    </row>
    <row r="378" spans="1:3" s="251" customFormat="1" x14ac:dyDescent="0.2">
      <c r="A378" s="114"/>
      <c r="B378" s="114"/>
      <c r="C378" s="114"/>
    </row>
    <row r="379" spans="1:3" s="251" customFormat="1" x14ac:dyDescent="0.2">
      <c r="A379" s="114"/>
      <c r="B379" s="114"/>
      <c r="C379" s="114"/>
    </row>
    <row r="380" spans="1:3" s="251" customFormat="1" x14ac:dyDescent="0.2">
      <c r="A380" s="114"/>
      <c r="B380" s="114"/>
      <c r="C380" s="114"/>
    </row>
    <row r="381" spans="1:3" s="251" customFormat="1" x14ac:dyDescent="0.2">
      <c r="A381" s="114"/>
      <c r="B381" s="114"/>
      <c r="C381" s="114"/>
    </row>
    <row r="382" spans="1:3" s="251" customFormat="1" x14ac:dyDescent="0.2">
      <c r="A382" s="114"/>
      <c r="B382" s="114"/>
      <c r="C382" s="114"/>
    </row>
    <row r="383" spans="1:3" s="251" customFormat="1" x14ac:dyDescent="0.2">
      <c r="A383" s="114"/>
      <c r="B383" s="114"/>
      <c r="C383" s="114"/>
    </row>
    <row r="384" spans="1:3" s="251" customFormat="1" x14ac:dyDescent="0.2">
      <c r="A384" s="114"/>
      <c r="B384" s="114"/>
      <c r="C384" s="114"/>
    </row>
    <row r="385" spans="1:3" s="251" customFormat="1" x14ac:dyDescent="0.2">
      <c r="A385" s="114"/>
      <c r="B385" s="114"/>
      <c r="C385" s="114"/>
    </row>
    <row r="386" spans="1:3" s="251" customFormat="1" x14ac:dyDescent="0.2">
      <c r="A386" s="114"/>
      <c r="B386" s="114"/>
      <c r="C386" s="114"/>
    </row>
    <row r="387" spans="1:3" s="251" customFormat="1" x14ac:dyDescent="0.2">
      <c r="A387" s="114"/>
      <c r="B387" s="114"/>
      <c r="C387" s="114"/>
    </row>
    <row r="388" spans="1:3" s="251" customFormat="1" x14ac:dyDescent="0.2">
      <c r="A388" s="114"/>
      <c r="B388" s="114"/>
      <c r="C388" s="114"/>
    </row>
    <row r="389" spans="1:3" s="251" customFormat="1" x14ac:dyDescent="0.2">
      <c r="A389" s="114"/>
      <c r="B389" s="114"/>
      <c r="C389" s="114"/>
    </row>
    <row r="390" spans="1:3" s="251" customFormat="1" x14ac:dyDescent="0.2">
      <c r="A390" s="114"/>
      <c r="B390" s="114"/>
      <c r="C390" s="114"/>
    </row>
    <row r="391" spans="1:3" s="251" customFormat="1" x14ac:dyDescent="0.2">
      <c r="A391" s="114"/>
      <c r="B391" s="114"/>
      <c r="C391" s="114"/>
    </row>
    <row r="392" spans="1:3" s="251" customFormat="1" x14ac:dyDescent="0.2">
      <c r="A392" s="114"/>
      <c r="B392" s="114"/>
      <c r="C392" s="114"/>
    </row>
    <row r="393" spans="1:3" s="251" customFormat="1" x14ac:dyDescent="0.2">
      <c r="A393" s="114"/>
      <c r="B393" s="114"/>
      <c r="C393" s="114"/>
    </row>
    <row r="394" spans="1:3" s="251" customFormat="1" x14ac:dyDescent="0.2">
      <c r="A394" s="114"/>
      <c r="B394" s="114"/>
      <c r="C394" s="114"/>
    </row>
    <row r="395" spans="1:3" s="251" customFormat="1" x14ac:dyDescent="0.2">
      <c r="A395" s="114"/>
      <c r="B395" s="114"/>
      <c r="C395" s="114"/>
    </row>
    <row r="396" spans="1:3" s="251" customFormat="1" x14ac:dyDescent="0.2">
      <c r="A396" s="114"/>
      <c r="B396" s="114"/>
      <c r="C396" s="114"/>
    </row>
    <row r="397" spans="1:3" s="251" customFormat="1" x14ac:dyDescent="0.2">
      <c r="A397" s="114"/>
      <c r="B397" s="114"/>
      <c r="C397" s="114"/>
    </row>
    <row r="398" spans="1:3" s="251" customFormat="1" x14ac:dyDescent="0.2">
      <c r="A398" s="114"/>
      <c r="B398" s="114"/>
      <c r="C398" s="114"/>
    </row>
    <row r="399" spans="1:3" s="251" customFormat="1" x14ac:dyDescent="0.2">
      <c r="A399" s="114"/>
      <c r="B399" s="114"/>
      <c r="C399" s="114"/>
    </row>
    <row r="400" spans="1:3" s="251" customFormat="1" x14ac:dyDescent="0.2">
      <c r="A400" s="114"/>
      <c r="B400" s="114"/>
      <c r="C400" s="114"/>
    </row>
    <row r="401" spans="1:3" s="251" customFormat="1" x14ac:dyDescent="0.2">
      <c r="A401" s="114"/>
      <c r="B401" s="114"/>
      <c r="C401" s="114"/>
    </row>
    <row r="402" spans="1:3" s="251" customFormat="1" x14ac:dyDescent="0.2">
      <c r="A402" s="114"/>
      <c r="B402" s="114"/>
      <c r="C402" s="114"/>
    </row>
    <row r="403" spans="1:3" s="251" customFormat="1" x14ac:dyDescent="0.2">
      <c r="A403" s="114"/>
      <c r="B403" s="114"/>
      <c r="C403" s="114"/>
    </row>
    <row r="404" spans="1:3" s="251" customFormat="1" x14ac:dyDescent="0.2">
      <c r="A404" s="114"/>
      <c r="B404" s="114"/>
      <c r="C404" s="114"/>
    </row>
    <row r="405" spans="1:3" s="251" customFormat="1" x14ac:dyDescent="0.2">
      <c r="A405" s="114"/>
      <c r="B405" s="114"/>
      <c r="C405" s="114"/>
    </row>
    <row r="406" spans="1:3" s="251" customFormat="1" x14ac:dyDescent="0.2">
      <c r="A406" s="114"/>
      <c r="B406" s="114"/>
      <c r="C406" s="114"/>
    </row>
    <row r="407" spans="1:3" s="251" customFormat="1" x14ac:dyDescent="0.2">
      <c r="A407" s="114"/>
      <c r="B407" s="114"/>
      <c r="C407" s="114"/>
    </row>
    <row r="408" spans="1:3" s="251" customFormat="1" x14ac:dyDescent="0.2">
      <c r="A408" s="114"/>
      <c r="B408" s="114"/>
      <c r="C408" s="114"/>
    </row>
    <row r="409" spans="1:3" s="251" customFormat="1" x14ac:dyDescent="0.2">
      <c r="A409" s="114"/>
      <c r="B409" s="114"/>
      <c r="C409" s="114"/>
    </row>
    <row r="410" spans="1:3" s="251" customFormat="1" x14ac:dyDescent="0.2">
      <c r="A410" s="114"/>
      <c r="B410" s="114"/>
      <c r="C410" s="114"/>
    </row>
    <row r="411" spans="1:3" s="251" customFormat="1" x14ac:dyDescent="0.2">
      <c r="A411" s="114"/>
      <c r="B411" s="114"/>
      <c r="C411" s="114"/>
    </row>
    <row r="412" spans="1:3" s="251" customFormat="1" x14ac:dyDescent="0.2">
      <c r="A412" s="114"/>
      <c r="B412" s="114"/>
      <c r="C412" s="114"/>
    </row>
    <row r="413" spans="1:3" s="251" customFormat="1" x14ac:dyDescent="0.2">
      <c r="A413" s="114"/>
      <c r="B413" s="114"/>
      <c r="C413" s="114"/>
    </row>
    <row r="414" spans="1:3" s="251" customFormat="1" x14ac:dyDescent="0.2">
      <c r="A414" s="114"/>
      <c r="B414" s="114"/>
      <c r="C414" s="114"/>
    </row>
    <row r="415" spans="1:3" s="251" customFormat="1" x14ac:dyDescent="0.2">
      <c r="A415" s="114"/>
      <c r="B415" s="114"/>
      <c r="C415" s="114"/>
    </row>
    <row r="416" spans="1:3" s="251" customFormat="1" x14ac:dyDescent="0.2">
      <c r="A416" s="114"/>
      <c r="B416" s="114"/>
      <c r="C416" s="114"/>
    </row>
    <row r="417" spans="1:3" s="251" customFormat="1" x14ac:dyDescent="0.2">
      <c r="A417" s="114"/>
      <c r="B417" s="114"/>
      <c r="C417" s="114"/>
    </row>
    <row r="418" spans="1:3" s="251" customFormat="1" x14ac:dyDescent="0.2">
      <c r="A418" s="114"/>
      <c r="B418" s="114"/>
      <c r="C418" s="114"/>
    </row>
    <row r="419" spans="1:3" s="251" customFormat="1" x14ac:dyDescent="0.2">
      <c r="A419" s="114"/>
      <c r="B419" s="114"/>
      <c r="C419" s="114"/>
    </row>
    <row r="420" spans="1:3" s="251" customFormat="1" x14ac:dyDescent="0.2">
      <c r="A420" s="114"/>
      <c r="B420" s="114"/>
      <c r="C420" s="114"/>
    </row>
    <row r="421" spans="1:3" s="251" customFormat="1" x14ac:dyDescent="0.2">
      <c r="A421" s="114"/>
      <c r="B421" s="114"/>
      <c r="C421" s="114"/>
    </row>
    <row r="422" spans="1:3" s="251" customFormat="1" x14ac:dyDescent="0.2">
      <c r="A422" s="114"/>
      <c r="B422" s="114"/>
      <c r="C422" s="114"/>
    </row>
    <row r="423" spans="1:3" s="251" customFormat="1" x14ac:dyDescent="0.2">
      <c r="A423" s="114"/>
      <c r="B423" s="114"/>
      <c r="C423" s="114"/>
    </row>
    <row r="424" spans="1:3" s="251" customFormat="1" x14ac:dyDescent="0.2">
      <c r="A424" s="114"/>
      <c r="B424" s="114"/>
      <c r="C424" s="114"/>
    </row>
    <row r="425" spans="1:3" s="251" customFormat="1" x14ac:dyDescent="0.2">
      <c r="A425" s="114"/>
      <c r="B425" s="114"/>
      <c r="C425" s="114"/>
    </row>
    <row r="426" spans="1:3" s="251" customFormat="1" x14ac:dyDescent="0.2">
      <c r="A426" s="114"/>
      <c r="B426" s="114"/>
      <c r="C426" s="114"/>
    </row>
    <row r="427" spans="1:3" s="251" customFormat="1" x14ac:dyDescent="0.2">
      <c r="A427" s="114"/>
      <c r="B427" s="114"/>
      <c r="C427" s="114"/>
    </row>
    <row r="428" spans="1:3" s="251" customFormat="1" x14ac:dyDescent="0.2">
      <c r="A428" s="114"/>
      <c r="B428" s="114"/>
      <c r="C428" s="114"/>
    </row>
    <row r="429" spans="1:3" s="251" customFormat="1" x14ac:dyDescent="0.2">
      <c r="A429" s="114"/>
      <c r="B429" s="114"/>
      <c r="C429" s="114"/>
    </row>
    <row r="430" spans="1:3" s="251" customFormat="1" x14ac:dyDescent="0.2">
      <c r="A430" s="114"/>
      <c r="B430" s="114"/>
      <c r="C430" s="114"/>
    </row>
    <row r="431" spans="1:3" s="251" customFormat="1" x14ac:dyDescent="0.2">
      <c r="A431" s="114"/>
      <c r="B431" s="114"/>
      <c r="C431" s="114"/>
    </row>
    <row r="432" spans="1:3" s="251" customFormat="1" x14ac:dyDescent="0.2">
      <c r="A432" s="114"/>
      <c r="B432" s="114"/>
      <c r="C432" s="114"/>
    </row>
    <row r="433" spans="1:3" s="251" customFormat="1" x14ac:dyDescent="0.2">
      <c r="A433" s="114"/>
      <c r="B433" s="114"/>
      <c r="C433" s="114"/>
    </row>
    <row r="434" spans="1:3" s="251" customFormat="1" x14ac:dyDescent="0.2">
      <c r="A434" s="114"/>
      <c r="B434" s="114"/>
      <c r="C434" s="114"/>
    </row>
    <row r="435" spans="1:3" s="251" customFormat="1" x14ac:dyDescent="0.2">
      <c r="A435" s="114"/>
      <c r="B435" s="114"/>
      <c r="C435" s="114"/>
    </row>
    <row r="436" spans="1:3" s="251" customFormat="1" x14ac:dyDescent="0.2">
      <c r="A436" s="114"/>
      <c r="B436" s="114"/>
      <c r="C436" s="114"/>
    </row>
    <row r="437" spans="1:3" s="251" customFormat="1" x14ac:dyDescent="0.2">
      <c r="A437" s="114"/>
      <c r="B437" s="114"/>
      <c r="C437" s="114"/>
    </row>
    <row r="438" spans="1:3" s="251" customFormat="1" x14ac:dyDescent="0.2">
      <c r="A438" s="114"/>
      <c r="B438" s="114"/>
      <c r="C438" s="114"/>
    </row>
    <row r="439" spans="1:3" s="251" customFormat="1" x14ac:dyDescent="0.2">
      <c r="A439" s="114"/>
      <c r="B439" s="114"/>
      <c r="C439" s="114"/>
    </row>
    <row r="440" spans="1:3" s="251" customFormat="1" x14ac:dyDescent="0.2">
      <c r="A440" s="114"/>
      <c r="B440" s="114"/>
      <c r="C440" s="114"/>
    </row>
    <row r="441" spans="1:3" s="251" customFormat="1" x14ac:dyDescent="0.2">
      <c r="A441" s="114"/>
      <c r="B441" s="114"/>
      <c r="C441" s="114"/>
    </row>
    <row r="442" spans="1:3" s="251" customFormat="1" x14ac:dyDescent="0.2">
      <c r="A442" s="114"/>
      <c r="B442" s="114"/>
      <c r="C442" s="114"/>
    </row>
    <row r="443" spans="1:3" s="251" customFormat="1" x14ac:dyDescent="0.2">
      <c r="A443" s="114"/>
      <c r="B443" s="114"/>
      <c r="C443" s="114"/>
    </row>
    <row r="444" spans="1:3" s="251" customFormat="1" x14ac:dyDescent="0.2">
      <c r="A444" s="114"/>
      <c r="B444" s="114"/>
      <c r="C444" s="114"/>
    </row>
    <row r="445" spans="1:3" s="251" customFormat="1" x14ac:dyDescent="0.2">
      <c r="A445" s="114"/>
      <c r="B445" s="114"/>
      <c r="C445" s="114"/>
    </row>
    <row r="446" spans="1:3" s="251" customFormat="1" x14ac:dyDescent="0.2">
      <c r="A446" s="114"/>
      <c r="B446" s="114"/>
      <c r="C446" s="114"/>
    </row>
    <row r="447" spans="1:3" s="251" customFormat="1" x14ac:dyDescent="0.2">
      <c r="A447" s="114"/>
      <c r="B447" s="114"/>
      <c r="C447" s="114"/>
    </row>
    <row r="448" spans="1:3" s="251" customFormat="1" x14ac:dyDescent="0.2">
      <c r="A448" s="114"/>
      <c r="B448" s="114"/>
      <c r="C448" s="114"/>
    </row>
    <row r="449" spans="1:3" s="251" customFormat="1" x14ac:dyDescent="0.2">
      <c r="A449" s="114"/>
      <c r="B449" s="114"/>
      <c r="C449" s="114"/>
    </row>
    <row r="450" spans="1:3" s="251" customFormat="1" x14ac:dyDescent="0.2">
      <c r="A450" s="114"/>
      <c r="B450" s="114"/>
      <c r="C450" s="114"/>
    </row>
    <row r="451" spans="1:3" s="251" customFormat="1" x14ac:dyDescent="0.2">
      <c r="A451" s="114"/>
      <c r="B451" s="114"/>
      <c r="C451" s="114"/>
    </row>
    <row r="452" spans="1:3" s="251" customFormat="1" x14ac:dyDescent="0.2">
      <c r="A452" s="114"/>
      <c r="B452" s="114"/>
      <c r="C452" s="114"/>
    </row>
    <row r="453" spans="1:3" s="251" customFormat="1" x14ac:dyDescent="0.2">
      <c r="A453" s="114"/>
      <c r="B453" s="114"/>
      <c r="C453" s="114"/>
    </row>
    <row r="454" spans="1:3" s="251" customFormat="1" x14ac:dyDescent="0.2">
      <c r="A454" s="114"/>
      <c r="B454" s="114"/>
      <c r="C454" s="114"/>
    </row>
    <row r="455" spans="1:3" s="251" customFormat="1" x14ac:dyDescent="0.2">
      <c r="A455" s="114"/>
      <c r="B455" s="114"/>
      <c r="C455" s="114"/>
    </row>
    <row r="456" spans="1:3" s="251" customFormat="1" x14ac:dyDescent="0.2">
      <c r="A456" s="114"/>
      <c r="B456" s="114"/>
      <c r="C456" s="114"/>
    </row>
    <row r="457" spans="1:3" s="251" customFormat="1" x14ac:dyDescent="0.2">
      <c r="A457" s="114"/>
      <c r="B457" s="114"/>
      <c r="C457" s="114"/>
    </row>
    <row r="458" spans="1:3" s="251" customFormat="1" x14ac:dyDescent="0.2">
      <c r="A458" s="114"/>
      <c r="B458" s="114"/>
      <c r="C458" s="114"/>
    </row>
    <row r="459" spans="1:3" s="251" customFormat="1" x14ac:dyDescent="0.2">
      <c r="A459" s="114"/>
      <c r="B459" s="114"/>
      <c r="C459" s="114"/>
    </row>
    <row r="460" spans="1:3" s="251" customFormat="1" x14ac:dyDescent="0.2">
      <c r="A460" s="114"/>
      <c r="B460" s="114"/>
      <c r="C460" s="114"/>
    </row>
    <row r="461" spans="1:3" s="251" customFormat="1" x14ac:dyDescent="0.2">
      <c r="A461" s="114"/>
      <c r="B461" s="114"/>
      <c r="C461" s="114"/>
    </row>
    <row r="462" spans="1:3" s="251" customFormat="1" x14ac:dyDescent="0.2">
      <c r="A462" s="114"/>
      <c r="B462" s="114"/>
      <c r="C462" s="114"/>
    </row>
    <row r="463" spans="1:3" s="251" customFormat="1" x14ac:dyDescent="0.2">
      <c r="A463" s="114"/>
      <c r="B463" s="114"/>
      <c r="C463" s="114"/>
    </row>
    <row r="464" spans="1:3" s="251" customFormat="1" x14ac:dyDescent="0.2">
      <c r="A464" s="114"/>
      <c r="B464" s="114"/>
      <c r="C464" s="114"/>
    </row>
    <row r="465" spans="1:3" s="251" customFormat="1" x14ac:dyDescent="0.2">
      <c r="A465" s="114"/>
      <c r="B465" s="114"/>
      <c r="C465" s="114"/>
    </row>
    <row r="466" spans="1:3" s="251" customFormat="1" x14ac:dyDescent="0.2">
      <c r="A466" s="114"/>
      <c r="B466" s="114"/>
      <c r="C466" s="114"/>
    </row>
    <row r="467" spans="1:3" s="251" customFormat="1" x14ac:dyDescent="0.2">
      <c r="A467" s="114"/>
      <c r="B467" s="114"/>
      <c r="C467" s="114"/>
    </row>
    <row r="468" spans="1:3" s="251" customFormat="1" x14ac:dyDescent="0.2">
      <c r="A468" s="114"/>
      <c r="B468" s="114"/>
      <c r="C468" s="114"/>
    </row>
    <row r="469" spans="1:3" s="251" customFormat="1" x14ac:dyDescent="0.2">
      <c r="A469" s="114"/>
      <c r="B469" s="114"/>
      <c r="C469" s="114"/>
    </row>
    <row r="470" spans="1:3" s="251" customFormat="1" x14ac:dyDescent="0.2">
      <c r="A470" s="114"/>
      <c r="B470" s="114"/>
      <c r="C470" s="114"/>
    </row>
    <row r="471" spans="1:3" s="251" customFormat="1" x14ac:dyDescent="0.2">
      <c r="A471" s="114"/>
      <c r="B471" s="114"/>
      <c r="C471" s="114"/>
    </row>
    <row r="472" spans="1:3" s="251" customFormat="1" x14ac:dyDescent="0.2">
      <c r="A472" s="114"/>
      <c r="B472" s="114"/>
      <c r="C472" s="114"/>
    </row>
    <row r="473" spans="1:3" s="251" customFormat="1" x14ac:dyDescent="0.2">
      <c r="A473" s="114"/>
      <c r="B473" s="114"/>
      <c r="C473" s="114"/>
    </row>
    <row r="474" spans="1:3" s="251" customFormat="1" x14ac:dyDescent="0.2">
      <c r="A474" s="114"/>
      <c r="B474" s="114"/>
      <c r="C474" s="114"/>
    </row>
    <row r="475" spans="1:3" s="251" customFormat="1" x14ac:dyDescent="0.2">
      <c r="A475" s="114"/>
      <c r="B475" s="114"/>
      <c r="C475" s="114"/>
    </row>
    <row r="476" spans="1:3" s="251" customFormat="1" x14ac:dyDescent="0.2">
      <c r="A476" s="114"/>
      <c r="B476" s="114"/>
      <c r="C476" s="114"/>
    </row>
    <row r="477" spans="1:3" s="251" customFormat="1" x14ac:dyDescent="0.2">
      <c r="A477" s="114"/>
      <c r="B477" s="114"/>
      <c r="C477" s="114"/>
    </row>
    <row r="478" spans="1:3" s="251" customFormat="1" x14ac:dyDescent="0.2">
      <c r="A478" s="114"/>
      <c r="B478" s="114"/>
      <c r="C478" s="114"/>
    </row>
    <row r="479" spans="1:3" s="251" customFormat="1" x14ac:dyDescent="0.2">
      <c r="A479" s="114"/>
      <c r="B479" s="114"/>
      <c r="C479" s="114"/>
    </row>
    <row r="480" spans="1:3" s="251" customFormat="1" x14ac:dyDescent="0.2">
      <c r="A480" s="114"/>
      <c r="B480" s="114"/>
      <c r="C480" s="114"/>
    </row>
    <row r="481" spans="1:3" s="251" customFormat="1" x14ac:dyDescent="0.2">
      <c r="A481" s="114"/>
      <c r="B481" s="114"/>
      <c r="C481" s="114"/>
    </row>
    <row r="482" spans="1:3" s="251" customFormat="1" x14ac:dyDescent="0.2">
      <c r="A482" s="114"/>
      <c r="B482" s="114"/>
      <c r="C482" s="114"/>
    </row>
    <row r="483" spans="1:3" s="251" customFormat="1" x14ac:dyDescent="0.2">
      <c r="A483" s="114"/>
      <c r="B483" s="114"/>
      <c r="C483" s="114"/>
    </row>
    <row r="484" spans="1:3" s="251" customFormat="1" x14ac:dyDescent="0.2">
      <c r="A484" s="114"/>
      <c r="B484" s="114"/>
      <c r="C484" s="114"/>
    </row>
    <row r="485" spans="1:3" s="251" customFormat="1" x14ac:dyDescent="0.2">
      <c r="A485" s="114"/>
      <c r="B485" s="114"/>
      <c r="C485" s="114"/>
    </row>
    <row r="486" spans="1:3" s="251" customFormat="1" x14ac:dyDescent="0.2">
      <c r="A486" s="114"/>
      <c r="B486" s="114"/>
      <c r="C486" s="114"/>
    </row>
    <row r="487" spans="1:3" s="251" customFormat="1" x14ac:dyDescent="0.2">
      <c r="A487" s="114"/>
      <c r="B487" s="114"/>
      <c r="C487" s="114"/>
    </row>
    <row r="488" spans="1:3" s="251" customFormat="1" x14ac:dyDescent="0.2">
      <c r="A488" s="114"/>
      <c r="B488" s="114"/>
      <c r="C488" s="114"/>
    </row>
    <row r="489" spans="1:3" s="251" customFormat="1" x14ac:dyDescent="0.2">
      <c r="A489" s="114"/>
      <c r="B489" s="114"/>
      <c r="C489" s="114"/>
    </row>
    <row r="490" spans="1:3" s="251" customFormat="1" x14ac:dyDescent="0.2">
      <c r="A490" s="114"/>
      <c r="B490" s="114"/>
      <c r="C490" s="114"/>
    </row>
    <row r="491" spans="1:3" s="251" customFormat="1" x14ac:dyDescent="0.2">
      <c r="A491" s="114"/>
      <c r="B491" s="114"/>
      <c r="C491" s="114"/>
    </row>
    <row r="492" spans="1:3" s="251" customFormat="1" x14ac:dyDescent="0.2">
      <c r="A492" s="114"/>
      <c r="B492" s="114"/>
      <c r="C492" s="114"/>
    </row>
    <row r="493" spans="1:3" s="251" customFormat="1" x14ac:dyDescent="0.2">
      <c r="A493" s="114"/>
      <c r="B493" s="114"/>
      <c r="C493" s="114"/>
    </row>
    <row r="494" spans="1:3" s="251" customFormat="1" x14ac:dyDescent="0.2">
      <c r="A494" s="114"/>
      <c r="B494" s="114"/>
      <c r="C494" s="114"/>
    </row>
    <row r="495" spans="1:3" s="251" customFormat="1" x14ac:dyDescent="0.2">
      <c r="A495" s="114"/>
      <c r="B495" s="114"/>
      <c r="C495" s="114"/>
    </row>
    <row r="496" spans="1:3" s="251" customFormat="1" x14ac:dyDescent="0.2">
      <c r="A496" s="114"/>
      <c r="B496" s="114"/>
      <c r="C496" s="114"/>
    </row>
    <row r="497" spans="1:3" s="251" customFormat="1" x14ac:dyDescent="0.2">
      <c r="A497" s="114"/>
      <c r="B497" s="114"/>
      <c r="C497" s="114"/>
    </row>
    <row r="498" spans="1:3" s="251" customFormat="1" x14ac:dyDescent="0.2">
      <c r="A498" s="114"/>
      <c r="B498" s="114"/>
      <c r="C498" s="114"/>
    </row>
    <row r="499" spans="1:3" s="251" customFormat="1" x14ac:dyDescent="0.2">
      <c r="A499" s="114"/>
      <c r="B499" s="114"/>
      <c r="C499" s="114"/>
    </row>
    <row r="500" spans="1:3" s="251" customFormat="1" x14ac:dyDescent="0.2">
      <c r="A500" s="114"/>
      <c r="B500" s="114"/>
      <c r="C500" s="114"/>
    </row>
    <row r="501" spans="1:3" s="251" customFormat="1" x14ac:dyDescent="0.2">
      <c r="A501" s="114"/>
      <c r="B501" s="114"/>
      <c r="C501" s="114"/>
    </row>
    <row r="502" spans="1:3" s="251" customFormat="1" x14ac:dyDescent="0.2">
      <c r="A502" s="114"/>
      <c r="B502" s="114"/>
      <c r="C502" s="114"/>
    </row>
    <row r="503" spans="1:3" s="251" customFormat="1" x14ac:dyDescent="0.2">
      <c r="A503" s="114"/>
      <c r="B503" s="114"/>
      <c r="C503" s="114"/>
    </row>
    <row r="504" spans="1:3" s="251" customFormat="1" x14ac:dyDescent="0.2">
      <c r="A504" s="114"/>
      <c r="B504" s="114"/>
      <c r="C504" s="114"/>
    </row>
    <row r="505" spans="1:3" s="251" customFormat="1" x14ac:dyDescent="0.2">
      <c r="A505" s="114"/>
      <c r="B505" s="114"/>
      <c r="C505" s="114"/>
    </row>
    <row r="506" spans="1:3" s="251" customFormat="1" x14ac:dyDescent="0.2">
      <c r="A506" s="114"/>
      <c r="B506" s="114"/>
      <c r="C506" s="114"/>
    </row>
    <row r="507" spans="1:3" s="251" customFormat="1" x14ac:dyDescent="0.2">
      <c r="A507" s="114"/>
      <c r="B507" s="114"/>
      <c r="C507" s="114"/>
    </row>
    <row r="508" spans="1:3" s="251" customFormat="1" x14ac:dyDescent="0.2">
      <c r="A508" s="114"/>
      <c r="B508" s="114"/>
      <c r="C508" s="114"/>
    </row>
    <row r="509" spans="1:3" s="251" customFormat="1" x14ac:dyDescent="0.2">
      <c r="A509" s="114"/>
      <c r="B509" s="114"/>
      <c r="C509" s="114"/>
    </row>
    <row r="510" spans="1:3" s="251" customFormat="1" x14ac:dyDescent="0.2">
      <c r="A510" s="114"/>
      <c r="B510" s="114"/>
      <c r="C510" s="114"/>
    </row>
    <row r="511" spans="1:3" s="251" customFormat="1" x14ac:dyDescent="0.2">
      <c r="A511" s="114"/>
      <c r="B511" s="114"/>
      <c r="C511" s="114"/>
    </row>
    <row r="512" spans="1:3" s="251" customFormat="1" x14ac:dyDescent="0.2">
      <c r="A512" s="114"/>
      <c r="B512" s="114"/>
      <c r="C512" s="114"/>
    </row>
    <row r="513" spans="1:3" s="251" customFormat="1" x14ac:dyDescent="0.2">
      <c r="A513" s="114"/>
      <c r="B513" s="114"/>
      <c r="C513" s="114"/>
    </row>
    <row r="514" spans="1:3" s="251" customFormat="1" x14ac:dyDescent="0.2">
      <c r="A514" s="114"/>
      <c r="B514" s="114"/>
      <c r="C514" s="114"/>
    </row>
    <row r="515" spans="1:3" s="251" customFormat="1" x14ac:dyDescent="0.2">
      <c r="A515" s="114"/>
      <c r="B515" s="114"/>
      <c r="C515" s="114"/>
    </row>
    <row r="516" spans="1:3" s="251" customFormat="1" x14ac:dyDescent="0.2">
      <c r="A516" s="114"/>
      <c r="B516" s="114"/>
      <c r="C516" s="114"/>
    </row>
    <row r="517" spans="1:3" s="251" customFormat="1" x14ac:dyDescent="0.2">
      <c r="A517" s="114"/>
      <c r="B517" s="114"/>
      <c r="C517" s="114"/>
    </row>
    <row r="518" spans="1:3" s="251" customFormat="1" x14ac:dyDescent="0.2">
      <c r="A518" s="114"/>
      <c r="B518" s="114"/>
      <c r="C518" s="114"/>
    </row>
    <row r="519" spans="1:3" s="251" customFormat="1" x14ac:dyDescent="0.2">
      <c r="A519" s="114"/>
      <c r="B519" s="114"/>
      <c r="C519" s="114"/>
    </row>
    <row r="520" spans="1:3" s="251" customFormat="1" x14ac:dyDescent="0.2">
      <c r="A520" s="114"/>
      <c r="B520" s="114"/>
      <c r="C520" s="114"/>
    </row>
    <row r="521" spans="1:3" s="251" customFormat="1" x14ac:dyDescent="0.2">
      <c r="A521" s="114"/>
      <c r="B521" s="114"/>
      <c r="C521" s="114"/>
    </row>
    <row r="522" spans="1:3" s="251" customFormat="1" x14ac:dyDescent="0.2">
      <c r="A522" s="114"/>
      <c r="B522" s="114"/>
      <c r="C522" s="114"/>
    </row>
    <row r="523" spans="1:3" s="251" customFormat="1" x14ac:dyDescent="0.2">
      <c r="A523" s="114"/>
      <c r="B523" s="114"/>
      <c r="C523" s="114"/>
    </row>
    <row r="524" spans="1:3" s="251" customFormat="1" x14ac:dyDescent="0.2">
      <c r="A524" s="114"/>
      <c r="B524" s="114"/>
      <c r="C524" s="114"/>
    </row>
    <row r="525" spans="1:3" s="251" customFormat="1" x14ac:dyDescent="0.2">
      <c r="A525" s="114"/>
      <c r="B525" s="114"/>
      <c r="C525" s="114"/>
    </row>
    <row r="526" spans="1:3" s="251" customFormat="1" x14ac:dyDescent="0.2">
      <c r="A526" s="114"/>
      <c r="B526" s="114"/>
      <c r="C526" s="114"/>
    </row>
    <row r="527" spans="1:3" s="251" customFormat="1" x14ac:dyDescent="0.2">
      <c r="A527" s="114"/>
      <c r="B527" s="114"/>
      <c r="C527" s="114"/>
    </row>
    <row r="528" spans="1:3" s="251" customFormat="1" x14ac:dyDescent="0.2">
      <c r="A528" s="114"/>
      <c r="B528" s="114"/>
      <c r="C528" s="114"/>
    </row>
    <row r="529" spans="1:3" s="251" customFormat="1" x14ac:dyDescent="0.2">
      <c r="A529" s="114"/>
      <c r="B529" s="114"/>
      <c r="C529" s="114"/>
    </row>
    <row r="530" spans="1:3" s="251" customFormat="1" x14ac:dyDescent="0.2">
      <c r="A530" s="114"/>
      <c r="B530" s="114"/>
      <c r="C530" s="114"/>
    </row>
    <row r="531" spans="1:3" s="251" customFormat="1" x14ac:dyDescent="0.2">
      <c r="A531" s="114"/>
      <c r="B531" s="114"/>
      <c r="C531" s="114"/>
    </row>
    <row r="532" spans="1:3" s="251" customFormat="1" x14ac:dyDescent="0.2">
      <c r="A532" s="114"/>
      <c r="B532" s="114"/>
      <c r="C532" s="114"/>
    </row>
    <row r="533" spans="1:3" s="251" customFormat="1" x14ac:dyDescent="0.2">
      <c r="A533" s="114"/>
      <c r="B533" s="114"/>
      <c r="C533" s="114"/>
    </row>
    <row r="534" spans="1:3" s="251" customFormat="1" x14ac:dyDescent="0.2">
      <c r="A534" s="114"/>
      <c r="B534" s="114"/>
      <c r="C534" s="114"/>
    </row>
    <row r="535" spans="1:3" s="251" customFormat="1" x14ac:dyDescent="0.2">
      <c r="A535" s="114"/>
      <c r="B535" s="114"/>
      <c r="C535" s="114"/>
    </row>
    <row r="536" spans="1:3" s="251" customFormat="1" x14ac:dyDescent="0.2">
      <c r="A536" s="114"/>
      <c r="B536" s="114"/>
      <c r="C536" s="114"/>
    </row>
    <row r="537" spans="1:3" s="251" customFormat="1" x14ac:dyDescent="0.2">
      <c r="A537" s="114"/>
      <c r="B537" s="114"/>
      <c r="C537" s="114"/>
    </row>
    <row r="538" spans="1:3" s="251" customFormat="1" x14ac:dyDescent="0.2">
      <c r="A538" s="114"/>
      <c r="B538" s="114"/>
      <c r="C538" s="114"/>
    </row>
    <row r="539" spans="1:3" s="251" customFormat="1" x14ac:dyDescent="0.2">
      <c r="A539" s="114"/>
      <c r="B539" s="114"/>
      <c r="C539" s="114"/>
    </row>
    <row r="540" spans="1:3" s="251" customFormat="1" x14ac:dyDescent="0.2">
      <c r="A540" s="114"/>
      <c r="B540" s="114"/>
      <c r="C540" s="114"/>
    </row>
    <row r="541" spans="1:3" s="251" customFormat="1" x14ac:dyDescent="0.2">
      <c r="A541" s="114"/>
      <c r="B541" s="114"/>
      <c r="C541" s="114"/>
    </row>
    <row r="542" spans="1:3" s="251" customFormat="1" x14ac:dyDescent="0.2">
      <c r="A542" s="114"/>
      <c r="B542" s="114"/>
      <c r="C542" s="114"/>
    </row>
    <row r="543" spans="1:3" s="251" customFormat="1" x14ac:dyDescent="0.2">
      <c r="A543" s="114"/>
      <c r="B543" s="114"/>
      <c r="C543" s="114"/>
    </row>
    <row r="544" spans="1:3" s="251" customFormat="1" x14ac:dyDescent="0.2">
      <c r="A544" s="114"/>
      <c r="B544" s="114"/>
      <c r="C544" s="114"/>
    </row>
    <row r="545" spans="1:3" s="251" customFormat="1" x14ac:dyDescent="0.2">
      <c r="A545" s="114"/>
      <c r="B545" s="114"/>
      <c r="C545" s="114"/>
    </row>
    <row r="546" spans="1:3" s="251" customFormat="1" x14ac:dyDescent="0.2">
      <c r="A546" s="114"/>
      <c r="B546" s="114"/>
      <c r="C546" s="114"/>
    </row>
    <row r="547" spans="1:3" s="251" customFormat="1" x14ac:dyDescent="0.2">
      <c r="A547" s="114"/>
      <c r="B547" s="114"/>
      <c r="C547" s="114"/>
    </row>
    <row r="548" spans="1:3" s="251" customFormat="1" x14ac:dyDescent="0.2">
      <c r="A548" s="114"/>
      <c r="B548" s="114"/>
      <c r="C548" s="114"/>
    </row>
    <row r="549" spans="1:3" s="251" customFormat="1" x14ac:dyDescent="0.2">
      <c r="A549" s="114"/>
      <c r="B549" s="114"/>
      <c r="C549" s="114"/>
    </row>
    <row r="550" spans="1:3" s="251" customFormat="1" x14ac:dyDescent="0.2">
      <c r="A550" s="114"/>
      <c r="B550" s="114"/>
      <c r="C550" s="114"/>
    </row>
    <row r="551" spans="1:3" s="251" customFormat="1" x14ac:dyDescent="0.2">
      <c r="A551" s="114"/>
      <c r="B551" s="114"/>
      <c r="C551" s="114"/>
    </row>
    <row r="552" spans="1:3" s="251" customFormat="1" x14ac:dyDescent="0.2">
      <c r="A552" s="114"/>
      <c r="B552" s="114"/>
      <c r="C552" s="114"/>
    </row>
    <row r="553" spans="1:3" s="251" customFormat="1" x14ac:dyDescent="0.2">
      <c r="A553" s="114"/>
      <c r="B553" s="114"/>
      <c r="C553" s="114"/>
    </row>
    <row r="554" spans="1:3" s="251" customFormat="1" x14ac:dyDescent="0.2">
      <c r="A554" s="114"/>
      <c r="B554" s="114"/>
      <c r="C554" s="114"/>
    </row>
    <row r="555" spans="1:3" s="251" customFormat="1" x14ac:dyDescent="0.2">
      <c r="A555" s="114"/>
      <c r="B555" s="114"/>
      <c r="C555" s="114"/>
    </row>
    <row r="556" spans="1:3" s="251" customFormat="1" x14ac:dyDescent="0.2">
      <c r="A556" s="114"/>
      <c r="B556" s="114"/>
      <c r="C556" s="114"/>
    </row>
    <row r="557" spans="1:3" s="251" customFormat="1" x14ac:dyDescent="0.2">
      <c r="A557" s="114"/>
      <c r="B557" s="114"/>
      <c r="C557" s="114"/>
    </row>
    <row r="558" spans="1:3" s="251" customFormat="1" x14ac:dyDescent="0.2">
      <c r="A558" s="114"/>
      <c r="B558" s="114"/>
      <c r="C558" s="114"/>
    </row>
    <row r="559" spans="1:3" s="251" customFormat="1" x14ac:dyDescent="0.2">
      <c r="A559" s="114"/>
      <c r="B559" s="114"/>
      <c r="C559" s="114"/>
    </row>
    <row r="560" spans="1:3" s="251" customFormat="1" x14ac:dyDescent="0.2">
      <c r="A560" s="114"/>
      <c r="B560" s="114"/>
      <c r="C560" s="114"/>
    </row>
    <row r="561" spans="1:3" s="251" customFormat="1" x14ac:dyDescent="0.2">
      <c r="A561" s="114"/>
      <c r="B561" s="114"/>
      <c r="C561" s="114"/>
    </row>
    <row r="562" spans="1:3" s="251" customFormat="1" x14ac:dyDescent="0.2">
      <c r="A562" s="114"/>
      <c r="B562" s="114"/>
      <c r="C562" s="114"/>
    </row>
    <row r="563" spans="1:3" s="251" customFormat="1" x14ac:dyDescent="0.2">
      <c r="A563" s="114"/>
      <c r="B563" s="114"/>
      <c r="C563" s="114"/>
    </row>
    <row r="564" spans="1:3" s="251" customFormat="1" x14ac:dyDescent="0.2">
      <c r="A564" s="114"/>
      <c r="B564" s="114"/>
      <c r="C564" s="114"/>
    </row>
    <row r="565" spans="1:3" s="251" customFormat="1" x14ac:dyDescent="0.2">
      <c r="A565" s="114"/>
      <c r="B565" s="114"/>
      <c r="C565" s="114"/>
    </row>
    <row r="566" spans="1:3" s="251" customFormat="1" x14ac:dyDescent="0.2">
      <c r="A566" s="114"/>
      <c r="B566" s="114"/>
      <c r="C566" s="114"/>
    </row>
    <row r="567" spans="1:3" s="251" customFormat="1" x14ac:dyDescent="0.2">
      <c r="A567" s="114"/>
      <c r="B567" s="114"/>
      <c r="C567" s="114"/>
    </row>
    <row r="568" spans="1:3" s="251" customFormat="1" x14ac:dyDescent="0.2">
      <c r="A568" s="114"/>
      <c r="B568" s="114"/>
      <c r="C568" s="114"/>
    </row>
    <row r="569" spans="1:3" s="251" customFormat="1" x14ac:dyDescent="0.2">
      <c r="A569" s="114"/>
      <c r="B569" s="114"/>
      <c r="C569" s="114"/>
    </row>
    <row r="570" spans="1:3" s="251" customFormat="1" x14ac:dyDescent="0.2">
      <c r="A570" s="114"/>
      <c r="B570" s="114"/>
      <c r="C570" s="114"/>
    </row>
    <row r="571" spans="1:3" s="251" customFormat="1" x14ac:dyDescent="0.2">
      <c r="A571" s="114"/>
      <c r="B571" s="114"/>
      <c r="C571" s="114"/>
    </row>
    <row r="572" spans="1:3" s="251" customFormat="1" x14ac:dyDescent="0.2">
      <c r="A572" s="114"/>
      <c r="B572" s="114"/>
      <c r="C572" s="114"/>
    </row>
    <row r="573" spans="1:3" s="251" customFormat="1" x14ac:dyDescent="0.2">
      <c r="A573" s="114"/>
      <c r="B573" s="114"/>
      <c r="C573" s="114"/>
    </row>
    <row r="574" spans="1:3" s="251" customFormat="1" x14ac:dyDescent="0.2">
      <c r="A574" s="114"/>
      <c r="B574" s="114"/>
      <c r="C574" s="114"/>
    </row>
    <row r="575" spans="1:3" s="251" customFormat="1" x14ac:dyDescent="0.2">
      <c r="A575" s="114"/>
      <c r="B575" s="114"/>
      <c r="C575" s="114"/>
    </row>
    <row r="576" spans="1:3" s="251" customFormat="1" x14ac:dyDescent="0.2">
      <c r="A576" s="114"/>
      <c r="B576" s="114"/>
      <c r="C576" s="114"/>
    </row>
    <row r="577" spans="1:45" s="251" customFormat="1" x14ac:dyDescent="0.2">
      <c r="A577" s="114"/>
      <c r="B577" s="114"/>
      <c r="C577" s="114"/>
    </row>
    <row r="578" spans="1:45" s="251" customFormat="1" x14ac:dyDescent="0.2">
      <c r="A578" s="114"/>
      <c r="B578" s="114"/>
      <c r="C578" s="114"/>
    </row>
    <row r="579" spans="1:45" s="251" customFormat="1" x14ac:dyDescent="0.2">
      <c r="A579" s="114"/>
      <c r="B579" s="114"/>
      <c r="C579" s="114"/>
    </row>
    <row r="580" spans="1:45" s="251" customFormat="1" x14ac:dyDescent="0.2">
      <c r="A580" s="114"/>
      <c r="B580" s="114"/>
      <c r="C580" s="114"/>
    </row>
    <row r="581" spans="1:45" s="44" customFormat="1" x14ac:dyDescent="0.2">
      <c r="A581" s="71"/>
      <c r="B581" s="71"/>
      <c r="C581" s="7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c r="AC581" s="251"/>
      <c r="AD581" s="251"/>
      <c r="AE581" s="251"/>
      <c r="AF581" s="251"/>
      <c r="AG581" s="251"/>
      <c r="AH581" s="251"/>
      <c r="AI581" s="251"/>
      <c r="AJ581" s="251"/>
      <c r="AK581" s="251"/>
      <c r="AL581" s="251"/>
      <c r="AM581" s="251"/>
      <c r="AN581" s="251"/>
      <c r="AO581" s="251"/>
      <c r="AP581" s="251"/>
      <c r="AQ581" s="251"/>
      <c r="AR581" s="251"/>
      <c r="AS581" s="251"/>
    </row>
    <row r="582" spans="1:45" s="44" customFormat="1" x14ac:dyDescent="0.2">
      <c r="A582" s="71"/>
      <c r="B582" s="71"/>
      <c r="C582" s="71"/>
      <c r="D582" s="251"/>
      <c r="E582" s="251"/>
      <c r="F582" s="251"/>
      <c r="G582" s="251"/>
      <c r="H582" s="251"/>
      <c r="I582" s="251"/>
      <c r="J582" s="251"/>
      <c r="K582" s="251"/>
      <c r="L582" s="251"/>
      <c r="M582" s="251"/>
      <c r="N582" s="251"/>
      <c r="O582" s="251"/>
      <c r="P582" s="251"/>
      <c r="Q582" s="251"/>
      <c r="R582" s="251"/>
      <c r="S582" s="251"/>
      <c r="T582" s="251"/>
      <c r="U582" s="251"/>
      <c r="V582" s="251"/>
      <c r="W582" s="251"/>
      <c r="X582" s="251"/>
      <c r="Y582" s="251"/>
      <c r="Z582" s="251"/>
      <c r="AA582" s="251"/>
      <c r="AB582" s="251"/>
      <c r="AC582" s="251"/>
      <c r="AD582" s="251"/>
      <c r="AE582" s="251"/>
      <c r="AF582" s="251"/>
      <c r="AG582" s="251"/>
      <c r="AH582" s="251"/>
      <c r="AI582" s="251"/>
      <c r="AJ582" s="251"/>
      <c r="AK582" s="251"/>
      <c r="AL582" s="251"/>
      <c r="AM582" s="251"/>
      <c r="AN582" s="251"/>
      <c r="AO582" s="251"/>
      <c r="AP582" s="251"/>
      <c r="AQ582" s="251"/>
      <c r="AR582" s="251"/>
      <c r="AS582" s="251"/>
    </row>
    <row r="583" spans="1:45" s="44" customFormat="1" x14ac:dyDescent="0.2">
      <c r="A583" s="71"/>
      <c r="B583" s="71"/>
      <c r="C583" s="7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c r="AC583" s="251"/>
      <c r="AD583" s="251"/>
      <c r="AE583" s="251"/>
      <c r="AF583" s="251"/>
      <c r="AG583" s="251"/>
      <c r="AH583" s="251"/>
      <c r="AI583" s="251"/>
      <c r="AJ583" s="251"/>
      <c r="AK583" s="251"/>
      <c r="AL583" s="251"/>
      <c r="AM583" s="251"/>
      <c r="AN583" s="251"/>
      <c r="AO583" s="251"/>
      <c r="AP583" s="251"/>
      <c r="AQ583" s="251"/>
      <c r="AR583" s="251"/>
      <c r="AS583" s="251"/>
    </row>
    <row r="584" spans="1:45" s="44" customFormat="1" x14ac:dyDescent="0.2">
      <c r="A584" s="71"/>
      <c r="B584" s="71"/>
      <c r="C584" s="7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51"/>
      <c r="AE584" s="251"/>
      <c r="AF584" s="251"/>
      <c r="AG584" s="251"/>
      <c r="AH584" s="251"/>
      <c r="AI584" s="251"/>
      <c r="AJ584" s="251"/>
      <c r="AK584" s="251"/>
      <c r="AL584" s="251"/>
      <c r="AM584" s="251"/>
      <c r="AN584" s="251"/>
      <c r="AO584" s="251"/>
      <c r="AP584" s="251"/>
      <c r="AQ584" s="251"/>
      <c r="AR584" s="251"/>
      <c r="AS584" s="251"/>
    </row>
    <row r="585" spans="1:45" s="44" customFormat="1" x14ac:dyDescent="0.2">
      <c r="A585" s="71"/>
      <c r="B585" s="71"/>
      <c r="C585" s="7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c r="AA585" s="251"/>
      <c r="AB585" s="251"/>
      <c r="AC585" s="251"/>
      <c r="AD585" s="251"/>
      <c r="AE585" s="251"/>
      <c r="AF585" s="251"/>
      <c r="AG585" s="251"/>
      <c r="AH585" s="251"/>
      <c r="AI585" s="251"/>
      <c r="AJ585" s="251"/>
      <c r="AK585" s="251"/>
      <c r="AL585" s="251"/>
      <c r="AM585" s="251"/>
      <c r="AN585" s="251"/>
      <c r="AO585" s="251"/>
      <c r="AP585" s="251"/>
      <c r="AQ585" s="251"/>
      <c r="AR585" s="251"/>
      <c r="AS585" s="251"/>
    </row>
    <row r="586" spans="1:45" s="44" customFormat="1" x14ac:dyDescent="0.2">
      <c r="A586" s="71"/>
      <c r="B586" s="71"/>
      <c r="C586" s="7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251"/>
      <c r="AE586" s="251"/>
      <c r="AF586" s="251"/>
      <c r="AG586" s="251"/>
      <c r="AH586" s="251"/>
      <c r="AI586" s="251"/>
      <c r="AJ586" s="251"/>
      <c r="AK586" s="251"/>
      <c r="AL586" s="251"/>
      <c r="AM586" s="251"/>
      <c r="AN586" s="251"/>
      <c r="AO586" s="251"/>
      <c r="AP586" s="251"/>
      <c r="AQ586" s="251"/>
      <c r="AR586" s="251"/>
      <c r="AS586" s="251"/>
    </row>
    <row r="587" spans="1:45" s="44" customFormat="1" x14ac:dyDescent="0.2">
      <c r="A587" s="71"/>
      <c r="B587" s="71"/>
      <c r="C587" s="7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c r="AC587" s="251"/>
      <c r="AD587" s="251"/>
      <c r="AE587" s="251"/>
      <c r="AF587" s="251"/>
      <c r="AG587" s="251"/>
      <c r="AH587" s="251"/>
      <c r="AI587" s="251"/>
      <c r="AJ587" s="251"/>
      <c r="AK587" s="251"/>
      <c r="AL587" s="251"/>
      <c r="AM587" s="251"/>
      <c r="AN587" s="251"/>
      <c r="AO587" s="251"/>
      <c r="AP587" s="251"/>
      <c r="AQ587" s="251"/>
      <c r="AR587" s="251"/>
      <c r="AS587" s="251"/>
    </row>
    <row r="588" spans="1:45" s="44" customFormat="1" x14ac:dyDescent="0.2">
      <c r="A588" s="71"/>
      <c r="B588" s="71"/>
      <c r="C588" s="7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51"/>
      <c r="AE588" s="251"/>
      <c r="AF588" s="251"/>
      <c r="AG588" s="251"/>
      <c r="AH588" s="251"/>
      <c r="AI588" s="251"/>
      <c r="AJ588" s="251"/>
      <c r="AK588" s="251"/>
      <c r="AL588" s="251"/>
      <c r="AM588" s="251"/>
      <c r="AN588" s="251"/>
      <c r="AO588" s="251"/>
      <c r="AP588" s="251"/>
      <c r="AQ588" s="251"/>
      <c r="AR588" s="251"/>
      <c r="AS588" s="251"/>
    </row>
    <row r="589" spans="1:45" s="44" customFormat="1" x14ac:dyDescent="0.2">
      <c r="A589" s="71"/>
      <c r="B589" s="71"/>
      <c r="C589" s="7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251"/>
      <c r="AE589" s="251"/>
      <c r="AF589" s="251"/>
      <c r="AG589" s="251"/>
      <c r="AH589" s="251"/>
      <c r="AI589" s="251"/>
      <c r="AJ589" s="251"/>
      <c r="AK589" s="251"/>
      <c r="AL589" s="251"/>
      <c r="AM589" s="251"/>
      <c r="AN589" s="251"/>
      <c r="AO589" s="251"/>
      <c r="AP589" s="251"/>
      <c r="AQ589" s="251"/>
      <c r="AR589" s="251"/>
      <c r="AS589" s="251"/>
    </row>
    <row r="590" spans="1:45" s="44" customFormat="1" x14ac:dyDescent="0.2">
      <c r="A590" s="71"/>
      <c r="B590" s="71"/>
      <c r="C590" s="7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c r="AC590" s="251"/>
      <c r="AD590" s="251"/>
      <c r="AE590" s="251"/>
      <c r="AF590" s="251"/>
      <c r="AG590" s="251"/>
      <c r="AH590" s="251"/>
      <c r="AI590" s="251"/>
      <c r="AJ590" s="251"/>
      <c r="AK590" s="251"/>
      <c r="AL590" s="251"/>
      <c r="AM590" s="251"/>
      <c r="AN590" s="251"/>
      <c r="AO590" s="251"/>
      <c r="AP590" s="251"/>
      <c r="AQ590" s="251"/>
      <c r="AR590" s="251"/>
      <c r="AS590" s="251"/>
    </row>
    <row r="591" spans="1:45" s="44" customFormat="1" x14ac:dyDescent="0.2">
      <c r="A591" s="71"/>
      <c r="B591" s="71"/>
      <c r="C591" s="7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c r="AC591" s="251"/>
      <c r="AD591" s="251"/>
      <c r="AE591" s="251"/>
      <c r="AF591" s="251"/>
      <c r="AG591" s="251"/>
      <c r="AH591" s="251"/>
      <c r="AI591" s="251"/>
      <c r="AJ591" s="251"/>
      <c r="AK591" s="251"/>
      <c r="AL591" s="251"/>
      <c r="AM591" s="251"/>
      <c r="AN591" s="251"/>
      <c r="AO591" s="251"/>
      <c r="AP591" s="251"/>
      <c r="AQ591" s="251"/>
      <c r="AR591" s="251"/>
      <c r="AS591" s="251"/>
    </row>
    <row r="592" spans="1:45" s="44" customFormat="1" x14ac:dyDescent="0.2">
      <c r="A592" s="71"/>
      <c r="B592" s="71"/>
      <c r="C592" s="7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251"/>
      <c r="AE592" s="251"/>
      <c r="AF592" s="251"/>
      <c r="AG592" s="251"/>
      <c r="AH592" s="251"/>
      <c r="AI592" s="251"/>
      <c r="AJ592" s="251"/>
      <c r="AK592" s="251"/>
      <c r="AL592" s="251"/>
      <c r="AM592" s="251"/>
      <c r="AN592" s="251"/>
      <c r="AO592" s="251"/>
      <c r="AP592" s="251"/>
      <c r="AQ592" s="251"/>
      <c r="AR592" s="251"/>
      <c r="AS592" s="251"/>
    </row>
    <row r="593" spans="1:45" s="44" customFormat="1" x14ac:dyDescent="0.2">
      <c r="A593" s="71"/>
      <c r="B593" s="71"/>
      <c r="C593" s="7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c r="AC593" s="251"/>
      <c r="AD593" s="251"/>
      <c r="AE593" s="251"/>
      <c r="AF593" s="251"/>
      <c r="AG593" s="251"/>
      <c r="AH593" s="251"/>
      <c r="AI593" s="251"/>
      <c r="AJ593" s="251"/>
      <c r="AK593" s="251"/>
      <c r="AL593" s="251"/>
      <c r="AM593" s="251"/>
      <c r="AN593" s="251"/>
      <c r="AO593" s="251"/>
      <c r="AP593" s="251"/>
      <c r="AQ593" s="251"/>
      <c r="AR593" s="251"/>
      <c r="AS593" s="251"/>
    </row>
    <row r="594" spans="1:45" s="44" customFormat="1" x14ac:dyDescent="0.2">
      <c r="A594" s="71"/>
      <c r="B594" s="71"/>
      <c r="C594" s="7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c r="AC594" s="251"/>
      <c r="AD594" s="251"/>
      <c r="AE594" s="251"/>
      <c r="AF594" s="251"/>
      <c r="AG594" s="251"/>
      <c r="AH594" s="251"/>
      <c r="AI594" s="251"/>
      <c r="AJ594" s="251"/>
      <c r="AK594" s="251"/>
      <c r="AL594" s="251"/>
      <c r="AM594" s="251"/>
      <c r="AN594" s="251"/>
      <c r="AO594" s="251"/>
      <c r="AP594" s="251"/>
      <c r="AQ594" s="251"/>
      <c r="AR594" s="251"/>
      <c r="AS594" s="251"/>
    </row>
    <row r="595" spans="1:45" s="44" customFormat="1" x14ac:dyDescent="0.2">
      <c r="A595" s="71"/>
      <c r="B595" s="71"/>
      <c r="C595" s="7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251"/>
      <c r="AE595" s="251"/>
      <c r="AF595" s="251"/>
      <c r="AG595" s="251"/>
      <c r="AH595" s="251"/>
      <c r="AI595" s="251"/>
      <c r="AJ595" s="251"/>
      <c r="AK595" s="251"/>
      <c r="AL595" s="251"/>
      <c r="AM595" s="251"/>
      <c r="AN595" s="251"/>
      <c r="AO595" s="251"/>
      <c r="AP595" s="251"/>
      <c r="AQ595" s="251"/>
      <c r="AR595" s="251"/>
      <c r="AS595" s="251"/>
    </row>
    <row r="596" spans="1:45" s="44" customFormat="1" x14ac:dyDescent="0.2">
      <c r="A596" s="71"/>
      <c r="B596" s="71"/>
      <c r="C596" s="7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c r="AC596" s="251"/>
      <c r="AD596" s="251"/>
      <c r="AE596" s="251"/>
      <c r="AF596" s="251"/>
      <c r="AG596" s="251"/>
      <c r="AH596" s="251"/>
      <c r="AI596" s="251"/>
      <c r="AJ596" s="251"/>
      <c r="AK596" s="251"/>
      <c r="AL596" s="251"/>
      <c r="AM596" s="251"/>
      <c r="AN596" s="251"/>
      <c r="AO596" s="251"/>
      <c r="AP596" s="251"/>
      <c r="AQ596" s="251"/>
      <c r="AR596" s="251"/>
      <c r="AS596" s="251"/>
    </row>
    <row r="597" spans="1:45" s="44" customFormat="1" x14ac:dyDescent="0.2">
      <c r="A597" s="71"/>
      <c r="B597" s="71"/>
      <c r="C597" s="7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c r="AC597" s="251"/>
      <c r="AD597" s="251"/>
      <c r="AE597" s="251"/>
      <c r="AF597" s="251"/>
      <c r="AG597" s="251"/>
      <c r="AH597" s="251"/>
      <c r="AI597" s="251"/>
      <c r="AJ597" s="251"/>
      <c r="AK597" s="251"/>
      <c r="AL597" s="251"/>
      <c r="AM597" s="251"/>
      <c r="AN597" s="251"/>
      <c r="AO597" s="251"/>
      <c r="AP597" s="251"/>
      <c r="AQ597" s="251"/>
      <c r="AR597" s="251"/>
      <c r="AS597" s="251"/>
    </row>
    <row r="598" spans="1:45" s="44" customFormat="1" x14ac:dyDescent="0.2">
      <c r="A598" s="71"/>
      <c r="B598" s="71"/>
      <c r="C598" s="7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251"/>
      <c r="AE598" s="251"/>
      <c r="AF598" s="251"/>
      <c r="AG598" s="251"/>
      <c r="AH598" s="251"/>
      <c r="AI598" s="251"/>
      <c r="AJ598" s="251"/>
      <c r="AK598" s="251"/>
      <c r="AL598" s="251"/>
      <c r="AM598" s="251"/>
      <c r="AN598" s="251"/>
      <c r="AO598" s="251"/>
      <c r="AP598" s="251"/>
      <c r="AQ598" s="251"/>
      <c r="AR598" s="251"/>
      <c r="AS598" s="251"/>
    </row>
    <row r="599" spans="1:45" s="44" customFormat="1" x14ac:dyDescent="0.2">
      <c r="A599" s="71"/>
      <c r="B599" s="71"/>
      <c r="C599" s="7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s="251"/>
      <c r="AG599" s="251"/>
      <c r="AH599" s="251"/>
      <c r="AI599" s="251"/>
      <c r="AJ599" s="251"/>
      <c r="AK599" s="251"/>
      <c r="AL599" s="251"/>
      <c r="AM599" s="251"/>
      <c r="AN599" s="251"/>
      <c r="AO599" s="251"/>
      <c r="AP599" s="251"/>
      <c r="AQ599" s="251"/>
      <c r="AR599" s="251"/>
      <c r="AS599" s="251"/>
    </row>
    <row r="600" spans="1:45" s="44" customFormat="1" x14ac:dyDescent="0.2">
      <c r="A600" s="71"/>
      <c r="B600" s="71"/>
      <c r="C600" s="7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c r="AC600" s="251"/>
      <c r="AD600" s="251"/>
      <c r="AE600" s="251"/>
      <c r="AF600" s="251"/>
      <c r="AG600" s="251"/>
      <c r="AH600" s="251"/>
      <c r="AI600" s="251"/>
      <c r="AJ600" s="251"/>
      <c r="AK600" s="251"/>
      <c r="AL600" s="251"/>
      <c r="AM600" s="251"/>
      <c r="AN600" s="251"/>
      <c r="AO600" s="251"/>
      <c r="AP600" s="251"/>
      <c r="AQ600" s="251"/>
      <c r="AR600" s="251"/>
      <c r="AS600" s="251"/>
    </row>
    <row r="601" spans="1:45" s="44" customFormat="1" x14ac:dyDescent="0.2">
      <c r="A601" s="71"/>
      <c r="B601" s="71"/>
      <c r="C601" s="7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251"/>
      <c r="AE601" s="251"/>
      <c r="AF601" s="251"/>
      <c r="AG601" s="251"/>
      <c r="AH601" s="251"/>
      <c r="AI601" s="251"/>
      <c r="AJ601" s="251"/>
      <c r="AK601" s="251"/>
      <c r="AL601" s="251"/>
      <c r="AM601" s="251"/>
      <c r="AN601" s="251"/>
      <c r="AO601" s="251"/>
      <c r="AP601" s="251"/>
      <c r="AQ601" s="251"/>
      <c r="AR601" s="251"/>
      <c r="AS601" s="251"/>
    </row>
    <row r="602" spans="1:45" s="44" customFormat="1" x14ac:dyDescent="0.2">
      <c r="A602" s="71"/>
      <c r="B602" s="71"/>
      <c r="C602" s="7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c r="AC602" s="251"/>
      <c r="AD602" s="251"/>
      <c r="AE602" s="251"/>
      <c r="AF602" s="251"/>
      <c r="AG602" s="251"/>
      <c r="AH602" s="251"/>
      <c r="AI602" s="251"/>
      <c r="AJ602" s="251"/>
      <c r="AK602" s="251"/>
      <c r="AL602" s="251"/>
      <c r="AM602" s="251"/>
      <c r="AN602" s="251"/>
      <c r="AO602" s="251"/>
      <c r="AP602" s="251"/>
      <c r="AQ602" s="251"/>
      <c r="AR602" s="251"/>
      <c r="AS602" s="251"/>
    </row>
    <row r="603" spans="1:45" s="44" customFormat="1" x14ac:dyDescent="0.2">
      <c r="A603" s="71"/>
      <c r="B603" s="71"/>
      <c r="C603" s="7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c r="AC603" s="251"/>
      <c r="AD603" s="251"/>
      <c r="AE603" s="251"/>
      <c r="AF603" s="251"/>
      <c r="AG603" s="251"/>
      <c r="AH603" s="251"/>
      <c r="AI603" s="251"/>
      <c r="AJ603" s="251"/>
      <c r="AK603" s="251"/>
      <c r="AL603" s="251"/>
      <c r="AM603" s="251"/>
      <c r="AN603" s="251"/>
      <c r="AO603" s="251"/>
      <c r="AP603" s="251"/>
      <c r="AQ603" s="251"/>
      <c r="AR603" s="251"/>
      <c r="AS603" s="251"/>
    </row>
    <row r="604" spans="1:45" s="44" customFormat="1" x14ac:dyDescent="0.2">
      <c r="A604" s="71"/>
      <c r="B604" s="71"/>
      <c r="C604" s="7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c r="AC604" s="251"/>
      <c r="AD604" s="251"/>
      <c r="AE604" s="251"/>
      <c r="AF604" s="251"/>
      <c r="AG604" s="251"/>
      <c r="AH604" s="251"/>
      <c r="AI604" s="251"/>
      <c r="AJ604" s="251"/>
      <c r="AK604" s="251"/>
      <c r="AL604" s="251"/>
      <c r="AM604" s="251"/>
      <c r="AN604" s="251"/>
      <c r="AO604" s="251"/>
      <c r="AP604" s="251"/>
      <c r="AQ604" s="251"/>
      <c r="AR604" s="251"/>
      <c r="AS604" s="251"/>
    </row>
    <row r="605" spans="1:45" s="44" customFormat="1" x14ac:dyDescent="0.2">
      <c r="A605" s="71"/>
      <c r="B605" s="71"/>
      <c r="C605" s="7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c r="AC605" s="251"/>
      <c r="AD605" s="251"/>
      <c r="AE605" s="251"/>
      <c r="AF605" s="251"/>
      <c r="AG605" s="251"/>
      <c r="AH605" s="251"/>
      <c r="AI605" s="251"/>
      <c r="AJ605" s="251"/>
      <c r="AK605" s="251"/>
      <c r="AL605" s="251"/>
      <c r="AM605" s="251"/>
      <c r="AN605" s="251"/>
      <c r="AO605" s="251"/>
      <c r="AP605" s="251"/>
      <c r="AQ605" s="251"/>
      <c r="AR605" s="251"/>
      <c r="AS605" s="251"/>
    </row>
    <row r="606" spans="1:45" s="44" customFormat="1" x14ac:dyDescent="0.2">
      <c r="A606" s="71"/>
      <c r="B606" s="71"/>
      <c r="C606" s="7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c r="AC606" s="251"/>
      <c r="AD606" s="251"/>
      <c r="AE606" s="251"/>
      <c r="AF606" s="251"/>
      <c r="AG606" s="251"/>
      <c r="AH606" s="251"/>
      <c r="AI606" s="251"/>
      <c r="AJ606" s="251"/>
      <c r="AK606" s="251"/>
      <c r="AL606" s="251"/>
      <c r="AM606" s="251"/>
      <c r="AN606" s="251"/>
      <c r="AO606" s="251"/>
      <c r="AP606" s="251"/>
      <c r="AQ606" s="251"/>
      <c r="AR606" s="251"/>
      <c r="AS606" s="251"/>
    </row>
    <row r="607" spans="1:45" s="44" customFormat="1" x14ac:dyDescent="0.2">
      <c r="A607" s="71"/>
      <c r="B607" s="71"/>
      <c r="C607" s="7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row>
    <row r="608" spans="1:45" s="44" customFormat="1" x14ac:dyDescent="0.2">
      <c r="A608" s="71"/>
      <c r="B608" s="71"/>
      <c r="C608" s="7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c r="AC608" s="251"/>
      <c r="AD608" s="251"/>
      <c r="AE608" s="251"/>
      <c r="AF608" s="251"/>
      <c r="AG608" s="251"/>
      <c r="AH608" s="251"/>
      <c r="AI608" s="251"/>
      <c r="AJ608" s="251"/>
      <c r="AK608" s="251"/>
      <c r="AL608" s="251"/>
      <c r="AM608" s="251"/>
      <c r="AN608" s="251"/>
      <c r="AO608" s="251"/>
      <c r="AP608" s="251"/>
      <c r="AQ608" s="251"/>
      <c r="AR608" s="251"/>
      <c r="AS608" s="251"/>
    </row>
    <row r="609" spans="1:45" s="44" customFormat="1" x14ac:dyDescent="0.2">
      <c r="A609" s="71"/>
      <c r="B609" s="71"/>
      <c r="C609" s="7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c r="AC609" s="251"/>
      <c r="AD609" s="251"/>
      <c r="AE609" s="251"/>
      <c r="AF609" s="251"/>
      <c r="AG609" s="251"/>
      <c r="AH609" s="251"/>
      <c r="AI609" s="251"/>
      <c r="AJ609" s="251"/>
      <c r="AK609" s="251"/>
      <c r="AL609" s="251"/>
      <c r="AM609" s="251"/>
      <c r="AN609" s="251"/>
      <c r="AO609" s="251"/>
      <c r="AP609" s="251"/>
      <c r="AQ609" s="251"/>
      <c r="AR609" s="251"/>
      <c r="AS609" s="251"/>
    </row>
    <row r="610" spans="1:45" s="44" customFormat="1" x14ac:dyDescent="0.2">
      <c r="A610" s="71"/>
      <c r="B610" s="71"/>
      <c r="C610" s="7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c r="AC610" s="251"/>
      <c r="AD610" s="251"/>
      <c r="AE610" s="251"/>
      <c r="AF610" s="251"/>
      <c r="AG610" s="251"/>
      <c r="AH610" s="251"/>
      <c r="AI610" s="251"/>
      <c r="AJ610" s="251"/>
      <c r="AK610" s="251"/>
      <c r="AL610" s="251"/>
      <c r="AM610" s="251"/>
      <c r="AN610" s="251"/>
      <c r="AO610" s="251"/>
      <c r="AP610" s="251"/>
      <c r="AQ610" s="251"/>
      <c r="AR610" s="251"/>
      <c r="AS610" s="251"/>
    </row>
    <row r="611" spans="1:45" s="44" customFormat="1" x14ac:dyDescent="0.2">
      <c r="A611" s="71"/>
      <c r="B611" s="71"/>
      <c r="C611" s="7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c r="AC611" s="251"/>
      <c r="AD611" s="251"/>
      <c r="AE611" s="251"/>
      <c r="AF611" s="251"/>
      <c r="AG611" s="251"/>
      <c r="AH611" s="251"/>
      <c r="AI611" s="251"/>
      <c r="AJ611" s="251"/>
      <c r="AK611" s="251"/>
      <c r="AL611" s="251"/>
      <c r="AM611" s="251"/>
      <c r="AN611" s="251"/>
      <c r="AO611" s="251"/>
      <c r="AP611" s="251"/>
      <c r="AQ611" s="251"/>
      <c r="AR611" s="251"/>
      <c r="AS611" s="251"/>
    </row>
    <row r="612" spans="1:45" s="44" customFormat="1" x14ac:dyDescent="0.2">
      <c r="A612" s="71"/>
      <c r="B612" s="71"/>
      <c r="C612" s="7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c r="AA612" s="251"/>
      <c r="AB612" s="251"/>
      <c r="AC612" s="251"/>
      <c r="AD612" s="251"/>
      <c r="AE612" s="251"/>
      <c r="AF612" s="251"/>
      <c r="AG612" s="251"/>
      <c r="AH612" s="251"/>
      <c r="AI612" s="251"/>
      <c r="AJ612" s="251"/>
      <c r="AK612" s="251"/>
      <c r="AL612" s="251"/>
      <c r="AM612" s="251"/>
      <c r="AN612" s="251"/>
      <c r="AO612" s="251"/>
      <c r="AP612" s="251"/>
      <c r="AQ612" s="251"/>
      <c r="AR612" s="251"/>
      <c r="AS612" s="251"/>
    </row>
    <row r="613" spans="1:45" s="44" customFormat="1" x14ac:dyDescent="0.2">
      <c r="A613" s="71"/>
      <c r="B613" s="71"/>
      <c r="C613" s="7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c r="AA613" s="251"/>
      <c r="AB613" s="251"/>
      <c r="AC613" s="251"/>
      <c r="AD613" s="251"/>
      <c r="AE613" s="251"/>
      <c r="AF613" s="251"/>
      <c r="AG613" s="251"/>
      <c r="AH613" s="251"/>
      <c r="AI613" s="251"/>
      <c r="AJ613" s="251"/>
      <c r="AK613" s="251"/>
      <c r="AL613" s="251"/>
      <c r="AM613" s="251"/>
      <c r="AN613" s="251"/>
      <c r="AO613" s="251"/>
      <c r="AP613" s="251"/>
      <c r="AQ613" s="251"/>
      <c r="AR613" s="251"/>
      <c r="AS613" s="251"/>
    </row>
    <row r="614" spans="1:45" s="44" customFormat="1" x14ac:dyDescent="0.2">
      <c r="A614" s="71"/>
      <c r="B614" s="71"/>
      <c r="C614" s="71"/>
      <c r="D614" s="251"/>
      <c r="E614" s="251"/>
      <c r="F614" s="251"/>
      <c r="G614" s="251"/>
      <c r="H614" s="251"/>
      <c r="I614" s="251"/>
      <c r="J614" s="251"/>
      <c r="K614" s="251"/>
      <c r="L614" s="251"/>
      <c r="M614" s="251"/>
      <c r="N614" s="251"/>
      <c r="O614" s="251"/>
      <c r="P614" s="251"/>
      <c r="Q614" s="251"/>
      <c r="R614" s="251"/>
      <c r="S614" s="251"/>
      <c r="T614" s="251"/>
      <c r="U614" s="251"/>
      <c r="V614" s="251"/>
      <c r="W614" s="251"/>
      <c r="X614" s="251"/>
      <c r="Y614" s="251"/>
      <c r="Z614" s="251"/>
      <c r="AA614" s="251"/>
      <c r="AB614" s="251"/>
      <c r="AC614" s="251"/>
      <c r="AD614" s="251"/>
      <c r="AE614" s="251"/>
      <c r="AF614" s="251"/>
      <c r="AG614" s="251"/>
      <c r="AH614" s="251"/>
      <c r="AI614" s="251"/>
      <c r="AJ614" s="251"/>
      <c r="AK614" s="251"/>
      <c r="AL614" s="251"/>
      <c r="AM614" s="251"/>
      <c r="AN614" s="251"/>
      <c r="AO614" s="251"/>
      <c r="AP614" s="251"/>
      <c r="AQ614" s="251"/>
      <c r="AR614" s="251"/>
      <c r="AS614" s="251"/>
    </row>
    <row r="615" spans="1:45" s="44" customFormat="1" x14ac:dyDescent="0.2">
      <c r="A615" s="71"/>
      <c r="B615" s="71"/>
      <c r="C615" s="71"/>
      <c r="D615" s="251"/>
      <c r="E615" s="251"/>
      <c r="F615" s="251"/>
      <c r="G615" s="251"/>
      <c r="H615" s="251"/>
      <c r="I615" s="251"/>
      <c r="J615" s="251"/>
      <c r="K615" s="251"/>
      <c r="L615" s="251"/>
      <c r="M615" s="251"/>
      <c r="N615" s="251"/>
      <c r="O615" s="251"/>
      <c r="P615" s="251"/>
      <c r="Q615" s="251"/>
      <c r="R615" s="251"/>
      <c r="S615" s="251"/>
      <c r="T615" s="251"/>
      <c r="U615" s="251"/>
      <c r="V615" s="251"/>
      <c r="W615" s="251"/>
      <c r="X615" s="251"/>
      <c r="Y615" s="251"/>
      <c r="Z615" s="251"/>
      <c r="AA615" s="251"/>
      <c r="AB615" s="251"/>
      <c r="AC615" s="251"/>
      <c r="AD615" s="251"/>
      <c r="AE615" s="251"/>
      <c r="AF615" s="251"/>
      <c r="AG615" s="251"/>
      <c r="AH615" s="251"/>
      <c r="AI615" s="251"/>
      <c r="AJ615" s="251"/>
      <c r="AK615" s="251"/>
      <c r="AL615" s="251"/>
      <c r="AM615" s="251"/>
      <c r="AN615" s="251"/>
      <c r="AO615" s="251"/>
      <c r="AP615" s="251"/>
      <c r="AQ615" s="251"/>
      <c r="AR615" s="251"/>
      <c r="AS615" s="251"/>
    </row>
    <row r="616" spans="1:45" s="44" customFormat="1" x14ac:dyDescent="0.2">
      <c r="A616" s="71"/>
      <c r="B616" s="71"/>
      <c r="C616" s="7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251"/>
      <c r="AE616" s="251"/>
      <c r="AF616" s="251"/>
      <c r="AG616" s="251"/>
      <c r="AH616" s="251"/>
      <c r="AI616" s="251"/>
      <c r="AJ616" s="251"/>
      <c r="AK616" s="251"/>
      <c r="AL616" s="251"/>
      <c r="AM616" s="251"/>
      <c r="AN616" s="251"/>
      <c r="AO616" s="251"/>
      <c r="AP616" s="251"/>
      <c r="AQ616" s="251"/>
      <c r="AR616" s="251"/>
      <c r="AS616" s="251"/>
    </row>
    <row r="617" spans="1:45" s="44" customFormat="1" x14ac:dyDescent="0.2">
      <c r="A617" s="71"/>
      <c r="B617" s="71"/>
      <c r="C617" s="7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251"/>
      <c r="AE617" s="251"/>
      <c r="AF617" s="251"/>
      <c r="AG617" s="251"/>
      <c r="AH617" s="251"/>
      <c r="AI617" s="251"/>
      <c r="AJ617" s="251"/>
      <c r="AK617" s="251"/>
      <c r="AL617" s="251"/>
      <c r="AM617" s="251"/>
      <c r="AN617" s="251"/>
      <c r="AO617" s="251"/>
      <c r="AP617" s="251"/>
      <c r="AQ617" s="251"/>
      <c r="AR617" s="251"/>
      <c r="AS617" s="251"/>
    </row>
    <row r="618" spans="1:45" s="44" customFormat="1" x14ac:dyDescent="0.2">
      <c r="A618" s="71"/>
      <c r="B618" s="71"/>
      <c r="C618" s="7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251"/>
      <c r="AE618" s="251"/>
      <c r="AF618" s="251"/>
      <c r="AG618" s="251"/>
      <c r="AH618" s="251"/>
      <c r="AI618" s="251"/>
      <c r="AJ618" s="251"/>
      <c r="AK618" s="251"/>
      <c r="AL618" s="251"/>
      <c r="AM618" s="251"/>
      <c r="AN618" s="251"/>
      <c r="AO618" s="251"/>
      <c r="AP618" s="251"/>
      <c r="AQ618" s="251"/>
      <c r="AR618" s="251"/>
      <c r="AS618" s="251"/>
    </row>
    <row r="619" spans="1:45" s="44" customFormat="1" x14ac:dyDescent="0.2">
      <c r="A619" s="71"/>
      <c r="B619" s="71"/>
      <c r="C619" s="7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c r="AC619" s="251"/>
      <c r="AD619" s="251"/>
      <c r="AE619" s="251"/>
      <c r="AF619" s="251"/>
      <c r="AG619" s="251"/>
      <c r="AH619" s="251"/>
      <c r="AI619" s="251"/>
      <c r="AJ619" s="251"/>
      <c r="AK619" s="251"/>
      <c r="AL619" s="251"/>
      <c r="AM619" s="251"/>
      <c r="AN619" s="251"/>
      <c r="AO619" s="251"/>
      <c r="AP619" s="251"/>
      <c r="AQ619" s="251"/>
      <c r="AR619" s="251"/>
      <c r="AS619" s="251"/>
    </row>
    <row r="620" spans="1:45" s="44" customFormat="1" x14ac:dyDescent="0.2">
      <c r="A620" s="71"/>
      <c r="B620" s="71"/>
      <c r="C620" s="7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c r="AA620" s="251"/>
      <c r="AB620" s="251"/>
      <c r="AC620" s="251"/>
      <c r="AD620" s="251"/>
      <c r="AE620" s="251"/>
      <c r="AF620" s="251"/>
      <c r="AG620" s="251"/>
      <c r="AH620" s="251"/>
      <c r="AI620" s="251"/>
      <c r="AJ620" s="251"/>
      <c r="AK620" s="251"/>
      <c r="AL620" s="251"/>
      <c r="AM620" s="251"/>
      <c r="AN620" s="251"/>
      <c r="AO620" s="251"/>
      <c r="AP620" s="251"/>
      <c r="AQ620" s="251"/>
      <c r="AR620" s="251"/>
      <c r="AS620" s="251"/>
    </row>
    <row r="621" spans="1:45" s="44" customFormat="1" x14ac:dyDescent="0.2">
      <c r="A621" s="71"/>
      <c r="B621" s="71"/>
      <c r="C621" s="71"/>
      <c r="D621" s="251"/>
      <c r="E621" s="251"/>
      <c r="F621" s="251"/>
      <c r="G621" s="251"/>
      <c r="H621" s="251"/>
      <c r="I621" s="251"/>
      <c r="J621" s="251"/>
      <c r="K621" s="251"/>
      <c r="L621" s="251"/>
      <c r="M621" s="251"/>
      <c r="N621" s="251"/>
      <c r="O621" s="251"/>
      <c r="P621" s="251"/>
      <c r="Q621" s="251"/>
      <c r="R621" s="251"/>
      <c r="S621" s="251"/>
      <c r="T621" s="251"/>
      <c r="U621" s="251"/>
      <c r="V621" s="251"/>
      <c r="W621" s="251"/>
      <c r="X621" s="251"/>
      <c r="Y621" s="251"/>
      <c r="Z621" s="251"/>
      <c r="AA621" s="251"/>
      <c r="AB621" s="251"/>
      <c r="AC621" s="251"/>
      <c r="AD621" s="251"/>
      <c r="AE621" s="251"/>
      <c r="AF621" s="251"/>
      <c r="AG621" s="251"/>
      <c r="AH621" s="251"/>
      <c r="AI621" s="251"/>
      <c r="AJ621" s="251"/>
      <c r="AK621" s="251"/>
      <c r="AL621" s="251"/>
      <c r="AM621" s="251"/>
      <c r="AN621" s="251"/>
      <c r="AO621" s="251"/>
      <c r="AP621" s="251"/>
      <c r="AQ621" s="251"/>
      <c r="AR621" s="251"/>
      <c r="AS621" s="251"/>
    </row>
    <row r="622" spans="1:45" s="44" customFormat="1" x14ac:dyDescent="0.2">
      <c r="A622" s="71"/>
      <c r="B622" s="71"/>
      <c r="C622" s="7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c r="AA622" s="251"/>
      <c r="AB622" s="251"/>
      <c r="AC622" s="251"/>
      <c r="AD622" s="251"/>
      <c r="AE622" s="251"/>
      <c r="AF622" s="251"/>
      <c r="AG622" s="251"/>
      <c r="AH622" s="251"/>
      <c r="AI622" s="251"/>
      <c r="AJ622" s="251"/>
      <c r="AK622" s="251"/>
      <c r="AL622" s="251"/>
      <c r="AM622" s="251"/>
      <c r="AN622" s="251"/>
      <c r="AO622" s="251"/>
      <c r="AP622" s="251"/>
      <c r="AQ622" s="251"/>
      <c r="AR622" s="251"/>
      <c r="AS622" s="251"/>
    </row>
    <row r="623" spans="1:45" s="44" customFormat="1" x14ac:dyDescent="0.2">
      <c r="A623" s="71"/>
      <c r="B623" s="71"/>
      <c r="C623" s="71"/>
      <c r="D623" s="251"/>
      <c r="E623" s="251"/>
      <c r="F623" s="251"/>
      <c r="G623" s="251"/>
      <c r="H623" s="251"/>
      <c r="I623" s="251"/>
      <c r="J623" s="251"/>
      <c r="K623" s="251"/>
      <c r="L623" s="251"/>
      <c r="M623" s="251"/>
      <c r="N623" s="251"/>
      <c r="O623" s="251"/>
      <c r="P623" s="251"/>
      <c r="Q623" s="251"/>
      <c r="R623" s="251"/>
      <c r="S623" s="251"/>
      <c r="T623" s="251"/>
      <c r="U623" s="251"/>
      <c r="V623" s="251"/>
      <c r="W623" s="251"/>
      <c r="X623" s="251"/>
      <c r="Y623" s="251"/>
      <c r="Z623" s="251"/>
      <c r="AA623" s="251"/>
      <c r="AB623" s="251"/>
      <c r="AC623" s="251"/>
      <c r="AD623" s="251"/>
      <c r="AE623" s="251"/>
      <c r="AF623" s="251"/>
      <c r="AG623" s="251"/>
      <c r="AH623" s="251"/>
      <c r="AI623" s="251"/>
      <c r="AJ623" s="251"/>
      <c r="AK623" s="251"/>
      <c r="AL623" s="251"/>
      <c r="AM623" s="251"/>
      <c r="AN623" s="251"/>
      <c r="AO623" s="251"/>
      <c r="AP623" s="251"/>
      <c r="AQ623" s="251"/>
      <c r="AR623" s="251"/>
      <c r="AS623" s="251"/>
    </row>
    <row r="624" spans="1:45" s="44" customFormat="1" x14ac:dyDescent="0.2">
      <c r="A624" s="71"/>
      <c r="B624" s="71"/>
      <c r="C624" s="71"/>
      <c r="D624" s="251"/>
      <c r="E624" s="251"/>
      <c r="F624" s="251"/>
      <c r="G624" s="251"/>
      <c r="H624" s="251"/>
      <c r="I624" s="251"/>
      <c r="J624" s="251"/>
      <c r="K624" s="251"/>
      <c r="L624" s="251"/>
      <c r="M624" s="251"/>
      <c r="N624" s="251"/>
      <c r="O624" s="251"/>
      <c r="P624" s="251"/>
      <c r="Q624" s="251"/>
      <c r="R624" s="251"/>
      <c r="S624" s="251"/>
      <c r="T624" s="251"/>
      <c r="U624" s="251"/>
      <c r="V624" s="251"/>
      <c r="W624" s="251"/>
      <c r="X624" s="251"/>
      <c r="Y624" s="251"/>
      <c r="Z624" s="251"/>
      <c r="AA624" s="251"/>
      <c r="AB624" s="251"/>
      <c r="AC624" s="251"/>
      <c r="AD624" s="251"/>
      <c r="AE624" s="251"/>
      <c r="AF624" s="251"/>
      <c r="AG624" s="251"/>
      <c r="AH624" s="251"/>
      <c r="AI624" s="251"/>
      <c r="AJ624" s="251"/>
      <c r="AK624" s="251"/>
      <c r="AL624" s="251"/>
      <c r="AM624" s="251"/>
      <c r="AN624" s="251"/>
      <c r="AO624" s="251"/>
      <c r="AP624" s="251"/>
      <c r="AQ624" s="251"/>
      <c r="AR624" s="251"/>
      <c r="AS624" s="251"/>
    </row>
    <row r="625" spans="1:45" s="44" customFormat="1" x14ac:dyDescent="0.2">
      <c r="A625" s="71"/>
      <c r="B625" s="71"/>
      <c r="C625" s="71"/>
      <c r="D625" s="251"/>
      <c r="E625" s="251"/>
      <c r="F625" s="251"/>
      <c r="G625" s="251"/>
      <c r="H625" s="251"/>
      <c r="I625" s="251"/>
      <c r="J625" s="251"/>
      <c r="K625" s="251"/>
      <c r="L625" s="251"/>
      <c r="M625" s="251"/>
      <c r="N625" s="251"/>
      <c r="O625" s="251"/>
      <c r="P625" s="251"/>
      <c r="Q625" s="251"/>
      <c r="R625" s="251"/>
      <c r="S625" s="251"/>
      <c r="T625" s="251"/>
      <c r="U625" s="251"/>
      <c r="V625" s="251"/>
      <c r="W625" s="251"/>
      <c r="X625" s="251"/>
      <c r="Y625" s="251"/>
      <c r="Z625" s="251"/>
      <c r="AA625" s="251"/>
      <c r="AB625" s="251"/>
      <c r="AC625" s="251"/>
      <c r="AD625" s="251"/>
      <c r="AE625" s="251"/>
      <c r="AF625" s="251"/>
      <c r="AG625" s="251"/>
      <c r="AH625" s="251"/>
      <c r="AI625" s="251"/>
      <c r="AJ625" s="251"/>
      <c r="AK625" s="251"/>
      <c r="AL625" s="251"/>
      <c r="AM625" s="251"/>
      <c r="AN625" s="251"/>
      <c r="AO625" s="251"/>
      <c r="AP625" s="251"/>
      <c r="AQ625" s="251"/>
      <c r="AR625" s="251"/>
      <c r="AS625" s="251"/>
    </row>
    <row r="626" spans="1:45" s="44" customFormat="1" x14ac:dyDescent="0.2">
      <c r="A626" s="71"/>
      <c r="B626" s="71"/>
      <c r="C626" s="7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c r="AA626" s="251"/>
      <c r="AB626" s="251"/>
      <c r="AC626" s="251"/>
      <c r="AD626" s="251"/>
      <c r="AE626" s="251"/>
      <c r="AF626" s="251"/>
      <c r="AG626" s="251"/>
      <c r="AH626" s="251"/>
      <c r="AI626" s="251"/>
      <c r="AJ626" s="251"/>
      <c r="AK626" s="251"/>
      <c r="AL626" s="251"/>
      <c r="AM626" s="251"/>
      <c r="AN626" s="251"/>
      <c r="AO626" s="251"/>
      <c r="AP626" s="251"/>
      <c r="AQ626" s="251"/>
      <c r="AR626" s="251"/>
      <c r="AS626" s="251"/>
    </row>
    <row r="627" spans="1:45" s="44" customFormat="1" x14ac:dyDescent="0.2">
      <c r="A627" s="71"/>
      <c r="B627" s="71"/>
      <c r="C627" s="71"/>
      <c r="D627" s="251"/>
      <c r="E627" s="251"/>
      <c r="F627" s="251"/>
      <c r="G627" s="251"/>
      <c r="H627" s="251"/>
      <c r="I627" s="251"/>
      <c r="J627" s="251"/>
      <c r="K627" s="251"/>
      <c r="L627" s="251"/>
      <c r="M627" s="251"/>
      <c r="N627" s="251"/>
      <c r="O627" s="251"/>
      <c r="P627" s="251"/>
      <c r="Q627" s="251"/>
      <c r="R627" s="251"/>
      <c r="S627" s="251"/>
      <c r="T627" s="251"/>
      <c r="U627" s="251"/>
      <c r="V627" s="251"/>
      <c r="W627" s="251"/>
      <c r="X627" s="251"/>
      <c r="Y627" s="251"/>
      <c r="Z627" s="251"/>
      <c r="AA627" s="251"/>
      <c r="AB627" s="251"/>
      <c r="AC627" s="251"/>
      <c r="AD627" s="251"/>
      <c r="AE627" s="251"/>
      <c r="AF627" s="251"/>
      <c r="AG627" s="251"/>
      <c r="AH627" s="251"/>
      <c r="AI627" s="251"/>
      <c r="AJ627" s="251"/>
      <c r="AK627" s="251"/>
      <c r="AL627" s="251"/>
      <c r="AM627" s="251"/>
      <c r="AN627" s="251"/>
      <c r="AO627" s="251"/>
      <c r="AP627" s="251"/>
      <c r="AQ627" s="251"/>
      <c r="AR627" s="251"/>
      <c r="AS627" s="251"/>
    </row>
    <row r="628" spans="1:45" s="44" customFormat="1" x14ac:dyDescent="0.2">
      <c r="A628" s="71"/>
      <c r="B628" s="71"/>
      <c r="C628" s="7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251"/>
      <c r="AE628" s="251"/>
      <c r="AF628" s="251"/>
      <c r="AG628" s="251"/>
      <c r="AH628" s="251"/>
      <c r="AI628" s="251"/>
      <c r="AJ628" s="251"/>
      <c r="AK628" s="251"/>
      <c r="AL628" s="251"/>
      <c r="AM628" s="251"/>
      <c r="AN628" s="251"/>
      <c r="AO628" s="251"/>
      <c r="AP628" s="251"/>
      <c r="AQ628" s="251"/>
      <c r="AR628" s="251"/>
      <c r="AS628" s="251"/>
    </row>
    <row r="629" spans="1:45" s="44" customFormat="1" x14ac:dyDescent="0.2">
      <c r="A629" s="71"/>
      <c r="B629" s="71"/>
      <c r="C629" s="7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251"/>
      <c r="AE629" s="251"/>
      <c r="AF629" s="251"/>
      <c r="AG629" s="251"/>
      <c r="AH629" s="251"/>
      <c r="AI629" s="251"/>
      <c r="AJ629" s="251"/>
      <c r="AK629" s="251"/>
      <c r="AL629" s="251"/>
      <c r="AM629" s="251"/>
      <c r="AN629" s="251"/>
      <c r="AO629" s="251"/>
      <c r="AP629" s="251"/>
      <c r="AQ629" s="251"/>
      <c r="AR629" s="251"/>
      <c r="AS629" s="251"/>
    </row>
    <row r="630" spans="1:45" s="44" customFormat="1" x14ac:dyDescent="0.2">
      <c r="A630" s="71"/>
      <c r="B630" s="71"/>
      <c r="C630" s="7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s="251"/>
      <c r="AG630" s="251"/>
      <c r="AH630" s="251"/>
      <c r="AI630" s="251"/>
      <c r="AJ630" s="251"/>
      <c r="AK630" s="251"/>
      <c r="AL630" s="251"/>
      <c r="AM630" s="251"/>
      <c r="AN630" s="251"/>
      <c r="AO630" s="251"/>
      <c r="AP630" s="251"/>
      <c r="AQ630" s="251"/>
      <c r="AR630" s="251"/>
      <c r="AS630" s="251"/>
    </row>
    <row r="631" spans="1:45" s="44" customFormat="1" x14ac:dyDescent="0.2">
      <c r="A631" s="71"/>
      <c r="B631" s="71"/>
      <c r="C631" s="7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c r="AA631" s="251"/>
      <c r="AB631" s="251"/>
      <c r="AC631" s="251"/>
      <c r="AD631" s="251"/>
      <c r="AE631" s="251"/>
      <c r="AF631" s="251"/>
      <c r="AG631" s="251"/>
      <c r="AH631" s="251"/>
      <c r="AI631" s="251"/>
      <c r="AJ631" s="251"/>
      <c r="AK631" s="251"/>
      <c r="AL631" s="251"/>
      <c r="AM631" s="251"/>
      <c r="AN631" s="251"/>
      <c r="AO631" s="251"/>
      <c r="AP631" s="251"/>
      <c r="AQ631" s="251"/>
      <c r="AR631" s="251"/>
      <c r="AS631" s="251"/>
    </row>
    <row r="632" spans="1:45" s="44" customFormat="1" x14ac:dyDescent="0.2">
      <c r="A632" s="71"/>
      <c r="B632" s="71"/>
      <c r="C632" s="7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c r="AA632" s="251"/>
      <c r="AB632" s="251"/>
      <c r="AC632" s="251"/>
      <c r="AD632" s="251"/>
      <c r="AE632" s="251"/>
      <c r="AF632" s="251"/>
      <c r="AG632" s="251"/>
      <c r="AH632" s="251"/>
      <c r="AI632" s="251"/>
      <c r="AJ632" s="251"/>
      <c r="AK632" s="251"/>
      <c r="AL632" s="251"/>
      <c r="AM632" s="251"/>
      <c r="AN632" s="251"/>
      <c r="AO632" s="251"/>
      <c r="AP632" s="251"/>
      <c r="AQ632" s="251"/>
      <c r="AR632" s="251"/>
      <c r="AS632" s="251"/>
    </row>
    <row r="633" spans="1:45" s="44" customFormat="1" x14ac:dyDescent="0.2">
      <c r="A633" s="71"/>
      <c r="B633" s="71"/>
      <c r="C633" s="7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c r="AA633" s="251"/>
      <c r="AB633" s="251"/>
      <c r="AC633" s="251"/>
      <c r="AD633" s="251"/>
      <c r="AE633" s="251"/>
      <c r="AF633" s="251"/>
      <c r="AG633" s="251"/>
      <c r="AH633" s="251"/>
      <c r="AI633" s="251"/>
      <c r="AJ633" s="251"/>
      <c r="AK633" s="251"/>
      <c r="AL633" s="251"/>
      <c r="AM633" s="251"/>
      <c r="AN633" s="251"/>
      <c r="AO633" s="251"/>
      <c r="AP633" s="251"/>
      <c r="AQ633" s="251"/>
      <c r="AR633" s="251"/>
      <c r="AS633" s="251"/>
    </row>
    <row r="634" spans="1:45" s="44" customFormat="1" x14ac:dyDescent="0.2">
      <c r="A634" s="71"/>
      <c r="B634" s="71"/>
      <c r="C634" s="7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c r="AA634" s="251"/>
      <c r="AB634" s="251"/>
      <c r="AC634" s="251"/>
      <c r="AD634" s="251"/>
      <c r="AE634" s="251"/>
      <c r="AF634" s="251"/>
      <c r="AG634" s="251"/>
      <c r="AH634" s="251"/>
      <c r="AI634" s="251"/>
      <c r="AJ634" s="251"/>
      <c r="AK634" s="251"/>
      <c r="AL634" s="251"/>
      <c r="AM634" s="251"/>
      <c r="AN634" s="251"/>
      <c r="AO634" s="251"/>
      <c r="AP634" s="251"/>
      <c r="AQ634" s="251"/>
      <c r="AR634" s="251"/>
      <c r="AS634" s="251"/>
    </row>
    <row r="635" spans="1:45" s="44" customFormat="1" x14ac:dyDescent="0.2">
      <c r="A635" s="71"/>
      <c r="B635" s="71"/>
      <c r="C635" s="7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c r="AA635" s="251"/>
      <c r="AB635" s="251"/>
      <c r="AC635" s="251"/>
      <c r="AD635" s="251"/>
      <c r="AE635" s="251"/>
      <c r="AF635" s="251"/>
      <c r="AG635" s="251"/>
      <c r="AH635" s="251"/>
      <c r="AI635" s="251"/>
      <c r="AJ635" s="251"/>
      <c r="AK635" s="251"/>
      <c r="AL635" s="251"/>
      <c r="AM635" s="251"/>
      <c r="AN635" s="251"/>
      <c r="AO635" s="251"/>
      <c r="AP635" s="251"/>
      <c r="AQ635" s="251"/>
      <c r="AR635" s="251"/>
      <c r="AS635" s="251"/>
    </row>
    <row r="636" spans="1:45" s="44" customFormat="1" x14ac:dyDescent="0.2">
      <c r="A636" s="71"/>
      <c r="B636" s="71"/>
      <c r="C636" s="7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c r="AC636" s="251"/>
      <c r="AD636" s="251"/>
      <c r="AE636" s="251"/>
      <c r="AF636" s="251"/>
      <c r="AG636" s="251"/>
      <c r="AH636" s="251"/>
      <c r="AI636" s="251"/>
      <c r="AJ636" s="251"/>
      <c r="AK636" s="251"/>
      <c r="AL636" s="251"/>
      <c r="AM636" s="251"/>
      <c r="AN636" s="251"/>
      <c r="AO636" s="251"/>
      <c r="AP636" s="251"/>
      <c r="AQ636" s="251"/>
      <c r="AR636" s="251"/>
      <c r="AS636" s="251"/>
    </row>
    <row r="637" spans="1:45" s="44" customFormat="1" x14ac:dyDescent="0.2">
      <c r="A637" s="71"/>
      <c r="B637" s="71"/>
      <c r="C637" s="7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251"/>
      <c r="AE637" s="251"/>
      <c r="AF637" s="251"/>
      <c r="AG637" s="251"/>
      <c r="AH637" s="251"/>
      <c r="AI637" s="251"/>
      <c r="AJ637" s="251"/>
      <c r="AK637" s="251"/>
      <c r="AL637" s="251"/>
      <c r="AM637" s="251"/>
      <c r="AN637" s="251"/>
      <c r="AO637" s="251"/>
      <c r="AP637" s="251"/>
      <c r="AQ637" s="251"/>
      <c r="AR637" s="251"/>
      <c r="AS637" s="251"/>
    </row>
    <row r="638" spans="1:45" s="44" customFormat="1" x14ac:dyDescent="0.2">
      <c r="A638" s="71"/>
      <c r="B638" s="71"/>
      <c r="C638" s="7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c r="AA638" s="251"/>
      <c r="AB638" s="251"/>
      <c r="AC638" s="251"/>
      <c r="AD638" s="251"/>
      <c r="AE638" s="251"/>
      <c r="AF638" s="251"/>
      <c r="AG638" s="251"/>
      <c r="AH638" s="251"/>
      <c r="AI638" s="251"/>
      <c r="AJ638" s="251"/>
      <c r="AK638" s="251"/>
      <c r="AL638" s="251"/>
      <c r="AM638" s="251"/>
      <c r="AN638" s="251"/>
      <c r="AO638" s="251"/>
      <c r="AP638" s="251"/>
      <c r="AQ638" s="251"/>
      <c r="AR638" s="251"/>
      <c r="AS638" s="251"/>
    </row>
    <row r="639" spans="1:45" s="44" customFormat="1" x14ac:dyDescent="0.2">
      <c r="A639" s="71"/>
      <c r="B639" s="71"/>
      <c r="C639" s="7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251"/>
      <c r="AE639" s="251"/>
      <c r="AF639" s="251"/>
      <c r="AG639" s="251"/>
      <c r="AH639" s="251"/>
      <c r="AI639" s="251"/>
      <c r="AJ639" s="251"/>
      <c r="AK639" s="251"/>
      <c r="AL639" s="251"/>
      <c r="AM639" s="251"/>
      <c r="AN639" s="251"/>
      <c r="AO639" s="251"/>
      <c r="AP639" s="251"/>
      <c r="AQ639" s="251"/>
      <c r="AR639" s="251"/>
      <c r="AS639" s="251"/>
    </row>
    <row r="640" spans="1:45" s="44" customFormat="1" x14ac:dyDescent="0.2">
      <c r="A640" s="71"/>
      <c r="B640" s="71"/>
      <c r="C640" s="7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c r="AA640" s="251"/>
      <c r="AB640" s="251"/>
      <c r="AC640" s="251"/>
      <c r="AD640" s="251"/>
      <c r="AE640" s="251"/>
      <c r="AF640" s="251"/>
      <c r="AG640" s="251"/>
      <c r="AH640" s="251"/>
      <c r="AI640" s="251"/>
      <c r="AJ640" s="251"/>
      <c r="AK640" s="251"/>
      <c r="AL640" s="251"/>
      <c r="AM640" s="251"/>
      <c r="AN640" s="251"/>
      <c r="AO640" s="251"/>
      <c r="AP640" s="251"/>
      <c r="AQ640" s="251"/>
      <c r="AR640" s="251"/>
      <c r="AS640" s="251"/>
    </row>
    <row r="641" spans="1:45" s="44" customFormat="1" x14ac:dyDescent="0.2">
      <c r="A641" s="71"/>
      <c r="B641" s="71"/>
      <c r="C641" s="7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c r="AA641" s="251"/>
      <c r="AB641" s="251"/>
      <c r="AC641" s="251"/>
      <c r="AD641" s="251"/>
      <c r="AE641" s="251"/>
      <c r="AF641" s="251"/>
      <c r="AG641" s="251"/>
      <c r="AH641" s="251"/>
      <c r="AI641" s="251"/>
      <c r="AJ641" s="251"/>
      <c r="AK641" s="251"/>
      <c r="AL641" s="251"/>
      <c r="AM641" s="251"/>
      <c r="AN641" s="251"/>
      <c r="AO641" s="251"/>
      <c r="AP641" s="251"/>
      <c r="AQ641" s="251"/>
      <c r="AR641" s="251"/>
      <c r="AS641" s="251"/>
    </row>
    <row r="642" spans="1:45" s="44" customFormat="1" x14ac:dyDescent="0.2">
      <c r="A642" s="71"/>
      <c r="B642" s="71"/>
      <c r="C642" s="7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251"/>
      <c r="AE642" s="251"/>
      <c r="AF642" s="251"/>
      <c r="AG642" s="251"/>
      <c r="AH642" s="251"/>
      <c r="AI642" s="251"/>
      <c r="AJ642" s="251"/>
      <c r="AK642" s="251"/>
      <c r="AL642" s="251"/>
      <c r="AM642" s="251"/>
      <c r="AN642" s="251"/>
      <c r="AO642" s="251"/>
      <c r="AP642" s="251"/>
      <c r="AQ642" s="251"/>
      <c r="AR642" s="251"/>
      <c r="AS642" s="251"/>
    </row>
    <row r="643" spans="1:45" s="44" customFormat="1" x14ac:dyDescent="0.2">
      <c r="A643" s="71"/>
      <c r="B643" s="71"/>
      <c r="C643" s="7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1"/>
      <c r="AD643" s="251"/>
      <c r="AE643" s="251"/>
      <c r="AF643" s="251"/>
      <c r="AG643" s="251"/>
      <c r="AH643" s="251"/>
      <c r="AI643" s="251"/>
      <c r="AJ643" s="251"/>
      <c r="AK643" s="251"/>
      <c r="AL643" s="251"/>
      <c r="AM643" s="251"/>
      <c r="AN643" s="251"/>
      <c r="AO643" s="251"/>
      <c r="AP643" s="251"/>
      <c r="AQ643" s="251"/>
      <c r="AR643" s="251"/>
      <c r="AS643" s="251"/>
    </row>
    <row r="644" spans="1:45" s="44" customFormat="1" x14ac:dyDescent="0.2">
      <c r="A644" s="71"/>
      <c r="B644" s="71"/>
      <c r="C644" s="7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c r="AC644" s="251"/>
      <c r="AD644" s="251"/>
      <c r="AE644" s="251"/>
      <c r="AF644" s="251"/>
      <c r="AG644" s="251"/>
      <c r="AH644" s="251"/>
      <c r="AI644" s="251"/>
      <c r="AJ644" s="251"/>
      <c r="AK644" s="251"/>
      <c r="AL644" s="251"/>
      <c r="AM644" s="251"/>
      <c r="AN644" s="251"/>
      <c r="AO644" s="251"/>
      <c r="AP644" s="251"/>
      <c r="AQ644" s="251"/>
      <c r="AR644" s="251"/>
      <c r="AS644" s="251"/>
    </row>
    <row r="645" spans="1:45" s="44" customFormat="1" x14ac:dyDescent="0.2">
      <c r="A645" s="71"/>
      <c r="B645" s="71"/>
      <c r="C645" s="7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251"/>
      <c r="AF645" s="251"/>
      <c r="AG645" s="251"/>
      <c r="AH645" s="251"/>
      <c r="AI645" s="251"/>
      <c r="AJ645" s="251"/>
      <c r="AK645" s="251"/>
      <c r="AL645" s="251"/>
      <c r="AM645" s="251"/>
      <c r="AN645" s="251"/>
      <c r="AO645" s="251"/>
      <c r="AP645" s="251"/>
      <c r="AQ645" s="251"/>
      <c r="AR645" s="251"/>
      <c r="AS645" s="251"/>
    </row>
    <row r="646" spans="1:45" s="44" customFormat="1" x14ac:dyDescent="0.2">
      <c r="A646" s="71"/>
      <c r="B646" s="71"/>
      <c r="C646" s="71"/>
      <c r="D646" s="251"/>
      <c r="E646" s="251"/>
      <c r="F646" s="251"/>
      <c r="G646" s="251"/>
      <c r="H646" s="251"/>
      <c r="I646" s="251"/>
      <c r="J646" s="251"/>
      <c r="K646" s="251"/>
      <c r="L646" s="251"/>
      <c r="M646" s="251"/>
      <c r="N646" s="251"/>
      <c r="O646" s="251"/>
      <c r="P646" s="251"/>
      <c r="Q646" s="251"/>
      <c r="R646" s="251"/>
      <c r="S646" s="251"/>
      <c r="T646" s="251"/>
      <c r="U646" s="251"/>
      <c r="V646" s="251"/>
      <c r="W646" s="251"/>
      <c r="X646" s="251"/>
      <c r="Y646" s="251"/>
      <c r="Z646" s="251"/>
      <c r="AA646" s="251"/>
      <c r="AB646" s="251"/>
      <c r="AC646" s="251"/>
      <c r="AD646" s="251"/>
      <c r="AE646" s="251"/>
      <c r="AF646" s="251"/>
      <c r="AG646" s="251"/>
      <c r="AH646" s="251"/>
      <c r="AI646" s="251"/>
      <c r="AJ646" s="251"/>
      <c r="AK646" s="251"/>
      <c r="AL646" s="251"/>
      <c r="AM646" s="251"/>
      <c r="AN646" s="251"/>
      <c r="AO646" s="251"/>
      <c r="AP646" s="251"/>
      <c r="AQ646" s="251"/>
      <c r="AR646" s="251"/>
      <c r="AS646" s="251"/>
    </row>
    <row r="647" spans="1:45" s="44" customFormat="1" x14ac:dyDescent="0.2">
      <c r="A647" s="71"/>
      <c r="B647" s="71"/>
      <c r="C647" s="71"/>
      <c r="D647" s="251"/>
      <c r="E647" s="251"/>
      <c r="F647" s="251"/>
      <c r="G647" s="251"/>
      <c r="H647" s="251"/>
      <c r="I647" s="251"/>
      <c r="J647" s="251"/>
      <c r="K647" s="251"/>
      <c r="L647" s="251"/>
      <c r="M647" s="251"/>
      <c r="N647" s="251"/>
      <c r="O647" s="251"/>
      <c r="P647" s="251"/>
      <c r="Q647" s="251"/>
      <c r="R647" s="251"/>
      <c r="S647" s="251"/>
      <c r="T647" s="251"/>
      <c r="U647" s="251"/>
      <c r="V647" s="251"/>
      <c r="W647" s="251"/>
      <c r="X647" s="251"/>
      <c r="Y647" s="251"/>
      <c r="Z647" s="251"/>
      <c r="AA647" s="251"/>
      <c r="AB647" s="251"/>
      <c r="AC647" s="251"/>
      <c r="AD647" s="251"/>
      <c r="AE647" s="251"/>
      <c r="AF647" s="251"/>
      <c r="AG647" s="251"/>
      <c r="AH647" s="251"/>
      <c r="AI647" s="251"/>
      <c r="AJ647" s="251"/>
      <c r="AK647" s="251"/>
      <c r="AL647" s="251"/>
      <c r="AM647" s="251"/>
      <c r="AN647" s="251"/>
      <c r="AO647" s="251"/>
      <c r="AP647" s="251"/>
      <c r="AQ647" s="251"/>
      <c r="AR647" s="251"/>
      <c r="AS647" s="251"/>
    </row>
    <row r="648" spans="1:45" s="44" customFormat="1" x14ac:dyDescent="0.2">
      <c r="A648" s="71"/>
      <c r="B648" s="71"/>
      <c r="C648" s="71"/>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c r="AC648" s="251"/>
      <c r="AD648" s="251"/>
      <c r="AE648" s="251"/>
      <c r="AF648" s="251"/>
      <c r="AG648" s="251"/>
      <c r="AH648" s="251"/>
      <c r="AI648" s="251"/>
      <c r="AJ648" s="251"/>
      <c r="AK648" s="251"/>
      <c r="AL648" s="251"/>
      <c r="AM648" s="251"/>
      <c r="AN648" s="251"/>
      <c r="AO648" s="251"/>
      <c r="AP648" s="251"/>
      <c r="AQ648" s="251"/>
      <c r="AR648" s="251"/>
      <c r="AS648" s="251"/>
    </row>
    <row r="649" spans="1:45" s="44" customFormat="1" x14ac:dyDescent="0.2">
      <c r="A649" s="71"/>
      <c r="B649" s="71"/>
      <c r="C649" s="7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251"/>
      <c r="AF649" s="251"/>
      <c r="AG649" s="251"/>
      <c r="AH649" s="251"/>
      <c r="AI649" s="251"/>
      <c r="AJ649" s="251"/>
      <c r="AK649" s="251"/>
      <c r="AL649" s="251"/>
      <c r="AM649" s="251"/>
      <c r="AN649" s="251"/>
      <c r="AO649" s="251"/>
      <c r="AP649" s="251"/>
      <c r="AQ649" s="251"/>
      <c r="AR649" s="251"/>
      <c r="AS649" s="251"/>
    </row>
    <row r="650" spans="1:45" s="44" customFormat="1" x14ac:dyDescent="0.2">
      <c r="A650" s="71"/>
      <c r="B650" s="71"/>
      <c r="C650" s="7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c r="AA650" s="251"/>
      <c r="AB650" s="251"/>
      <c r="AC650" s="251"/>
      <c r="AD650" s="251"/>
      <c r="AE650" s="251"/>
      <c r="AF650" s="251"/>
      <c r="AG650" s="251"/>
      <c r="AH650" s="251"/>
      <c r="AI650" s="251"/>
      <c r="AJ650" s="251"/>
      <c r="AK650" s="251"/>
      <c r="AL650" s="251"/>
      <c r="AM650" s="251"/>
      <c r="AN650" s="251"/>
      <c r="AO650" s="251"/>
      <c r="AP650" s="251"/>
      <c r="AQ650" s="251"/>
      <c r="AR650" s="251"/>
      <c r="AS650" s="251"/>
    </row>
    <row r="651" spans="1:45" s="44" customFormat="1" x14ac:dyDescent="0.2">
      <c r="A651" s="71"/>
      <c r="B651" s="71"/>
      <c r="C651" s="7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1"/>
      <c r="AD651" s="251"/>
      <c r="AE651" s="251"/>
      <c r="AF651" s="251"/>
      <c r="AG651" s="251"/>
      <c r="AH651" s="251"/>
      <c r="AI651" s="251"/>
      <c r="AJ651" s="251"/>
      <c r="AK651" s="251"/>
      <c r="AL651" s="251"/>
      <c r="AM651" s="251"/>
      <c r="AN651" s="251"/>
      <c r="AO651" s="251"/>
      <c r="AP651" s="251"/>
      <c r="AQ651" s="251"/>
      <c r="AR651" s="251"/>
      <c r="AS651" s="251"/>
    </row>
    <row r="652" spans="1:45" s="44" customFormat="1" x14ac:dyDescent="0.2">
      <c r="A652" s="71"/>
      <c r="B652" s="71"/>
      <c r="C652" s="7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251"/>
      <c r="AE652" s="251"/>
      <c r="AF652" s="251"/>
      <c r="AG652" s="251"/>
      <c r="AH652" s="251"/>
      <c r="AI652" s="251"/>
      <c r="AJ652" s="251"/>
      <c r="AK652" s="251"/>
      <c r="AL652" s="251"/>
      <c r="AM652" s="251"/>
      <c r="AN652" s="251"/>
      <c r="AO652" s="251"/>
      <c r="AP652" s="251"/>
      <c r="AQ652" s="251"/>
      <c r="AR652" s="251"/>
      <c r="AS652" s="251"/>
    </row>
    <row r="653" spans="1:45" s="44" customFormat="1" x14ac:dyDescent="0.2">
      <c r="A653" s="71"/>
      <c r="B653" s="71"/>
      <c r="C653" s="7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251"/>
      <c r="AE653" s="251"/>
      <c r="AF653" s="251"/>
      <c r="AG653" s="251"/>
      <c r="AH653" s="251"/>
      <c r="AI653" s="251"/>
      <c r="AJ653" s="251"/>
      <c r="AK653" s="251"/>
      <c r="AL653" s="251"/>
      <c r="AM653" s="251"/>
      <c r="AN653" s="251"/>
      <c r="AO653" s="251"/>
      <c r="AP653" s="251"/>
      <c r="AQ653" s="251"/>
      <c r="AR653" s="251"/>
      <c r="AS653" s="251"/>
    </row>
    <row r="654" spans="1:45" s="44" customFormat="1" x14ac:dyDescent="0.2">
      <c r="A654" s="71"/>
      <c r="B654" s="71"/>
      <c r="C654" s="7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c r="AA654" s="251"/>
      <c r="AB654" s="251"/>
      <c r="AC654" s="251"/>
      <c r="AD654" s="251"/>
      <c r="AE654" s="251"/>
      <c r="AF654" s="251"/>
      <c r="AG654" s="251"/>
      <c r="AH654" s="251"/>
      <c r="AI654" s="251"/>
      <c r="AJ654" s="251"/>
      <c r="AK654" s="251"/>
      <c r="AL654" s="251"/>
      <c r="AM654" s="251"/>
      <c r="AN654" s="251"/>
      <c r="AO654" s="251"/>
      <c r="AP654" s="251"/>
      <c r="AQ654" s="251"/>
      <c r="AR654" s="251"/>
      <c r="AS654" s="251"/>
    </row>
    <row r="655" spans="1:45" s="44" customFormat="1" x14ac:dyDescent="0.2">
      <c r="A655" s="71"/>
      <c r="B655" s="71"/>
      <c r="C655" s="71"/>
      <c r="D655" s="251"/>
      <c r="E655" s="251"/>
      <c r="F655" s="251"/>
      <c r="G655" s="251"/>
      <c r="H655" s="251"/>
      <c r="I655" s="251"/>
      <c r="J655" s="251"/>
      <c r="K655" s="251"/>
      <c r="L655" s="251"/>
      <c r="M655" s="251"/>
      <c r="N655" s="251"/>
      <c r="O655" s="251"/>
      <c r="P655" s="251"/>
      <c r="Q655" s="251"/>
      <c r="R655" s="251"/>
      <c r="S655" s="251"/>
      <c r="T655" s="251"/>
      <c r="U655" s="251"/>
      <c r="V655" s="251"/>
      <c r="W655" s="251"/>
      <c r="X655" s="251"/>
      <c r="Y655" s="251"/>
      <c r="Z655" s="251"/>
      <c r="AA655" s="251"/>
      <c r="AB655" s="251"/>
      <c r="AC655" s="251"/>
      <c r="AD655" s="251"/>
      <c r="AE655" s="251"/>
      <c r="AF655" s="251"/>
      <c r="AG655" s="251"/>
      <c r="AH655" s="251"/>
      <c r="AI655" s="251"/>
      <c r="AJ655" s="251"/>
      <c r="AK655" s="251"/>
      <c r="AL655" s="251"/>
      <c r="AM655" s="251"/>
      <c r="AN655" s="251"/>
      <c r="AO655" s="251"/>
      <c r="AP655" s="251"/>
      <c r="AQ655" s="251"/>
      <c r="AR655" s="251"/>
      <c r="AS655" s="251"/>
    </row>
    <row r="656" spans="1:45" s="44" customFormat="1" x14ac:dyDescent="0.2">
      <c r="A656" s="71"/>
      <c r="B656" s="71"/>
      <c r="C656" s="71"/>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c r="AC656" s="251"/>
      <c r="AD656" s="251"/>
      <c r="AE656" s="251"/>
      <c r="AF656" s="251"/>
      <c r="AG656" s="251"/>
      <c r="AH656" s="251"/>
      <c r="AI656" s="251"/>
      <c r="AJ656" s="251"/>
      <c r="AK656" s="251"/>
      <c r="AL656" s="251"/>
      <c r="AM656" s="251"/>
      <c r="AN656" s="251"/>
      <c r="AO656" s="251"/>
      <c r="AP656" s="251"/>
      <c r="AQ656" s="251"/>
      <c r="AR656" s="251"/>
      <c r="AS656" s="251"/>
    </row>
    <row r="657" spans="1:45" s="44" customFormat="1" x14ac:dyDescent="0.2">
      <c r="A657" s="71"/>
      <c r="B657" s="71"/>
      <c r="C657" s="71"/>
      <c r="D657" s="251"/>
      <c r="E657" s="251"/>
      <c r="F657" s="251"/>
      <c r="G657" s="251"/>
      <c r="H657" s="251"/>
      <c r="I657" s="251"/>
      <c r="J657" s="251"/>
      <c r="K657" s="251"/>
      <c r="L657" s="251"/>
      <c r="M657" s="251"/>
      <c r="N657" s="251"/>
      <c r="O657" s="251"/>
      <c r="P657" s="251"/>
      <c r="Q657" s="251"/>
      <c r="R657" s="251"/>
      <c r="S657" s="251"/>
      <c r="T657" s="251"/>
      <c r="U657" s="251"/>
      <c r="V657" s="251"/>
      <c r="W657" s="251"/>
      <c r="X657" s="251"/>
      <c r="Y657" s="251"/>
      <c r="Z657" s="251"/>
      <c r="AA657" s="251"/>
      <c r="AB657" s="251"/>
      <c r="AC657" s="251"/>
      <c r="AD657" s="251"/>
      <c r="AE657" s="251"/>
      <c r="AF657" s="251"/>
      <c r="AG657" s="251"/>
      <c r="AH657" s="251"/>
      <c r="AI657" s="251"/>
      <c r="AJ657" s="251"/>
      <c r="AK657" s="251"/>
      <c r="AL657" s="251"/>
      <c r="AM657" s="251"/>
      <c r="AN657" s="251"/>
      <c r="AO657" s="251"/>
      <c r="AP657" s="251"/>
      <c r="AQ657" s="251"/>
      <c r="AR657" s="251"/>
      <c r="AS657" s="251"/>
    </row>
    <row r="658" spans="1:45" s="44" customFormat="1" x14ac:dyDescent="0.2">
      <c r="A658" s="71"/>
      <c r="B658" s="71"/>
      <c r="C658" s="71"/>
      <c r="D658" s="251"/>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251"/>
      <c r="AM658" s="251"/>
      <c r="AN658" s="251"/>
      <c r="AO658" s="251"/>
      <c r="AP658" s="251"/>
      <c r="AQ658" s="251"/>
      <c r="AR658" s="251"/>
      <c r="AS658" s="251"/>
    </row>
    <row r="659" spans="1:45" s="44" customFormat="1" x14ac:dyDescent="0.2">
      <c r="A659" s="71"/>
      <c r="B659" s="71"/>
      <c r="C659" s="7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c r="AC659" s="251"/>
      <c r="AD659" s="251"/>
      <c r="AE659" s="251"/>
      <c r="AF659" s="251"/>
      <c r="AG659" s="251"/>
      <c r="AH659" s="251"/>
      <c r="AI659" s="251"/>
      <c r="AJ659" s="251"/>
      <c r="AK659" s="251"/>
      <c r="AL659" s="251"/>
      <c r="AM659" s="251"/>
      <c r="AN659" s="251"/>
      <c r="AO659" s="251"/>
      <c r="AP659" s="251"/>
      <c r="AQ659" s="251"/>
      <c r="AR659" s="251"/>
      <c r="AS659" s="251"/>
    </row>
    <row r="660" spans="1:45" s="44" customFormat="1" x14ac:dyDescent="0.2">
      <c r="A660" s="71"/>
      <c r="B660" s="71"/>
      <c r="C660" s="71"/>
      <c r="D660" s="251"/>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c r="AA660" s="251"/>
      <c r="AB660" s="251"/>
      <c r="AC660" s="251"/>
      <c r="AD660" s="251"/>
      <c r="AE660" s="251"/>
      <c r="AF660" s="251"/>
      <c r="AG660" s="251"/>
      <c r="AH660" s="251"/>
      <c r="AI660" s="251"/>
      <c r="AJ660" s="251"/>
      <c r="AK660" s="251"/>
      <c r="AL660" s="251"/>
      <c r="AM660" s="251"/>
      <c r="AN660" s="251"/>
      <c r="AO660" s="251"/>
      <c r="AP660" s="251"/>
      <c r="AQ660" s="251"/>
      <c r="AR660" s="251"/>
      <c r="AS660" s="251"/>
    </row>
    <row r="661" spans="1:45" s="44" customFormat="1" x14ac:dyDescent="0.2">
      <c r="A661" s="71"/>
      <c r="B661" s="71"/>
      <c r="C661" s="7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251"/>
      <c r="AE661" s="251"/>
      <c r="AF661" s="251"/>
      <c r="AG661" s="251"/>
      <c r="AH661" s="251"/>
      <c r="AI661" s="251"/>
      <c r="AJ661" s="251"/>
      <c r="AK661" s="251"/>
      <c r="AL661" s="251"/>
      <c r="AM661" s="251"/>
      <c r="AN661" s="251"/>
      <c r="AO661" s="251"/>
      <c r="AP661" s="251"/>
      <c r="AQ661" s="251"/>
      <c r="AR661" s="251"/>
      <c r="AS661" s="251"/>
    </row>
    <row r="662" spans="1:45" s="44" customFormat="1" x14ac:dyDescent="0.2">
      <c r="A662" s="71"/>
      <c r="B662" s="71"/>
      <c r="C662" s="7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251"/>
      <c r="AE662" s="251"/>
      <c r="AF662" s="251"/>
      <c r="AG662" s="251"/>
      <c r="AH662" s="251"/>
      <c r="AI662" s="251"/>
      <c r="AJ662" s="251"/>
      <c r="AK662" s="251"/>
      <c r="AL662" s="251"/>
      <c r="AM662" s="251"/>
      <c r="AN662" s="251"/>
      <c r="AO662" s="251"/>
      <c r="AP662" s="251"/>
      <c r="AQ662" s="251"/>
      <c r="AR662" s="251"/>
      <c r="AS662" s="251"/>
    </row>
    <row r="663" spans="1:45" s="44" customFormat="1" x14ac:dyDescent="0.2">
      <c r="A663" s="71"/>
      <c r="B663" s="71"/>
      <c r="C663" s="7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251"/>
      <c r="AF663" s="251"/>
      <c r="AG663" s="251"/>
      <c r="AH663" s="251"/>
      <c r="AI663" s="251"/>
      <c r="AJ663" s="251"/>
      <c r="AK663" s="251"/>
      <c r="AL663" s="251"/>
      <c r="AM663" s="251"/>
      <c r="AN663" s="251"/>
      <c r="AO663" s="251"/>
      <c r="AP663" s="251"/>
      <c r="AQ663" s="251"/>
      <c r="AR663" s="251"/>
      <c r="AS663" s="251"/>
    </row>
    <row r="664" spans="1:45" s="44" customFormat="1" x14ac:dyDescent="0.2">
      <c r="A664" s="71"/>
      <c r="B664" s="71"/>
      <c r="C664" s="7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c r="AC664" s="251"/>
      <c r="AD664" s="251"/>
      <c r="AE664" s="251"/>
      <c r="AF664" s="251"/>
      <c r="AG664" s="251"/>
      <c r="AH664" s="251"/>
      <c r="AI664" s="251"/>
      <c r="AJ664" s="251"/>
      <c r="AK664" s="251"/>
      <c r="AL664" s="251"/>
      <c r="AM664" s="251"/>
      <c r="AN664" s="251"/>
      <c r="AO664" s="251"/>
      <c r="AP664" s="251"/>
      <c r="AQ664" s="251"/>
      <c r="AR664" s="251"/>
      <c r="AS664" s="251"/>
    </row>
    <row r="665" spans="1:45" s="44" customFormat="1" x14ac:dyDescent="0.2">
      <c r="A665" s="71"/>
      <c r="B665" s="71"/>
      <c r="C665" s="7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251"/>
      <c r="AE665" s="251"/>
      <c r="AF665" s="251"/>
      <c r="AG665" s="251"/>
      <c r="AH665" s="251"/>
      <c r="AI665" s="251"/>
      <c r="AJ665" s="251"/>
      <c r="AK665" s="251"/>
      <c r="AL665" s="251"/>
      <c r="AM665" s="251"/>
      <c r="AN665" s="251"/>
      <c r="AO665" s="251"/>
      <c r="AP665" s="251"/>
      <c r="AQ665" s="251"/>
      <c r="AR665" s="251"/>
      <c r="AS665" s="251"/>
    </row>
    <row r="666" spans="1:45" s="44" customFormat="1" x14ac:dyDescent="0.2">
      <c r="A666" s="71"/>
      <c r="B666" s="71"/>
      <c r="C666" s="7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251"/>
      <c r="AE666" s="251"/>
      <c r="AF666" s="251"/>
      <c r="AG666" s="251"/>
      <c r="AH666" s="251"/>
      <c r="AI666" s="251"/>
      <c r="AJ666" s="251"/>
      <c r="AK666" s="251"/>
      <c r="AL666" s="251"/>
      <c r="AM666" s="251"/>
      <c r="AN666" s="251"/>
      <c r="AO666" s="251"/>
      <c r="AP666" s="251"/>
      <c r="AQ666" s="251"/>
      <c r="AR666" s="251"/>
      <c r="AS666" s="251"/>
    </row>
    <row r="667" spans="1:45" s="44" customFormat="1" x14ac:dyDescent="0.2">
      <c r="A667" s="71"/>
      <c r="B667" s="71"/>
      <c r="C667" s="7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251"/>
      <c r="AE667" s="251"/>
      <c r="AF667" s="251"/>
      <c r="AG667" s="251"/>
      <c r="AH667" s="251"/>
      <c r="AI667" s="251"/>
      <c r="AJ667" s="251"/>
      <c r="AK667" s="251"/>
      <c r="AL667" s="251"/>
      <c r="AM667" s="251"/>
      <c r="AN667" s="251"/>
      <c r="AO667" s="251"/>
      <c r="AP667" s="251"/>
      <c r="AQ667" s="251"/>
      <c r="AR667" s="251"/>
      <c r="AS667" s="251"/>
    </row>
    <row r="668" spans="1:45" s="44" customFormat="1" x14ac:dyDescent="0.2">
      <c r="A668" s="71"/>
      <c r="B668" s="71"/>
      <c r="C668" s="7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51"/>
      <c r="AE668" s="251"/>
      <c r="AF668" s="251"/>
      <c r="AG668" s="251"/>
      <c r="AH668" s="251"/>
      <c r="AI668" s="251"/>
      <c r="AJ668" s="251"/>
      <c r="AK668" s="251"/>
      <c r="AL668" s="251"/>
      <c r="AM668" s="251"/>
      <c r="AN668" s="251"/>
      <c r="AO668" s="251"/>
      <c r="AP668" s="251"/>
      <c r="AQ668" s="251"/>
      <c r="AR668" s="251"/>
      <c r="AS668" s="251"/>
    </row>
    <row r="669" spans="1:45" s="44" customFormat="1" x14ac:dyDescent="0.2">
      <c r="A669" s="71"/>
      <c r="B669" s="71"/>
      <c r="C669" s="7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251"/>
      <c r="AE669" s="251"/>
      <c r="AF669" s="251"/>
      <c r="AG669" s="251"/>
      <c r="AH669" s="251"/>
      <c r="AI669" s="251"/>
      <c r="AJ669" s="251"/>
      <c r="AK669" s="251"/>
      <c r="AL669" s="251"/>
      <c r="AM669" s="251"/>
      <c r="AN669" s="251"/>
      <c r="AO669" s="251"/>
      <c r="AP669" s="251"/>
      <c r="AQ669" s="251"/>
      <c r="AR669" s="251"/>
      <c r="AS669" s="251"/>
    </row>
    <row r="670" spans="1:45" s="44" customFormat="1" x14ac:dyDescent="0.2">
      <c r="A670" s="71"/>
      <c r="B670" s="71"/>
      <c r="C670" s="7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251"/>
      <c r="AE670" s="251"/>
      <c r="AF670" s="251"/>
      <c r="AG670" s="251"/>
      <c r="AH670" s="251"/>
      <c r="AI670" s="251"/>
      <c r="AJ670" s="251"/>
      <c r="AK670" s="251"/>
      <c r="AL670" s="251"/>
      <c r="AM670" s="251"/>
      <c r="AN670" s="251"/>
      <c r="AO670" s="251"/>
      <c r="AP670" s="251"/>
      <c r="AQ670" s="251"/>
      <c r="AR670" s="251"/>
      <c r="AS670" s="251"/>
    </row>
    <row r="671" spans="1:45" s="44" customFormat="1" x14ac:dyDescent="0.2">
      <c r="A671" s="71"/>
      <c r="B671" s="71"/>
      <c r="C671" s="7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251"/>
      <c r="AE671" s="251"/>
      <c r="AF671" s="251"/>
      <c r="AG671" s="251"/>
      <c r="AH671" s="251"/>
      <c r="AI671" s="251"/>
      <c r="AJ671" s="251"/>
      <c r="AK671" s="251"/>
      <c r="AL671" s="251"/>
      <c r="AM671" s="251"/>
      <c r="AN671" s="251"/>
      <c r="AO671" s="251"/>
      <c r="AP671" s="251"/>
      <c r="AQ671" s="251"/>
      <c r="AR671" s="251"/>
      <c r="AS671" s="251"/>
    </row>
    <row r="672" spans="1:45" s="44" customFormat="1" x14ac:dyDescent="0.2">
      <c r="A672" s="71"/>
      <c r="B672" s="71"/>
      <c r="C672" s="7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row>
    <row r="673" spans="1:45" s="44" customFormat="1" x14ac:dyDescent="0.2">
      <c r="A673" s="71"/>
      <c r="B673" s="71"/>
      <c r="C673" s="7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s="251"/>
      <c r="AG673" s="251"/>
      <c r="AH673" s="251"/>
      <c r="AI673" s="251"/>
      <c r="AJ673" s="251"/>
      <c r="AK673" s="251"/>
      <c r="AL673" s="251"/>
      <c r="AM673" s="251"/>
      <c r="AN673" s="251"/>
      <c r="AO673" s="251"/>
      <c r="AP673" s="251"/>
      <c r="AQ673" s="251"/>
      <c r="AR673" s="251"/>
      <c r="AS673" s="251"/>
    </row>
    <row r="674" spans="1:45" s="44" customFormat="1" x14ac:dyDescent="0.2">
      <c r="A674" s="71"/>
      <c r="B674" s="71"/>
      <c r="C674" s="7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251"/>
      <c r="AE674" s="251"/>
      <c r="AF674" s="251"/>
      <c r="AG674" s="251"/>
      <c r="AH674" s="251"/>
      <c r="AI674" s="251"/>
      <c r="AJ674" s="251"/>
      <c r="AK674" s="251"/>
      <c r="AL674" s="251"/>
      <c r="AM674" s="251"/>
      <c r="AN674" s="251"/>
      <c r="AO674" s="251"/>
      <c r="AP674" s="251"/>
      <c r="AQ674" s="251"/>
      <c r="AR674" s="251"/>
      <c r="AS674" s="251"/>
    </row>
    <row r="675" spans="1:45" s="44" customFormat="1" x14ac:dyDescent="0.2">
      <c r="A675" s="71"/>
      <c r="B675" s="71"/>
      <c r="C675" s="7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c r="AC675" s="251"/>
      <c r="AD675" s="251"/>
      <c r="AE675" s="251"/>
      <c r="AF675" s="251"/>
      <c r="AG675" s="251"/>
      <c r="AH675" s="251"/>
      <c r="AI675" s="251"/>
      <c r="AJ675" s="251"/>
      <c r="AK675" s="251"/>
      <c r="AL675" s="251"/>
      <c r="AM675" s="251"/>
      <c r="AN675" s="251"/>
      <c r="AO675" s="251"/>
      <c r="AP675" s="251"/>
      <c r="AQ675" s="251"/>
      <c r="AR675" s="251"/>
      <c r="AS675" s="251"/>
    </row>
    <row r="676" spans="1:45" s="44" customFormat="1" x14ac:dyDescent="0.2">
      <c r="A676" s="71"/>
      <c r="B676" s="71"/>
      <c r="C676" s="7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251"/>
      <c r="AE676" s="251"/>
      <c r="AF676" s="251"/>
      <c r="AG676" s="251"/>
      <c r="AH676" s="251"/>
      <c r="AI676" s="251"/>
      <c r="AJ676" s="251"/>
      <c r="AK676" s="251"/>
      <c r="AL676" s="251"/>
      <c r="AM676" s="251"/>
      <c r="AN676" s="251"/>
      <c r="AO676" s="251"/>
      <c r="AP676" s="251"/>
      <c r="AQ676" s="251"/>
      <c r="AR676" s="251"/>
      <c r="AS676" s="251"/>
    </row>
    <row r="677" spans="1:45" s="44" customFormat="1" x14ac:dyDescent="0.2">
      <c r="A677" s="71"/>
      <c r="B677" s="71"/>
      <c r="C677" s="7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251"/>
      <c r="AE677" s="251"/>
      <c r="AF677" s="251"/>
      <c r="AG677" s="251"/>
      <c r="AH677" s="251"/>
      <c r="AI677" s="251"/>
      <c r="AJ677" s="251"/>
      <c r="AK677" s="251"/>
      <c r="AL677" s="251"/>
      <c r="AM677" s="251"/>
      <c r="AN677" s="251"/>
      <c r="AO677" s="251"/>
      <c r="AP677" s="251"/>
      <c r="AQ677" s="251"/>
      <c r="AR677" s="251"/>
      <c r="AS677" s="251"/>
    </row>
    <row r="678" spans="1:45" s="44" customFormat="1" x14ac:dyDescent="0.2">
      <c r="A678" s="71"/>
      <c r="B678" s="71"/>
      <c r="C678" s="7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c r="AC678" s="251"/>
      <c r="AD678" s="251"/>
      <c r="AE678" s="251"/>
      <c r="AF678" s="251"/>
      <c r="AG678" s="251"/>
      <c r="AH678" s="251"/>
      <c r="AI678" s="251"/>
      <c r="AJ678" s="251"/>
      <c r="AK678" s="251"/>
      <c r="AL678" s="251"/>
      <c r="AM678" s="251"/>
      <c r="AN678" s="251"/>
      <c r="AO678" s="251"/>
      <c r="AP678" s="251"/>
      <c r="AQ678" s="251"/>
      <c r="AR678" s="251"/>
      <c r="AS678" s="251"/>
    </row>
    <row r="679" spans="1:45" s="44" customFormat="1" x14ac:dyDescent="0.2">
      <c r="A679" s="71"/>
      <c r="B679" s="71"/>
      <c r="C679" s="7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251"/>
      <c r="AE679" s="251"/>
      <c r="AF679" s="251"/>
      <c r="AG679" s="251"/>
      <c r="AH679" s="251"/>
      <c r="AI679" s="251"/>
      <c r="AJ679" s="251"/>
      <c r="AK679" s="251"/>
      <c r="AL679" s="251"/>
      <c r="AM679" s="251"/>
      <c r="AN679" s="251"/>
      <c r="AO679" s="251"/>
      <c r="AP679" s="251"/>
      <c r="AQ679" s="251"/>
      <c r="AR679" s="251"/>
      <c r="AS679" s="251"/>
    </row>
    <row r="680" spans="1:45" s="44" customFormat="1" x14ac:dyDescent="0.2">
      <c r="A680" s="71"/>
      <c r="B680" s="71"/>
      <c r="C680" s="7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251"/>
      <c r="AE680" s="251"/>
      <c r="AF680" s="251"/>
      <c r="AG680" s="251"/>
      <c r="AH680" s="251"/>
      <c r="AI680" s="251"/>
      <c r="AJ680" s="251"/>
      <c r="AK680" s="251"/>
      <c r="AL680" s="251"/>
      <c r="AM680" s="251"/>
      <c r="AN680" s="251"/>
      <c r="AO680" s="251"/>
      <c r="AP680" s="251"/>
      <c r="AQ680" s="251"/>
      <c r="AR680" s="251"/>
      <c r="AS680" s="251"/>
    </row>
    <row r="681" spans="1:45" s="44" customFormat="1" x14ac:dyDescent="0.2">
      <c r="A681" s="71"/>
      <c r="B681" s="71"/>
      <c r="C681" s="7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c r="AC681" s="251"/>
      <c r="AD681" s="251"/>
      <c r="AE681" s="251"/>
      <c r="AF681" s="251"/>
      <c r="AG681" s="251"/>
      <c r="AH681" s="251"/>
      <c r="AI681" s="251"/>
      <c r="AJ681" s="251"/>
      <c r="AK681" s="251"/>
      <c r="AL681" s="251"/>
      <c r="AM681" s="251"/>
      <c r="AN681" s="251"/>
      <c r="AO681" s="251"/>
      <c r="AP681" s="251"/>
      <c r="AQ681" s="251"/>
      <c r="AR681" s="251"/>
      <c r="AS681" s="251"/>
    </row>
    <row r="682" spans="1:45" s="44" customFormat="1" x14ac:dyDescent="0.2">
      <c r="A682" s="71"/>
      <c r="B682" s="71"/>
      <c r="C682" s="7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251"/>
      <c r="AE682" s="251"/>
      <c r="AF682" s="251"/>
      <c r="AG682" s="251"/>
      <c r="AH682" s="251"/>
      <c r="AI682" s="251"/>
      <c r="AJ682" s="251"/>
      <c r="AK682" s="251"/>
      <c r="AL682" s="251"/>
      <c r="AM682" s="251"/>
      <c r="AN682" s="251"/>
      <c r="AO682" s="251"/>
      <c r="AP682" s="251"/>
      <c r="AQ682" s="251"/>
      <c r="AR682" s="251"/>
      <c r="AS682" s="251"/>
    </row>
    <row r="683" spans="1:45" s="44" customFormat="1" x14ac:dyDescent="0.2">
      <c r="A683" s="71"/>
      <c r="B683" s="71"/>
      <c r="C683" s="7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251"/>
      <c r="AE683" s="251"/>
      <c r="AF683" s="251"/>
      <c r="AG683" s="251"/>
      <c r="AH683" s="251"/>
      <c r="AI683" s="251"/>
      <c r="AJ683" s="251"/>
      <c r="AK683" s="251"/>
      <c r="AL683" s="251"/>
      <c r="AM683" s="251"/>
      <c r="AN683" s="251"/>
      <c r="AO683" s="251"/>
      <c r="AP683" s="251"/>
      <c r="AQ683" s="251"/>
      <c r="AR683" s="251"/>
      <c r="AS683" s="251"/>
    </row>
    <row r="684" spans="1:45" s="44" customFormat="1" x14ac:dyDescent="0.2">
      <c r="A684" s="71"/>
      <c r="B684" s="71"/>
      <c r="C684" s="7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c r="AC684" s="251"/>
      <c r="AD684" s="251"/>
      <c r="AE684" s="251"/>
      <c r="AF684" s="251"/>
      <c r="AG684" s="251"/>
      <c r="AH684" s="251"/>
      <c r="AI684" s="251"/>
      <c r="AJ684" s="251"/>
      <c r="AK684" s="251"/>
      <c r="AL684" s="251"/>
      <c r="AM684" s="251"/>
      <c r="AN684" s="251"/>
      <c r="AO684" s="251"/>
      <c r="AP684" s="251"/>
      <c r="AQ684" s="251"/>
      <c r="AR684" s="251"/>
      <c r="AS684" s="251"/>
    </row>
    <row r="685" spans="1:45" s="44" customFormat="1" x14ac:dyDescent="0.2">
      <c r="A685" s="71"/>
      <c r="B685" s="71"/>
      <c r="C685" s="7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c r="AC685" s="251"/>
      <c r="AD685" s="251"/>
      <c r="AE685" s="251"/>
      <c r="AF685" s="251"/>
      <c r="AG685" s="251"/>
      <c r="AH685" s="251"/>
      <c r="AI685" s="251"/>
      <c r="AJ685" s="251"/>
      <c r="AK685" s="251"/>
      <c r="AL685" s="251"/>
      <c r="AM685" s="251"/>
      <c r="AN685" s="251"/>
      <c r="AO685" s="251"/>
      <c r="AP685" s="251"/>
      <c r="AQ685" s="251"/>
      <c r="AR685" s="251"/>
      <c r="AS685" s="251"/>
    </row>
    <row r="686" spans="1:45" s="44" customFormat="1" x14ac:dyDescent="0.2">
      <c r="A686" s="71"/>
      <c r="B686" s="71"/>
      <c r="C686" s="7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251"/>
      <c r="AF686" s="251"/>
      <c r="AG686" s="251"/>
      <c r="AH686" s="251"/>
      <c r="AI686" s="251"/>
      <c r="AJ686" s="251"/>
      <c r="AK686" s="251"/>
      <c r="AL686" s="251"/>
      <c r="AM686" s="251"/>
      <c r="AN686" s="251"/>
      <c r="AO686" s="251"/>
      <c r="AP686" s="251"/>
      <c r="AQ686" s="251"/>
      <c r="AR686" s="251"/>
      <c r="AS686" s="251"/>
    </row>
    <row r="687" spans="1:45" s="44" customFormat="1" x14ac:dyDescent="0.2">
      <c r="A687" s="71"/>
      <c r="B687" s="71"/>
      <c r="C687" s="7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251"/>
      <c r="AE687" s="251"/>
      <c r="AF687" s="251"/>
      <c r="AG687" s="251"/>
      <c r="AH687" s="251"/>
      <c r="AI687" s="251"/>
      <c r="AJ687" s="251"/>
      <c r="AK687" s="251"/>
      <c r="AL687" s="251"/>
      <c r="AM687" s="251"/>
      <c r="AN687" s="251"/>
      <c r="AO687" s="251"/>
      <c r="AP687" s="251"/>
      <c r="AQ687" s="251"/>
      <c r="AR687" s="251"/>
      <c r="AS687" s="251"/>
    </row>
    <row r="688" spans="1:45" s="44" customFormat="1" x14ac:dyDescent="0.2">
      <c r="A688" s="71"/>
      <c r="B688" s="71"/>
      <c r="C688" s="7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251"/>
      <c r="AE688" s="251"/>
      <c r="AF688" s="251"/>
      <c r="AG688" s="251"/>
      <c r="AH688" s="251"/>
      <c r="AI688" s="251"/>
      <c r="AJ688" s="251"/>
      <c r="AK688" s="251"/>
      <c r="AL688" s="251"/>
      <c r="AM688" s="251"/>
      <c r="AN688" s="251"/>
      <c r="AO688" s="251"/>
      <c r="AP688" s="251"/>
      <c r="AQ688" s="251"/>
      <c r="AR688" s="251"/>
      <c r="AS688" s="251"/>
    </row>
    <row r="689" spans="1:45" s="44" customFormat="1" x14ac:dyDescent="0.2">
      <c r="A689" s="71"/>
      <c r="B689" s="71"/>
      <c r="C689" s="7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251"/>
      <c r="AE689" s="251"/>
      <c r="AF689" s="251"/>
      <c r="AG689" s="251"/>
      <c r="AH689" s="251"/>
      <c r="AI689" s="251"/>
      <c r="AJ689" s="251"/>
      <c r="AK689" s="251"/>
      <c r="AL689" s="251"/>
      <c r="AM689" s="251"/>
      <c r="AN689" s="251"/>
      <c r="AO689" s="251"/>
      <c r="AP689" s="251"/>
      <c r="AQ689" s="251"/>
      <c r="AR689" s="251"/>
      <c r="AS689" s="251"/>
    </row>
    <row r="690" spans="1:45" s="44" customFormat="1" x14ac:dyDescent="0.2">
      <c r="A690" s="71"/>
      <c r="B690" s="71"/>
      <c r="C690" s="7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c r="AA690" s="251"/>
      <c r="AB690" s="251"/>
      <c r="AC690" s="251"/>
      <c r="AD690" s="251"/>
      <c r="AE690" s="251"/>
      <c r="AF690" s="251"/>
      <c r="AG690" s="251"/>
      <c r="AH690" s="251"/>
      <c r="AI690" s="251"/>
      <c r="AJ690" s="251"/>
      <c r="AK690" s="251"/>
      <c r="AL690" s="251"/>
      <c r="AM690" s="251"/>
      <c r="AN690" s="251"/>
      <c r="AO690" s="251"/>
      <c r="AP690" s="251"/>
      <c r="AQ690" s="251"/>
      <c r="AR690" s="251"/>
      <c r="AS690" s="251"/>
    </row>
    <row r="691" spans="1:45" s="44" customFormat="1" x14ac:dyDescent="0.2">
      <c r="A691" s="71"/>
      <c r="B691" s="71"/>
      <c r="C691" s="7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51"/>
      <c r="AE691" s="251"/>
      <c r="AF691" s="251"/>
      <c r="AG691" s="251"/>
      <c r="AH691" s="251"/>
      <c r="AI691" s="251"/>
      <c r="AJ691" s="251"/>
      <c r="AK691" s="251"/>
      <c r="AL691" s="251"/>
      <c r="AM691" s="251"/>
      <c r="AN691" s="251"/>
      <c r="AO691" s="251"/>
      <c r="AP691" s="251"/>
      <c r="AQ691" s="251"/>
      <c r="AR691" s="251"/>
      <c r="AS691" s="251"/>
    </row>
    <row r="692" spans="1:45" s="44" customFormat="1" x14ac:dyDescent="0.2">
      <c r="A692" s="71"/>
      <c r="B692" s="71"/>
      <c r="C692" s="7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51"/>
      <c r="AE692" s="251"/>
      <c r="AF692" s="251"/>
      <c r="AG692" s="251"/>
      <c r="AH692" s="251"/>
      <c r="AI692" s="251"/>
      <c r="AJ692" s="251"/>
      <c r="AK692" s="251"/>
      <c r="AL692" s="251"/>
      <c r="AM692" s="251"/>
      <c r="AN692" s="251"/>
      <c r="AO692" s="251"/>
      <c r="AP692" s="251"/>
      <c r="AQ692" s="251"/>
      <c r="AR692" s="251"/>
      <c r="AS692" s="251"/>
    </row>
    <row r="693" spans="1:45" s="44" customFormat="1" x14ac:dyDescent="0.2">
      <c r="A693" s="71"/>
      <c r="B693" s="71"/>
      <c r="C693" s="7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c r="AA693" s="251"/>
      <c r="AB693" s="251"/>
      <c r="AC693" s="251"/>
      <c r="AD693" s="251"/>
      <c r="AE693" s="251"/>
      <c r="AF693" s="251"/>
      <c r="AG693" s="251"/>
      <c r="AH693" s="251"/>
      <c r="AI693" s="251"/>
      <c r="AJ693" s="251"/>
      <c r="AK693" s="251"/>
      <c r="AL693" s="251"/>
      <c r="AM693" s="251"/>
      <c r="AN693" s="251"/>
      <c r="AO693" s="251"/>
      <c r="AP693" s="251"/>
      <c r="AQ693" s="251"/>
      <c r="AR693" s="251"/>
      <c r="AS693" s="251"/>
    </row>
    <row r="694" spans="1:45" s="44" customFormat="1" x14ac:dyDescent="0.2">
      <c r="A694" s="71"/>
      <c r="B694" s="71"/>
      <c r="C694" s="7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c r="AC694" s="251"/>
      <c r="AD694" s="251"/>
      <c r="AE694" s="251"/>
      <c r="AF694" s="251"/>
      <c r="AG694" s="251"/>
      <c r="AH694" s="251"/>
      <c r="AI694" s="251"/>
      <c r="AJ694" s="251"/>
      <c r="AK694" s="251"/>
      <c r="AL694" s="251"/>
      <c r="AM694" s="251"/>
      <c r="AN694" s="251"/>
      <c r="AO694" s="251"/>
      <c r="AP694" s="251"/>
      <c r="AQ694" s="251"/>
      <c r="AR694" s="251"/>
      <c r="AS694" s="251"/>
    </row>
    <row r="695" spans="1:45" s="44" customFormat="1" x14ac:dyDescent="0.2">
      <c r="A695" s="71"/>
      <c r="B695" s="71"/>
      <c r="C695" s="7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c r="AC695" s="251"/>
      <c r="AD695" s="251"/>
      <c r="AE695" s="251"/>
      <c r="AF695" s="251"/>
      <c r="AG695" s="251"/>
      <c r="AH695" s="251"/>
      <c r="AI695" s="251"/>
      <c r="AJ695" s="251"/>
      <c r="AK695" s="251"/>
      <c r="AL695" s="251"/>
      <c r="AM695" s="251"/>
      <c r="AN695" s="251"/>
      <c r="AO695" s="251"/>
      <c r="AP695" s="251"/>
      <c r="AQ695" s="251"/>
      <c r="AR695" s="251"/>
      <c r="AS695" s="251"/>
    </row>
    <row r="696" spans="1:45" s="44" customFormat="1" x14ac:dyDescent="0.2">
      <c r="A696" s="71"/>
      <c r="B696" s="71"/>
      <c r="C696" s="7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251"/>
      <c r="AF696" s="251"/>
      <c r="AG696" s="251"/>
      <c r="AH696" s="251"/>
      <c r="AI696" s="251"/>
      <c r="AJ696" s="251"/>
      <c r="AK696" s="251"/>
      <c r="AL696" s="251"/>
      <c r="AM696" s="251"/>
      <c r="AN696" s="251"/>
      <c r="AO696" s="251"/>
      <c r="AP696" s="251"/>
      <c r="AQ696" s="251"/>
      <c r="AR696" s="251"/>
      <c r="AS696" s="251"/>
    </row>
    <row r="697" spans="1:45" s="44" customFormat="1" x14ac:dyDescent="0.2">
      <c r="A697" s="71"/>
      <c r="B697" s="71"/>
      <c r="C697" s="7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251"/>
      <c r="AE697" s="251"/>
      <c r="AF697" s="251"/>
      <c r="AG697" s="251"/>
      <c r="AH697" s="251"/>
      <c r="AI697" s="251"/>
      <c r="AJ697" s="251"/>
      <c r="AK697" s="251"/>
      <c r="AL697" s="251"/>
      <c r="AM697" s="251"/>
      <c r="AN697" s="251"/>
      <c r="AO697" s="251"/>
      <c r="AP697" s="251"/>
      <c r="AQ697" s="251"/>
      <c r="AR697" s="251"/>
      <c r="AS697" s="251"/>
    </row>
    <row r="698" spans="1:45" s="44" customFormat="1" x14ac:dyDescent="0.2">
      <c r="A698" s="71"/>
      <c r="B698" s="71"/>
      <c r="C698" s="7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251"/>
      <c r="AE698" s="251"/>
      <c r="AF698" s="251"/>
      <c r="AG698" s="251"/>
      <c r="AH698" s="251"/>
      <c r="AI698" s="251"/>
      <c r="AJ698" s="251"/>
      <c r="AK698" s="251"/>
      <c r="AL698" s="251"/>
      <c r="AM698" s="251"/>
      <c r="AN698" s="251"/>
      <c r="AO698" s="251"/>
      <c r="AP698" s="251"/>
      <c r="AQ698" s="251"/>
      <c r="AR698" s="251"/>
      <c r="AS698" s="251"/>
    </row>
    <row r="699" spans="1:45" s="44" customFormat="1" x14ac:dyDescent="0.2">
      <c r="A699" s="71"/>
      <c r="B699" s="71"/>
      <c r="C699" s="7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251"/>
      <c r="AF699" s="251"/>
      <c r="AG699" s="251"/>
      <c r="AH699" s="251"/>
      <c r="AI699" s="251"/>
      <c r="AJ699" s="251"/>
      <c r="AK699" s="251"/>
      <c r="AL699" s="251"/>
      <c r="AM699" s="251"/>
      <c r="AN699" s="251"/>
      <c r="AO699" s="251"/>
      <c r="AP699" s="251"/>
      <c r="AQ699" s="251"/>
      <c r="AR699" s="251"/>
      <c r="AS699" s="251"/>
    </row>
    <row r="700" spans="1:45" s="44" customFormat="1" x14ac:dyDescent="0.2">
      <c r="A700" s="71"/>
      <c r="B700" s="71"/>
      <c r="C700" s="7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251"/>
      <c r="Z700" s="251"/>
      <c r="AA700" s="251"/>
      <c r="AB700" s="251"/>
      <c r="AC700" s="251"/>
      <c r="AD700" s="251"/>
      <c r="AE700" s="251"/>
      <c r="AF700" s="251"/>
      <c r="AG700" s="251"/>
      <c r="AH700" s="251"/>
      <c r="AI700" s="251"/>
      <c r="AJ700" s="251"/>
      <c r="AK700" s="251"/>
      <c r="AL700" s="251"/>
      <c r="AM700" s="251"/>
      <c r="AN700" s="251"/>
      <c r="AO700" s="251"/>
      <c r="AP700" s="251"/>
      <c r="AQ700" s="251"/>
      <c r="AR700" s="251"/>
      <c r="AS700" s="251"/>
    </row>
    <row r="701" spans="1:45" s="44" customFormat="1" x14ac:dyDescent="0.2">
      <c r="A701" s="71"/>
      <c r="B701" s="71"/>
      <c r="C701" s="71"/>
      <c r="D701" s="251"/>
      <c r="E701" s="251"/>
      <c r="F701" s="251"/>
      <c r="G701" s="251"/>
      <c r="H701" s="251"/>
      <c r="I701" s="251"/>
      <c r="J701" s="251"/>
      <c r="K701" s="251"/>
      <c r="L701" s="251"/>
      <c r="M701" s="251"/>
      <c r="N701" s="251"/>
      <c r="O701" s="251"/>
      <c r="P701" s="251"/>
      <c r="Q701" s="251"/>
      <c r="R701" s="251"/>
      <c r="S701" s="251"/>
      <c r="T701" s="251"/>
      <c r="U701" s="251"/>
      <c r="V701" s="251"/>
      <c r="W701" s="251"/>
      <c r="X701" s="251"/>
      <c r="Y701" s="251"/>
      <c r="Z701" s="251"/>
      <c r="AA701" s="251"/>
      <c r="AB701" s="251"/>
      <c r="AC701" s="251"/>
      <c r="AD701" s="251"/>
      <c r="AE701" s="251"/>
      <c r="AF701" s="251"/>
      <c r="AG701" s="251"/>
      <c r="AH701" s="251"/>
      <c r="AI701" s="251"/>
      <c r="AJ701" s="251"/>
      <c r="AK701" s="251"/>
      <c r="AL701" s="251"/>
      <c r="AM701" s="251"/>
      <c r="AN701" s="251"/>
      <c r="AO701" s="251"/>
      <c r="AP701" s="251"/>
      <c r="AQ701" s="251"/>
      <c r="AR701" s="251"/>
      <c r="AS701" s="251"/>
    </row>
    <row r="702" spans="1:45" s="44" customFormat="1" x14ac:dyDescent="0.2">
      <c r="A702" s="71"/>
      <c r="B702" s="71"/>
      <c r="C702" s="7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c r="AA702" s="251"/>
      <c r="AB702" s="251"/>
      <c r="AC702" s="251"/>
      <c r="AD702" s="251"/>
      <c r="AE702" s="251"/>
      <c r="AF702" s="251"/>
      <c r="AG702" s="251"/>
      <c r="AH702" s="251"/>
      <c r="AI702" s="251"/>
      <c r="AJ702" s="251"/>
      <c r="AK702" s="251"/>
      <c r="AL702" s="251"/>
      <c r="AM702" s="251"/>
      <c r="AN702" s="251"/>
      <c r="AO702" s="251"/>
      <c r="AP702" s="251"/>
      <c r="AQ702" s="251"/>
      <c r="AR702" s="251"/>
      <c r="AS702" s="251"/>
    </row>
    <row r="703" spans="1:45" s="44" customFormat="1" x14ac:dyDescent="0.2">
      <c r="A703" s="71"/>
      <c r="B703" s="71"/>
      <c r="C703" s="7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c r="AA703" s="251"/>
      <c r="AB703" s="251"/>
      <c r="AC703" s="251"/>
      <c r="AD703" s="251"/>
      <c r="AE703" s="251"/>
      <c r="AF703" s="251"/>
      <c r="AG703" s="251"/>
      <c r="AH703" s="251"/>
      <c r="AI703" s="251"/>
      <c r="AJ703" s="251"/>
      <c r="AK703" s="251"/>
      <c r="AL703" s="251"/>
      <c r="AM703" s="251"/>
      <c r="AN703" s="251"/>
      <c r="AO703" s="251"/>
      <c r="AP703" s="251"/>
      <c r="AQ703" s="251"/>
      <c r="AR703" s="251"/>
      <c r="AS703" s="251"/>
    </row>
    <row r="704" spans="1:45" s="44" customFormat="1" x14ac:dyDescent="0.2">
      <c r="A704" s="71"/>
      <c r="B704" s="71"/>
      <c r="C704" s="71"/>
      <c r="D704" s="251"/>
      <c r="E704" s="251"/>
      <c r="F704" s="251"/>
      <c r="G704" s="251"/>
      <c r="H704" s="251"/>
      <c r="I704" s="251"/>
      <c r="J704" s="251"/>
      <c r="K704" s="251"/>
      <c r="L704" s="251"/>
      <c r="M704" s="251"/>
      <c r="N704" s="251"/>
      <c r="O704" s="251"/>
      <c r="P704" s="251"/>
      <c r="Q704" s="251"/>
      <c r="R704" s="251"/>
      <c r="S704" s="251"/>
      <c r="T704" s="251"/>
      <c r="U704" s="251"/>
      <c r="V704" s="251"/>
      <c r="W704" s="251"/>
      <c r="X704" s="251"/>
      <c r="Y704" s="251"/>
      <c r="Z704" s="251"/>
      <c r="AA704" s="251"/>
      <c r="AB704" s="251"/>
      <c r="AC704" s="251"/>
      <c r="AD704" s="251"/>
      <c r="AE704" s="251"/>
      <c r="AF704" s="251"/>
      <c r="AG704" s="251"/>
      <c r="AH704" s="251"/>
      <c r="AI704" s="251"/>
      <c r="AJ704" s="251"/>
      <c r="AK704" s="251"/>
      <c r="AL704" s="251"/>
      <c r="AM704" s="251"/>
      <c r="AN704" s="251"/>
      <c r="AO704" s="251"/>
      <c r="AP704" s="251"/>
      <c r="AQ704" s="251"/>
      <c r="AR704" s="251"/>
      <c r="AS704" s="251"/>
    </row>
    <row r="705" spans="1:45" s="44" customFormat="1" x14ac:dyDescent="0.2">
      <c r="A705" s="71"/>
      <c r="B705" s="71"/>
      <c r="C705" s="7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c r="AA705" s="251"/>
      <c r="AB705" s="251"/>
      <c r="AC705" s="251"/>
      <c r="AD705" s="251"/>
      <c r="AE705" s="251"/>
      <c r="AF705" s="251"/>
      <c r="AG705" s="251"/>
      <c r="AH705" s="251"/>
      <c r="AI705" s="251"/>
      <c r="AJ705" s="251"/>
      <c r="AK705" s="251"/>
      <c r="AL705" s="251"/>
      <c r="AM705" s="251"/>
      <c r="AN705" s="251"/>
      <c r="AO705" s="251"/>
      <c r="AP705" s="251"/>
      <c r="AQ705" s="251"/>
      <c r="AR705" s="251"/>
      <c r="AS705" s="251"/>
    </row>
    <row r="706" spans="1:45" s="44" customFormat="1" x14ac:dyDescent="0.2">
      <c r="A706" s="71"/>
      <c r="B706" s="71"/>
      <c r="C706" s="7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251"/>
      <c r="AE706" s="251"/>
      <c r="AF706" s="251"/>
      <c r="AG706" s="251"/>
      <c r="AH706" s="251"/>
      <c r="AI706" s="251"/>
      <c r="AJ706" s="251"/>
      <c r="AK706" s="251"/>
      <c r="AL706" s="251"/>
      <c r="AM706" s="251"/>
      <c r="AN706" s="251"/>
      <c r="AO706" s="251"/>
      <c r="AP706" s="251"/>
      <c r="AQ706" s="251"/>
      <c r="AR706" s="251"/>
      <c r="AS706" s="251"/>
    </row>
    <row r="707" spans="1:45" s="44" customFormat="1" x14ac:dyDescent="0.2">
      <c r="A707" s="71"/>
      <c r="B707" s="71"/>
      <c r="C707" s="7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c r="AA707" s="251"/>
      <c r="AB707" s="251"/>
      <c r="AC707" s="251"/>
      <c r="AD707" s="251"/>
      <c r="AE707" s="251"/>
      <c r="AF707" s="251"/>
      <c r="AG707" s="251"/>
      <c r="AH707" s="251"/>
      <c r="AI707" s="251"/>
      <c r="AJ707" s="251"/>
      <c r="AK707" s="251"/>
      <c r="AL707" s="251"/>
      <c r="AM707" s="251"/>
      <c r="AN707" s="251"/>
      <c r="AO707" s="251"/>
      <c r="AP707" s="251"/>
      <c r="AQ707" s="251"/>
      <c r="AR707" s="251"/>
      <c r="AS707" s="251"/>
    </row>
    <row r="708" spans="1:45" s="44" customFormat="1" x14ac:dyDescent="0.2">
      <c r="A708" s="71"/>
      <c r="B708" s="71"/>
      <c r="C708" s="7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251"/>
      <c r="AE708" s="251"/>
      <c r="AF708" s="251"/>
      <c r="AG708" s="251"/>
      <c r="AH708" s="251"/>
      <c r="AI708" s="251"/>
      <c r="AJ708" s="251"/>
      <c r="AK708" s="251"/>
      <c r="AL708" s="251"/>
      <c r="AM708" s="251"/>
      <c r="AN708" s="251"/>
      <c r="AO708" s="251"/>
      <c r="AP708" s="251"/>
      <c r="AQ708" s="251"/>
      <c r="AR708" s="251"/>
      <c r="AS708" s="251"/>
    </row>
    <row r="709" spans="1:45" s="44" customFormat="1" x14ac:dyDescent="0.2">
      <c r="A709" s="71"/>
      <c r="B709" s="71"/>
      <c r="C709" s="7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251"/>
      <c r="AE709" s="251"/>
      <c r="AF709" s="251"/>
      <c r="AG709" s="251"/>
      <c r="AH709" s="251"/>
      <c r="AI709" s="251"/>
      <c r="AJ709" s="251"/>
      <c r="AK709" s="251"/>
      <c r="AL709" s="251"/>
      <c r="AM709" s="251"/>
      <c r="AN709" s="251"/>
      <c r="AO709" s="251"/>
      <c r="AP709" s="251"/>
      <c r="AQ709" s="251"/>
      <c r="AR709" s="251"/>
      <c r="AS709" s="251"/>
    </row>
    <row r="710" spans="1:45" s="44" customFormat="1" x14ac:dyDescent="0.2">
      <c r="A710" s="71"/>
      <c r="B710" s="71"/>
      <c r="C710" s="7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c r="AA710" s="251"/>
      <c r="AB710" s="251"/>
      <c r="AC710" s="251"/>
      <c r="AD710" s="251"/>
      <c r="AE710" s="251"/>
      <c r="AF710" s="251"/>
      <c r="AG710" s="251"/>
      <c r="AH710" s="251"/>
      <c r="AI710" s="251"/>
      <c r="AJ710" s="251"/>
      <c r="AK710" s="251"/>
      <c r="AL710" s="251"/>
      <c r="AM710" s="251"/>
      <c r="AN710" s="251"/>
      <c r="AO710" s="251"/>
      <c r="AP710" s="251"/>
      <c r="AQ710" s="251"/>
      <c r="AR710" s="251"/>
      <c r="AS710" s="251"/>
    </row>
    <row r="711" spans="1:45" s="44" customFormat="1" x14ac:dyDescent="0.2">
      <c r="A711" s="71"/>
      <c r="B711" s="71"/>
      <c r="C711" s="7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251"/>
      <c r="AE711" s="251"/>
      <c r="AF711" s="251"/>
      <c r="AG711" s="251"/>
      <c r="AH711" s="251"/>
      <c r="AI711" s="251"/>
      <c r="AJ711" s="251"/>
      <c r="AK711" s="251"/>
      <c r="AL711" s="251"/>
      <c r="AM711" s="251"/>
      <c r="AN711" s="251"/>
      <c r="AO711" s="251"/>
      <c r="AP711" s="251"/>
      <c r="AQ711" s="251"/>
      <c r="AR711" s="251"/>
      <c r="AS711" s="251"/>
    </row>
    <row r="712" spans="1:45" s="44" customFormat="1" x14ac:dyDescent="0.2">
      <c r="A712" s="71"/>
      <c r="B712" s="71"/>
      <c r="C712" s="7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251"/>
      <c r="AF712" s="251"/>
      <c r="AG712" s="251"/>
      <c r="AH712" s="251"/>
      <c r="AI712" s="251"/>
      <c r="AJ712" s="251"/>
      <c r="AK712" s="251"/>
      <c r="AL712" s="251"/>
      <c r="AM712" s="251"/>
      <c r="AN712" s="251"/>
      <c r="AO712" s="251"/>
      <c r="AP712" s="251"/>
      <c r="AQ712" s="251"/>
      <c r="AR712" s="251"/>
      <c r="AS712" s="251"/>
    </row>
    <row r="713" spans="1:45" s="44" customFormat="1" x14ac:dyDescent="0.2">
      <c r="A713" s="71"/>
      <c r="B713" s="71"/>
      <c r="C713" s="7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251"/>
      <c r="AE713" s="251"/>
      <c r="AF713" s="251"/>
      <c r="AG713" s="251"/>
      <c r="AH713" s="251"/>
      <c r="AI713" s="251"/>
      <c r="AJ713" s="251"/>
      <c r="AK713" s="251"/>
      <c r="AL713" s="251"/>
      <c r="AM713" s="251"/>
      <c r="AN713" s="251"/>
      <c r="AO713" s="251"/>
      <c r="AP713" s="251"/>
      <c r="AQ713" s="251"/>
      <c r="AR713" s="251"/>
      <c r="AS713" s="251"/>
    </row>
    <row r="714" spans="1:45" s="44" customFormat="1" x14ac:dyDescent="0.2">
      <c r="A714" s="71"/>
      <c r="B714" s="71"/>
      <c r="C714" s="7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c r="AA714" s="251"/>
      <c r="AB714" s="251"/>
      <c r="AC714" s="251"/>
      <c r="AD714" s="251"/>
      <c r="AE714" s="251"/>
      <c r="AF714" s="251"/>
      <c r="AG714" s="251"/>
      <c r="AH714" s="251"/>
      <c r="AI714" s="251"/>
      <c r="AJ714" s="251"/>
      <c r="AK714" s="251"/>
      <c r="AL714" s="251"/>
      <c r="AM714" s="251"/>
      <c r="AN714" s="251"/>
      <c r="AO714" s="251"/>
      <c r="AP714" s="251"/>
      <c r="AQ714" s="251"/>
      <c r="AR714" s="251"/>
      <c r="AS714" s="251"/>
    </row>
    <row r="715" spans="1:45" s="44" customFormat="1" x14ac:dyDescent="0.2">
      <c r="A715" s="71"/>
      <c r="B715" s="71"/>
      <c r="C715" s="7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251"/>
      <c r="AF715" s="251"/>
      <c r="AG715" s="251"/>
      <c r="AH715" s="251"/>
      <c r="AI715" s="251"/>
      <c r="AJ715" s="251"/>
      <c r="AK715" s="251"/>
      <c r="AL715" s="251"/>
      <c r="AM715" s="251"/>
      <c r="AN715" s="251"/>
      <c r="AO715" s="251"/>
      <c r="AP715" s="251"/>
      <c r="AQ715" s="251"/>
      <c r="AR715" s="251"/>
      <c r="AS715" s="251"/>
    </row>
    <row r="716" spans="1:45" s="44" customFormat="1" x14ac:dyDescent="0.2">
      <c r="A716" s="71"/>
      <c r="B716" s="71"/>
      <c r="C716" s="7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251"/>
      <c r="AE716" s="251"/>
      <c r="AF716" s="251"/>
      <c r="AG716" s="251"/>
      <c r="AH716" s="251"/>
      <c r="AI716" s="251"/>
      <c r="AJ716" s="251"/>
      <c r="AK716" s="251"/>
      <c r="AL716" s="251"/>
      <c r="AM716" s="251"/>
      <c r="AN716" s="251"/>
      <c r="AO716" s="251"/>
      <c r="AP716" s="251"/>
      <c r="AQ716" s="251"/>
      <c r="AR716" s="251"/>
      <c r="AS716" s="251"/>
    </row>
    <row r="717" spans="1:45" s="44" customFormat="1" x14ac:dyDescent="0.2">
      <c r="A717" s="71"/>
      <c r="B717" s="71"/>
      <c r="C717" s="7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s="251"/>
      <c r="AG717" s="251"/>
      <c r="AH717" s="251"/>
      <c r="AI717" s="251"/>
      <c r="AJ717" s="251"/>
      <c r="AK717" s="251"/>
      <c r="AL717" s="251"/>
      <c r="AM717" s="251"/>
      <c r="AN717" s="251"/>
      <c r="AO717" s="251"/>
      <c r="AP717" s="251"/>
      <c r="AQ717" s="251"/>
      <c r="AR717" s="251"/>
      <c r="AS717" s="251"/>
    </row>
    <row r="718" spans="1:45" s="44" customFormat="1" x14ac:dyDescent="0.2">
      <c r="A718" s="71"/>
      <c r="B718" s="71"/>
      <c r="C718" s="7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251"/>
      <c r="AE718" s="251"/>
      <c r="AF718" s="251"/>
      <c r="AG718" s="251"/>
      <c r="AH718" s="251"/>
      <c r="AI718" s="251"/>
      <c r="AJ718" s="251"/>
      <c r="AK718" s="251"/>
      <c r="AL718" s="251"/>
      <c r="AM718" s="251"/>
      <c r="AN718" s="251"/>
      <c r="AO718" s="251"/>
      <c r="AP718" s="251"/>
      <c r="AQ718" s="251"/>
      <c r="AR718" s="251"/>
      <c r="AS718" s="251"/>
    </row>
    <row r="719" spans="1:45" s="44" customFormat="1" x14ac:dyDescent="0.2">
      <c r="A719" s="71"/>
      <c r="B719" s="71"/>
      <c r="C719" s="7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251"/>
      <c r="AE719" s="251"/>
      <c r="AF719" s="251"/>
      <c r="AG719" s="251"/>
      <c r="AH719" s="251"/>
      <c r="AI719" s="251"/>
      <c r="AJ719" s="251"/>
      <c r="AK719" s="251"/>
      <c r="AL719" s="251"/>
      <c r="AM719" s="251"/>
      <c r="AN719" s="251"/>
      <c r="AO719" s="251"/>
      <c r="AP719" s="251"/>
      <c r="AQ719" s="251"/>
      <c r="AR719" s="251"/>
      <c r="AS719" s="251"/>
    </row>
    <row r="720" spans="1:45" s="44" customFormat="1" x14ac:dyDescent="0.2">
      <c r="A720" s="71"/>
      <c r="B720" s="71"/>
      <c r="C720" s="7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c r="AC720" s="251"/>
      <c r="AD720" s="251"/>
      <c r="AE720" s="251"/>
      <c r="AF720" s="251"/>
      <c r="AG720" s="251"/>
      <c r="AH720" s="251"/>
      <c r="AI720" s="251"/>
      <c r="AJ720" s="251"/>
      <c r="AK720" s="251"/>
      <c r="AL720" s="251"/>
      <c r="AM720" s="251"/>
      <c r="AN720" s="251"/>
      <c r="AO720" s="251"/>
      <c r="AP720" s="251"/>
      <c r="AQ720" s="251"/>
      <c r="AR720" s="251"/>
      <c r="AS720" s="251"/>
    </row>
    <row r="721" spans="1:45" s="44" customFormat="1" x14ac:dyDescent="0.2">
      <c r="A721" s="71"/>
      <c r="B721" s="71"/>
      <c r="C721" s="7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c r="AC721" s="251"/>
      <c r="AD721" s="251"/>
      <c r="AE721" s="251"/>
      <c r="AF721" s="251"/>
      <c r="AG721" s="251"/>
      <c r="AH721" s="251"/>
      <c r="AI721" s="251"/>
      <c r="AJ721" s="251"/>
      <c r="AK721" s="251"/>
      <c r="AL721" s="251"/>
      <c r="AM721" s="251"/>
      <c r="AN721" s="251"/>
      <c r="AO721" s="251"/>
      <c r="AP721" s="251"/>
      <c r="AQ721" s="251"/>
      <c r="AR721" s="251"/>
      <c r="AS721" s="251"/>
    </row>
    <row r="722" spans="1:45" s="44" customFormat="1" x14ac:dyDescent="0.2">
      <c r="A722" s="71"/>
      <c r="B722" s="71"/>
      <c r="C722" s="7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251"/>
      <c r="AF722" s="251"/>
      <c r="AG722" s="251"/>
      <c r="AH722" s="251"/>
      <c r="AI722" s="251"/>
      <c r="AJ722" s="251"/>
      <c r="AK722" s="251"/>
      <c r="AL722" s="251"/>
      <c r="AM722" s="251"/>
      <c r="AN722" s="251"/>
      <c r="AO722" s="251"/>
      <c r="AP722" s="251"/>
      <c r="AQ722" s="251"/>
      <c r="AR722" s="251"/>
      <c r="AS722" s="251"/>
    </row>
    <row r="723" spans="1:45" s="44" customFormat="1" x14ac:dyDescent="0.2">
      <c r="A723" s="71"/>
      <c r="B723" s="71"/>
      <c r="C723" s="7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c r="AC723" s="251"/>
      <c r="AD723" s="251"/>
      <c r="AE723" s="251"/>
      <c r="AF723" s="251"/>
      <c r="AG723" s="251"/>
      <c r="AH723" s="251"/>
      <c r="AI723" s="251"/>
      <c r="AJ723" s="251"/>
      <c r="AK723" s="251"/>
      <c r="AL723" s="251"/>
      <c r="AM723" s="251"/>
      <c r="AN723" s="251"/>
      <c r="AO723" s="251"/>
      <c r="AP723" s="251"/>
      <c r="AQ723" s="251"/>
      <c r="AR723" s="251"/>
      <c r="AS723" s="251"/>
    </row>
    <row r="724" spans="1:45" s="44" customFormat="1" x14ac:dyDescent="0.2">
      <c r="A724" s="71"/>
      <c r="B724" s="71"/>
      <c r="C724" s="7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c r="AA724" s="251"/>
      <c r="AB724" s="251"/>
      <c r="AC724" s="251"/>
      <c r="AD724" s="251"/>
      <c r="AE724" s="251"/>
      <c r="AF724" s="251"/>
      <c r="AG724" s="251"/>
      <c r="AH724" s="251"/>
      <c r="AI724" s="251"/>
      <c r="AJ724" s="251"/>
      <c r="AK724" s="251"/>
      <c r="AL724" s="251"/>
      <c r="AM724" s="251"/>
      <c r="AN724" s="251"/>
      <c r="AO724" s="251"/>
      <c r="AP724" s="251"/>
      <c r="AQ724" s="251"/>
      <c r="AR724" s="251"/>
      <c r="AS724" s="251"/>
    </row>
    <row r="725" spans="1:45" s="44" customFormat="1" x14ac:dyDescent="0.2">
      <c r="A725" s="71"/>
      <c r="B725" s="71"/>
      <c r="C725" s="7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251"/>
      <c r="AF725" s="251"/>
      <c r="AG725" s="251"/>
      <c r="AH725" s="251"/>
      <c r="AI725" s="251"/>
      <c r="AJ725" s="251"/>
      <c r="AK725" s="251"/>
      <c r="AL725" s="251"/>
      <c r="AM725" s="251"/>
      <c r="AN725" s="251"/>
      <c r="AO725" s="251"/>
      <c r="AP725" s="251"/>
      <c r="AQ725" s="251"/>
      <c r="AR725" s="251"/>
      <c r="AS725" s="251"/>
    </row>
    <row r="726" spans="1:45" s="44" customFormat="1" x14ac:dyDescent="0.2">
      <c r="A726" s="71"/>
      <c r="B726" s="71"/>
      <c r="C726" s="71"/>
      <c r="D726" s="251"/>
      <c r="E726" s="251"/>
      <c r="F726" s="251"/>
      <c r="G726" s="251"/>
      <c r="H726" s="251"/>
      <c r="I726" s="251"/>
      <c r="J726" s="251"/>
      <c r="K726" s="251"/>
      <c r="L726" s="251"/>
      <c r="M726" s="251"/>
      <c r="N726" s="251"/>
      <c r="O726" s="251"/>
      <c r="P726" s="251"/>
      <c r="Q726" s="251"/>
      <c r="R726" s="251"/>
      <c r="S726" s="251"/>
      <c r="T726" s="251"/>
      <c r="U726" s="251"/>
      <c r="V726" s="251"/>
      <c r="W726" s="251"/>
      <c r="X726" s="251"/>
      <c r="Y726" s="251"/>
      <c r="Z726" s="251"/>
      <c r="AA726" s="251"/>
      <c r="AB726" s="251"/>
      <c r="AC726" s="251"/>
      <c r="AD726" s="251"/>
      <c r="AE726" s="251"/>
      <c r="AF726" s="251"/>
      <c r="AG726" s="251"/>
      <c r="AH726" s="251"/>
      <c r="AI726" s="251"/>
      <c r="AJ726" s="251"/>
      <c r="AK726" s="251"/>
      <c r="AL726" s="251"/>
      <c r="AM726" s="251"/>
      <c r="AN726" s="251"/>
      <c r="AO726" s="251"/>
      <c r="AP726" s="251"/>
      <c r="AQ726" s="251"/>
      <c r="AR726" s="251"/>
      <c r="AS726" s="251"/>
    </row>
    <row r="727" spans="1:45" s="44" customFormat="1" x14ac:dyDescent="0.2">
      <c r="A727" s="71"/>
      <c r="B727" s="71"/>
      <c r="C727" s="71"/>
      <c r="D727" s="251"/>
      <c r="E727" s="251"/>
      <c r="F727" s="251"/>
      <c r="G727" s="251"/>
      <c r="H727" s="251"/>
      <c r="I727" s="251"/>
      <c r="J727" s="251"/>
      <c r="K727" s="251"/>
      <c r="L727" s="251"/>
      <c r="M727" s="251"/>
      <c r="N727" s="251"/>
      <c r="O727" s="251"/>
      <c r="P727" s="251"/>
      <c r="Q727" s="251"/>
      <c r="R727" s="251"/>
      <c r="S727" s="251"/>
      <c r="T727" s="251"/>
      <c r="U727" s="251"/>
      <c r="V727" s="251"/>
      <c r="W727" s="251"/>
      <c r="X727" s="251"/>
      <c r="Y727" s="251"/>
      <c r="Z727" s="251"/>
      <c r="AA727" s="251"/>
      <c r="AB727" s="251"/>
      <c r="AC727" s="251"/>
      <c r="AD727" s="251"/>
      <c r="AE727" s="251"/>
      <c r="AF727" s="251"/>
      <c r="AG727" s="251"/>
      <c r="AH727" s="251"/>
      <c r="AI727" s="251"/>
      <c r="AJ727" s="251"/>
      <c r="AK727" s="251"/>
      <c r="AL727" s="251"/>
      <c r="AM727" s="251"/>
      <c r="AN727" s="251"/>
      <c r="AO727" s="251"/>
      <c r="AP727" s="251"/>
      <c r="AQ727" s="251"/>
      <c r="AR727" s="251"/>
      <c r="AS727" s="251"/>
    </row>
    <row r="728" spans="1:45" s="44" customFormat="1" x14ac:dyDescent="0.2">
      <c r="A728" s="71"/>
      <c r="B728" s="71"/>
      <c r="C728" s="7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251"/>
      <c r="AF728" s="251"/>
      <c r="AG728" s="251"/>
      <c r="AH728" s="251"/>
      <c r="AI728" s="251"/>
      <c r="AJ728" s="251"/>
      <c r="AK728" s="251"/>
      <c r="AL728" s="251"/>
      <c r="AM728" s="251"/>
      <c r="AN728" s="251"/>
      <c r="AO728" s="251"/>
      <c r="AP728" s="251"/>
      <c r="AQ728" s="251"/>
      <c r="AR728" s="251"/>
      <c r="AS728" s="251"/>
    </row>
    <row r="729" spans="1:45" s="44" customFormat="1" x14ac:dyDescent="0.2">
      <c r="A729" s="71"/>
      <c r="B729" s="71"/>
      <c r="C729" s="71"/>
      <c r="D729" s="251"/>
      <c r="E729" s="251"/>
      <c r="F729" s="251"/>
      <c r="G729" s="251"/>
      <c r="H729" s="251"/>
      <c r="I729" s="251"/>
      <c r="J729" s="251"/>
      <c r="K729" s="251"/>
      <c r="L729" s="251"/>
      <c r="M729" s="251"/>
      <c r="N729" s="251"/>
      <c r="O729" s="251"/>
      <c r="P729" s="251"/>
      <c r="Q729" s="251"/>
      <c r="R729" s="251"/>
      <c r="S729" s="251"/>
      <c r="T729" s="251"/>
      <c r="U729" s="251"/>
      <c r="V729" s="251"/>
      <c r="W729" s="251"/>
      <c r="X729" s="251"/>
      <c r="Y729" s="251"/>
      <c r="Z729" s="251"/>
      <c r="AA729" s="251"/>
      <c r="AB729" s="251"/>
      <c r="AC729" s="251"/>
      <c r="AD729" s="251"/>
      <c r="AE729" s="251"/>
      <c r="AF729" s="251"/>
      <c r="AG729" s="251"/>
      <c r="AH729" s="251"/>
      <c r="AI729" s="251"/>
      <c r="AJ729" s="251"/>
      <c r="AK729" s="251"/>
      <c r="AL729" s="251"/>
      <c r="AM729" s="251"/>
      <c r="AN729" s="251"/>
      <c r="AO729" s="251"/>
      <c r="AP729" s="251"/>
      <c r="AQ729" s="251"/>
      <c r="AR729" s="251"/>
      <c r="AS729" s="251"/>
    </row>
    <row r="730" spans="1:45" s="44" customFormat="1" x14ac:dyDescent="0.2">
      <c r="A730" s="71"/>
      <c r="B730" s="71"/>
      <c r="C730" s="71"/>
      <c r="D730" s="251"/>
      <c r="E730" s="251"/>
      <c r="F730" s="251"/>
      <c r="G730" s="251"/>
      <c r="H730" s="251"/>
      <c r="I730" s="251"/>
      <c r="J730" s="251"/>
      <c r="K730" s="251"/>
      <c r="L730" s="251"/>
      <c r="M730" s="251"/>
      <c r="N730" s="251"/>
      <c r="O730" s="251"/>
      <c r="P730" s="251"/>
      <c r="Q730" s="251"/>
      <c r="R730" s="251"/>
      <c r="S730" s="251"/>
      <c r="T730" s="251"/>
      <c r="U730" s="251"/>
      <c r="V730" s="251"/>
      <c r="W730" s="251"/>
      <c r="X730" s="251"/>
      <c r="Y730" s="251"/>
      <c r="Z730" s="251"/>
      <c r="AA730" s="251"/>
      <c r="AB730" s="251"/>
      <c r="AC730" s="251"/>
      <c r="AD730" s="251"/>
      <c r="AE730" s="251"/>
      <c r="AF730" s="251"/>
      <c r="AG730" s="251"/>
      <c r="AH730" s="251"/>
      <c r="AI730" s="251"/>
      <c r="AJ730" s="251"/>
      <c r="AK730" s="251"/>
      <c r="AL730" s="251"/>
      <c r="AM730" s="251"/>
      <c r="AN730" s="251"/>
      <c r="AO730" s="251"/>
      <c r="AP730" s="251"/>
      <c r="AQ730" s="251"/>
      <c r="AR730" s="251"/>
      <c r="AS730" s="251"/>
    </row>
    <row r="731" spans="1:45" s="44" customFormat="1" x14ac:dyDescent="0.2">
      <c r="A731" s="71"/>
      <c r="B731" s="71"/>
      <c r="C731" s="7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251"/>
      <c r="AF731" s="251"/>
      <c r="AG731" s="251"/>
      <c r="AH731" s="251"/>
      <c r="AI731" s="251"/>
      <c r="AJ731" s="251"/>
      <c r="AK731" s="251"/>
      <c r="AL731" s="251"/>
      <c r="AM731" s="251"/>
      <c r="AN731" s="251"/>
      <c r="AO731" s="251"/>
      <c r="AP731" s="251"/>
      <c r="AQ731" s="251"/>
      <c r="AR731" s="251"/>
      <c r="AS731" s="251"/>
    </row>
    <row r="732" spans="1:45" s="44" customFormat="1" x14ac:dyDescent="0.2">
      <c r="A732" s="71"/>
      <c r="B732" s="71"/>
      <c r="C732" s="71"/>
      <c r="D732" s="251"/>
      <c r="E732" s="251"/>
      <c r="F732" s="251"/>
      <c r="G732" s="251"/>
      <c r="H732" s="251"/>
      <c r="I732" s="251"/>
      <c r="J732" s="251"/>
      <c r="K732" s="251"/>
      <c r="L732" s="251"/>
      <c r="M732" s="251"/>
      <c r="N732" s="251"/>
      <c r="O732" s="251"/>
      <c r="P732" s="251"/>
      <c r="Q732" s="251"/>
      <c r="R732" s="251"/>
      <c r="S732" s="251"/>
      <c r="T732" s="251"/>
      <c r="U732" s="251"/>
      <c r="V732" s="251"/>
      <c r="W732" s="251"/>
      <c r="X732" s="251"/>
      <c r="Y732" s="251"/>
      <c r="Z732" s="251"/>
      <c r="AA732" s="251"/>
      <c r="AB732" s="251"/>
      <c r="AC732" s="251"/>
      <c r="AD732" s="251"/>
      <c r="AE732" s="251"/>
      <c r="AF732" s="251"/>
      <c r="AG732" s="251"/>
      <c r="AH732" s="251"/>
      <c r="AI732" s="251"/>
      <c r="AJ732" s="251"/>
      <c r="AK732" s="251"/>
      <c r="AL732" s="251"/>
      <c r="AM732" s="251"/>
      <c r="AN732" s="251"/>
      <c r="AO732" s="251"/>
      <c r="AP732" s="251"/>
      <c r="AQ732" s="251"/>
      <c r="AR732" s="251"/>
      <c r="AS732" s="251"/>
    </row>
    <row r="733" spans="1:45" s="44" customFormat="1" x14ac:dyDescent="0.2">
      <c r="A733" s="71"/>
      <c r="B733" s="71"/>
      <c r="C733" s="71"/>
      <c r="D733" s="251"/>
      <c r="E733" s="251"/>
      <c r="F733" s="251"/>
      <c r="G733" s="251"/>
      <c r="H733" s="251"/>
      <c r="I733" s="251"/>
      <c r="J733" s="251"/>
      <c r="K733" s="251"/>
      <c r="L733" s="251"/>
      <c r="M733" s="251"/>
      <c r="N733" s="251"/>
      <c r="O733" s="251"/>
      <c r="P733" s="251"/>
      <c r="Q733" s="251"/>
      <c r="R733" s="251"/>
      <c r="S733" s="251"/>
      <c r="T733" s="251"/>
      <c r="U733" s="251"/>
      <c r="V733" s="251"/>
      <c r="W733" s="251"/>
      <c r="X733" s="251"/>
      <c r="Y733" s="251"/>
      <c r="Z733" s="251"/>
      <c r="AA733" s="251"/>
      <c r="AB733" s="251"/>
      <c r="AC733" s="251"/>
      <c r="AD733" s="251"/>
      <c r="AE733" s="251"/>
      <c r="AF733" s="251"/>
      <c r="AG733" s="251"/>
      <c r="AH733" s="251"/>
      <c r="AI733" s="251"/>
      <c r="AJ733" s="251"/>
      <c r="AK733" s="251"/>
      <c r="AL733" s="251"/>
      <c r="AM733" s="251"/>
      <c r="AN733" s="251"/>
      <c r="AO733" s="251"/>
      <c r="AP733" s="251"/>
      <c r="AQ733" s="251"/>
      <c r="AR733" s="251"/>
      <c r="AS733" s="251"/>
    </row>
    <row r="734" spans="1:45" s="44" customFormat="1" x14ac:dyDescent="0.2">
      <c r="A734" s="71"/>
      <c r="B734" s="71"/>
      <c r="C734" s="7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251"/>
      <c r="AF734" s="251"/>
      <c r="AG734" s="251"/>
      <c r="AH734" s="251"/>
      <c r="AI734" s="251"/>
      <c r="AJ734" s="251"/>
      <c r="AK734" s="251"/>
      <c r="AL734" s="251"/>
      <c r="AM734" s="251"/>
      <c r="AN734" s="251"/>
      <c r="AO734" s="251"/>
      <c r="AP734" s="251"/>
      <c r="AQ734" s="251"/>
      <c r="AR734" s="251"/>
      <c r="AS734" s="251"/>
    </row>
    <row r="735" spans="1:45" s="44" customFormat="1" x14ac:dyDescent="0.2">
      <c r="A735" s="71"/>
      <c r="B735" s="71"/>
      <c r="C735" s="71"/>
      <c r="D735" s="251"/>
      <c r="E735" s="251"/>
      <c r="F735" s="251"/>
      <c r="G735" s="251"/>
      <c r="H735" s="251"/>
      <c r="I735" s="251"/>
      <c r="J735" s="251"/>
      <c r="K735" s="251"/>
      <c r="L735" s="251"/>
      <c r="M735" s="251"/>
      <c r="N735" s="251"/>
      <c r="O735" s="251"/>
      <c r="P735" s="251"/>
      <c r="Q735" s="251"/>
      <c r="R735" s="251"/>
      <c r="S735" s="251"/>
      <c r="T735" s="251"/>
      <c r="U735" s="251"/>
      <c r="V735" s="251"/>
      <c r="W735" s="251"/>
      <c r="X735" s="251"/>
      <c r="Y735" s="251"/>
      <c r="Z735" s="251"/>
      <c r="AA735" s="251"/>
      <c r="AB735" s="251"/>
      <c r="AC735" s="251"/>
      <c r="AD735" s="251"/>
      <c r="AE735" s="251"/>
      <c r="AF735" s="251"/>
      <c r="AG735" s="251"/>
      <c r="AH735" s="251"/>
      <c r="AI735" s="251"/>
      <c r="AJ735" s="251"/>
      <c r="AK735" s="251"/>
      <c r="AL735" s="251"/>
      <c r="AM735" s="251"/>
      <c r="AN735" s="251"/>
      <c r="AO735" s="251"/>
      <c r="AP735" s="251"/>
      <c r="AQ735" s="251"/>
      <c r="AR735" s="251"/>
      <c r="AS735" s="251"/>
    </row>
    <row r="736" spans="1:45" s="44" customFormat="1" x14ac:dyDescent="0.2">
      <c r="A736" s="71"/>
      <c r="B736" s="71"/>
      <c r="C736" s="71"/>
      <c r="D736" s="251"/>
      <c r="E736" s="251"/>
      <c r="F736" s="251"/>
      <c r="G736" s="251"/>
      <c r="H736" s="251"/>
      <c r="I736" s="251"/>
      <c r="J736" s="251"/>
      <c r="K736" s="251"/>
      <c r="L736" s="251"/>
      <c r="M736" s="251"/>
      <c r="N736" s="251"/>
      <c r="O736" s="251"/>
      <c r="P736" s="251"/>
      <c r="Q736" s="251"/>
      <c r="R736" s="251"/>
      <c r="S736" s="251"/>
      <c r="T736" s="251"/>
      <c r="U736" s="251"/>
      <c r="V736" s="251"/>
      <c r="W736" s="251"/>
      <c r="X736" s="251"/>
      <c r="Y736" s="251"/>
      <c r="Z736" s="251"/>
      <c r="AA736" s="251"/>
      <c r="AB736" s="251"/>
      <c r="AC736" s="251"/>
      <c r="AD736" s="251"/>
      <c r="AE736" s="251"/>
      <c r="AF736" s="251"/>
      <c r="AG736" s="251"/>
      <c r="AH736" s="251"/>
      <c r="AI736" s="251"/>
      <c r="AJ736" s="251"/>
      <c r="AK736" s="251"/>
      <c r="AL736" s="251"/>
      <c r="AM736" s="251"/>
      <c r="AN736" s="251"/>
      <c r="AO736" s="251"/>
      <c r="AP736" s="251"/>
      <c r="AQ736" s="251"/>
      <c r="AR736" s="251"/>
      <c r="AS736" s="251"/>
    </row>
    <row r="737" spans="1:45" s="44" customFormat="1" x14ac:dyDescent="0.2">
      <c r="A737" s="71"/>
      <c r="B737" s="71"/>
      <c r="C737" s="7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row>
    <row r="738" spans="1:45" s="44" customFormat="1" x14ac:dyDescent="0.2">
      <c r="A738" s="71"/>
      <c r="B738" s="71"/>
      <c r="C738" s="7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c r="AA738" s="251"/>
      <c r="AB738" s="251"/>
      <c r="AC738" s="251"/>
      <c r="AD738" s="251"/>
      <c r="AE738" s="251"/>
      <c r="AF738" s="251"/>
      <c r="AG738" s="251"/>
      <c r="AH738" s="251"/>
      <c r="AI738" s="251"/>
      <c r="AJ738" s="251"/>
      <c r="AK738" s="251"/>
      <c r="AL738" s="251"/>
      <c r="AM738" s="251"/>
      <c r="AN738" s="251"/>
      <c r="AO738" s="251"/>
      <c r="AP738" s="251"/>
      <c r="AQ738" s="251"/>
      <c r="AR738" s="251"/>
      <c r="AS738" s="251"/>
    </row>
    <row r="739" spans="1:45" s="44" customFormat="1" x14ac:dyDescent="0.2">
      <c r="A739" s="71"/>
      <c r="B739" s="71"/>
      <c r="C739" s="71"/>
      <c r="D739" s="251"/>
      <c r="E739" s="251"/>
      <c r="F739" s="251"/>
      <c r="G739" s="251"/>
      <c r="H739" s="251"/>
      <c r="I739" s="251"/>
      <c r="J739" s="251"/>
      <c r="K739" s="251"/>
      <c r="L739" s="251"/>
      <c r="M739" s="251"/>
      <c r="N739" s="251"/>
      <c r="O739" s="251"/>
      <c r="P739" s="251"/>
      <c r="Q739" s="251"/>
      <c r="R739" s="251"/>
      <c r="S739" s="251"/>
      <c r="T739" s="251"/>
      <c r="U739" s="251"/>
      <c r="V739" s="251"/>
      <c r="W739" s="251"/>
      <c r="X739" s="251"/>
      <c r="Y739" s="251"/>
      <c r="Z739" s="251"/>
      <c r="AA739" s="251"/>
      <c r="AB739" s="251"/>
      <c r="AC739" s="251"/>
      <c r="AD739" s="251"/>
      <c r="AE739" s="251"/>
      <c r="AF739" s="251"/>
      <c r="AG739" s="251"/>
      <c r="AH739" s="251"/>
      <c r="AI739" s="251"/>
      <c r="AJ739" s="251"/>
      <c r="AK739" s="251"/>
      <c r="AL739" s="251"/>
      <c r="AM739" s="251"/>
      <c r="AN739" s="251"/>
      <c r="AO739" s="251"/>
      <c r="AP739" s="251"/>
      <c r="AQ739" s="251"/>
      <c r="AR739" s="251"/>
      <c r="AS739" s="251"/>
    </row>
    <row r="740" spans="1:45" s="44" customFormat="1" x14ac:dyDescent="0.2">
      <c r="A740" s="71"/>
      <c r="B740" s="71"/>
      <c r="C740" s="7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251"/>
      <c r="AE740" s="251"/>
      <c r="AF740" s="251"/>
      <c r="AG740" s="251"/>
      <c r="AH740" s="251"/>
      <c r="AI740" s="251"/>
      <c r="AJ740" s="251"/>
      <c r="AK740" s="251"/>
      <c r="AL740" s="251"/>
      <c r="AM740" s="251"/>
      <c r="AN740" s="251"/>
      <c r="AO740" s="251"/>
      <c r="AP740" s="251"/>
      <c r="AQ740" s="251"/>
      <c r="AR740" s="251"/>
      <c r="AS740" s="251"/>
    </row>
    <row r="741" spans="1:45" s="44" customFormat="1" x14ac:dyDescent="0.2">
      <c r="A741" s="71"/>
      <c r="B741" s="71"/>
      <c r="C741" s="7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251"/>
      <c r="AE741" s="251"/>
      <c r="AF741" s="251"/>
      <c r="AG741" s="251"/>
      <c r="AH741" s="251"/>
      <c r="AI741" s="251"/>
      <c r="AJ741" s="251"/>
      <c r="AK741" s="251"/>
      <c r="AL741" s="251"/>
      <c r="AM741" s="251"/>
      <c r="AN741" s="251"/>
      <c r="AO741" s="251"/>
      <c r="AP741" s="251"/>
      <c r="AQ741" s="251"/>
      <c r="AR741" s="251"/>
      <c r="AS741" s="251"/>
    </row>
    <row r="742" spans="1:45" s="44" customFormat="1" x14ac:dyDescent="0.2">
      <c r="A742" s="71"/>
      <c r="B742" s="71"/>
      <c r="C742" s="7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c r="AA742" s="251"/>
      <c r="AB742" s="251"/>
      <c r="AC742" s="251"/>
      <c r="AD742" s="251"/>
      <c r="AE742" s="251"/>
      <c r="AF742" s="251"/>
      <c r="AG742" s="251"/>
      <c r="AH742" s="251"/>
      <c r="AI742" s="251"/>
      <c r="AJ742" s="251"/>
      <c r="AK742" s="251"/>
      <c r="AL742" s="251"/>
      <c r="AM742" s="251"/>
      <c r="AN742" s="251"/>
      <c r="AO742" s="251"/>
      <c r="AP742" s="251"/>
      <c r="AQ742" s="251"/>
      <c r="AR742" s="251"/>
      <c r="AS742" s="251"/>
    </row>
    <row r="743" spans="1:45" s="44" customFormat="1" x14ac:dyDescent="0.2">
      <c r="A743" s="71"/>
      <c r="B743" s="71"/>
      <c r="C743" s="7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251"/>
      <c r="AE743" s="251"/>
      <c r="AF743" s="251"/>
      <c r="AG743" s="251"/>
      <c r="AH743" s="251"/>
      <c r="AI743" s="251"/>
      <c r="AJ743" s="251"/>
      <c r="AK743" s="251"/>
      <c r="AL743" s="251"/>
      <c r="AM743" s="251"/>
      <c r="AN743" s="251"/>
      <c r="AO743" s="251"/>
      <c r="AP743" s="251"/>
      <c r="AQ743" s="251"/>
      <c r="AR743" s="251"/>
      <c r="AS743" s="251"/>
    </row>
    <row r="744" spans="1:45" s="44" customFormat="1" x14ac:dyDescent="0.2">
      <c r="A744" s="71"/>
      <c r="B744" s="71"/>
      <c r="C744" s="7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251"/>
      <c r="AE744" s="251"/>
      <c r="AF744" s="251"/>
      <c r="AG744" s="251"/>
      <c r="AH744" s="251"/>
      <c r="AI744" s="251"/>
      <c r="AJ744" s="251"/>
      <c r="AK744" s="251"/>
      <c r="AL744" s="251"/>
      <c r="AM744" s="251"/>
      <c r="AN744" s="251"/>
      <c r="AO744" s="251"/>
      <c r="AP744" s="251"/>
      <c r="AQ744" s="251"/>
      <c r="AR744" s="251"/>
      <c r="AS744" s="251"/>
    </row>
    <row r="745" spans="1:45" s="44" customFormat="1" x14ac:dyDescent="0.2">
      <c r="A745" s="71"/>
      <c r="B745" s="71"/>
      <c r="C745" s="7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c r="AA745" s="251"/>
      <c r="AB745" s="251"/>
      <c r="AC745" s="251"/>
      <c r="AD745" s="251"/>
      <c r="AE745" s="251"/>
      <c r="AF745" s="251"/>
      <c r="AG745" s="251"/>
      <c r="AH745" s="251"/>
      <c r="AI745" s="251"/>
      <c r="AJ745" s="251"/>
      <c r="AK745" s="251"/>
      <c r="AL745" s="251"/>
      <c r="AM745" s="251"/>
      <c r="AN745" s="251"/>
      <c r="AO745" s="251"/>
      <c r="AP745" s="251"/>
      <c r="AQ745" s="251"/>
      <c r="AR745" s="251"/>
      <c r="AS745" s="251"/>
    </row>
    <row r="746" spans="1:45" s="44" customFormat="1" x14ac:dyDescent="0.2">
      <c r="A746" s="71"/>
      <c r="B746" s="71"/>
      <c r="C746" s="7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251"/>
      <c r="AF746" s="251"/>
      <c r="AG746" s="251"/>
      <c r="AH746" s="251"/>
      <c r="AI746" s="251"/>
      <c r="AJ746" s="251"/>
      <c r="AK746" s="251"/>
      <c r="AL746" s="251"/>
      <c r="AM746" s="251"/>
      <c r="AN746" s="251"/>
      <c r="AO746" s="251"/>
      <c r="AP746" s="251"/>
      <c r="AQ746" s="251"/>
      <c r="AR746" s="251"/>
      <c r="AS746" s="251"/>
    </row>
    <row r="747" spans="1:45" s="44" customFormat="1" x14ac:dyDescent="0.2">
      <c r="A747" s="71"/>
      <c r="B747" s="71"/>
      <c r="C747" s="7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c r="AC747" s="251"/>
      <c r="AD747" s="251"/>
      <c r="AE747" s="251"/>
      <c r="AF747" s="251"/>
      <c r="AG747" s="251"/>
      <c r="AH747" s="251"/>
      <c r="AI747" s="251"/>
      <c r="AJ747" s="251"/>
      <c r="AK747" s="251"/>
      <c r="AL747" s="251"/>
      <c r="AM747" s="251"/>
      <c r="AN747" s="251"/>
      <c r="AO747" s="251"/>
      <c r="AP747" s="251"/>
      <c r="AQ747" s="251"/>
      <c r="AR747" s="251"/>
      <c r="AS747" s="251"/>
    </row>
    <row r="748" spans="1:45" s="44" customFormat="1" x14ac:dyDescent="0.2">
      <c r="A748" s="71"/>
      <c r="B748" s="71"/>
      <c r="C748" s="71"/>
      <c r="D748" s="251"/>
      <c r="E748" s="251"/>
      <c r="F748" s="251"/>
      <c r="G748" s="251"/>
      <c r="H748" s="251"/>
      <c r="I748" s="251"/>
      <c r="J748" s="251"/>
      <c r="K748" s="251"/>
      <c r="L748" s="251"/>
      <c r="M748" s="251"/>
      <c r="N748" s="251"/>
      <c r="O748" s="251"/>
      <c r="P748" s="251"/>
      <c r="Q748" s="251"/>
      <c r="R748" s="251"/>
      <c r="S748" s="251"/>
      <c r="T748" s="251"/>
      <c r="U748" s="251"/>
      <c r="V748" s="251"/>
      <c r="W748" s="251"/>
      <c r="X748" s="251"/>
      <c r="Y748" s="251"/>
      <c r="Z748" s="251"/>
      <c r="AA748" s="251"/>
      <c r="AB748" s="251"/>
      <c r="AC748" s="251"/>
      <c r="AD748" s="251"/>
      <c r="AE748" s="251"/>
      <c r="AF748" s="251"/>
      <c r="AG748" s="251"/>
      <c r="AH748" s="251"/>
      <c r="AI748" s="251"/>
      <c r="AJ748" s="251"/>
      <c r="AK748" s="251"/>
      <c r="AL748" s="251"/>
      <c r="AM748" s="251"/>
      <c r="AN748" s="251"/>
      <c r="AO748" s="251"/>
      <c r="AP748" s="251"/>
      <c r="AQ748" s="251"/>
      <c r="AR748" s="251"/>
      <c r="AS748" s="251"/>
    </row>
    <row r="749" spans="1:45" s="44" customFormat="1" x14ac:dyDescent="0.2">
      <c r="A749" s="71"/>
      <c r="B749" s="71"/>
      <c r="C749" s="7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51"/>
      <c r="AE749" s="251"/>
      <c r="AF749" s="251"/>
      <c r="AG749" s="251"/>
      <c r="AH749" s="251"/>
      <c r="AI749" s="251"/>
      <c r="AJ749" s="251"/>
      <c r="AK749" s="251"/>
      <c r="AL749" s="251"/>
      <c r="AM749" s="251"/>
      <c r="AN749" s="251"/>
      <c r="AO749" s="251"/>
      <c r="AP749" s="251"/>
      <c r="AQ749" s="251"/>
      <c r="AR749" s="251"/>
      <c r="AS749" s="251"/>
    </row>
    <row r="750" spans="1:45" s="44" customFormat="1" x14ac:dyDescent="0.2">
      <c r="A750" s="71"/>
      <c r="B750" s="71"/>
      <c r="C750" s="7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51"/>
      <c r="AE750" s="251"/>
      <c r="AF750" s="251"/>
      <c r="AG750" s="251"/>
      <c r="AH750" s="251"/>
      <c r="AI750" s="251"/>
      <c r="AJ750" s="251"/>
      <c r="AK750" s="251"/>
      <c r="AL750" s="251"/>
      <c r="AM750" s="251"/>
      <c r="AN750" s="251"/>
      <c r="AO750" s="251"/>
      <c r="AP750" s="251"/>
      <c r="AQ750" s="251"/>
      <c r="AR750" s="251"/>
      <c r="AS750" s="251"/>
    </row>
    <row r="751" spans="1:45" s="44" customFormat="1" x14ac:dyDescent="0.2">
      <c r="A751" s="71"/>
      <c r="B751" s="71"/>
      <c r="C751" s="71"/>
      <c r="D751" s="251"/>
      <c r="E751" s="251"/>
      <c r="F751" s="251"/>
      <c r="G751" s="251"/>
      <c r="H751" s="251"/>
      <c r="I751" s="251"/>
      <c r="J751" s="251"/>
      <c r="K751" s="251"/>
      <c r="L751" s="251"/>
      <c r="M751" s="251"/>
      <c r="N751" s="251"/>
      <c r="O751" s="251"/>
      <c r="P751" s="251"/>
      <c r="Q751" s="251"/>
      <c r="R751" s="251"/>
      <c r="S751" s="251"/>
      <c r="T751" s="251"/>
      <c r="U751" s="251"/>
      <c r="V751" s="251"/>
      <c r="W751" s="251"/>
      <c r="X751" s="251"/>
      <c r="Y751" s="251"/>
      <c r="Z751" s="251"/>
      <c r="AA751" s="251"/>
      <c r="AB751" s="251"/>
      <c r="AC751" s="251"/>
      <c r="AD751" s="251"/>
      <c r="AE751" s="251"/>
      <c r="AF751" s="251"/>
      <c r="AG751" s="251"/>
      <c r="AH751" s="251"/>
      <c r="AI751" s="251"/>
      <c r="AJ751" s="251"/>
      <c r="AK751" s="251"/>
      <c r="AL751" s="251"/>
      <c r="AM751" s="251"/>
      <c r="AN751" s="251"/>
      <c r="AO751" s="251"/>
      <c r="AP751" s="251"/>
      <c r="AQ751" s="251"/>
      <c r="AR751" s="251"/>
      <c r="AS751" s="251"/>
    </row>
    <row r="752" spans="1:45" s="44" customFormat="1" x14ac:dyDescent="0.2">
      <c r="A752" s="71"/>
      <c r="B752" s="71"/>
      <c r="C752" s="7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251"/>
      <c r="AE752" s="251"/>
      <c r="AF752" s="251"/>
      <c r="AG752" s="251"/>
      <c r="AH752" s="251"/>
      <c r="AI752" s="251"/>
      <c r="AJ752" s="251"/>
      <c r="AK752" s="251"/>
      <c r="AL752" s="251"/>
      <c r="AM752" s="251"/>
      <c r="AN752" s="251"/>
      <c r="AO752" s="251"/>
      <c r="AP752" s="251"/>
      <c r="AQ752" s="251"/>
      <c r="AR752" s="251"/>
      <c r="AS752" s="251"/>
    </row>
    <row r="753" spans="1:45" s="44" customFormat="1" x14ac:dyDescent="0.2">
      <c r="A753" s="71"/>
      <c r="B753" s="71"/>
      <c r="C753" s="7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251"/>
      <c r="AE753" s="251"/>
      <c r="AF753" s="251"/>
      <c r="AG753" s="251"/>
      <c r="AH753" s="251"/>
      <c r="AI753" s="251"/>
      <c r="AJ753" s="251"/>
      <c r="AK753" s="251"/>
      <c r="AL753" s="251"/>
      <c r="AM753" s="251"/>
      <c r="AN753" s="251"/>
      <c r="AO753" s="251"/>
      <c r="AP753" s="251"/>
      <c r="AQ753" s="251"/>
      <c r="AR753" s="251"/>
      <c r="AS753" s="251"/>
    </row>
    <row r="754" spans="1:45" s="44" customFormat="1" x14ac:dyDescent="0.2">
      <c r="A754" s="71"/>
      <c r="B754" s="71"/>
      <c r="C754" s="7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c r="AC754" s="251"/>
      <c r="AD754" s="251"/>
      <c r="AE754" s="251"/>
      <c r="AF754" s="251"/>
      <c r="AG754" s="251"/>
      <c r="AH754" s="251"/>
      <c r="AI754" s="251"/>
      <c r="AJ754" s="251"/>
      <c r="AK754" s="251"/>
      <c r="AL754" s="251"/>
      <c r="AM754" s="251"/>
      <c r="AN754" s="251"/>
      <c r="AO754" s="251"/>
      <c r="AP754" s="251"/>
      <c r="AQ754" s="251"/>
      <c r="AR754" s="251"/>
      <c r="AS754" s="251"/>
    </row>
    <row r="755" spans="1:45" s="44" customFormat="1" x14ac:dyDescent="0.2">
      <c r="A755" s="71"/>
      <c r="B755" s="71"/>
      <c r="C755" s="7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251"/>
      <c r="AE755" s="251"/>
      <c r="AF755" s="251"/>
      <c r="AG755" s="251"/>
      <c r="AH755" s="251"/>
      <c r="AI755" s="251"/>
      <c r="AJ755" s="251"/>
      <c r="AK755" s="251"/>
      <c r="AL755" s="251"/>
      <c r="AM755" s="251"/>
      <c r="AN755" s="251"/>
      <c r="AO755" s="251"/>
      <c r="AP755" s="251"/>
      <c r="AQ755" s="251"/>
      <c r="AR755" s="251"/>
      <c r="AS755" s="251"/>
    </row>
    <row r="756" spans="1:45" s="44" customFormat="1" x14ac:dyDescent="0.2">
      <c r="A756" s="71"/>
      <c r="B756" s="71"/>
      <c r="C756" s="7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251"/>
      <c r="AE756" s="251"/>
      <c r="AF756" s="251"/>
      <c r="AG756" s="251"/>
      <c r="AH756" s="251"/>
      <c r="AI756" s="251"/>
      <c r="AJ756" s="251"/>
      <c r="AK756" s="251"/>
      <c r="AL756" s="251"/>
      <c r="AM756" s="251"/>
      <c r="AN756" s="251"/>
      <c r="AO756" s="251"/>
      <c r="AP756" s="251"/>
      <c r="AQ756" s="251"/>
      <c r="AR756" s="251"/>
      <c r="AS756" s="251"/>
    </row>
    <row r="757" spans="1:45" s="44" customFormat="1" x14ac:dyDescent="0.2">
      <c r="A757" s="71"/>
      <c r="B757" s="71"/>
      <c r="C757" s="7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c r="AC757" s="251"/>
      <c r="AD757" s="251"/>
      <c r="AE757" s="251"/>
      <c r="AF757" s="251"/>
      <c r="AG757" s="251"/>
      <c r="AH757" s="251"/>
      <c r="AI757" s="251"/>
      <c r="AJ757" s="251"/>
      <c r="AK757" s="251"/>
      <c r="AL757" s="251"/>
      <c r="AM757" s="251"/>
      <c r="AN757" s="251"/>
      <c r="AO757" s="251"/>
      <c r="AP757" s="251"/>
      <c r="AQ757" s="251"/>
      <c r="AR757" s="251"/>
      <c r="AS757" s="251"/>
    </row>
    <row r="758" spans="1:45" s="44" customFormat="1" x14ac:dyDescent="0.2">
      <c r="A758" s="71"/>
      <c r="B758" s="71"/>
      <c r="C758" s="7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251"/>
      <c r="AE758" s="251"/>
      <c r="AF758" s="251"/>
      <c r="AG758" s="251"/>
      <c r="AH758" s="251"/>
      <c r="AI758" s="251"/>
      <c r="AJ758" s="251"/>
      <c r="AK758" s="251"/>
      <c r="AL758" s="251"/>
      <c r="AM758" s="251"/>
      <c r="AN758" s="251"/>
      <c r="AO758" s="251"/>
      <c r="AP758" s="251"/>
      <c r="AQ758" s="251"/>
      <c r="AR758" s="251"/>
      <c r="AS758" s="251"/>
    </row>
    <row r="759" spans="1:45" s="44" customFormat="1" x14ac:dyDescent="0.2">
      <c r="A759" s="71"/>
      <c r="B759" s="71"/>
      <c r="C759" s="7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251"/>
      <c r="AE759" s="251"/>
      <c r="AF759" s="251"/>
      <c r="AG759" s="251"/>
      <c r="AH759" s="251"/>
      <c r="AI759" s="251"/>
      <c r="AJ759" s="251"/>
      <c r="AK759" s="251"/>
      <c r="AL759" s="251"/>
      <c r="AM759" s="251"/>
      <c r="AN759" s="251"/>
      <c r="AO759" s="251"/>
      <c r="AP759" s="251"/>
      <c r="AQ759" s="251"/>
      <c r="AR759" s="251"/>
      <c r="AS759" s="251"/>
    </row>
    <row r="760" spans="1:45" s="44" customFormat="1" x14ac:dyDescent="0.2">
      <c r="A760" s="71"/>
      <c r="B760" s="71"/>
      <c r="C760" s="7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251"/>
      <c r="AE760" s="251"/>
      <c r="AF760" s="251"/>
      <c r="AG760" s="251"/>
      <c r="AH760" s="251"/>
      <c r="AI760" s="251"/>
      <c r="AJ760" s="251"/>
      <c r="AK760" s="251"/>
      <c r="AL760" s="251"/>
      <c r="AM760" s="251"/>
      <c r="AN760" s="251"/>
      <c r="AO760" s="251"/>
      <c r="AP760" s="251"/>
      <c r="AQ760" s="251"/>
      <c r="AR760" s="251"/>
      <c r="AS760" s="251"/>
    </row>
    <row r="761" spans="1:45" s="44" customFormat="1" x14ac:dyDescent="0.2">
      <c r="A761" s="71"/>
      <c r="B761" s="71"/>
      <c r="C761" s="7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251"/>
      <c r="AE761" s="251"/>
      <c r="AF761" s="251"/>
      <c r="AG761" s="251"/>
      <c r="AH761" s="251"/>
      <c r="AI761" s="251"/>
      <c r="AJ761" s="251"/>
      <c r="AK761" s="251"/>
      <c r="AL761" s="251"/>
      <c r="AM761" s="251"/>
      <c r="AN761" s="251"/>
      <c r="AO761" s="251"/>
      <c r="AP761" s="251"/>
      <c r="AQ761" s="251"/>
      <c r="AR761" s="251"/>
      <c r="AS761" s="251"/>
    </row>
    <row r="762" spans="1:45" s="44" customFormat="1" x14ac:dyDescent="0.2">
      <c r="A762" s="71"/>
      <c r="B762" s="71"/>
      <c r="C762" s="7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251"/>
      <c r="AE762" s="251"/>
      <c r="AF762" s="251"/>
      <c r="AG762" s="251"/>
      <c r="AH762" s="251"/>
      <c r="AI762" s="251"/>
      <c r="AJ762" s="251"/>
      <c r="AK762" s="251"/>
      <c r="AL762" s="251"/>
      <c r="AM762" s="251"/>
      <c r="AN762" s="251"/>
      <c r="AO762" s="251"/>
      <c r="AP762" s="251"/>
      <c r="AQ762" s="251"/>
      <c r="AR762" s="251"/>
      <c r="AS762" s="251"/>
    </row>
    <row r="763" spans="1:45" s="44" customFormat="1" x14ac:dyDescent="0.2">
      <c r="A763" s="71"/>
      <c r="B763" s="71"/>
      <c r="C763" s="7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251"/>
      <c r="AE763" s="251"/>
      <c r="AF763" s="251"/>
      <c r="AG763" s="251"/>
      <c r="AH763" s="251"/>
      <c r="AI763" s="251"/>
      <c r="AJ763" s="251"/>
      <c r="AK763" s="251"/>
      <c r="AL763" s="251"/>
      <c r="AM763" s="251"/>
      <c r="AN763" s="251"/>
      <c r="AO763" s="251"/>
      <c r="AP763" s="251"/>
      <c r="AQ763" s="251"/>
      <c r="AR763" s="251"/>
      <c r="AS763" s="251"/>
    </row>
    <row r="764" spans="1:45" s="44" customFormat="1" x14ac:dyDescent="0.2">
      <c r="A764" s="71"/>
      <c r="B764" s="71"/>
      <c r="C764" s="7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251"/>
      <c r="AE764" s="251"/>
      <c r="AF764" s="251"/>
      <c r="AG764" s="251"/>
      <c r="AH764" s="251"/>
      <c r="AI764" s="251"/>
      <c r="AJ764" s="251"/>
      <c r="AK764" s="251"/>
      <c r="AL764" s="251"/>
      <c r="AM764" s="251"/>
      <c r="AN764" s="251"/>
      <c r="AO764" s="251"/>
      <c r="AP764" s="251"/>
      <c r="AQ764" s="251"/>
      <c r="AR764" s="251"/>
      <c r="AS764" s="251"/>
    </row>
    <row r="765" spans="1:45" s="44" customFormat="1" x14ac:dyDescent="0.2">
      <c r="A765" s="71"/>
      <c r="B765" s="71"/>
      <c r="C765" s="7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251"/>
      <c r="AE765" s="251"/>
      <c r="AF765" s="251"/>
      <c r="AG765" s="251"/>
      <c r="AH765" s="251"/>
      <c r="AI765" s="251"/>
      <c r="AJ765" s="251"/>
      <c r="AK765" s="251"/>
      <c r="AL765" s="251"/>
      <c r="AM765" s="251"/>
      <c r="AN765" s="251"/>
      <c r="AO765" s="251"/>
      <c r="AP765" s="251"/>
      <c r="AQ765" s="251"/>
      <c r="AR765" s="251"/>
      <c r="AS765" s="251"/>
    </row>
    <row r="766" spans="1:45" s="44" customFormat="1" x14ac:dyDescent="0.2">
      <c r="A766" s="71"/>
      <c r="B766" s="71"/>
      <c r="C766" s="7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251"/>
      <c r="AE766" s="251"/>
      <c r="AF766" s="251"/>
      <c r="AG766" s="251"/>
      <c r="AH766" s="251"/>
      <c r="AI766" s="251"/>
      <c r="AJ766" s="251"/>
      <c r="AK766" s="251"/>
      <c r="AL766" s="251"/>
      <c r="AM766" s="251"/>
      <c r="AN766" s="251"/>
      <c r="AO766" s="251"/>
      <c r="AP766" s="251"/>
      <c r="AQ766" s="251"/>
      <c r="AR766" s="251"/>
      <c r="AS766" s="251"/>
    </row>
    <row r="767" spans="1:45" s="44" customFormat="1" x14ac:dyDescent="0.2">
      <c r="A767" s="71"/>
      <c r="B767" s="71"/>
      <c r="C767" s="7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c r="AA767" s="251"/>
      <c r="AB767" s="251"/>
      <c r="AC767" s="251"/>
      <c r="AD767" s="251"/>
      <c r="AE767" s="251"/>
      <c r="AF767" s="251"/>
      <c r="AG767" s="251"/>
      <c r="AH767" s="251"/>
      <c r="AI767" s="251"/>
      <c r="AJ767" s="251"/>
      <c r="AK767" s="251"/>
      <c r="AL767" s="251"/>
      <c r="AM767" s="251"/>
      <c r="AN767" s="251"/>
      <c r="AO767" s="251"/>
      <c r="AP767" s="251"/>
      <c r="AQ767" s="251"/>
      <c r="AR767" s="251"/>
      <c r="AS767" s="251"/>
    </row>
    <row r="768" spans="1:45" s="44" customFormat="1" x14ac:dyDescent="0.2">
      <c r="A768" s="71"/>
      <c r="B768" s="71"/>
      <c r="C768" s="7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251"/>
      <c r="AE768" s="251"/>
      <c r="AF768" s="251"/>
      <c r="AG768" s="251"/>
      <c r="AH768" s="251"/>
      <c r="AI768" s="251"/>
      <c r="AJ768" s="251"/>
      <c r="AK768" s="251"/>
      <c r="AL768" s="251"/>
      <c r="AM768" s="251"/>
      <c r="AN768" s="251"/>
      <c r="AO768" s="251"/>
      <c r="AP768" s="251"/>
      <c r="AQ768" s="251"/>
      <c r="AR768" s="251"/>
      <c r="AS768" s="251"/>
    </row>
    <row r="769" spans="1:45" s="44" customFormat="1" x14ac:dyDescent="0.2">
      <c r="A769" s="71"/>
      <c r="B769" s="71"/>
      <c r="C769" s="7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251"/>
      <c r="AE769" s="251"/>
      <c r="AF769" s="251"/>
      <c r="AG769" s="251"/>
      <c r="AH769" s="251"/>
      <c r="AI769" s="251"/>
      <c r="AJ769" s="251"/>
      <c r="AK769" s="251"/>
      <c r="AL769" s="251"/>
      <c r="AM769" s="251"/>
      <c r="AN769" s="251"/>
      <c r="AO769" s="251"/>
      <c r="AP769" s="251"/>
      <c r="AQ769" s="251"/>
      <c r="AR769" s="251"/>
      <c r="AS769" s="251"/>
    </row>
    <row r="770" spans="1:45" s="44" customFormat="1" x14ac:dyDescent="0.2">
      <c r="A770" s="71"/>
      <c r="B770" s="71"/>
      <c r="C770" s="7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c r="AC770" s="251"/>
      <c r="AD770" s="251"/>
      <c r="AE770" s="251"/>
      <c r="AF770" s="251"/>
      <c r="AG770" s="251"/>
      <c r="AH770" s="251"/>
      <c r="AI770" s="251"/>
      <c r="AJ770" s="251"/>
      <c r="AK770" s="251"/>
      <c r="AL770" s="251"/>
      <c r="AM770" s="251"/>
      <c r="AN770" s="251"/>
      <c r="AO770" s="251"/>
      <c r="AP770" s="251"/>
      <c r="AQ770" s="251"/>
      <c r="AR770" s="251"/>
      <c r="AS770" s="251"/>
    </row>
    <row r="771" spans="1:45" s="44" customFormat="1" x14ac:dyDescent="0.2">
      <c r="A771" s="71"/>
      <c r="B771" s="71"/>
      <c r="C771" s="7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c r="AC771" s="251"/>
      <c r="AD771" s="251"/>
      <c r="AE771" s="251"/>
      <c r="AF771" s="251"/>
      <c r="AG771" s="251"/>
      <c r="AH771" s="251"/>
      <c r="AI771" s="251"/>
      <c r="AJ771" s="251"/>
      <c r="AK771" s="251"/>
      <c r="AL771" s="251"/>
      <c r="AM771" s="251"/>
      <c r="AN771" s="251"/>
      <c r="AO771" s="251"/>
      <c r="AP771" s="251"/>
      <c r="AQ771" s="251"/>
      <c r="AR771" s="251"/>
      <c r="AS771" s="251"/>
    </row>
    <row r="772" spans="1:45" s="44" customFormat="1" x14ac:dyDescent="0.2">
      <c r="A772" s="71"/>
      <c r="B772" s="71"/>
      <c r="C772" s="7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251"/>
      <c r="AE772" s="251"/>
      <c r="AF772" s="251"/>
      <c r="AG772" s="251"/>
      <c r="AH772" s="251"/>
      <c r="AI772" s="251"/>
      <c r="AJ772" s="251"/>
      <c r="AK772" s="251"/>
      <c r="AL772" s="251"/>
      <c r="AM772" s="251"/>
      <c r="AN772" s="251"/>
      <c r="AO772" s="251"/>
      <c r="AP772" s="251"/>
      <c r="AQ772" s="251"/>
      <c r="AR772" s="251"/>
      <c r="AS772" s="251"/>
    </row>
    <row r="773" spans="1:45" s="44" customFormat="1" x14ac:dyDescent="0.2">
      <c r="A773" s="71"/>
      <c r="B773" s="71"/>
      <c r="C773" s="7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251"/>
      <c r="AE773" s="251"/>
      <c r="AF773" s="251"/>
      <c r="AG773" s="251"/>
      <c r="AH773" s="251"/>
      <c r="AI773" s="251"/>
      <c r="AJ773" s="251"/>
      <c r="AK773" s="251"/>
      <c r="AL773" s="251"/>
      <c r="AM773" s="251"/>
      <c r="AN773" s="251"/>
      <c r="AO773" s="251"/>
      <c r="AP773" s="251"/>
      <c r="AQ773" s="251"/>
      <c r="AR773" s="251"/>
      <c r="AS773" s="251"/>
    </row>
    <row r="774" spans="1:45" s="44" customFormat="1" x14ac:dyDescent="0.2">
      <c r="A774" s="71"/>
      <c r="B774" s="71"/>
      <c r="C774" s="7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251"/>
      <c r="AE774" s="251"/>
      <c r="AF774" s="251"/>
      <c r="AG774" s="251"/>
      <c r="AH774" s="251"/>
      <c r="AI774" s="251"/>
      <c r="AJ774" s="251"/>
      <c r="AK774" s="251"/>
      <c r="AL774" s="251"/>
      <c r="AM774" s="251"/>
      <c r="AN774" s="251"/>
      <c r="AO774" s="251"/>
      <c r="AP774" s="251"/>
      <c r="AQ774" s="251"/>
      <c r="AR774" s="251"/>
      <c r="AS774" s="251"/>
    </row>
    <row r="775" spans="1:45" s="44" customFormat="1" x14ac:dyDescent="0.2">
      <c r="A775" s="71"/>
      <c r="B775" s="71"/>
      <c r="C775" s="7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251"/>
      <c r="AE775" s="251"/>
      <c r="AF775" s="251"/>
      <c r="AG775" s="251"/>
      <c r="AH775" s="251"/>
      <c r="AI775" s="251"/>
      <c r="AJ775" s="251"/>
      <c r="AK775" s="251"/>
      <c r="AL775" s="251"/>
      <c r="AM775" s="251"/>
      <c r="AN775" s="251"/>
      <c r="AO775" s="251"/>
      <c r="AP775" s="251"/>
      <c r="AQ775" s="251"/>
      <c r="AR775" s="251"/>
      <c r="AS775" s="251"/>
    </row>
    <row r="776" spans="1:45" s="44" customFormat="1" x14ac:dyDescent="0.2">
      <c r="A776" s="71"/>
      <c r="B776" s="71"/>
      <c r="C776" s="7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c r="AA776" s="251"/>
      <c r="AB776" s="251"/>
      <c r="AC776" s="251"/>
      <c r="AD776" s="251"/>
      <c r="AE776" s="251"/>
      <c r="AF776" s="251"/>
      <c r="AG776" s="251"/>
      <c r="AH776" s="251"/>
      <c r="AI776" s="251"/>
      <c r="AJ776" s="251"/>
      <c r="AK776" s="251"/>
      <c r="AL776" s="251"/>
      <c r="AM776" s="251"/>
      <c r="AN776" s="251"/>
      <c r="AO776" s="251"/>
      <c r="AP776" s="251"/>
      <c r="AQ776" s="251"/>
      <c r="AR776" s="251"/>
      <c r="AS776" s="251"/>
    </row>
    <row r="777" spans="1:45" s="44" customFormat="1" x14ac:dyDescent="0.2">
      <c r="A777" s="71"/>
      <c r="B777" s="71"/>
      <c r="C777" s="7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c r="AA777" s="251"/>
      <c r="AB777" s="251"/>
      <c r="AC777" s="251"/>
      <c r="AD777" s="251"/>
      <c r="AE777" s="251"/>
      <c r="AF777" s="251"/>
      <c r="AG777" s="251"/>
      <c r="AH777" s="251"/>
      <c r="AI777" s="251"/>
      <c r="AJ777" s="251"/>
      <c r="AK777" s="251"/>
      <c r="AL777" s="251"/>
      <c r="AM777" s="251"/>
      <c r="AN777" s="251"/>
      <c r="AO777" s="251"/>
      <c r="AP777" s="251"/>
      <c r="AQ777" s="251"/>
      <c r="AR777" s="251"/>
      <c r="AS777" s="251"/>
    </row>
    <row r="778" spans="1:45" s="44" customFormat="1" x14ac:dyDescent="0.2">
      <c r="A778" s="71"/>
      <c r="B778" s="71"/>
      <c r="C778" s="7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251"/>
      <c r="AE778" s="251"/>
      <c r="AF778" s="251"/>
      <c r="AG778" s="251"/>
      <c r="AH778" s="251"/>
      <c r="AI778" s="251"/>
      <c r="AJ778" s="251"/>
      <c r="AK778" s="251"/>
      <c r="AL778" s="251"/>
      <c r="AM778" s="251"/>
      <c r="AN778" s="251"/>
      <c r="AO778" s="251"/>
      <c r="AP778" s="251"/>
      <c r="AQ778" s="251"/>
      <c r="AR778" s="251"/>
      <c r="AS778" s="251"/>
    </row>
    <row r="779" spans="1:45" s="44" customFormat="1" x14ac:dyDescent="0.2">
      <c r="A779" s="71"/>
      <c r="B779" s="71"/>
      <c r="C779" s="7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c r="AA779" s="251"/>
      <c r="AB779" s="251"/>
      <c r="AC779" s="251"/>
      <c r="AD779" s="251"/>
      <c r="AE779" s="251"/>
      <c r="AF779" s="251"/>
      <c r="AG779" s="251"/>
      <c r="AH779" s="251"/>
      <c r="AI779" s="251"/>
      <c r="AJ779" s="251"/>
      <c r="AK779" s="251"/>
      <c r="AL779" s="251"/>
      <c r="AM779" s="251"/>
      <c r="AN779" s="251"/>
      <c r="AO779" s="251"/>
      <c r="AP779" s="251"/>
      <c r="AQ779" s="251"/>
      <c r="AR779" s="251"/>
      <c r="AS779" s="251"/>
    </row>
    <row r="780" spans="1:45" s="44" customFormat="1" x14ac:dyDescent="0.2">
      <c r="A780" s="71"/>
      <c r="B780" s="71"/>
      <c r="C780" s="7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251"/>
      <c r="AE780" s="251"/>
      <c r="AF780" s="251"/>
      <c r="AG780" s="251"/>
      <c r="AH780" s="251"/>
      <c r="AI780" s="251"/>
      <c r="AJ780" s="251"/>
      <c r="AK780" s="251"/>
      <c r="AL780" s="251"/>
      <c r="AM780" s="251"/>
      <c r="AN780" s="251"/>
      <c r="AO780" s="251"/>
      <c r="AP780" s="251"/>
      <c r="AQ780" s="251"/>
      <c r="AR780" s="251"/>
      <c r="AS780" s="251"/>
    </row>
    <row r="781" spans="1:45" s="44" customFormat="1" x14ac:dyDescent="0.2">
      <c r="A781" s="71"/>
      <c r="B781" s="71"/>
      <c r="C781" s="7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51"/>
      <c r="AE781" s="251"/>
      <c r="AF781" s="251"/>
      <c r="AG781" s="251"/>
      <c r="AH781" s="251"/>
      <c r="AI781" s="251"/>
      <c r="AJ781" s="251"/>
      <c r="AK781" s="251"/>
      <c r="AL781" s="251"/>
      <c r="AM781" s="251"/>
      <c r="AN781" s="251"/>
      <c r="AO781" s="251"/>
      <c r="AP781" s="251"/>
      <c r="AQ781" s="251"/>
      <c r="AR781" s="251"/>
      <c r="AS781" s="251"/>
    </row>
    <row r="782" spans="1:45" s="44" customFormat="1" x14ac:dyDescent="0.2">
      <c r="A782" s="71"/>
      <c r="B782" s="71"/>
      <c r="C782" s="7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c r="AA782" s="251"/>
      <c r="AB782" s="251"/>
      <c r="AC782" s="251"/>
      <c r="AD782" s="251"/>
      <c r="AE782" s="251"/>
      <c r="AF782" s="251"/>
      <c r="AG782" s="251"/>
      <c r="AH782" s="251"/>
      <c r="AI782" s="251"/>
      <c r="AJ782" s="251"/>
      <c r="AK782" s="251"/>
      <c r="AL782" s="251"/>
      <c r="AM782" s="251"/>
      <c r="AN782" s="251"/>
      <c r="AO782" s="251"/>
      <c r="AP782" s="251"/>
      <c r="AQ782" s="251"/>
      <c r="AR782" s="251"/>
      <c r="AS782" s="251"/>
    </row>
    <row r="783" spans="1:45" s="44" customFormat="1" x14ac:dyDescent="0.2">
      <c r="A783" s="71"/>
      <c r="B783" s="71"/>
      <c r="C783" s="7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c r="AA783" s="251"/>
      <c r="AB783" s="251"/>
      <c r="AC783" s="251"/>
      <c r="AD783" s="251"/>
      <c r="AE783" s="251"/>
      <c r="AF783" s="251"/>
      <c r="AG783" s="251"/>
      <c r="AH783" s="251"/>
      <c r="AI783" s="251"/>
      <c r="AJ783" s="251"/>
      <c r="AK783" s="251"/>
      <c r="AL783" s="251"/>
      <c r="AM783" s="251"/>
      <c r="AN783" s="251"/>
      <c r="AO783" s="251"/>
      <c r="AP783" s="251"/>
      <c r="AQ783" s="251"/>
      <c r="AR783" s="251"/>
      <c r="AS783" s="251"/>
    </row>
    <row r="784" spans="1:45" s="44" customFormat="1" x14ac:dyDescent="0.2">
      <c r="A784" s="71"/>
      <c r="B784" s="71"/>
      <c r="C784" s="7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251"/>
      <c r="AE784" s="251"/>
      <c r="AF784" s="251"/>
      <c r="AG784" s="251"/>
      <c r="AH784" s="251"/>
      <c r="AI784" s="251"/>
      <c r="AJ784" s="251"/>
      <c r="AK784" s="251"/>
      <c r="AL784" s="251"/>
      <c r="AM784" s="251"/>
      <c r="AN784" s="251"/>
      <c r="AO784" s="251"/>
      <c r="AP784" s="251"/>
      <c r="AQ784" s="251"/>
      <c r="AR784" s="251"/>
      <c r="AS784" s="251"/>
    </row>
    <row r="785" spans="1:45" s="44" customFormat="1" x14ac:dyDescent="0.2">
      <c r="A785" s="71"/>
      <c r="B785" s="71"/>
      <c r="C785" s="7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c r="AA785" s="251"/>
      <c r="AB785" s="251"/>
      <c r="AC785" s="251"/>
      <c r="AD785" s="251"/>
      <c r="AE785" s="251"/>
      <c r="AF785" s="251"/>
      <c r="AG785" s="251"/>
      <c r="AH785" s="251"/>
      <c r="AI785" s="251"/>
      <c r="AJ785" s="251"/>
      <c r="AK785" s="251"/>
      <c r="AL785" s="251"/>
      <c r="AM785" s="251"/>
      <c r="AN785" s="251"/>
      <c r="AO785" s="251"/>
      <c r="AP785" s="251"/>
      <c r="AQ785" s="251"/>
      <c r="AR785" s="251"/>
      <c r="AS785" s="251"/>
    </row>
    <row r="786" spans="1:45" s="44" customFormat="1" x14ac:dyDescent="0.2">
      <c r="A786" s="71"/>
      <c r="B786" s="71"/>
      <c r="C786" s="7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c r="AA786" s="251"/>
      <c r="AB786" s="251"/>
      <c r="AC786" s="251"/>
      <c r="AD786" s="251"/>
      <c r="AE786" s="251"/>
      <c r="AF786" s="251"/>
      <c r="AG786" s="251"/>
      <c r="AH786" s="251"/>
      <c r="AI786" s="251"/>
      <c r="AJ786" s="251"/>
      <c r="AK786" s="251"/>
      <c r="AL786" s="251"/>
      <c r="AM786" s="251"/>
      <c r="AN786" s="251"/>
      <c r="AO786" s="251"/>
      <c r="AP786" s="251"/>
      <c r="AQ786" s="251"/>
      <c r="AR786" s="251"/>
      <c r="AS786" s="251"/>
    </row>
    <row r="787" spans="1:45" s="44" customFormat="1" x14ac:dyDescent="0.2">
      <c r="A787" s="71"/>
      <c r="B787" s="71"/>
      <c r="C787" s="7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251"/>
      <c r="AE787" s="251"/>
      <c r="AF787" s="251"/>
      <c r="AG787" s="251"/>
      <c r="AH787" s="251"/>
      <c r="AI787" s="251"/>
      <c r="AJ787" s="251"/>
      <c r="AK787" s="251"/>
      <c r="AL787" s="251"/>
      <c r="AM787" s="251"/>
      <c r="AN787" s="251"/>
      <c r="AO787" s="251"/>
      <c r="AP787" s="251"/>
      <c r="AQ787" s="251"/>
      <c r="AR787" s="251"/>
      <c r="AS787" s="251"/>
    </row>
    <row r="788" spans="1:45" s="44" customFormat="1" x14ac:dyDescent="0.2">
      <c r="A788" s="71"/>
      <c r="B788" s="71"/>
      <c r="C788" s="7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s="251"/>
      <c r="AG788" s="251"/>
      <c r="AH788" s="251"/>
      <c r="AI788" s="251"/>
      <c r="AJ788" s="251"/>
      <c r="AK788" s="251"/>
      <c r="AL788" s="251"/>
      <c r="AM788" s="251"/>
      <c r="AN788" s="251"/>
      <c r="AO788" s="251"/>
      <c r="AP788" s="251"/>
      <c r="AQ788" s="251"/>
      <c r="AR788" s="251"/>
      <c r="AS788" s="251"/>
    </row>
    <row r="789" spans="1:45" s="44" customFormat="1" x14ac:dyDescent="0.2">
      <c r="A789" s="71"/>
      <c r="B789" s="71"/>
      <c r="C789" s="7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c r="AA789" s="251"/>
      <c r="AB789" s="251"/>
      <c r="AC789" s="251"/>
      <c r="AD789" s="251"/>
      <c r="AE789" s="251"/>
      <c r="AF789" s="251"/>
      <c r="AG789" s="251"/>
      <c r="AH789" s="251"/>
      <c r="AI789" s="251"/>
      <c r="AJ789" s="251"/>
      <c r="AK789" s="251"/>
      <c r="AL789" s="251"/>
      <c r="AM789" s="251"/>
      <c r="AN789" s="251"/>
      <c r="AO789" s="251"/>
      <c r="AP789" s="251"/>
      <c r="AQ789" s="251"/>
      <c r="AR789" s="251"/>
      <c r="AS789" s="251"/>
    </row>
    <row r="790" spans="1:45" s="44" customFormat="1" x14ac:dyDescent="0.2">
      <c r="A790" s="71"/>
      <c r="B790" s="71"/>
      <c r="C790" s="7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c r="AC790" s="251"/>
      <c r="AD790" s="251"/>
      <c r="AE790" s="251"/>
      <c r="AF790" s="251"/>
      <c r="AG790" s="251"/>
      <c r="AH790" s="251"/>
      <c r="AI790" s="251"/>
      <c r="AJ790" s="251"/>
      <c r="AK790" s="251"/>
      <c r="AL790" s="251"/>
      <c r="AM790" s="251"/>
      <c r="AN790" s="251"/>
      <c r="AO790" s="251"/>
      <c r="AP790" s="251"/>
      <c r="AQ790" s="251"/>
      <c r="AR790" s="251"/>
      <c r="AS790" s="251"/>
    </row>
    <row r="791" spans="1:45" s="44" customFormat="1" x14ac:dyDescent="0.2">
      <c r="A791" s="71"/>
      <c r="B791" s="71"/>
      <c r="C791" s="7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c r="AC791" s="251"/>
      <c r="AD791" s="251"/>
      <c r="AE791" s="251"/>
      <c r="AF791" s="251"/>
      <c r="AG791" s="251"/>
      <c r="AH791" s="251"/>
      <c r="AI791" s="251"/>
      <c r="AJ791" s="251"/>
      <c r="AK791" s="251"/>
      <c r="AL791" s="251"/>
      <c r="AM791" s="251"/>
      <c r="AN791" s="251"/>
      <c r="AO791" s="251"/>
      <c r="AP791" s="251"/>
      <c r="AQ791" s="251"/>
      <c r="AR791" s="251"/>
      <c r="AS791" s="251"/>
    </row>
    <row r="792" spans="1:45" s="44" customFormat="1" x14ac:dyDescent="0.2">
      <c r="A792" s="71"/>
      <c r="B792" s="71"/>
      <c r="C792" s="7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c r="AA792" s="251"/>
      <c r="AB792" s="251"/>
      <c r="AC792" s="251"/>
      <c r="AD792" s="251"/>
      <c r="AE792" s="251"/>
      <c r="AF792" s="251"/>
      <c r="AG792" s="251"/>
      <c r="AH792" s="251"/>
      <c r="AI792" s="251"/>
      <c r="AJ792" s="251"/>
      <c r="AK792" s="251"/>
      <c r="AL792" s="251"/>
      <c r="AM792" s="251"/>
      <c r="AN792" s="251"/>
      <c r="AO792" s="251"/>
      <c r="AP792" s="251"/>
      <c r="AQ792" s="251"/>
      <c r="AR792" s="251"/>
      <c r="AS792" s="251"/>
    </row>
    <row r="793" spans="1:45" s="44" customFormat="1" x14ac:dyDescent="0.2">
      <c r="A793" s="71"/>
      <c r="B793" s="71"/>
      <c r="C793" s="7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c r="AC793" s="251"/>
      <c r="AD793" s="251"/>
      <c r="AE793" s="251"/>
      <c r="AF793" s="251"/>
      <c r="AG793" s="251"/>
      <c r="AH793" s="251"/>
      <c r="AI793" s="251"/>
      <c r="AJ793" s="251"/>
      <c r="AK793" s="251"/>
      <c r="AL793" s="251"/>
      <c r="AM793" s="251"/>
      <c r="AN793" s="251"/>
      <c r="AO793" s="251"/>
      <c r="AP793" s="251"/>
      <c r="AQ793" s="251"/>
      <c r="AR793" s="251"/>
      <c r="AS793" s="251"/>
    </row>
    <row r="794" spans="1:45" s="44" customFormat="1" x14ac:dyDescent="0.2">
      <c r="A794" s="71"/>
      <c r="B794" s="71"/>
      <c r="C794" s="7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c r="AA794" s="251"/>
      <c r="AB794" s="251"/>
      <c r="AC794" s="251"/>
      <c r="AD794" s="251"/>
      <c r="AE794" s="251"/>
      <c r="AF794" s="251"/>
      <c r="AG794" s="251"/>
      <c r="AH794" s="251"/>
      <c r="AI794" s="251"/>
      <c r="AJ794" s="251"/>
      <c r="AK794" s="251"/>
      <c r="AL794" s="251"/>
      <c r="AM794" s="251"/>
      <c r="AN794" s="251"/>
      <c r="AO794" s="251"/>
      <c r="AP794" s="251"/>
      <c r="AQ794" s="251"/>
      <c r="AR794" s="251"/>
      <c r="AS794" s="251"/>
    </row>
    <row r="795" spans="1:45" s="44" customFormat="1" x14ac:dyDescent="0.2">
      <c r="A795" s="71"/>
      <c r="B795" s="71"/>
      <c r="C795" s="7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251"/>
      <c r="AE795" s="251"/>
      <c r="AF795" s="251"/>
      <c r="AG795" s="251"/>
      <c r="AH795" s="251"/>
      <c r="AI795" s="251"/>
      <c r="AJ795" s="251"/>
      <c r="AK795" s="251"/>
      <c r="AL795" s="251"/>
      <c r="AM795" s="251"/>
      <c r="AN795" s="251"/>
      <c r="AO795" s="251"/>
      <c r="AP795" s="251"/>
      <c r="AQ795" s="251"/>
      <c r="AR795" s="251"/>
      <c r="AS795" s="251"/>
    </row>
    <row r="796" spans="1:45" s="44" customFormat="1" x14ac:dyDescent="0.2">
      <c r="A796" s="71"/>
      <c r="B796" s="71"/>
      <c r="C796" s="7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251"/>
      <c r="AE796" s="251"/>
      <c r="AF796" s="251"/>
      <c r="AG796" s="251"/>
      <c r="AH796" s="251"/>
      <c r="AI796" s="251"/>
      <c r="AJ796" s="251"/>
      <c r="AK796" s="251"/>
      <c r="AL796" s="251"/>
      <c r="AM796" s="251"/>
      <c r="AN796" s="251"/>
      <c r="AO796" s="251"/>
      <c r="AP796" s="251"/>
      <c r="AQ796" s="251"/>
      <c r="AR796" s="251"/>
      <c r="AS796" s="251"/>
    </row>
    <row r="797" spans="1:45" s="44" customFormat="1" x14ac:dyDescent="0.2">
      <c r="A797" s="71"/>
      <c r="B797" s="71"/>
      <c r="C797" s="7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251"/>
      <c r="AE797" s="251"/>
      <c r="AF797" s="251"/>
      <c r="AG797" s="251"/>
      <c r="AH797" s="251"/>
      <c r="AI797" s="251"/>
      <c r="AJ797" s="251"/>
      <c r="AK797" s="251"/>
      <c r="AL797" s="251"/>
      <c r="AM797" s="251"/>
      <c r="AN797" s="251"/>
      <c r="AO797" s="251"/>
      <c r="AP797" s="251"/>
      <c r="AQ797" s="251"/>
      <c r="AR797" s="251"/>
      <c r="AS797" s="251"/>
    </row>
    <row r="798" spans="1:45" s="44" customFormat="1" x14ac:dyDescent="0.2">
      <c r="A798" s="71"/>
      <c r="B798" s="71"/>
      <c r="C798" s="7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251"/>
      <c r="AE798" s="251"/>
      <c r="AF798" s="251"/>
      <c r="AG798" s="251"/>
      <c r="AH798" s="251"/>
      <c r="AI798" s="251"/>
      <c r="AJ798" s="251"/>
      <c r="AK798" s="251"/>
      <c r="AL798" s="251"/>
      <c r="AM798" s="251"/>
      <c r="AN798" s="251"/>
      <c r="AO798" s="251"/>
      <c r="AP798" s="251"/>
      <c r="AQ798" s="251"/>
      <c r="AR798" s="251"/>
      <c r="AS798" s="251"/>
    </row>
    <row r="799" spans="1:45" s="44" customFormat="1" x14ac:dyDescent="0.2">
      <c r="A799" s="71"/>
      <c r="B799" s="71"/>
      <c r="C799" s="7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c r="AA799" s="251"/>
      <c r="AB799" s="251"/>
      <c r="AC799" s="251"/>
      <c r="AD799" s="251"/>
      <c r="AE799" s="251"/>
      <c r="AF799" s="251"/>
      <c r="AG799" s="251"/>
      <c r="AH799" s="251"/>
      <c r="AI799" s="251"/>
      <c r="AJ799" s="251"/>
      <c r="AK799" s="251"/>
      <c r="AL799" s="251"/>
      <c r="AM799" s="251"/>
      <c r="AN799" s="251"/>
      <c r="AO799" s="251"/>
      <c r="AP799" s="251"/>
      <c r="AQ799" s="251"/>
      <c r="AR799" s="251"/>
      <c r="AS799" s="251"/>
    </row>
    <row r="800" spans="1:45" s="44" customFormat="1" x14ac:dyDescent="0.2">
      <c r="A800" s="71"/>
      <c r="B800" s="71"/>
      <c r="C800" s="7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c r="AA800" s="251"/>
      <c r="AB800" s="251"/>
      <c r="AC800" s="251"/>
      <c r="AD800" s="251"/>
      <c r="AE800" s="251"/>
      <c r="AF800" s="251"/>
      <c r="AG800" s="251"/>
      <c r="AH800" s="251"/>
      <c r="AI800" s="251"/>
      <c r="AJ800" s="251"/>
      <c r="AK800" s="251"/>
      <c r="AL800" s="251"/>
      <c r="AM800" s="251"/>
      <c r="AN800" s="251"/>
      <c r="AO800" s="251"/>
      <c r="AP800" s="251"/>
      <c r="AQ800" s="251"/>
      <c r="AR800" s="251"/>
      <c r="AS800" s="251"/>
    </row>
    <row r="801" spans="1:45" s="44" customFormat="1" x14ac:dyDescent="0.2">
      <c r="A801" s="71"/>
      <c r="B801" s="71"/>
      <c r="C801" s="7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c r="AA801" s="251"/>
      <c r="AB801" s="251"/>
      <c r="AC801" s="251"/>
      <c r="AD801" s="251"/>
      <c r="AE801" s="251"/>
      <c r="AF801" s="251"/>
      <c r="AG801" s="251"/>
      <c r="AH801" s="251"/>
      <c r="AI801" s="251"/>
      <c r="AJ801" s="251"/>
      <c r="AK801" s="251"/>
      <c r="AL801" s="251"/>
      <c r="AM801" s="251"/>
      <c r="AN801" s="251"/>
      <c r="AO801" s="251"/>
      <c r="AP801" s="251"/>
      <c r="AQ801" s="251"/>
      <c r="AR801" s="251"/>
      <c r="AS801" s="251"/>
    </row>
    <row r="802" spans="1:45" s="44" customFormat="1" x14ac:dyDescent="0.2">
      <c r="A802" s="71"/>
      <c r="B802" s="71"/>
      <c r="C802" s="7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251"/>
      <c r="AE802" s="251"/>
      <c r="AF802" s="251"/>
      <c r="AG802" s="251"/>
      <c r="AH802" s="251"/>
      <c r="AI802" s="251"/>
      <c r="AJ802" s="251"/>
      <c r="AK802" s="251"/>
      <c r="AL802" s="251"/>
      <c r="AM802" s="251"/>
      <c r="AN802" s="251"/>
      <c r="AO802" s="251"/>
      <c r="AP802" s="251"/>
      <c r="AQ802" s="251"/>
      <c r="AR802" s="251"/>
      <c r="AS802" s="251"/>
    </row>
    <row r="803" spans="1:45" s="44" customFormat="1" x14ac:dyDescent="0.2">
      <c r="A803" s="71"/>
      <c r="B803" s="71"/>
      <c r="C803" s="7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251"/>
      <c r="AE803" s="251"/>
      <c r="AF803" s="251"/>
      <c r="AG803" s="251"/>
      <c r="AH803" s="251"/>
      <c r="AI803" s="251"/>
      <c r="AJ803" s="251"/>
      <c r="AK803" s="251"/>
      <c r="AL803" s="251"/>
      <c r="AM803" s="251"/>
      <c r="AN803" s="251"/>
      <c r="AO803" s="251"/>
      <c r="AP803" s="251"/>
      <c r="AQ803" s="251"/>
      <c r="AR803" s="251"/>
      <c r="AS803" s="251"/>
    </row>
    <row r="804" spans="1:45" s="44" customFormat="1" x14ac:dyDescent="0.2">
      <c r="A804" s="71"/>
      <c r="B804" s="71"/>
      <c r="C804" s="7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c r="AA804" s="251"/>
      <c r="AB804" s="251"/>
      <c r="AC804" s="251"/>
      <c r="AD804" s="251"/>
      <c r="AE804" s="251"/>
      <c r="AF804" s="251"/>
      <c r="AG804" s="251"/>
      <c r="AH804" s="251"/>
      <c r="AI804" s="251"/>
      <c r="AJ804" s="251"/>
      <c r="AK804" s="251"/>
      <c r="AL804" s="251"/>
      <c r="AM804" s="251"/>
      <c r="AN804" s="251"/>
      <c r="AO804" s="251"/>
      <c r="AP804" s="251"/>
      <c r="AQ804" s="251"/>
      <c r="AR804" s="251"/>
      <c r="AS804" s="251"/>
    </row>
    <row r="805" spans="1:45" s="44" customFormat="1" x14ac:dyDescent="0.2">
      <c r="A805" s="71"/>
      <c r="B805" s="71"/>
      <c r="C805" s="7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c r="AA805" s="251"/>
      <c r="AB805" s="251"/>
      <c r="AC805" s="251"/>
      <c r="AD805" s="251"/>
      <c r="AE805" s="251"/>
      <c r="AF805" s="251"/>
      <c r="AG805" s="251"/>
      <c r="AH805" s="251"/>
      <c r="AI805" s="251"/>
      <c r="AJ805" s="251"/>
      <c r="AK805" s="251"/>
      <c r="AL805" s="251"/>
      <c r="AM805" s="251"/>
      <c r="AN805" s="251"/>
      <c r="AO805" s="251"/>
      <c r="AP805" s="251"/>
      <c r="AQ805" s="251"/>
      <c r="AR805" s="251"/>
      <c r="AS805" s="251"/>
    </row>
    <row r="806" spans="1:45" s="44" customFormat="1" x14ac:dyDescent="0.2">
      <c r="A806" s="71"/>
      <c r="B806" s="71"/>
      <c r="C806" s="7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251"/>
      <c r="AE806" s="251"/>
      <c r="AF806" s="251"/>
      <c r="AG806" s="251"/>
      <c r="AH806" s="251"/>
      <c r="AI806" s="251"/>
      <c r="AJ806" s="251"/>
      <c r="AK806" s="251"/>
      <c r="AL806" s="251"/>
      <c r="AM806" s="251"/>
      <c r="AN806" s="251"/>
      <c r="AO806" s="251"/>
      <c r="AP806" s="251"/>
      <c r="AQ806" s="251"/>
      <c r="AR806" s="251"/>
      <c r="AS806" s="251"/>
    </row>
    <row r="807" spans="1:45" s="44" customFormat="1" x14ac:dyDescent="0.2">
      <c r="A807" s="71"/>
      <c r="B807" s="71"/>
      <c r="C807" s="7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c r="AC807" s="251"/>
      <c r="AD807" s="251"/>
      <c r="AE807" s="251"/>
      <c r="AF807" s="251"/>
      <c r="AG807" s="251"/>
      <c r="AH807" s="251"/>
      <c r="AI807" s="251"/>
      <c r="AJ807" s="251"/>
      <c r="AK807" s="251"/>
      <c r="AL807" s="251"/>
      <c r="AM807" s="251"/>
      <c r="AN807" s="251"/>
      <c r="AO807" s="251"/>
      <c r="AP807" s="251"/>
      <c r="AQ807" s="251"/>
      <c r="AR807" s="251"/>
      <c r="AS807" s="251"/>
    </row>
    <row r="808" spans="1:45" s="44" customFormat="1" x14ac:dyDescent="0.2">
      <c r="A808" s="71"/>
      <c r="B808" s="71"/>
      <c r="C808" s="7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c r="AA808" s="251"/>
      <c r="AB808" s="251"/>
      <c r="AC808" s="251"/>
      <c r="AD808" s="251"/>
      <c r="AE808" s="251"/>
      <c r="AF808" s="251"/>
      <c r="AG808" s="251"/>
      <c r="AH808" s="251"/>
      <c r="AI808" s="251"/>
      <c r="AJ808" s="251"/>
      <c r="AK808" s="251"/>
      <c r="AL808" s="251"/>
      <c r="AM808" s="251"/>
      <c r="AN808" s="251"/>
      <c r="AO808" s="251"/>
      <c r="AP808" s="251"/>
      <c r="AQ808" s="251"/>
      <c r="AR808" s="251"/>
      <c r="AS808" s="251"/>
    </row>
    <row r="809" spans="1:45" s="44" customFormat="1" x14ac:dyDescent="0.2">
      <c r="A809" s="71"/>
      <c r="B809" s="71"/>
      <c r="C809" s="71"/>
      <c r="D809" s="251"/>
      <c r="E809" s="251"/>
      <c r="F809" s="251"/>
      <c r="G809" s="251"/>
      <c r="H809" s="251"/>
      <c r="I809" s="251"/>
      <c r="J809" s="251"/>
      <c r="K809" s="251"/>
      <c r="L809" s="251"/>
      <c r="M809" s="251"/>
      <c r="N809" s="251"/>
      <c r="O809" s="251"/>
      <c r="P809" s="251"/>
      <c r="Q809" s="251"/>
      <c r="R809" s="251"/>
      <c r="S809" s="251"/>
      <c r="T809" s="251"/>
      <c r="U809" s="251"/>
      <c r="V809" s="251"/>
      <c r="W809" s="251"/>
      <c r="X809" s="251"/>
      <c r="Y809" s="251"/>
      <c r="Z809" s="251"/>
      <c r="AA809" s="251"/>
      <c r="AB809" s="251"/>
      <c r="AC809" s="251"/>
      <c r="AD809" s="251"/>
      <c r="AE809" s="251"/>
      <c r="AF809" s="251"/>
      <c r="AG809" s="251"/>
      <c r="AH809" s="251"/>
      <c r="AI809" s="251"/>
      <c r="AJ809" s="251"/>
      <c r="AK809" s="251"/>
      <c r="AL809" s="251"/>
      <c r="AM809" s="251"/>
      <c r="AN809" s="251"/>
      <c r="AO809" s="251"/>
      <c r="AP809" s="251"/>
      <c r="AQ809" s="251"/>
      <c r="AR809" s="251"/>
      <c r="AS809" s="251"/>
    </row>
    <row r="810" spans="1:45" s="44" customFormat="1" x14ac:dyDescent="0.2">
      <c r="A810" s="71"/>
      <c r="B810" s="71"/>
      <c r="C810" s="71"/>
      <c r="D810" s="251"/>
      <c r="E810" s="251"/>
      <c r="F810" s="251"/>
      <c r="G810" s="251"/>
      <c r="H810" s="251"/>
      <c r="I810" s="251"/>
      <c r="J810" s="251"/>
      <c r="K810" s="251"/>
      <c r="L810" s="251"/>
      <c r="M810" s="251"/>
      <c r="N810" s="251"/>
      <c r="O810" s="251"/>
      <c r="P810" s="251"/>
      <c r="Q810" s="251"/>
      <c r="R810" s="251"/>
      <c r="S810" s="251"/>
      <c r="T810" s="251"/>
      <c r="U810" s="251"/>
      <c r="V810" s="251"/>
      <c r="W810" s="251"/>
      <c r="X810" s="251"/>
      <c r="Y810" s="251"/>
      <c r="Z810" s="251"/>
      <c r="AA810" s="251"/>
      <c r="AB810" s="251"/>
      <c r="AC810" s="251"/>
      <c r="AD810" s="251"/>
      <c r="AE810" s="251"/>
      <c r="AF810" s="251"/>
      <c r="AG810" s="251"/>
      <c r="AH810" s="251"/>
      <c r="AI810" s="251"/>
      <c r="AJ810" s="251"/>
      <c r="AK810" s="251"/>
      <c r="AL810" s="251"/>
      <c r="AM810" s="251"/>
      <c r="AN810" s="251"/>
      <c r="AO810" s="251"/>
      <c r="AP810" s="251"/>
      <c r="AQ810" s="251"/>
      <c r="AR810" s="251"/>
      <c r="AS810" s="251"/>
    </row>
    <row r="811" spans="1:45" s="44" customFormat="1" x14ac:dyDescent="0.2">
      <c r="A811" s="71"/>
      <c r="B811" s="71"/>
      <c r="C811" s="71"/>
      <c r="D811" s="251"/>
      <c r="E811" s="251"/>
      <c r="F811" s="251"/>
      <c r="G811" s="251"/>
      <c r="H811" s="251"/>
      <c r="I811" s="251"/>
      <c r="J811" s="251"/>
      <c r="K811" s="251"/>
      <c r="L811" s="251"/>
      <c r="M811" s="251"/>
      <c r="N811" s="251"/>
      <c r="O811" s="251"/>
      <c r="P811" s="251"/>
      <c r="Q811" s="251"/>
      <c r="R811" s="251"/>
      <c r="S811" s="251"/>
      <c r="T811" s="251"/>
      <c r="U811" s="251"/>
      <c r="V811" s="251"/>
      <c r="W811" s="251"/>
      <c r="X811" s="251"/>
      <c r="Y811" s="251"/>
      <c r="Z811" s="251"/>
      <c r="AA811" s="251"/>
      <c r="AB811" s="251"/>
      <c r="AC811" s="251"/>
      <c r="AD811" s="251"/>
      <c r="AE811" s="251"/>
      <c r="AF811" s="251"/>
      <c r="AG811" s="251"/>
      <c r="AH811" s="251"/>
      <c r="AI811" s="251"/>
      <c r="AJ811" s="251"/>
      <c r="AK811" s="251"/>
      <c r="AL811" s="251"/>
      <c r="AM811" s="251"/>
      <c r="AN811" s="251"/>
      <c r="AO811" s="251"/>
      <c r="AP811" s="251"/>
      <c r="AQ811" s="251"/>
      <c r="AR811" s="251"/>
      <c r="AS811" s="251"/>
    </row>
    <row r="812" spans="1:45" s="44" customFormat="1" x14ac:dyDescent="0.2">
      <c r="A812" s="71"/>
      <c r="B812" s="71"/>
      <c r="C812" s="7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c r="AA812" s="251"/>
      <c r="AB812" s="251"/>
      <c r="AC812" s="251"/>
      <c r="AD812" s="251"/>
      <c r="AE812" s="251"/>
      <c r="AF812" s="251"/>
      <c r="AG812" s="251"/>
      <c r="AH812" s="251"/>
      <c r="AI812" s="251"/>
      <c r="AJ812" s="251"/>
      <c r="AK812" s="251"/>
      <c r="AL812" s="251"/>
      <c r="AM812" s="251"/>
      <c r="AN812" s="251"/>
      <c r="AO812" s="251"/>
      <c r="AP812" s="251"/>
      <c r="AQ812" s="251"/>
      <c r="AR812" s="251"/>
      <c r="AS812" s="251"/>
    </row>
    <row r="813" spans="1:45" s="44" customFormat="1" x14ac:dyDescent="0.2">
      <c r="A813" s="71"/>
      <c r="B813" s="71"/>
      <c r="C813" s="7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s="251"/>
      <c r="AG813" s="251"/>
      <c r="AH813" s="251"/>
      <c r="AI813" s="251"/>
      <c r="AJ813" s="251"/>
      <c r="AK813" s="251"/>
      <c r="AL813" s="251"/>
      <c r="AM813" s="251"/>
      <c r="AN813" s="251"/>
      <c r="AO813" s="251"/>
      <c r="AP813" s="251"/>
      <c r="AQ813" s="251"/>
      <c r="AR813" s="251"/>
      <c r="AS813" s="251"/>
    </row>
    <row r="814" spans="1:45" s="44" customFormat="1" x14ac:dyDescent="0.2">
      <c r="A814" s="71"/>
      <c r="B814" s="71"/>
      <c r="C814" s="7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K814" s="251"/>
      <c r="AL814" s="251"/>
      <c r="AM814" s="251"/>
      <c r="AN814" s="251"/>
      <c r="AO814" s="251"/>
      <c r="AP814" s="251"/>
      <c r="AQ814" s="251"/>
      <c r="AR814" s="251"/>
      <c r="AS814" s="251"/>
    </row>
    <row r="815" spans="1:45" s="44" customFormat="1" x14ac:dyDescent="0.2">
      <c r="A815" s="71"/>
      <c r="B815" s="71"/>
      <c r="C815" s="7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c r="AA815" s="251"/>
      <c r="AB815" s="251"/>
      <c r="AC815" s="251"/>
      <c r="AD815" s="251"/>
      <c r="AE815" s="251"/>
      <c r="AF815" s="251"/>
      <c r="AG815" s="251"/>
      <c r="AH815" s="251"/>
      <c r="AI815" s="251"/>
      <c r="AJ815" s="251"/>
      <c r="AK815" s="251"/>
      <c r="AL815" s="251"/>
      <c r="AM815" s="251"/>
      <c r="AN815" s="251"/>
      <c r="AO815" s="251"/>
      <c r="AP815" s="251"/>
      <c r="AQ815" s="251"/>
      <c r="AR815" s="251"/>
      <c r="AS815" s="251"/>
    </row>
    <row r="816" spans="1:45" s="44" customFormat="1" x14ac:dyDescent="0.2">
      <c r="A816" s="71"/>
      <c r="B816" s="71"/>
      <c r="C816" s="7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K816" s="251"/>
      <c r="AL816" s="251"/>
      <c r="AM816" s="251"/>
      <c r="AN816" s="251"/>
      <c r="AO816" s="251"/>
      <c r="AP816" s="251"/>
      <c r="AQ816" s="251"/>
      <c r="AR816" s="251"/>
      <c r="AS816" s="251"/>
    </row>
    <row r="817" spans="1:45" s="44" customFormat="1" x14ac:dyDescent="0.2">
      <c r="A817" s="71"/>
      <c r="B817" s="71"/>
      <c r="C817" s="7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c r="AC817" s="251"/>
      <c r="AD817" s="251"/>
      <c r="AE817" s="251"/>
      <c r="AF817" s="251"/>
      <c r="AG817" s="251"/>
      <c r="AH817" s="251"/>
      <c r="AI817" s="251"/>
      <c r="AJ817" s="251"/>
      <c r="AK817" s="251"/>
      <c r="AL817" s="251"/>
      <c r="AM817" s="251"/>
      <c r="AN817" s="251"/>
      <c r="AO817" s="251"/>
      <c r="AP817" s="251"/>
      <c r="AQ817" s="251"/>
      <c r="AR817" s="251"/>
      <c r="AS817" s="251"/>
    </row>
    <row r="818" spans="1:45" s="44" customFormat="1" x14ac:dyDescent="0.2">
      <c r="A818" s="71"/>
      <c r="B818" s="71"/>
      <c r="C818" s="71"/>
      <c r="D818" s="251"/>
      <c r="E818" s="251"/>
      <c r="F818" s="251"/>
      <c r="G818" s="251"/>
      <c r="H818" s="251"/>
      <c r="I818" s="251"/>
      <c r="J818" s="251"/>
      <c r="K818" s="251"/>
      <c r="L818" s="251"/>
      <c r="M818" s="251"/>
      <c r="N818" s="251"/>
      <c r="O818" s="251"/>
      <c r="P818" s="251"/>
      <c r="Q818" s="251"/>
      <c r="R818" s="251"/>
      <c r="S818" s="251"/>
      <c r="T818" s="251"/>
      <c r="U818" s="251"/>
      <c r="V818" s="251"/>
      <c r="W818" s="251"/>
      <c r="X818" s="251"/>
      <c r="Y818" s="251"/>
      <c r="Z818" s="251"/>
      <c r="AA818" s="251"/>
      <c r="AB818" s="251"/>
      <c r="AC818" s="251"/>
      <c r="AD818" s="251"/>
      <c r="AE818" s="251"/>
      <c r="AF818" s="251"/>
      <c r="AG818" s="251"/>
      <c r="AH818" s="251"/>
      <c r="AI818" s="251"/>
      <c r="AJ818" s="251"/>
      <c r="AK818" s="251"/>
      <c r="AL818" s="251"/>
      <c r="AM818" s="251"/>
      <c r="AN818" s="251"/>
      <c r="AO818" s="251"/>
      <c r="AP818" s="251"/>
      <c r="AQ818" s="251"/>
      <c r="AR818" s="251"/>
      <c r="AS818" s="251"/>
    </row>
    <row r="819" spans="1:45" s="44" customFormat="1" x14ac:dyDescent="0.2">
      <c r="A819" s="71"/>
      <c r="B819" s="71"/>
      <c r="C819" s="7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c r="AA819" s="251"/>
      <c r="AB819" s="251"/>
      <c r="AC819" s="251"/>
      <c r="AD819" s="251"/>
      <c r="AE819" s="251"/>
      <c r="AF819" s="251"/>
      <c r="AG819" s="251"/>
      <c r="AH819" s="251"/>
      <c r="AI819" s="251"/>
      <c r="AJ819" s="251"/>
      <c r="AK819" s="251"/>
      <c r="AL819" s="251"/>
      <c r="AM819" s="251"/>
      <c r="AN819" s="251"/>
      <c r="AO819" s="251"/>
      <c r="AP819" s="251"/>
      <c r="AQ819" s="251"/>
      <c r="AR819" s="251"/>
      <c r="AS819" s="251"/>
    </row>
    <row r="820" spans="1:45" s="44" customFormat="1" x14ac:dyDescent="0.2">
      <c r="A820" s="71"/>
      <c r="B820" s="71"/>
      <c r="C820" s="7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251"/>
      <c r="AE820" s="251"/>
      <c r="AF820" s="251"/>
      <c r="AG820" s="251"/>
      <c r="AH820" s="251"/>
      <c r="AI820" s="251"/>
      <c r="AJ820" s="251"/>
      <c r="AK820" s="251"/>
      <c r="AL820" s="251"/>
      <c r="AM820" s="251"/>
      <c r="AN820" s="251"/>
      <c r="AO820" s="251"/>
      <c r="AP820" s="251"/>
      <c r="AQ820" s="251"/>
      <c r="AR820" s="251"/>
      <c r="AS820" s="251"/>
    </row>
    <row r="821" spans="1:45" s="44" customFormat="1" x14ac:dyDescent="0.2">
      <c r="A821" s="71"/>
      <c r="B821" s="71"/>
      <c r="C821" s="71"/>
      <c r="D821" s="251"/>
      <c r="E821" s="251"/>
      <c r="F821" s="251"/>
      <c r="G821" s="251"/>
      <c r="H821" s="251"/>
      <c r="I821" s="251"/>
      <c r="J821" s="251"/>
      <c r="K821" s="251"/>
      <c r="L821" s="251"/>
      <c r="M821" s="251"/>
      <c r="N821" s="251"/>
      <c r="O821" s="251"/>
      <c r="P821" s="251"/>
      <c r="Q821" s="251"/>
      <c r="R821" s="251"/>
      <c r="S821" s="251"/>
      <c r="T821" s="251"/>
      <c r="U821" s="251"/>
      <c r="V821" s="251"/>
      <c r="W821" s="251"/>
      <c r="X821" s="251"/>
      <c r="Y821" s="251"/>
      <c r="Z821" s="251"/>
      <c r="AA821" s="251"/>
      <c r="AB821" s="251"/>
      <c r="AC821" s="251"/>
      <c r="AD821" s="251"/>
      <c r="AE821" s="251"/>
      <c r="AF821" s="251"/>
      <c r="AG821" s="251"/>
      <c r="AH821" s="251"/>
      <c r="AI821" s="251"/>
      <c r="AJ821" s="251"/>
      <c r="AK821" s="251"/>
      <c r="AL821" s="251"/>
      <c r="AM821" s="251"/>
      <c r="AN821" s="251"/>
      <c r="AO821" s="251"/>
      <c r="AP821" s="251"/>
      <c r="AQ821" s="251"/>
      <c r="AR821" s="251"/>
      <c r="AS821" s="251"/>
    </row>
    <row r="822" spans="1:45" s="44" customFormat="1" x14ac:dyDescent="0.2">
      <c r="A822" s="71"/>
      <c r="B822" s="71"/>
      <c r="C822" s="71"/>
      <c r="D822" s="251"/>
      <c r="E822" s="251"/>
      <c r="F822" s="251"/>
      <c r="G822" s="251"/>
      <c r="H822" s="251"/>
      <c r="I822" s="251"/>
      <c r="J822" s="251"/>
      <c r="K822" s="251"/>
      <c r="L822" s="251"/>
      <c r="M822" s="251"/>
      <c r="N822" s="251"/>
      <c r="O822" s="251"/>
      <c r="P822" s="251"/>
      <c r="Q822" s="251"/>
      <c r="R822" s="251"/>
      <c r="S822" s="251"/>
      <c r="T822" s="251"/>
      <c r="U822" s="251"/>
      <c r="V822" s="251"/>
      <c r="W822" s="251"/>
      <c r="X822" s="251"/>
      <c r="Y822" s="251"/>
      <c r="Z822" s="251"/>
      <c r="AA822" s="251"/>
      <c r="AB822" s="251"/>
      <c r="AC822" s="251"/>
      <c r="AD822" s="251"/>
      <c r="AE822" s="251"/>
      <c r="AF822" s="251"/>
      <c r="AG822" s="251"/>
      <c r="AH822" s="251"/>
      <c r="AI822" s="251"/>
      <c r="AJ822" s="251"/>
      <c r="AK822" s="251"/>
      <c r="AL822" s="251"/>
      <c r="AM822" s="251"/>
      <c r="AN822" s="251"/>
      <c r="AO822" s="251"/>
      <c r="AP822" s="251"/>
      <c r="AQ822" s="251"/>
      <c r="AR822" s="251"/>
      <c r="AS822" s="251"/>
    </row>
    <row r="823" spans="1:45" s="44" customFormat="1" x14ac:dyDescent="0.2">
      <c r="A823" s="71"/>
      <c r="B823" s="71"/>
      <c r="C823" s="71"/>
      <c r="D823" s="251"/>
      <c r="E823" s="251"/>
      <c r="F823" s="251"/>
      <c r="G823" s="251"/>
      <c r="H823" s="251"/>
      <c r="I823" s="251"/>
      <c r="J823" s="251"/>
      <c r="K823" s="251"/>
      <c r="L823" s="251"/>
      <c r="M823" s="251"/>
      <c r="N823" s="251"/>
      <c r="O823" s="251"/>
      <c r="P823" s="251"/>
      <c r="Q823" s="251"/>
      <c r="R823" s="251"/>
      <c r="S823" s="251"/>
      <c r="T823" s="251"/>
      <c r="U823" s="251"/>
      <c r="V823" s="251"/>
      <c r="W823" s="251"/>
      <c r="X823" s="251"/>
      <c r="Y823" s="251"/>
      <c r="Z823" s="251"/>
      <c r="AA823" s="251"/>
      <c r="AB823" s="251"/>
      <c r="AC823" s="251"/>
      <c r="AD823" s="251"/>
      <c r="AE823" s="251"/>
      <c r="AF823" s="251"/>
      <c r="AG823" s="251"/>
      <c r="AH823" s="251"/>
      <c r="AI823" s="251"/>
      <c r="AJ823" s="251"/>
      <c r="AK823" s="251"/>
      <c r="AL823" s="251"/>
      <c r="AM823" s="251"/>
      <c r="AN823" s="251"/>
      <c r="AO823" s="251"/>
      <c r="AP823" s="251"/>
      <c r="AQ823" s="251"/>
      <c r="AR823" s="251"/>
      <c r="AS823" s="251"/>
    </row>
    <row r="824" spans="1:45" s="44" customFormat="1" x14ac:dyDescent="0.2">
      <c r="A824" s="71"/>
      <c r="B824" s="71"/>
      <c r="C824" s="71"/>
      <c r="D824" s="251"/>
      <c r="E824" s="251"/>
      <c r="F824" s="251"/>
      <c r="G824" s="251"/>
      <c r="H824" s="251"/>
      <c r="I824" s="251"/>
      <c r="J824" s="251"/>
      <c r="K824" s="251"/>
      <c r="L824" s="251"/>
      <c r="M824" s="251"/>
      <c r="N824" s="251"/>
      <c r="O824" s="251"/>
      <c r="P824" s="251"/>
      <c r="Q824" s="251"/>
      <c r="R824" s="251"/>
      <c r="S824" s="251"/>
      <c r="T824" s="251"/>
      <c r="U824" s="251"/>
      <c r="V824" s="251"/>
      <c r="W824" s="251"/>
      <c r="X824" s="251"/>
      <c r="Y824" s="251"/>
      <c r="Z824" s="251"/>
      <c r="AA824" s="251"/>
      <c r="AB824" s="251"/>
      <c r="AC824" s="251"/>
      <c r="AD824" s="251"/>
      <c r="AE824" s="251"/>
      <c r="AF824" s="251"/>
      <c r="AG824" s="251"/>
      <c r="AH824" s="251"/>
      <c r="AI824" s="251"/>
      <c r="AJ824" s="251"/>
      <c r="AK824" s="251"/>
      <c r="AL824" s="251"/>
      <c r="AM824" s="251"/>
      <c r="AN824" s="251"/>
      <c r="AO824" s="251"/>
      <c r="AP824" s="251"/>
      <c r="AQ824" s="251"/>
      <c r="AR824" s="251"/>
      <c r="AS824" s="251"/>
    </row>
    <row r="825" spans="1:45" s="44" customFormat="1" x14ac:dyDescent="0.2">
      <c r="A825" s="71"/>
      <c r="B825" s="71"/>
      <c r="C825" s="7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251"/>
      <c r="AE825" s="251"/>
      <c r="AF825" s="251"/>
      <c r="AG825" s="251"/>
      <c r="AH825" s="251"/>
      <c r="AI825" s="251"/>
      <c r="AJ825" s="251"/>
      <c r="AK825" s="251"/>
      <c r="AL825" s="251"/>
      <c r="AM825" s="251"/>
      <c r="AN825" s="251"/>
      <c r="AO825" s="251"/>
      <c r="AP825" s="251"/>
      <c r="AQ825" s="251"/>
      <c r="AR825" s="251"/>
      <c r="AS825" s="251"/>
    </row>
    <row r="826" spans="1:45" s="44" customFormat="1" x14ac:dyDescent="0.2">
      <c r="A826" s="71"/>
      <c r="B826" s="71"/>
      <c r="C826" s="7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c r="AA826" s="251"/>
      <c r="AB826" s="251"/>
      <c r="AC826" s="251"/>
      <c r="AD826" s="251"/>
      <c r="AE826" s="251"/>
      <c r="AF826" s="251"/>
      <c r="AG826" s="251"/>
      <c r="AH826" s="251"/>
      <c r="AI826" s="251"/>
      <c r="AJ826" s="251"/>
      <c r="AK826" s="251"/>
      <c r="AL826" s="251"/>
      <c r="AM826" s="251"/>
      <c r="AN826" s="251"/>
      <c r="AO826" s="251"/>
      <c r="AP826" s="251"/>
      <c r="AQ826" s="251"/>
      <c r="AR826" s="251"/>
      <c r="AS826" s="251"/>
    </row>
    <row r="827" spans="1:45" s="44" customFormat="1" x14ac:dyDescent="0.2">
      <c r="A827" s="71"/>
      <c r="B827" s="71"/>
      <c r="C827" s="7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c r="AA827" s="251"/>
      <c r="AB827" s="251"/>
      <c r="AC827" s="251"/>
      <c r="AD827" s="251"/>
      <c r="AE827" s="251"/>
      <c r="AF827" s="251"/>
      <c r="AG827" s="251"/>
      <c r="AH827" s="251"/>
      <c r="AI827" s="251"/>
      <c r="AJ827" s="251"/>
      <c r="AK827" s="251"/>
      <c r="AL827" s="251"/>
      <c r="AM827" s="251"/>
      <c r="AN827" s="251"/>
      <c r="AO827" s="251"/>
      <c r="AP827" s="251"/>
      <c r="AQ827" s="251"/>
      <c r="AR827" s="251"/>
      <c r="AS827" s="251"/>
    </row>
    <row r="828" spans="1:45" s="44" customFormat="1" x14ac:dyDescent="0.2">
      <c r="A828" s="71"/>
      <c r="B828" s="71"/>
      <c r="C828" s="7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c r="AA828" s="251"/>
      <c r="AB828" s="251"/>
      <c r="AC828" s="251"/>
      <c r="AD828" s="251"/>
      <c r="AE828" s="251"/>
      <c r="AF828" s="251"/>
      <c r="AG828" s="251"/>
      <c r="AH828" s="251"/>
      <c r="AI828" s="251"/>
      <c r="AJ828" s="251"/>
      <c r="AK828" s="251"/>
      <c r="AL828" s="251"/>
      <c r="AM828" s="251"/>
      <c r="AN828" s="251"/>
      <c r="AO828" s="251"/>
      <c r="AP828" s="251"/>
      <c r="AQ828" s="251"/>
      <c r="AR828" s="251"/>
      <c r="AS828" s="251"/>
    </row>
    <row r="829" spans="1:45" s="44" customFormat="1" x14ac:dyDescent="0.2">
      <c r="A829" s="71"/>
      <c r="B829" s="71"/>
      <c r="C829" s="7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c r="AC829" s="251"/>
      <c r="AD829" s="251"/>
      <c r="AE829" s="251"/>
      <c r="AF829" s="251"/>
      <c r="AG829" s="251"/>
      <c r="AH829" s="251"/>
      <c r="AI829" s="251"/>
      <c r="AJ829" s="251"/>
      <c r="AK829" s="251"/>
      <c r="AL829" s="251"/>
      <c r="AM829" s="251"/>
      <c r="AN829" s="251"/>
      <c r="AO829" s="251"/>
      <c r="AP829" s="251"/>
      <c r="AQ829" s="251"/>
      <c r="AR829" s="251"/>
      <c r="AS829" s="251"/>
    </row>
    <row r="830" spans="1:45" s="44" customFormat="1" x14ac:dyDescent="0.2">
      <c r="A830" s="71"/>
      <c r="B830" s="71"/>
      <c r="C830" s="7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c r="AC830" s="251"/>
      <c r="AD830" s="251"/>
      <c r="AE830" s="251"/>
      <c r="AF830" s="251"/>
      <c r="AG830" s="251"/>
      <c r="AH830" s="251"/>
      <c r="AI830" s="251"/>
      <c r="AJ830" s="251"/>
      <c r="AK830" s="251"/>
      <c r="AL830" s="251"/>
      <c r="AM830" s="251"/>
      <c r="AN830" s="251"/>
      <c r="AO830" s="251"/>
      <c r="AP830" s="251"/>
      <c r="AQ830" s="251"/>
      <c r="AR830" s="251"/>
      <c r="AS830" s="251"/>
    </row>
    <row r="831" spans="1:45" s="44" customFormat="1" x14ac:dyDescent="0.2">
      <c r="A831" s="71"/>
      <c r="B831" s="71"/>
      <c r="C831" s="7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s="251"/>
      <c r="AG831" s="251"/>
      <c r="AH831" s="251"/>
      <c r="AI831" s="251"/>
      <c r="AJ831" s="251"/>
      <c r="AK831" s="251"/>
      <c r="AL831" s="251"/>
      <c r="AM831" s="251"/>
      <c r="AN831" s="251"/>
      <c r="AO831" s="251"/>
      <c r="AP831" s="251"/>
      <c r="AQ831" s="251"/>
      <c r="AR831" s="251"/>
      <c r="AS831" s="251"/>
    </row>
    <row r="832" spans="1:45" s="44" customFormat="1" x14ac:dyDescent="0.2">
      <c r="A832" s="71"/>
      <c r="B832" s="71"/>
      <c r="C832" s="7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51"/>
      <c r="AE832" s="251"/>
      <c r="AF832" s="251"/>
      <c r="AG832" s="251"/>
      <c r="AH832" s="251"/>
      <c r="AI832" s="251"/>
      <c r="AJ832" s="251"/>
      <c r="AK832" s="251"/>
      <c r="AL832" s="251"/>
      <c r="AM832" s="251"/>
      <c r="AN832" s="251"/>
      <c r="AO832" s="251"/>
      <c r="AP832" s="251"/>
      <c r="AQ832" s="251"/>
      <c r="AR832" s="251"/>
      <c r="AS832" s="251"/>
    </row>
    <row r="833" spans="1:45" s="44" customFormat="1" x14ac:dyDescent="0.2">
      <c r="A833" s="71"/>
      <c r="B833" s="71"/>
      <c r="C833" s="7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251"/>
      <c r="AE833" s="251"/>
      <c r="AF833" s="251"/>
      <c r="AG833" s="251"/>
      <c r="AH833" s="251"/>
      <c r="AI833" s="251"/>
      <c r="AJ833" s="251"/>
      <c r="AK833" s="251"/>
      <c r="AL833" s="251"/>
      <c r="AM833" s="251"/>
      <c r="AN833" s="251"/>
      <c r="AO833" s="251"/>
      <c r="AP833" s="251"/>
      <c r="AQ833" s="251"/>
      <c r="AR833" s="251"/>
      <c r="AS833" s="251"/>
    </row>
    <row r="834" spans="1:45" s="44" customFormat="1" x14ac:dyDescent="0.2">
      <c r="A834" s="71"/>
      <c r="B834" s="71"/>
      <c r="C834" s="7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c r="AC834" s="251"/>
      <c r="AD834" s="251"/>
      <c r="AE834" s="251"/>
      <c r="AF834" s="251"/>
      <c r="AG834" s="251"/>
      <c r="AH834" s="251"/>
      <c r="AI834" s="251"/>
      <c r="AJ834" s="251"/>
      <c r="AK834" s="251"/>
      <c r="AL834" s="251"/>
      <c r="AM834" s="251"/>
      <c r="AN834" s="251"/>
      <c r="AO834" s="251"/>
      <c r="AP834" s="251"/>
      <c r="AQ834" s="251"/>
      <c r="AR834" s="251"/>
      <c r="AS834" s="251"/>
    </row>
    <row r="835" spans="1:45" s="44" customFormat="1" x14ac:dyDescent="0.2">
      <c r="A835" s="71"/>
      <c r="B835" s="71"/>
      <c r="C835" s="7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251"/>
      <c r="AE835" s="251"/>
      <c r="AF835" s="251"/>
      <c r="AG835" s="251"/>
      <c r="AH835" s="251"/>
      <c r="AI835" s="251"/>
      <c r="AJ835" s="251"/>
      <c r="AK835" s="251"/>
      <c r="AL835" s="251"/>
      <c r="AM835" s="251"/>
      <c r="AN835" s="251"/>
      <c r="AO835" s="251"/>
      <c r="AP835" s="251"/>
      <c r="AQ835" s="251"/>
      <c r="AR835" s="251"/>
      <c r="AS835" s="251"/>
    </row>
    <row r="836" spans="1:45" s="44" customFormat="1" x14ac:dyDescent="0.2">
      <c r="A836" s="71"/>
      <c r="B836" s="71"/>
      <c r="C836" s="71"/>
      <c r="D836" s="251"/>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c r="AA836" s="251"/>
      <c r="AB836" s="251"/>
      <c r="AC836" s="251"/>
      <c r="AD836" s="251"/>
      <c r="AE836" s="251"/>
      <c r="AF836" s="251"/>
      <c r="AG836" s="251"/>
      <c r="AH836" s="251"/>
      <c r="AI836" s="251"/>
      <c r="AJ836" s="251"/>
      <c r="AK836" s="251"/>
      <c r="AL836" s="251"/>
      <c r="AM836" s="251"/>
      <c r="AN836" s="251"/>
      <c r="AO836" s="251"/>
      <c r="AP836" s="251"/>
      <c r="AQ836" s="251"/>
      <c r="AR836" s="251"/>
      <c r="AS836" s="251"/>
    </row>
    <row r="837" spans="1:45" s="44" customFormat="1" x14ac:dyDescent="0.2">
      <c r="A837" s="71"/>
      <c r="B837" s="71"/>
      <c r="C837" s="7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c r="AA837" s="251"/>
      <c r="AB837" s="251"/>
      <c r="AC837" s="251"/>
      <c r="AD837" s="251"/>
      <c r="AE837" s="251"/>
      <c r="AF837" s="251"/>
      <c r="AG837" s="251"/>
      <c r="AH837" s="251"/>
      <c r="AI837" s="251"/>
      <c r="AJ837" s="251"/>
      <c r="AK837" s="251"/>
      <c r="AL837" s="251"/>
      <c r="AM837" s="251"/>
      <c r="AN837" s="251"/>
      <c r="AO837" s="251"/>
      <c r="AP837" s="251"/>
      <c r="AQ837" s="251"/>
      <c r="AR837" s="251"/>
      <c r="AS837" s="251"/>
    </row>
    <row r="838" spans="1:45" s="44" customFormat="1" x14ac:dyDescent="0.2">
      <c r="A838" s="71"/>
      <c r="B838" s="71"/>
      <c r="C838" s="71"/>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c r="AA838" s="251"/>
      <c r="AB838" s="251"/>
      <c r="AC838" s="251"/>
      <c r="AD838" s="251"/>
      <c r="AE838" s="251"/>
      <c r="AF838" s="251"/>
      <c r="AG838" s="251"/>
      <c r="AH838" s="251"/>
      <c r="AI838" s="251"/>
      <c r="AJ838" s="251"/>
      <c r="AK838" s="251"/>
      <c r="AL838" s="251"/>
      <c r="AM838" s="251"/>
      <c r="AN838" s="251"/>
      <c r="AO838" s="251"/>
      <c r="AP838" s="251"/>
      <c r="AQ838" s="251"/>
      <c r="AR838" s="251"/>
      <c r="AS838" s="251"/>
    </row>
    <row r="839" spans="1:45" s="44" customFormat="1" x14ac:dyDescent="0.2">
      <c r="A839" s="71"/>
      <c r="B839" s="71"/>
      <c r="C839" s="71"/>
      <c r="D839" s="251"/>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c r="AA839" s="251"/>
      <c r="AB839" s="251"/>
      <c r="AC839" s="251"/>
      <c r="AD839" s="251"/>
      <c r="AE839" s="251"/>
      <c r="AF839" s="251"/>
      <c r="AG839" s="251"/>
      <c r="AH839" s="251"/>
      <c r="AI839" s="251"/>
      <c r="AJ839" s="251"/>
      <c r="AK839" s="251"/>
      <c r="AL839" s="251"/>
      <c r="AM839" s="251"/>
      <c r="AN839" s="251"/>
      <c r="AO839" s="251"/>
      <c r="AP839" s="251"/>
      <c r="AQ839" s="251"/>
      <c r="AR839" s="251"/>
      <c r="AS839" s="251"/>
    </row>
    <row r="840" spans="1:45" s="44" customFormat="1" x14ac:dyDescent="0.2">
      <c r="A840" s="71"/>
      <c r="B840" s="71"/>
      <c r="C840" s="7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251"/>
      <c r="AE840" s="251"/>
      <c r="AF840" s="251"/>
      <c r="AG840" s="251"/>
      <c r="AH840" s="251"/>
      <c r="AI840" s="251"/>
      <c r="AJ840" s="251"/>
      <c r="AK840" s="251"/>
      <c r="AL840" s="251"/>
      <c r="AM840" s="251"/>
      <c r="AN840" s="251"/>
      <c r="AO840" s="251"/>
      <c r="AP840" s="251"/>
      <c r="AQ840" s="251"/>
      <c r="AR840" s="251"/>
      <c r="AS840" s="251"/>
    </row>
    <row r="841" spans="1:45" s="44" customFormat="1" x14ac:dyDescent="0.2">
      <c r="A841" s="71"/>
      <c r="B841" s="71"/>
      <c r="C841" s="7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251"/>
      <c r="AE841" s="251"/>
      <c r="AF841" s="251"/>
      <c r="AG841" s="251"/>
      <c r="AH841" s="251"/>
      <c r="AI841" s="251"/>
      <c r="AJ841" s="251"/>
      <c r="AK841" s="251"/>
      <c r="AL841" s="251"/>
      <c r="AM841" s="251"/>
      <c r="AN841" s="251"/>
      <c r="AO841" s="251"/>
      <c r="AP841" s="251"/>
      <c r="AQ841" s="251"/>
      <c r="AR841" s="251"/>
      <c r="AS841" s="251"/>
    </row>
    <row r="842" spans="1:45" s="44" customFormat="1" x14ac:dyDescent="0.2">
      <c r="A842" s="71"/>
      <c r="B842" s="71"/>
      <c r="C842" s="7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251"/>
      <c r="AE842" s="251"/>
      <c r="AF842" s="251"/>
      <c r="AG842" s="251"/>
      <c r="AH842" s="251"/>
      <c r="AI842" s="251"/>
      <c r="AJ842" s="251"/>
      <c r="AK842" s="251"/>
      <c r="AL842" s="251"/>
      <c r="AM842" s="251"/>
      <c r="AN842" s="251"/>
      <c r="AO842" s="251"/>
      <c r="AP842" s="251"/>
      <c r="AQ842" s="251"/>
      <c r="AR842" s="251"/>
      <c r="AS842" s="251"/>
    </row>
    <row r="843" spans="1:45" s="44" customFormat="1" x14ac:dyDescent="0.2">
      <c r="A843" s="71"/>
      <c r="B843" s="71"/>
      <c r="C843" s="7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51"/>
      <c r="AE843" s="251"/>
      <c r="AF843" s="251"/>
      <c r="AG843" s="251"/>
      <c r="AH843" s="251"/>
      <c r="AI843" s="251"/>
      <c r="AJ843" s="251"/>
      <c r="AK843" s="251"/>
      <c r="AL843" s="251"/>
      <c r="AM843" s="251"/>
      <c r="AN843" s="251"/>
      <c r="AO843" s="251"/>
      <c r="AP843" s="251"/>
      <c r="AQ843" s="251"/>
      <c r="AR843" s="251"/>
      <c r="AS843" s="251"/>
    </row>
    <row r="844" spans="1:45" s="44" customFormat="1" x14ac:dyDescent="0.2">
      <c r="A844" s="71"/>
      <c r="B844" s="71"/>
      <c r="C844" s="7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251"/>
      <c r="AF844" s="251"/>
      <c r="AG844" s="251"/>
      <c r="AH844" s="251"/>
      <c r="AI844" s="251"/>
      <c r="AJ844" s="251"/>
      <c r="AK844" s="251"/>
      <c r="AL844" s="251"/>
      <c r="AM844" s="251"/>
      <c r="AN844" s="251"/>
      <c r="AO844" s="251"/>
      <c r="AP844" s="251"/>
      <c r="AQ844" s="251"/>
      <c r="AR844" s="251"/>
      <c r="AS844" s="251"/>
    </row>
    <row r="845" spans="1:45" s="44" customFormat="1" x14ac:dyDescent="0.2">
      <c r="A845" s="71"/>
      <c r="B845" s="71"/>
      <c r="C845" s="7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c r="AA845" s="251"/>
      <c r="AB845" s="251"/>
      <c r="AC845" s="251"/>
      <c r="AD845" s="251"/>
      <c r="AE845" s="251"/>
      <c r="AF845" s="251"/>
      <c r="AG845" s="251"/>
      <c r="AH845" s="251"/>
      <c r="AI845" s="251"/>
      <c r="AJ845" s="251"/>
      <c r="AK845" s="251"/>
      <c r="AL845" s="251"/>
      <c r="AM845" s="251"/>
      <c r="AN845" s="251"/>
      <c r="AO845" s="251"/>
      <c r="AP845" s="251"/>
      <c r="AQ845" s="251"/>
      <c r="AR845" s="251"/>
      <c r="AS845" s="251"/>
    </row>
    <row r="846" spans="1:45" s="44" customFormat="1" x14ac:dyDescent="0.2">
      <c r="A846" s="71"/>
      <c r="B846" s="71"/>
      <c r="C846" s="7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51"/>
      <c r="AE846" s="251"/>
      <c r="AF846" s="251"/>
      <c r="AG846" s="251"/>
      <c r="AH846" s="251"/>
      <c r="AI846" s="251"/>
      <c r="AJ846" s="251"/>
      <c r="AK846" s="251"/>
      <c r="AL846" s="251"/>
      <c r="AM846" s="251"/>
      <c r="AN846" s="251"/>
      <c r="AO846" s="251"/>
      <c r="AP846" s="251"/>
      <c r="AQ846" s="251"/>
      <c r="AR846" s="251"/>
      <c r="AS846" s="251"/>
    </row>
    <row r="847" spans="1:45" s="44" customFormat="1" x14ac:dyDescent="0.2">
      <c r="A847" s="71"/>
      <c r="B847" s="71"/>
      <c r="C847" s="7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c r="AC847" s="251"/>
      <c r="AD847" s="251"/>
      <c r="AE847" s="251"/>
      <c r="AF847" s="251"/>
      <c r="AG847" s="251"/>
      <c r="AH847" s="251"/>
      <c r="AI847" s="251"/>
      <c r="AJ847" s="251"/>
      <c r="AK847" s="251"/>
      <c r="AL847" s="251"/>
      <c r="AM847" s="251"/>
      <c r="AN847" s="251"/>
      <c r="AO847" s="251"/>
      <c r="AP847" s="251"/>
      <c r="AQ847" s="251"/>
      <c r="AR847" s="251"/>
      <c r="AS847" s="251"/>
    </row>
    <row r="848" spans="1:45" s="44" customFormat="1" x14ac:dyDescent="0.2">
      <c r="A848" s="71"/>
      <c r="B848" s="71"/>
      <c r="C848" s="7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c r="AA848" s="251"/>
      <c r="AB848" s="251"/>
      <c r="AC848" s="251"/>
      <c r="AD848" s="251"/>
      <c r="AE848" s="251"/>
      <c r="AF848" s="251"/>
      <c r="AG848" s="251"/>
      <c r="AH848" s="251"/>
      <c r="AI848" s="251"/>
      <c r="AJ848" s="251"/>
      <c r="AK848" s="251"/>
      <c r="AL848" s="251"/>
      <c r="AM848" s="251"/>
      <c r="AN848" s="251"/>
      <c r="AO848" s="251"/>
      <c r="AP848" s="251"/>
      <c r="AQ848" s="251"/>
      <c r="AR848" s="251"/>
      <c r="AS848" s="251"/>
    </row>
    <row r="849" spans="1:45" s="44" customFormat="1" x14ac:dyDescent="0.2">
      <c r="A849" s="71"/>
      <c r="B849" s="71"/>
      <c r="C849" s="7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251"/>
      <c r="AF849" s="251"/>
      <c r="AG849" s="251"/>
      <c r="AH849" s="251"/>
      <c r="AI849" s="251"/>
      <c r="AJ849" s="251"/>
      <c r="AK849" s="251"/>
      <c r="AL849" s="251"/>
      <c r="AM849" s="251"/>
      <c r="AN849" s="251"/>
      <c r="AO849" s="251"/>
      <c r="AP849" s="251"/>
      <c r="AQ849" s="251"/>
      <c r="AR849" s="251"/>
      <c r="AS849" s="251"/>
    </row>
    <row r="850" spans="1:45" s="44" customFormat="1" x14ac:dyDescent="0.2">
      <c r="A850" s="71"/>
      <c r="B850" s="71"/>
      <c r="C850" s="71"/>
      <c r="D850" s="251"/>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c r="AA850" s="251"/>
      <c r="AB850" s="251"/>
      <c r="AC850" s="251"/>
      <c r="AD850" s="251"/>
      <c r="AE850" s="251"/>
      <c r="AF850" s="251"/>
      <c r="AG850" s="251"/>
      <c r="AH850" s="251"/>
      <c r="AI850" s="251"/>
      <c r="AJ850" s="251"/>
      <c r="AK850" s="251"/>
      <c r="AL850" s="251"/>
      <c r="AM850" s="251"/>
      <c r="AN850" s="251"/>
      <c r="AO850" s="251"/>
      <c r="AP850" s="251"/>
      <c r="AQ850" s="251"/>
      <c r="AR850" s="251"/>
      <c r="AS850" s="251"/>
    </row>
    <row r="851" spans="1:45" s="44" customFormat="1" x14ac:dyDescent="0.2">
      <c r="A851" s="71"/>
      <c r="B851" s="71"/>
      <c r="C851" s="71"/>
      <c r="D851" s="251"/>
      <c r="E851" s="251"/>
      <c r="F851" s="251"/>
      <c r="G851" s="251"/>
      <c r="H851" s="251"/>
      <c r="I851" s="251"/>
      <c r="J851" s="251"/>
      <c r="K851" s="251"/>
      <c r="L851" s="251"/>
      <c r="M851" s="251"/>
      <c r="N851" s="251"/>
      <c r="O851" s="251"/>
      <c r="P851" s="251"/>
      <c r="Q851" s="251"/>
      <c r="R851" s="251"/>
      <c r="S851" s="251"/>
      <c r="T851" s="251"/>
      <c r="U851" s="251"/>
      <c r="V851" s="251"/>
      <c r="W851" s="251"/>
      <c r="X851" s="251"/>
      <c r="Y851" s="251"/>
      <c r="Z851" s="251"/>
      <c r="AA851" s="251"/>
      <c r="AB851" s="251"/>
      <c r="AC851" s="251"/>
      <c r="AD851" s="251"/>
      <c r="AE851" s="251"/>
      <c r="AF851" s="251"/>
      <c r="AG851" s="251"/>
      <c r="AH851" s="251"/>
      <c r="AI851" s="251"/>
      <c r="AJ851" s="251"/>
      <c r="AK851" s="251"/>
      <c r="AL851" s="251"/>
      <c r="AM851" s="251"/>
      <c r="AN851" s="251"/>
      <c r="AO851" s="251"/>
      <c r="AP851" s="251"/>
      <c r="AQ851" s="251"/>
      <c r="AR851" s="251"/>
      <c r="AS851" s="251"/>
    </row>
    <row r="852" spans="1:45" s="44" customFormat="1" x14ac:dyDescent="0.2">
      <c r="A852" s="71"/>
      <c r="B852" s="71"/>
      <c r="C852" s="7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251"/>
      <c r="AE852" s="251"/>
      <c r="AF852" s="251"/>
      <c r="AG852" s="251"/>
      <c r="AH852" s="251"/>
      <c r="AI852" s="251"/>
      <c r="AJ852" s="251"/>
      <c r="AK852" s="251"/>
      <c r="AL852" s="251"/>
      <c r="AM852" s="251"/>
      <c r="AN852" s="251"/>
      <c r="AO852" s="251"/>
      <c r="AP852" s="251"/>
      <c r="AQ852" s="251"/>
      <c r="AR852" s="251"/>
      <c r="AS852" s="251"/>
    </row>
    <row r="853" spans="1:45" s="44" customFormat="1" x14ac:dyDescent="0.2">
      <c r="A853" s="71"/>
      <c r="B853" s="71"/>
      <c r="C853" s="7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251"/>
      <c r="AE853" s="251"/>
      <c r="AF853" s="251"/>
      <c r="AG853" s="251"/>
      <c r="AH853" s="251"/>
      <c r="AI853" s="251"/>
      <c r="AJ853" s="251"/>
      <c r="AK853" s="251"/>
      <c r="AL853" s="251"/>
      <c r="AM853" s="251"/>
      <c r="AN853" s="251"/>
      <c r="AO853" s="251"/>
      <c r="AP853" s="251"/>
      <c r="AQ853" s="251"/>
      <c r="AR853" s="251"/>
      <c r="AS853" s="251"/>
    </row>
    <row r="854" spans="1:45" s="44" customFormat="1" x14ac:dyDescent="0.2">
      <c r="A854" s="71"/>
      <c r="B854" s="71"/>
      <c r="C854" s="71"/>
      <c r="D854" s="251"/>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c r="AA854" s="251"/>
      <c r="AB854" s="251"/>
      <c r="AC854" s="251"/>
      <c r="AD854" s="251"/>
      <c r="AE854" s="251"/>
      <c r="AF854" s="251"/>
      <c r="AG854" s="251"/>
      <c r="AH854" s="251"/>
      <c r="AI854" s="251"/>
      <c r="AJ854" s="251"/>
      <c r="AK854" s="251"/>
      <c r="AL854" s="251"/>
      <c r="AM854" s="251"/>
      <c r="AN854" s="251"/>
      <c r="AO854" s="251"/>
      <c r="AP854" s="251"/>
      <c r="AQ854" s="251"/>
      <c r="AR854" s="251"/>
      <c r="AS854" s="251"/>
    </row>
    <row r="855" spans="1:45" s="44" customFormat="1" x14ac:dyDescent="0.2">
      <c r="A855" s="71"/>
      <c r="B855" s="71"/>
      <c r="C855" s="71"/>
      <c r="D855" s="251"/>
      <c r="E855" s="251"/>
      <c r="F855" s="251"/>
      <c r="G855" s="251"/>
      <c r="H855" s="251"/>
      <c r="I855" s="251"/>
      <c r="J855" s="251"/>
      <c r="K855" s="251"/>
      <c r="L855" s="251"/>
      <c r="M855" s="251"/>
      <c r="N855" s="251"/>
      <c r="O855" s="251"/>
      <c r="P855" s="251"/>
      <c r="Q855" s="251"/>
      <c r="R855" s="251"/>
      <c r="S855" s="251"/>
      <c r="T855" s="251"/>
      <c r="U855" s="251"/>
      <c r="V855" s="251"/>
      <c r="W855" s="251"/>
      <c r="X855" s="251"/>
      <c r="Y855" s="251"/>
      <c r="Z855" s="251"/>
      <c r="AA855" s="251"/>
      <c r="AB855" s="251"/>
      <c r="AC855" s="251"/>
      <c r="AD855" s="251"/>
      <c r="AE855" s="251"/>
      <c r="AF855" s="251"/>
      <c r="AG855" s="251"/>
      <c r="AH855" s="251"/>
      <c r="AI855" s="251"/>
      <c r="AJ855" s="251"/>
      <c r="AK855" s="251"/>
      <c r="AL855" s="251"/>
      <c r="AM855" s="251"/>
      <c r="AN855" s="251"/>
      <c r="AO855" s="251"/>
      <c r="AP855" s="251"/>
      <c r="AQ855" s="251"/>
      <c r="AR855" s="251"/>
      <c r="AS855" s="251"/>
    </row>
    <row r="856" spans="1:45" s="44" customFormat="1" x14ac:dyDescent="0.2">
      <c r="A856" s="71"/>
      <c r="B856" s="71"/>
      <c r="C856" s="7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251"/>
      <c r="AF856" s="251"/>
      <c r="AG856" s="251"/>
      <c r="AH856" s="251"/>
      <c r="AI856" s="251"/>
      <c r="AJ856" s="251"/>
      <c r="AK856" s="251"/>
      <c r="AL856" s="251"/>
      <c r="AM856" s="251"/>
      <c r="AN856" s="251"/>
      <c r="AO856" s="251"/>
      <c r="AP856" s="251"/>
      <c r="AQ856" s="251"/>
      <c r="AR856" s="251"/>
      <c r="AS856" s="251"/>
    </row>
    <row r="857" spans="1:45" s="44" customFormat="1" x14ac:dyDescent="0.2">
      <c r="A857" s="71"/>
      <c r="B857" s="71"/>
      <c r="C857" s="71"/>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c r="AA857" s="251"/>
      <c r="AB857" s="251"/>
      <c r="AC857" s="251"/>
      <c r="AD857" s="251"/>
      <c r="AE857" s="251"/>
      <c r="AF857" s="251"/>
      <c r="AG857" s="251"/>
      <c r="AH857" s="251"/>
      <c r="AI857" s="251"/>
      <c r="AJ857" s="251"/>
      <c r="AK857" s="251"/>
      <c r="AL857" s="251"/>
      <c r="AM857" s="251"/>
      <c r="AN857" s="251"/>
      <c r="AO857" s="251"/>
      <c r="AP857" s="251"/>
      <c r="AQ857" s="251"/>
      <c r="AR857" s="251"/>
      <c r="AS857" s="251"/>
    </row>
    <row r="858" spans="1:45" s="44" customFormat="1" x14ac:dyDescent="0.2">
      <c r="A858" s="71"/>
      <c r="B858" s="71"/>
      <c r="C858" s="7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251"/>
      <c r="AE858" s="251"/>
      <c r="AF858" s="251"/>
      <c r="AG858" s="251"/>
      <c r="AH858" s="251"/>
      <c r="AI858" s="251"/>
      <c r="AJ858" s="251"/>
      <c r="AK858" s="251"/>
      <c r="AL858" s="251"/>
      <c r="AM858" s="251"/>
      <c r="AN858" s="251"/>
      <c r="AO858" s="251"/>
      <c r="AP858" s="251"/>
      <c r="AQ858" s="251"/>
      <c r="AR858" s="251"/>
      <c r="AS858" s="251"/>
    </row>
    <row r="859" spans="1:45" s="44" customFormat="1" x14ac:dyDescent="0.2">
      <c r="A859" s="71"/>
      <c r="B859" s="71"/>
      <c r="C859" s="7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251"/>
      <c r="AE859" s="251"/>
      <c r="AF859" s="251"/>
      <c r="AG859" s="251"/>
      <c r="AH859" s="251"/>
      <c r="AI859" s="251"/>
      <c r="AJ859" s="251"/>
      <c r="AK859" s="251"/>
      <c r="AL859" s="251"/>
      <c r="AM859" s="251"/>
      <c r="AN859" s="251"/>
      <c r="AO859" s="251"/>
      <c r="AP859" s="251"/>
      <c r="AQ859" s="251"/>
      <c r="AR859" s="251"/>
      <c r="AS859" s="251"/>
    </row>
    <row r="860" spans="1:45" s="44" customFormat="1" x14ac:dyDescent="0.2">
      <c r="A860" s="71"/>
      <c r="B860" s="71"/>
      <c r="C860" s="7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251"/>
      <c r="AE860" s="251"/>
      <c r="AF860" s="251"/>
      <c r="AG860" s="251"/>
      <c r="AH860" s="251"/>
      <c r="AI860" s="251"/>
      <c r="AJ860" s="251"/>
      <c r="AK860" s="251"/>
      <c r="AL860" s="251"/>
      <c r="AM860" s="251"/>
      <c r="AN860" s="251"/>
      <c r="AO860" s="251"/>
      <c r="AP860" s="251"/>
      <c r="AQ860" s="251"/>
      <c r="AR860" s="251"/>
      <c r="AS860" s="251"/>
    </row>
    <row r="861" spans="1:45" s="44" customFormat="1" x14ac:dyDescent="0.2">
      <c r="A861" s="71"/>
      <c r="B861" s="71"/>
      <c r="C861" s="7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c r="AC861" s="251"/>
      <c r="AD861" s="251"/>
      <c r="AE861" s="251"/>
      <c r="AF861" s="251"/>
      <c r="AG861" s="251"/>
      <c r="AH861" s="251"/>
      <c r="AI861" s="251"/>
      <c r="AJ861" s="251"/>
      <c r="AK861" s="251"/>
      <c r="AL861" s="251"/>
      <c r="AM861" s="251"/>
      <c r="AN861" s="251"/>
      <c r="AO861" s="251"/>
      <c r="AP861" s="251"/>
      <c r="AQ861" s="251"/>
      <c r="AR861" s="251"/>
      <c r="AS861" s="251"/>
    </row>
    <row r="862" spans="1:45" s="44" customFormat="1" x14ac:dyDescent="0.2">
      <c r="A862" s="71"/>
      <c r="B862" s="71"/>
      <c r="C862" s="7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c r="AA862" s="251"/>
      <c r="AB862" s="251"/>
      <c r="AC862" s="251"/>
      <c r="AD862" s="251"/>
      <c r="AE862" s="251"/>
      <c r="AF862" s="251"/>
      <c r="AG862" s="251"/>
      <c r="AH862" s="251"/>
      <c r="AI862" s="251"/>
      <c r="AJ862" s="251"/>
      <c r="AK862" s="251"/>
      <c r="AL862" s="251"/>
      <c r="AM862" s="251"/>
      <c r="AN862" s="251"/>
      <c r="AO862" s="251"/>
      <c r="AP862" s="251"/>
      <c r="AQ862" s="251"/>
      <c r="AR862" s="251"/>
      <c r="AS862" s="251"/>
    </row>
    <row r="863" spans="1:45" s="44" customFormat="1" x14ac:dyDescent="0.2">
      <c r="A863" s="71"/>
      <c r="B863" s="71"/>
      <c r="C863" s="7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251"/>
      <c r="AF863" s="251"/>
      <c r="AG863" s="251"/>
      <c r="AH863" s="251"/>
      <c r="AI863" s="251"/>
      <c r="AJ863" s="251"/>
      <c r="AK863" s="251"/>
      <c r="AL863" s="251"/>
      <c r="AM863" s="251"/>
      <c r="AN863" s="251"/>
      <c r="AO863" s="251"/>
      <c r="AP863" s="251"/>
      <c r="AQ863" s="251"/>
      <c r="AR863" s="251"/>
      <c r="AS863" s="251"/>
    </row>
    <row r="864" spans="1:45" s="44" customFormat="1" x14ac:dyDescent="0.2">
      <c r="A864" s="71"/>
      <c r="B864" s="71"/>
      <c r="C864" s="7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251"/>
      <c r="AE864" s="251"/>
      <c r="AF864" s="251"/>
      <c r="AG864" s="251"/>
      <c r="AH864" s="251"/>
      <c r="AI864" s="251"/>
      <c r="AJ864" s="251"/>
      <c r="AK864" s="251"/>
      <c r="AL864" s="251"/>
      <c r="AM864" s="251"/>
      <c r="AN864" s="251"/>
      <c r="AO864" s="251"/>
      <c r="AP864" s="251"/>
      <c r="AQ864" s="251"/>
      <c r="AR864" s="251"/>
      <c r="AS864" s="251"/>
    </row>
    <row r="865" spans="1:45" s="44" customFormat="1" x14ac:dyDescent="0.2">
      <c r="A865" s="71"/>
      <c r="B865" s="71"/>
      <c r="C865" s="7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251"/>
      <c r="AE865" s="251"/>
      <c r="AF865" s="251"/>
      <c r="AG865" s="251"/>
      <c r="AH865" s="251"/>
      <c r="AI865" s="251"/>
      <c r="AJ865" s="251"/>
      <c r="AK865" s="251"/>
      <c r="AL865" s="251"/>
      <c r="AM865" s="251"/>
      <c r="AN865" s="251"/>
      <c r="AO865" s="251"/>
      <c r="AP865" s="251"/>
      <c r="AQ865" s="251"/>
      <c r="AR865" s="251"/>
      <c r="AS865" s="251"/>
    </row>
    <row r="866" spans="1:45" s="44" customFormat="1" x14ac:dyDescent="0.2">
      <c r="A866" s="71"/>
      <c r="B866" s="71"/>
      <c r="C866" s="71"/>
      <c r="D866" s="251"/>
      <c r="E866" s="251"/>
      <c r="F866" s="251"/>
      <c r="G866" s="251"/>
      <c r="H866" s="251"/>
      <c r="I866" s="251"/>
      <c r="J866" s="251"/>
      <c r="K866" s="251"/>
      <c r="L866" s="251"/>
      <c r="M866" s="251"/>
      <c r="N866" s="251"/>
      <c r="O866" s="251"/>
      <c r="P866" s="251"/>
      <c r="Q866" s="251"/>
      <c r="R866" s="251"/>
      <c r="S866" s="251"/>
      <c r="T866" s="251"/>
      <c r="U866" s="251"/>
      <c r="V866" s="251"/>
      <c r="W866" s="251"/>
      <c r="X866" s="251"/>
      <c r="Y866" s="251"/>
      <c r="Z866" s="251"/>
      <c r="AA866" s="251"/>
      <c r="AB866" s="251"/>
      <c r="AC866" s="251"/>
      <c r="AD866" s="251"/>
      <c r="AE866" s="251"/>
      <c r="AF866" s="251"/>
      <c r="AG866" s="251"/>
      <c r="AH866" s="251"/>
      <c r="AI866" s="251"/>
      <c r="AJ866" s="251"/>
      <c r="AK866" s="251"/>
      <c r="AL866" s="251"/>
      <c r="AM866" s="251"/>
      <c r="AN866" s="251"/>
      <c r="AO866" s="251"/>
      <c r="AP866" s="251"/>
      <c r="AQ866" s="251"/>
      <c r="AR866" s="251"/>
      <c r="AS866" s="251"/>
    </row>
    <row r="867" spans="1:45" s="44" customFormat="1" x14ac:dyDescent="0.2">
      <c r="A867" s="71"/>
      <c r="B867" s="71"/>
      <c r="C867" s="7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c r="AC867" s="251"/>
      <c r="AD867" s="251"/>
      <c r="AE867" s="251"/>
      <c r="AF867" s="251"/>
      <c r="AG867" s="251"/>
      <c r="AH867" s="251"/>
      <c r="AI867" s="251"/>
      <c r="AJ867" s="251"/>
      <c r="AK867" s="251"/>
      <c r="AL867" s="251"/>
      <c r="AM867" s="251"/>
      <c r="AN867" s="251"/>
      <c r="AO867" s="251"/>
      <c r="AP867" s="251"/>
      <c r="AQ867" s="251"/>
      <c r="AR867" s="251"/>
      <c r="AS867" s="251"/>
    </row>
    <row r="868" spans="1:45" s="44" customFormat="1" x14ac:dyDescent="0.2">
      <c r="A868" s="71"/>
      <c r="B868" s="71"/>
      <c r="C868" s="7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51"/>
      <c r="AE868" s="251"/>
      <c r="AF868" s="251"/>
      <c r="AG868" s="251"/>
      <c r="AH868" s="251"/>
      <c r="AI868" s="251"/>
      <c r="AJ868" s="251"/>
      <c r="AK868" s="251"/>
      <c r="AL868" s="251"/>
      <c r="AM868" s="251"/>
      <c r="AN868" s="251"/>
      <c r="AO868" s="251"/>
      <c r="AP868" s="251"/>
      <c r="AQ868" s="251"/>
      <c r="AR868" s="251"/>
      <c r="AS868" s="251"/>
    </row>
    <row r="869" spans="1:45" s="44" customFormat="1" x14ac:dyDescent="0.2">
      <c r="A869" s="71"/>
      <c r="B869" s="71"/>
      <c r="C869" s="71"/>
      <c r="D869" s="251"/>
      <c r="E869" s="251"/>
      <c r="F869" s="251"/>
      <c r="G869" s="251"/>
      <c r="H869" s="251"/>
      <c r="I869" s="251"/>
      <c r="J869" s="251"/>
      <c r="K869" s="251"/>
      <c r="L869" s="251"/>
      <c r="M869" s="251"/>
      <c r="N869" s="251"/>
      <c r="O869" s="251"/>
      <c r="P869" s="251"/>
      <c r="Q869" s="251"/>
      <c r="R869" s="251"/>
      <c r="S869" s="251"/>
      <c r="T869" s="251"/>
      <c r="U869" s="251"/>
      <c r="V869" s="251"/>
      <c r="W869" s="251"/>
      <c r="X869" s="251"/>
      <c r="Y869" s="251"/>
      <c r="Z869" s="251"/>
      <c r="AA869" s="251"/>
      <c r="AB869" s="251"/>
      <c r="AC869" s="251"/>
      <c r="AD869" s="251"/>
      <c r="AE869" s="251"/>
      <c r="AF869" s="251"/>
      <c r="AG869" s="251"/>
      <c r="AH869" s="251"/>
      <c r="AI869" s="251"/>
      <c r="AJ869" s="251"/>
      <c r="AK869" s="251"/>
      <c r="AL869" s="251"/>
      <c r="AM869" s="251"/>
      <c r="AN869" s="251"/>
      <c r="AO869" s="251"/>
      <c r="AP869" s="251"/>
      <c r="AQ869" s="251"/>
      <c r="AR869" s="251"/>
      <c r="AS869" s="251"/>
    </row>
    <row r="870" spans="1:45" s="44" customFormat="1" x14ac:dyDescent="0.2">
      <c r="A870" s="71"/>
      <c r="B870" s="71"/>
      <c r="C870" s="7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c r="AA870" s="251"/>
      <c r="AB870" s="251"/>
      <c r="AC870" s="251"/>
      <c r="AD870" s="251"/>
      <c r="AE870" s="251"/>
      <c r="AF870" s="251"/>
      <c r="AG870" s="251"/>
      <c r="AH870" s="251"/>
      <c r="AI870" s="251"/>
      <c r="AJ870" s="251"/>
      <c r="AK870" s="251"/>
      <c r="AL870" s="251"/>
      <c r="AM870" s="251"/>
      <c r="AN870" s="251"/>
      <c r="AO870" s="251"/>
      <c r="AP870" s="251"/>
      <c r="AQ870" s="251"/>
      <c r="AR870" s="251"/>
      <c r="AS870" s="251"/>
    </row>
    <row r="871" spans="1:45" s="44" customFormat="1" x14ac:dyDescent="0.2">
      <c r="A871" s="71"/>
      <c r="B871" s="71"/>
      <c r="C871" s="71"/>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c r="AA871" s="251"/>
      <c r="AB871" s="251"/>
      <c r="AC871" s="251"/>
      <c r="AD871" s="251"/>
      <c r="AE871" s="251"/>
      <c r="AF871" s="251"/>
      <c r="AG871" s="251"/>
      <c r="AH871" s="251"/>
      <c r="AI871" s="251"/>
      <c r="AJ871" s="251"/>
      <c r="AK871" s="251"/>
      <c r="AL871" s="251"/>
      <c r="AM871" s="251"/>
      <c r="AN871" s="251"/>
      <c r="AO871" s="251"/>
      <c r="AP871" s="251"/>
      <c r="AQ871" s="251"/>
      <c r="AR871" s="251"/>
      <c r="AS871" s="251"/>
    </row>
    <row r="872" spans="1:45" s="44" customFormat="1" x14ac:dyDescent="0.2">
      <c r="A872" s="71"/>
      <c r="B872" s="71"/>
      <c r="C872" s="7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s="251"/>
      <c r="AG872" s="251"/>
      <c r="AH872" s="251"/>
      <c r="AI872" s="251"/>
      <c r="AJ872" s="251"/>
      <c r="AK872" s="251"/>
      <c r="AL872" s="251"/>
      <c r="AM872" s="251"/>
      <c r="AN872" s="251"/>
      <c r="AO872" s="251"/>
      <c r="AP872" s="251"/>
      <c r="AQ872" s="251"/>
      <c r="AR872" s="251"/>
      <c r="AS872" s="251"/>
    </row>
    <row r="873" spans="1:45" s="44" customFormat="1" x14ac:dyDescent="0.2">
      <c r="A873" s="71"/>
      <c r="B873" s="71"/>
      <c r="C873" s="7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251"/>
      <c r="AE873" s="251"/>
      <c r="AF873" s="251"/>
      <c r="AG873" s="251"/>
      <c r="AH873" s="251"/>
      <c r="AI873" s="251"/>
      <c r="AJ873" s="251"/>
      <c r="AK873" s="251"/>
      <c r="AL873" s="251"/>
      <c r="AM873" s="251"/>
      <c r="AN873" s="251"/>
      <c r="AO873" s="251"/>
      <c r="AP873" s="251"/>
      <c r="AQ873" s="251"/>
      <c r="AR873" s="251"/>
      <c r="AS873" s="251"/>
    </row>
    <row r="874" spans="1:45" s="44" customFormat="1" x14ac:dyDescent="0.2">
      <c r="A874" s="71"/>
      <c r="B874" s="71"/>
      <c r="C874" s="7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251"/>
      <c r="AE874" s="251"/>
      <c r="AF874" s="251"/>
      <c r="AG874" s="251"/>
      <c r="AH874" s="251"/>
      <c r="AI874" s="251"/>
      <c r="AJ874" s="251"/>
      <c r="AK874" s="251"/>
      <c r="AL874" s="251"/>
      <c r="AM874" s="251"/>
      <c r="AN874" s="251"/>
      <c r="AO874" s="251"/>
      <c r="AP874" s="251"/>
      <c r="AQ874" s="251"/>
      <c r="AR874" s="251"/>
      <c r="AS874" s="251"/>
    </row>
    <row r="875" spans="1:45" s="44" customFormat="1" x14ac:dyDescent="0.2">
      <c r="A875" s="71"/>
      <c r="B875" s="71"/>
      <c r="C875" s="7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c r="AC875" s="251"/>
      <c r="AD875" s="251"/>
      <c r="AE875" s="251"/>
      <c r="AF875" s="251"/>
      <c r="AG875" s="251"/>
      <c r="AH875" s="251"/>
      <c r="AI875" s="251"/>
      <c r="AJ875" s="251"/>
      <c r="AK875" s="251"/>
      <c r="AL875" s="251"/>
      <c r="AM875" s="251"/>
      <c r="AN875" s="251"/>
      <c r="AO875" s="251"/>
      <c r="AP875" s="251"/>
      <c r="AQ875" s="251"/>
      <c r="AR875" s="251"/>
      <c r="AS875" s="251"/>
    </row>
    <row r="876" spans="1:45" s="44" customFormat="1" x14ac:dyDescent="0.2">
      <c r="A876" s="71"/>
      <c r="B876" s="71"/>
      <c r="C876" s="7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251"/>
      <c r="AE876" s="251"/>
      <c r="AF876" s="251"/>
      <c r="AG876" s="251"/>
      <c r="AH876" s="251"/>
      <c r="AI876" s="251"/>
      <c r="AJ876" s="251"/>
      <c r="AK876" s="251"/>
      <c r="AL876" s="251"/>
      <c r="AM876" s="251"/>
      <c r="AN876" s="251"/>
      <c r="AO876" s="251"/>
      <c r="AP876" s="251"/>
      <c r="AQ876" s="251"/>
      <c r="AR876" s="251"/>
      <c r="AS876" s="251"/>
    </row>
    <row r="877" spans="1:45" s="44" customFormat="1" x14ac:dyDescent="0.2">
      <c r="A877" s="71"/>
      <c r="B877" s="71"/>
      <c r="C877" s="7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251"/>
      <c r="AE877" s="251"/>
      <c r="AF877" s="251"/>
      <c r="AG877" s="251"/>
      <c r="AH877" s="251"/>
      <c r="AI877" s="251"/>
      <c r="AJ877" s="251"/>
      <c r="AK877" s="251"/>
      <c r="AL877" s="251"/>
      <c r="AM877" s="251"/>
      <c r="AN877" s="251"/>
      <c r="AO877" s="251"/>
      <c r="AP877" s="251"/>
      <c r="AQ877" s="251"/>
      <c r="AR877" s="251"/>
      <c r="AS877" s="251"/>
    </row>
    <row r="878" spans="1:45" s="44" customFormat="1" x14ac:dyDescent="0.2">
      <c r="A878" s="71"/>
      <c r="B878" s="71"/>
      <c r="C878" s="7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251"/>
      <c r="AE878" s="251"/>
      <c r="AF878" s="251"/>
      <c r="AG878" s="251"/>
      <c r="AH878" s="251"/>
      <c r="AI878" s="251"/>
      <c r="AJ878" s="251"/>
      <c r="AK878" s="251"/>
      <c r="AL878" s="251"/>
      <c r="AM878" s="251"/>
      <c r="AN878" s="251"/>
      <c r="AO878" s="251"/>
      <c r="AP878" s="251"/>
      <c r="AQ878" s="251"/>
      <c r="AR878" s="251"/>
      <c r="AS878" s="251"/>
    </row>
    <row r="879" spans="1:45" s="44" customFormat="1" x14ac:dyDescent="0.2">
      <c r="A879" s="71"/>
      <c r="B879" s="71"/>
      <c r="C879" s="7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c r="AA879" s="251"/>
      <c r="AB879" s="251"/>
      <c r="AC879" s="251"/>
      <c r="AD879" s="251"/>
      <c r="AE879" s="251"/>
      <c r="AF879" s="251"/>
      <c r="AG879" s="251"/>
      <c r="AH879" s="251"/>
      <c r="AI879" s="251"/>
      <c r="AJ879" s="251"/>
      <c r="AK879" s="251"/>
      <c r="AL879" s="251"/>
      <c r="AM879" s="251"/>
      <c r="AN879" s="251"/>
      <c r="AO879" s="251"/>
      <c r="AP879" s="251"/>
      <c r="AQ879" s="251"/>
      <c r="AR879" s="251"/>
      <c r="AS879" s="251"/>
    </row>
    <row r="880" spans="1:45" s="44" customFormat="1" x14ac:dyDescent="0.2">
      <c r="A880" s="71"/>
      <c r="B880" s="71"/>
      <c r="C880" s="7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251"/>
      <c r="AE880" s="251"/>
      <c r="AF880" s="251"/>
      <c r="AG880" s="251"/>
      <c r="AH880" s="251"/>
      <c r="AI880" s="251"/>
      <c r="AJ880" s="251"/>
      <c r="AK880" s="251"/>
      <c r="AL880" s="251"/>
      <c r="AM880" s="251"/>
      <c r="AN880" s="251"/>
      <c r="AO880" s="251"/>
      <c r="AP880" s="251"/>
      <c r="AQ880" s="251"/>
      <c r="AR880" s="251"/>
      <c r="AS880" s="251"/>
    </row>
    <row r="881" spans="1:45" s="44" customFormat="1" x14ac:dyDescent="0.2">
      <c r="A881" s="71"/>
      <c r="B881" s="71"/>
      <c r="C881" s="7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251"/>
      <c r="AE881" s="251"/>
      <c r="AF881" s="251"/>
      <c r="AG881" s="251"/>
      <c r="AH881" s="251"/>
      <c r="AI881" s="251"/>
      <c r="AJ881" s="251"/>
      <c r="AK881" s="251"/>
      <c r="AL881" s="251"/>
      <c r="AM881" s="251"/>
      <c r="AN881" s="251"/>
      <c r="AO881" s="251"/>
      <c r="AP881" s="251"/>
      <c r="AQ881" s="251"/>
      <c r="AR881" s="251"/>
      <c r="AS881" s="251"/>
    </row>
    <row r="882" spans="1:45" s="44" customFormat="1" x14ac:dyDescent="0.2">
      <c r="A882" s="71"/>
      <c r="B882" s="71"/>
      <c r="C882" s="7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c r="AA882" s="251"/>
      <c r="AB882" s="251"/>
      <c r="AC882" s="251"/>
      <c r="AD882" s="251"/>
      <c r="AE882" s="251"/>
      <c r="AF882" s="251"/>
      <c r="AG882" s="251"/>
      <c r="AH882" s="251"/>
      <c r="AI882" s="251"/>
      <c r="AJ882" s="251"/>
      <c r="AK882" s="251"/>
      <c r="AL882" s="251"/>
      <c r="AM882" s="251"/>
      <c r="AN882" s="251"/>
      <c r="AO882" s="251"/>
      <c r="AP882" s="251"/>
      <c r="AQ882" s="251"/>
      <c r="AR882" s="251"/>
      <c r="AS882" s="251"/>
    </row>
    <row r="883" spans="1:45" s="44" customFormat="1" x14ac:dyDescent="0.2">
      <c r="A883" s="71"/>
      <c r="B883" s="71"/>
      <c r="C883" s="7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251"/>
      <c r="AE883" s="251"/>
      <c r="AF883" s="251"/>
      <c r="AG883" s="251"/>
      <c r="AH883" s="251"/>
      <c r="AI883" s="251"/>
      <c r="AJ883" s="251"/>
      <c r="AK883" s="251"/>
      <c r="AL883" s="251"/>
      <c r="AM883" s="251"/>
      <c r="AN883" s="251"/>
      <c r="AO883" s="251"/>
      <c r="AP883" s="251"/>
      <c r="AQ883" s="251"/>
      <c r="AR883" s="251"/>
      <c r="AS883" s="251"/>
    </row>
    <row r="884" spans="1:45" s="44" customFormat="1" x14ac:dyDescent="0.2">
      <c r="A884" s="71"/>
      <c r="B884" s="71"/>
      <c r="C884" s="7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251"/>
      <c r="AE884" s="251"/>
      <c r="AF884" s="251"/>
      <c r="AG884" s="251"/>
      <c r="AH884" s="251"/>
      <c r="AI884" s="251"/>
      <c r="AJ884" s="251"/>
      <c r="AK884" s="251"/>
      <c r="AL884" s="251"/>
      <c r="AM884" s="251"/>
      <c r="AN884" s="251"/>
      <c r="AO884" s="251"/>
      <c r="AP884" s="251"/>
      <c r="AQ884" s="251"/>
      <c r="AR884" s="251"/>
      <c r="AS884" s="251"/>
    </row>
    <row r="885" spans="1:45" s="44" customFormat="1" x14ac:dyDescent="0.2">
      <c r="A885" s="71"/>
      <c r="B885" s="71"/>
      <c r="C885" s="7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c r="AA885" s="251"/>
      <c r="AB885" s="251"/>
      <c r="AC885" s="251"/>
      <c r="AD885" s="251"/>
      <c r="AE885" s="251"/>
      <c r="AF885" s="251"/>
      <c r="AG885" s="251"/>
      <c r="AH885" s="251"/>
      <c r="AI885" s="251"/>
      <c r="AJ885" s="251"/>
      <c r="AK885" s="251"/>
      <c r="AL885" s="251"/>
      <c r="AM885" s="251"/>
      <c r="AN885" s="251"/>
      <c r="AO885" s="251"/>
      <c r="AP885" s="251"/>
      <c r="AQ885" s="251"/>
      <c r="AR885" s="251"/>
      <c r="AS885" s="251"/>
    </row>
    <row r="886" spans="1:45" s="44" customFormat="1" x14ac:dyDescent="0.2">
      <c r="A886" s="71"/>
      <c r="B886" s="71"/>
      <c r="C886" s="7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251"/>
      <c r="AE886" s="251"/>
      <c r="AF886" s="251"/>
      <c r="AG886" s="251"/>
      <c r="AH886" s="251"/>
      <c r="AI886" s="251"/>
      <c r="AJ886" s="251"/>
      <c r="AK886" s="251"/>
      <c r="AL886" s="251"/>
      <c r="AM886" s="251"/>
      <c r="AN886" s="251"/>
      <c r="AO886" s="251"/>
      <c r="AP886" s="251"/>
      <c r="AQ886" s="251"/>
      <c r="AR886" s="251"/>
      <c r="AS886" s="251"/>
    </row>
    <row r="887" spans="1:45" s="44" customFormat="1" x14ac:dyDescent="0.2">
      <c r="A887" s="71"/>
      <c r="B887" s="71"/>
      <c r="C887" s="7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c r="AC887" s="251"/>
      <c r="AD887" s="251"/>
      <c r="AE887" s="251"/>
      <c r="AF887" s="251"/>
      <c r="AG887" s="251"/>
      <c r="AH887" s="251"/>
      <c r="AI887" s="251"/>
      <c r="AJ887" s="251"/>
      <c r="AK887" s="251"/>
      <c r="AL887" s="251"/>
      <c r="AM887" s="251"/>
      <c r="AN887" s="251"/>
      <c r="AO887" s="251"/>
      <c r="AP887" s="251"/>
      <c r="AQ887" s="251"/>
      <c r="AR887" s="251"/>
      <c r="AS887" s="251"/>
    </row>
    <row r="888" spans="1:45" s="44" customFormat="1" x14ac:dyDescent="0.2">
      <c r="A888" s="71"/>
      <c r="B888" s="71"/>
      <c r="C888" s="7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251"/>
      <c r="AE888" s="251"/>
      <c r="AF888" s="251"/>
      <c r="AG888" s="251"/>
      <c r="AH888" s="251"/>
      <c r="AI888" s="251"/>
      <c r="AJ888" s="251"/>
      <c r="AK888" s="251"/>
      <c r="AL888" s="251"/>
      <c r="AM888" s="251"/>
      <c r="AN888" s="251"/>
      <c r="AO888" s="251"/>
      <c r="AP888" s="251"/>
      <c r="AQ888" s="251"/>
      <c r="AR888" s="251"/>
      <c r="AS888" s="251"/>
    </row>
    <row r="889" spans="1:45" s="44" customFormat="1" x14ac:dyDescent="0.2">
      <c r="A889" s="71"/>
      <c r="B889" s="71"/>
      <c r="C889" s="7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251"/>
      <c r="AF889" s="251"/>
      <c r="AG889" s="251"/>
      <c r="AH889" s="251"/>
      <c r="AI889" s="251"/>
      <c r="AJ889" s="251"/>
      <c r="AK889" s="251"/>
      <c r="AL889" s="251"/>
      <c r="AM889" s="251"/>
      <c r="AN889" s="251"/>
      <c r="AO889" s="251"/>
      <c r="AP889" s="251"/>
      <c r="AQ889" s="251"/>
      <c r="AR889" s="251"/>
      <c r="AS889" s="251"/>
    </row>
    <row r="890" spans="1:45" s="44" customFormat="1" x14ac:dyDescent="0.2">
      <c r="A890" s="71"/>
      <c r="B890" s="71"/>
      <c r="C890" s="7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251"/>
      <c r="AE890" s="251"/>
      <c r="AF890" s="251"/>
      <c r="AG890" s="251"/>
      <c r="AH890" s="251"/>
      <c r="AI890" s="251"/>
      <c r="AJ890" s="251"/>
      <c r="AK890" s="251"/>
      <c r="AL890" s="251"/>
      <c r="AM890" s="251"/>
      <c r="AN890" s="251"/>
      <c r="AO890" s="251"/>
      <c r="AP890" s="251"/>
      <c r="AQ890" s="251"/>
      <c r="AR890" s="251"/>
      <c r="AS890" s="251"/>
    </row>
    <row r="891" spans="1:45" s="44" customFormat="1" x14ac:dyDescent="0.2">
      <c r="A891" s="71"/>
      <c r="B891" s="71"/>
      <c r="C891" s="7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c r="AA891" s="251"/>
      <c r="AB891" s="251"/>
      <c r="AC891" s="251"/>
      <c r="AD891" s="251"/>
      <c r="AE891" s="251"/>
      <c r="AF891" s="251"/>
      <c r="AG891" s="251"/>
      <c r="AH891" s="251"/>
      <c r="AI891" s="251"/>
      <c r="AJ891" s="251"/>
      <c r="AK891" s="251"/>
      <c r="AL891" s="251"/>
      <c r="AM891" s="251"/>
      <c r="AN891" s="251"/>
      <c r="AO891" s="251"/>
      <c r="AP891" s="251"/>
      <c r="AQ891" s="251"/>
      <c r="AR891" s="251"/>
      <c r="AS891" s="251"/>
    </row>
    <row r="892" spans="1:45" s="44" customFormat="1" x14ac:dyDescent="0.2">
      <c r="A892" s="71"/>
      <c r="B892" s="71"/>
      <c r="C892" s="7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251"/>
      <c r="AF892" s="251"/>
      <c r="AG892" s="251"/>
      <c r="AH892" s="251"/>
      <c r="AI892" s="251"/>
      <c r="AJ892" s="251"/>
      <c r="AK892" s="251"/>
      <c r="AL892" s="251"/>
      <c r="AM892" s="251"/>
      <c r="AN892" s="251"/>
      <c r="AO892" s="251"/>
      <c r="AP892" s="251"/>
      <c r="AQ892" s="251"/>
      <c r="AR892" s="251"/>
      <c r="AS892" s="251"/>
    </row>
    <row r="893" spans="1:45" s="44" customFormat="1" x14ac:dyDescent="0.2">
      <c r="A893" s="71"/>
      <c r="B893" s="71"/>
      <c r="C893" s="7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251"/>
      <c r="AE893" s="251"/>
      <c r="AF893" s="251"/>
      <c r="AG893" s="251"/>
      <c r="AH893" s="251"/>
      <c r="AI893" s="251"/>
      <c r="AJ893" s="251"/>
      <c r="AK893" s="251"/>
      <c r="AL893" s="251"/>
      <c r="AM893" s="251"/>
      <c r="AN893" s="251"/>
      <c r="AO893" s="251"/>
      <c r="AP893" s="251"/>
      <c r="AQ893" s="251"/>
      <c r="AR893" s="251"/>
      <c r="AS893" s="251"/>
    </row>
    <row r="894" spans="1:45" s="44" customFormat="1" x14ac:dyDescent="0.2">
      <c r="A894" s="71"/>
      <c r="B894" s="71"/>
      <c r="C894" s="7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c r="AA894" s="251"/>
      <c r="AB894" s="251"/>
      <c r="AC894" s="251"/>
      <c r="AD894" s="251"/>
      <c r="AE894" s="251"/>
      <c r="AF894" s="251"/>
      <c r="AG894" s="251"/>
      <c r="AH894" s="251"/>
      <c r="AI894" s="251"/>
      <c r="AJ894" s="251"/>
      <c r="AK894" s="251"/>
      <c r="AL894" s="251"/>
      <c r="AM894" s="251"/>
      <c r="AN894" s="251"/>
      <c r="AO894" s="251"/>
      <c r="AP894" s="251"/>
      <c r="AQ894" s="251"/>
      <c r="AR894" s="251"/>
      <c r="AS894" s="251"/>
    </row>
    <row r="895" spans="1:45" s="44" customFormat="1" x14ac:dyDescent="0.2">
      <c r="A895" s="71"/>
      <c r="B895" s="71"/>
      <c r="C895" s="7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251"/>
      <c r="AF895" s="251"/>
      <c r="AG895" s="251"/>
      <c r="AH895" s="251"/>
      <c r="AI895" s="251"/>
      <c r="AJ895" s="251"/>
      <c r="AK895" s="251"/>
      <c r="AL895" s="251"/>
      <c r="AM895" s="251"/>
      <c r="AN895" s="251"/>
      <c r="AO895" s="251"/>
      <c r="AP895" s="251"/>
      <c r="AQ895" s="251"/>
      <c r="AR895" s="251"/>
      <c r="AS895" s="251"/>
    </row>
    <row r="896" spans="1:45" s="44" customFormat="1" x14ac:dyDescent="0.2">
      <c r="A896" s="71"/>
      <c r="B896" s="71"/>
      <c r="C896" s="7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251"/>
      <c r="AE896" s="251"/>
      <c r="AF896" s="251"/>
      <c r="AG896" s="251"/>
      <c r="AH896" s="251"/>
      <c r="AI896" s="251"/>
      <c r="AJ896" s="251"/>
      <c r="AK896" s="251"/>
      <c r="AL896" s="251"/>
      <c r="AM896" s="251"/>
      <c r="AN896" s="251"/>
      <c r="AO896" s="251"/>
      <c r="AP896" s="251"/>
      <c r="AQ896" s="251"/>
      <c r="AR896" s="251"/>
      <c r="AS896" s="251"/>
    </row>
    <row r="897" spans="1:45" s="44" customFormat="1" x14ac:dyDescent="0.2">
      <c r="A897" s="71"/>
      <c r="B897" s="71"/>
      <c r="C897" s="7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c r="AA897" s="251"/>
      <c r="AB897" s="251"/>
      <c r="AC897" s="251"/>
      <c r="AD897" s="251"/>
      <c r="AE897" s="251"/>
      <c r="AF897" s="251"/>
      <c r="AG897" s="251"/>
      <c r="AH897" s="251"/>
      <c r="AI897" s="251"/>
      <c r="AJ897" s="251"/>
      <c r="AK897" s="251"/>
      <c r="AL897" s="251"/>
      <c r="AM897" s="251"/>
      <c r="AN897" s="251"/>
      <c r="AO897" s="251"/>
      <c r="AP897" s="251"/>
      <c r="AQ897" s="251"/>
      <c r="AR897" s="251"/>
      <c r="AS897" s="251"/>
    </row>
    <row r="898" spans="1:45" s="44" customFormat="1" x14ac:dyDescent="0.2">
      <c r="A898" s="71"/>
      <c r="B898" s="71"/>
      <c r="C898" s="7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251"/>
      <c r="AF898" s="251"/>
      <c r="AG898" s="251"/>
      <c r="AH898" s="251"/>
      <c r="AI898" s="251"/>
      <c r="AJ898" s="251"/>
      <c r="AK898" s="251"/>
      <c r="AL898" s="251"/>
      <c r="AM898" s="251"/>
      <c r="AN898" s="251"/>
      <c r="AO898" s="251"/>
      <c r="AP898" s="251"/>
      <c r="AQ898" s="251"/>
      <c r="AR898" s="251"/>
      <c r="AS898" s="251"/>
    </row>
    <row r="899" spans="1:45" s="44" customFormat="1" x14ac:dyDescent="0.2">
      <c r="A899" s="71"/>
      <c r="B899" s="71"/>
      <c r="C899" s="71"/>
      <c r="D899" s="251"/>
      <c r="E899" s="251"/>
      <c r="F899" s="251"/>
      <c r="G899" s="251"/>
      <c r="H899" s="251"/>
      <c r="I899" s="251"/>
      <c r="J899" s="251"/>
      <c r="K899" s="251"/>
      <c r="L899" s="251"/>
      <c r="M899" s="251"/>
      <c r="N899" s="251"/>
      <c r="O899" s="251"/>
      <c r="P899" s="251"/>
      <c r="Q899" s="251"/>
      <c r="R899" s="251"/>
      <c r="S899" s="251"/>
      <c r="T899" s="251"/>
      <c r="U899" s="251"/>
      <c r="V899" s="251"/>
      <c r="W899" s="251"/>
      <c r="X899" s="251"/>
      <c r="Y899" s="251"/>
      <c r="Z899" s="251"/>
      <c r="AA899" s="251"/>
      <c r="AB899" s="251"/>
      <c r="AC899" s="251"/>
      <c r="AD899" s="251"/>
      <c r="AE899" s="251"/>
      <c r="AF899" s="251"/>
      <c r="AG899" s="251"/>
      <c r="AH899" s="251"/>
      <c r="AI899" s="251"/>
      <c r="AJ899" s="251"/>
      <c r="AK899" s="251"/>
      <c r="AL899" s="251"/>
      <c r="AM899" s="251"/>
      <c r="AN899" s="251"/>
      <c r="AO899" s="251"/>
      <c r="AP899" s="251"/>
      <c r="AQ899" s="251"/>
      <c r="AR899" s="251"/>
      <c r="AS899" s="251"/>
    </row>
    <row r="900" spans="1:45" s="44" customFormat="1" x14ac:dyDescent="0.2">
      <c r="A900" s="71"/>
      <c r="B900" s="71"/>
      <c r="C900" s="71"/>
      <c r="D900" s="251"/>
      <c r="E900" s="251"/>
      <c r="F900" s="251"/>
      <c r="G900" s="251"/>
      <c r="H900" s="251"/>
      <c r="I900" s="251"/>
      <c r="J900" s="251"/>
      <c r="K900" s="251"/>
      <c r="L900" s="251"/>
      <c r="M900" s="251"/>
      <c r="N900" s="251"/>
      <c r="O900" s="251"/>
      <c r="P900" s="251"/>
      <c r="Q900" s="251"/>
      <c r="R900" s="251"/>
      <c r="S900" s="251"/>
      <c r="T900" s="251"/>
      <c r="U900" s="251"/>
      <c r="V900" s="251"/>
      <c r="W900" s="251"/>
      <c r="X900" s="251"/>
      <c r="Y900" s="251"/>
      <c r="Z900" s="251"/>
      <c r="AA900" s="251"/>
      <c r="AB900" s="251"/>
      <c r="AC900" s="251"/>
      <c r="AD900" s="251"/>
      <c r="AE900" s="251"/>
      <c r="AF900" s="251"/>
      <c r="AG900" s="251"/>
      <c r="AH900" s="251"/>
      <c r="AI900" s="251"/>
      <c r="AJ900" s="251"/>
      <c r="AK900" s="251"/>
      <c r="AL900" s="251"/>
      <c r="AM900" s="251"/>
      <c r="AN900" s="251"/>
      <c r="AO900" s="251"/>
      <c r="AP900" s="251"/>
      <c r="AQ900" s="251"/>
      <c r="AR900" s="251"/>
      <c r="AS900" s="251"/>
    </row>
    <row r="901" spans="1:45" s="44" customFormat="1" x14ac:dyDescent="0.2">
      <c r="A901" s="71"/>
      <c r="B901" s="71"/>
      <c r="C901" s="7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251"/>
      <c r="AF901" s="251"/>
      <c r="AG901" s="251"/>
      <c r="AH901" s="251"/>
      <c r="AI901" s="251"/>
      <c r="AJ901" s="251"/>
      <c r="AK901" s="251"/>
      <c r="AL901" s="251"/>
      <c r="AM901" s="251"/>
      <c r="AN901" s="251"/>
      <c r="AO901" s="251"/>
      <c r="AP901" s="251"/>
      <c r="AQ901" s="251"/>
      <c r="AR901" s="251"/>
      <c r="AS901" s="251"/>
    </row>
    <row r="902" spans="1:45" s="44" customFormat="1" x14ac:dyDescent="0.2">
      <c r="A902" s="71"/>
      <c r="B902" s="71"/>
      <c r="C902" s="7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251"/>
      <c r="AF902" s="251"/>
      <c r="AG902" s="251"/>
      <c r="AH902" s="251"/>
      <c r="AI902" s="251"/>
      <c r="AJ902" s="251"/>
      <c r="AK902" s="251"/>
      <c r="AL902" s="251"/>
      <c r="AM902" s="251"/>
      <c r="AN902" s="251"/>
      <c r="AO902" s="251"/>
      <c r="AP902" s="251"/>
      <c r="AQ902" s="251"/>
      <c r="AR902" s="251"/>
      <c r="AS902" s="251"/>
    </row>
    <row r="903" spans="1:45" s="44" customFormat="1" x14ac:dyDescent="0.2">
      <c r="A903" s="71"/>
      <c r="B903" s="71"/>
      <c r="C903" s="7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c r="AC903" s="251"/>
      <c r="AD903" s="251"/>
      <c r="AE903" s="251"/>
      <c r="AF903" s="251"/>
      <c r="AG903" s="251"/>
      <c r="AH903" s="251"/>
      <c r="AI903" s="251"/>
      <c r="AJ903" s="251"/>
      <c r="AK903" s="251"/>
      <c r="AL903" s="251"/>
      <c r="AM903" s="251"/>
      <c r="AN903" s="251"/>
      <c r="AO903" s="251"/>
      <c r="AP903" s="251"/>
      <c r="AQ903" s="251"/>
      <c r="AR903" s="251"/>
      <c r="AS903" s="251"/>
    </row>
    <row r="904" spans="1:45" s="44" customFormat="1" x14ac:dyDescent="0.2">
      <c r="A904" s="71"/>
      <c r="B904" s="71"/>
      <c r="C904" s="7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251"/>
      <c r="AE904" s="251"/>
      <c r="AF904" s="251"/>
      <c r="AG904" s="251"/>
      <c r="AH904" s="251"/>
      <c r="AI904" s="251"/>
      <c r="AJ904" s="251"/>
      <c r="AK904" s="251"/>
      <c r="AL904" s="251"/>
      <c r="AM904" s="251"/>
      <c r="AN904" s="251"/>
      <c r="AO904" s="251"/>
      <c r="AP904" s="251"/>
      <c r="AQ904" s="251"/>
      <c r="AR904" s="251"/>
      <c r="AS904" s="251"/>
    </row>
    <row r="905" spans="1:45" s="44" customFormat="1" x14ac:dyDescent="0.2">
      <c r="A905" s="71"/>
      <c r="B905" s="71"/>
      <c r="C905" s="7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251"/>
      <c r="AF905" s="251"/>
      <c r="AG905" s="251"/>
      <c r="AH905" s="251"/>
      <c r="AI905" s="251"/>
      <c r="AJ905" s="251"/>
      <c r="AK905" s="251"/>
      <c r="AL905" s="251"/>
      <c r="AM905" s="251"/>
      <c r="AN905" s="251"/>
      <c r="AO905" s="251"/>
      <c r="AP905" s="251"/>
      <c r="AQ905" s="251"/>
      <c r="AR905" s="251"/>
      <c r="AS905" s="251"/>
    </row>
    <row r="906" spans="1:45" s="44" customFormat="1" x14ac:dyDescent="0.2">
      <c r="A906" s="71"/>
      <c r="B906" s="71"/>
      <c r="C906" s="7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c r="AC906" s="251"/>
      <c r="AD906" s="251"/>
      <c r="AE906" s="251"/>
      <c r="AF906" s="251"/>
      <c r="AG906" s="251"/>
      <c r="AH906" s="251"/>
      <c r="AI906" s="251"/>
      <c r="AJ906" s="251"/>
      <c r="AK906" s="251"/>
      <c r="AL906" s="251"/>
      <c r="AM906" s="251"/>
      <c r="AN906" s="251"/>
      <c r="AO906" s="251"/>
      <c r="AP906" s="251"/>
      <c r="AQ906" s="251"/>
      <c r="AR906" s="251"/>
      <c r="AS906" s="251"/>
    </row>
    <row r="907" spans="1:45" s="44" customFormat="1" x14ac:dyDescent="0.2">
      <c r="A907" s="71"/>
      <c r="B907" s="71"/>
      <c r="C907" s="7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c r="AC907" s="251"/>
      <c r="AD907" s="251"/>
      <c r="AE907" s="251"/>
      <c r="AF907" s="251"/>
      <c r="AG907" s="251"/>
      <c r="AH907" s="251"/>
      <c r="AI907" s="251"/>
      <c r="AJ907" s="251"/>
      <c r="AK907" s="251"/>
      <c r="AL907" s="251"/>
      <c r="AM907" s="251"/>
      <c r="AN907" s="251"/>
      <c r="AO907" s="251"/>
      <c r="AP907" s="251"/>
      <c r="AQ907" s="251"/>
      <c r="AR907" s="251"/>
      <c r="AS907" s="251"/>
    </row>
    <row r="908" spans="1:45" s="44" customFormat="1" x14ac:dyDescent="0.2">
      <c r="A908" s="71"/>
      <c r="B908" s="71"/>
      <c r="C908" s="7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251"/>
      <c r="AF908" s="251"/>
      <c r="AG908" s="251"/>
      <c r="AH908" s="251"/>
      <c r="AI908" s="251"/>
      <c r="AJ908" s="251"/>
      <c r="AK908" s="251"/>
      <c r="AL908" s="251"/>
      <c r="AM908" s="251"/>
      <c r="AN908" s="251"/>
      <c r="AO908" s="251"/>
      <c r="AP908" s="251"/>
      <c r="AQ908" s="251"/>
      <c r="AR908" s="251"/>
      <c r="AS908" s="251"/>
    </row>
    <row r="909" spans="1:45" s="44" customFormat="1" x14ac:dyDescent="0.2">
      <c r="A909" s="71"/>
      <c r="B909" s="71"/>
      <c r="C909" s="71"/>
      <c r="D909" s="251"/>
      <c r="E909" s="251"/>
      <c r="F909" s="251"/>
      <c r="G909" s="251"/>
      <c r="H909" s="251"/>
      <c r="I909" s="251"/>
      <c r="J909" s="251"/>
      <c r="K909" s="251"/>
      <c r="L909" s="251"/>
      <c r="M909" s="251"/>
      <c r="N909" s="251"/>
      <c r="O909" s="251"/>
      <c r="P909" s="251"/>
      <c r="Q909" s="251"/>
      <c r="R909" s="251"/>
      <c r="S909" s="251"/>
      <c r="T909" s="251"/>
      <c r="U909" s="251"/>
      <c r="V909" s="251"/>
      <c r="W909" s="251"/>
      <c r="X909" s="251"/>
      <c r="Y909" s="251"/>
      <c r="Z909" s="251"/>
      <c r="AA909" s="251"/>
      <c r="AB909" s="251"/>
      <c r="AC909" s="251"/>
      <c r="AD909" s="251"/>
      <c r="AE909" s="251"/>
      <c r="AF909" s="251"/>
      <c r="AG909" s="251"/>
      <c r="AH909" s="251"/>
      <c r="AI909" s="251"/>
      <c r="AJ909" s="251"/>
      <c r="AK909" s="251"/>
      <c r="AL909" s="251"/>
      <c r="AM909" s="251"/>
      <c r="AN909" s="251"/>
      <c r="AO909" s="251"/>
      <c r="AP909" s="251"/>
      <c r="AQ909" s="251"/>
      <c r="AR909" s="251"/>
      <c r="AS909" s="251"/>
    </row>
    <row r="910" spans="1:45" s="44" customFormat="1" x14ac:dyDescent="0.2">
      <c r="A910" s="71"/>
      <c r="B910" s="71"/>
      <c r="C910" s="71"/>
      <c r="D910" s="251"/>
      <c r="E910" s="251"/>
      <c r="F910" s="251"/>
      <c r="G910" s="251"/>
      <c r="H910" s="251"/>
      <c r="I910" s="251"/>
      <c r="J910" s="251"/>
      <c r="K910" s="251"/>
      <c r="L910" s="251"/>
      <c r="M910" s="251"/>
      <c r="N910" s="251"/>
      <c r="O910" s="251"/>
      <c r="P910" s="251"/>
      <c r="Q910" s="251"/>
      <c r="R910" s="251"/>
      <c r="S910" s="251"/>
      <c r="T910" s="251"/>
      <c r="U910" s="251"/>
      <c r="V910" s="251"/>
      <c r="W910" s="251"/>
      <c r="X910" s="251"/>
      <c r="Y910" s="251"/>
      <c r="Z910" s="251"/>
      <c r="AA910" s="251"/>
      <c r="AB910" s="251"/>
      <c r="AC910" s="251"/>
      <c r="AD910" s="251"/>
      <c r="AE910" s="251"/>
      <c r="AF910" s="251"/>
      <c r="AG910" s="251"/>
      <c r="AH910" s="251"/>
      <c r="AI910" s="251"/>
      <c r="AJ910" s="251"/>
      <c r="AK910" s="251"/>
      <c r="AL910" s="251"/>
      <c r="AM910" s="251"/>
      <c r="AN910" s="251"/>
      <c r="AO910" s="251"/>
      <c r="AP910" s="251"/>
      <c r="AQ910" s="251"/>
      <c r="AR910" s="251"/>
      <c r="AS910" s="251"/>
    </row>
    <row r="911" spans="1:45" s="44" customFormat="1" x14ac:dyDescent="0.2">
      <c r="A911" s="71"/>
      <c r="B911" s="71"/>
      <c r="C911" s="7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251"/>
      <c r="AF911" s="251"/>
      <c r="AG911" s="251"/>
      <c r="AH911" s="251"/>
      <c r="AI911" s="251"/>
      <c r="AJ911" s="251"/>
      <c r="AK911" s="251"/>
      <c r="AL911" s="251"/>
      <c r="AM911" s="251"/>
      <c r="AN911" s="251"/>
      <c r="AO911" s="251"/>
      <c r="AP911" s="251"/>
      <c r="AQ911" s="251"/>
      <c r="AR911" s="251"/>
      <c r="AS911" s="251"/>
    </row>
    <row r="912" spans="1:45" s="44" customFormat="1" x14ac:dyDescent="0.2">
      <c r="A912" s="71"/>
      <c r="B912" s="71"/>
      <c r="C912" s="7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c r="AA912" s="251"/>
      <c r="AB912" s="251"/>
      <c r="AC912" s="251"/>
      <c r="AD912" s="251"/>
      <c r="AE912" s="251"/>
      <c r="AF912" s="251"/>
      <c r="AG912" s="251"/>
      <c r="AH912" s="251"/>
      <c r="AI912" s="251"/>
      <c r="AJ912" s="251"/>
      <c r="AK912" s="251"/>
      <c r="AL912" s="251"/>
      <c r="AM912" s="251"/>
      <c r="AN912" s="251"/>
      <c r="AO912" s="251"/>
      <c r="AP912" s="251"/>
      <c r="AQ912" s="251"/>
      <c r="AR912" s="251"/>
      <c r="AS912" s="251"/>
    </row>
    <row r="913" spans="1:45" s="44" customFormat="1" x14ac:dyDescent="0.2">
      <c r="A913" s="71"/>
      <c r="B913" s="71"/>
      <c r="C913" s="7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c r="AA913" s="251"/>
      <c r="AB913" s="251"/>
      <c r="AC913" s="251"/>
      <c r="AD913" s="251"/>
      <c r="AE913" s="251"/>
      <c r="AF913" s="251"/>
      <c r="AG913" s="251"/>
      <c r="AH913" s="251"/>
      <c r="AI913" s="251"/>
      <c r="AJ913" s="251"/>
      <c r="AK913" s="251"/>
      <c r="AL913" s="251"/>
      <c r="AM913" s="251"/>
      <c r="AN913" s="251"/>
      <c r="AO913" s="251"/>
      <c r="AP913" s="251"/>
      <c r="AQ913" s="251"/>
      <c r="AR913" s="251"/>
      <c r="AS913" s="251"/>
    </row>
    <row r="914" spans="1:45" s="44" customFormat="1" x14ac:dyDescent="0.2">
      <c r="A914" s="71"/>
      <c r="B914" s="71"/>
      <c r="C914" s="7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c r="AA914" s="251"/>
      <c r="AB914" s="251"/>
      <c r="AC914" s="251"/>
      <c r="AD914" s="251"/>
      <c r="AE914" s="251"/>
      <c r="AF914" s="251"/>
      <c r="AG914" s="251"/>
      <c r="AH914" s="251"/>
      <c r="AI914" s="251"/>
      <c r="AJ914" s="251"/>
      <c r="AK914" s="251"/>
      <c r="AL914" s="251"/>
      <c r="AM914" s="251"/>
      <c r="AN914" s="251"/>
      <c r="AO914" s="251"/>
      <c r="AP914" s="251"/>
      <c r="AQ914" s="251"/>
      <c r="AR914" s="251"/>
      <c r="AS914" s="251"/>
    </row>
    <row r="915" spans="1:45" s="44" customFormat="1" x14ac:dyDescent="0.2">
      <c r="A915" s="71"/>
      <c r="B915" s="71"/>
      <c r="C915" s="7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251"/>
      <c r="AE915" s="251"/>
      <c r="AF915" s="251"/>
      <c r="AG915" s="251"/>
      <c r="AH915" s="251"/>
      <c r="AI915" s="251"/>
      <c r="AJ915" s="251"/>
      <c r="AK915" s="251"/>
      <c r="AL915" s="251"/>
      <c r="AM915" s="251"/>
      <c r="AN915" s="251"/>
      <c r="AO915" s="251"/>
      <c r="AP915" s="251"/>
      <c r="AQ915" s="251"/>
      <c r="AR915" s="251"/>
      <c r="AS915" s="251"/>
    </row>
    <row r="916" spans="1:45" s="44" customFormat="1" x14ac:dyDescent="0.2">
      <c r="A916" s="71"/>
      <c r="B916" s="71"/>
      <c r="C916" s="7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c r="AC916" s="251"/>
      <c r="AD916" s="251"/>
      <c r="AE916" s="251"/>
      <c r="AF916" s="251"/>
      <c r="AG916" s="251"/>
      <c r="AH916" s="251"/>
      <c r="AI916" s="251"/>
      <c r="AJ916" s="251"/>
      <c r="AK916" s="251"/>
      <c r="AL916" s="251"/>
      <c r="AM916" s="251"/>
      <c r="AN916" s="251"/>
      <c r="AO916" s="251"/>
      <c r="AP916" s="251"/>
      <c r="AQ916" s="251"/>
      <c r="AR916" s="251"/>
      <c r="AS916" s="251"/>
    </row>
    <row r="917" spans="1:45" s="44" customFormat="1" x14ac:dyDescent="0.2">
      <c r="A917" s="71"/>
      <c r="B917" s="71"/>
      <c r="C917" s="7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251"/>
      <c r="AE917" s="251"/>
      <c r="AF917" s="251"/>
      <c r="AG917" s="251"/>
      <c r="AH917" s="251"/>
      <c r="AI917" s="251"/>
      <c r="AJ917" s="251"/>
      <c r="AK917" s="251"/>
      <c r="AL917" s="251"/>
      <c r="AM917" s="251"/>
      <c r="AN917" s="251"/>
      <c r="AO917" s="251"/>
      <c r="AP917" s="251"/>
      <c r="AQ917" s="251"/>
      <c r="AR917" s="251"/>
      <c r="AS917" s="251"/>
    </row>
    <row r="918" spans="1:45" s="44" customFormat="1" x14ac:dyDescent="0.2">
      <c r="A918" s="71"/>
      <c r="B918" s="71"/>
      <c r="C918" s="7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251"/>
      <c r="AE918" s="251"/>
      <c r="AF918" s="251"/>
      <c r="AG918" s="251"/>
      <c r="AH918" s="251"/>
      <c r="AI918" s="251"/>
      <c r="AJ918" s="251"/>
      <c r="AK918" s="251"/>
      <c r="AL918" s="251"/>
      <c r="AM918" s="251"/>
      <c r="AN918" s="251"/>
      <c r="AO918" s="251"/>
      <c r="AP918" s="251"/>
      <c r="AQ918" s="251"/>
      <c r="AR918" s="251"/>
      <c r="AS918" s="251"/>
    </row>
    <row r="919" spans="1:45" s="44" customFormat="1" x14ac:dyDescent="0.2">
      <c r="A919" s="71"/>
      <c r="B919" s="71"/>
      <c r="C919" s="7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251"/>
      <c r="AE919" s="251"/>
      <c r="AF919" s="251"/>
      <c r="AG919" s="251"/>
      <c r="AH919" s="251"/>
      <c r="AI919" s="251"/>
      <c r="AJ919" s="251"/>
      <c r="AK919" s="251"/>
      <c r="AL919" s="251"/>
      <c r="AM919" s="251"/>
      <c r="AN919" s="251"/>
      <c r="AO919" s="251"/>
      <c r="AP919" s="251"/>
      <c r="AQ919" s="251"/>
      <c r="AR919" s="251"/>
      <c r="AS919" s="251"/>
    </row>
    <row r="920" spans="1:45" s="44" customFormat="1" x14ac:dyDescent="0.2">
      <c r="A920" s="71"/>
      <c r="B920" s="71"/>
      <c r="C920" s="7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251"/>
      <c r="AE920" s="251"/>
      <c r="AF920" s="251"/>
      <c r="AG920" s="251"/>
      <c r="AH920" s="251"/>
      <c r="AI920" s="251"/>
      <c r="AJ920" s="251"/>
      <c r="AK920" s="251"/>
      <c r="AL920" s="251"/>
      <c r="AM920" s="251"/>
      <c r="AN920" s="251"/>
      <c r="AO920" s="251"/>
      <c r="AP920" s="251"/>
      <c r="AQ920" s="251"/>
      <c r="AR920" s="251"/>
      <c r="AS920" s="251"/>
    </row>
    <row r="921" spans="1:45" s="44" customFormat="1" x14ac:dyDescent="0.2">
      <c r="A921" s="71"/>
      <c r="B921" s="71"/>
      <c r="C921" s="7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251"/>
      <c r="AE921" s="251"/>
      <c r="AF921" s="251"/>
      <c r="AG921" s="251"/>
      <c r="AH921" s="251"/>
      <c r="AI921" s="251"/>
      <c r="AJ921" s="251"/>
      <c r="AK921" s="251"/>
      <c r="AL921" s="251"/>
      <c r="AM921" s="251"/>
      <c r="AN921" s="251"/>
      <c r="AO921" s="251"/>
      <c r="AP921" s="251"/>
      <c r="AQ921" s="251"/>
      <c r="AR921" s="251"/>
      <c r="AS921" s="251"/>
    </row>
    <row r="922" spans="1:45" s="44" customFormat="1" x14ac:dyDescent="0.2">
      <c r="A922" s="71"/>
      <c r="B922" s="71"/>
      <c r="C922" s="7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c r="AC922" s="251"/>
      <c r="AD922" s="251"/>
      <c r="AE922" s="251"/>
      <c r="AF922" s="251"/>
      <c r="AG922" s="251"/>
      <c r="AH922" s="251"/>
      <c r="AI922" s="251"/>
      <c r="AJ922" s="251"/>
      <c r="AK922" s="251"/>
      <c r="AL922" s="251"/>
      <c r="AM922" s="251"/>
      <c r="AN922" s="251"/>
      <c r="AO922" s="251"/>
      <c r="AP922" s="251"/>
      <c r="AQ922" s="251"/>
      <c r="AR922" s="251"/>
      <c r="AS922" s="251"/>
    </row>
    <row r="923" spans="1:45" s="44" customFormat="1" x14ac:dyDescent="0.2">
      <c r="A923" s="71"/>
      <c r="B923" s="71"/>
      <c r="C923" s="7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251"/>
      <c r="AH923" s="251"/>
      <c r="AI923" s="251"/>
      <c r="AJ923" s="251"/>
      <c r="AK923" s="251"/>
      <c r="AL923" s="251"/>
      <c r="AM923" s="251"/>
      <c r="AN923" s="251"/>
      <c r="AO923" s="251"/>
      <c r="AP923" s="251"/>
      <c r="AQ923" s="251"/>
      <c r="AR923" s="251"/>
      <c r="AS923" s="251"/>
    </row>
    <row r="924" spans="1:45" s="44" customFormat="1" x14ac:dyDescent="0.2">
      <c r="A924" s="71"/>
      <c r="B924" s="71"/>
      <c r="C924" s="7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251"/>
      <c r="AE924" s="251"/>
      <c r="AF924" s="251"/>
      <c r="AG924" s="251"/>
      <c r="AH924" s="251"/>
      <c r="AI924" s="251"/>
      <c r="AJ924" s="251"/>
      <c r="AK924" s="251"/>
      <c r="AL924" s="251"/>
      <c r="AM924" s="251"/>
      <c r="AN924" s="251"/>
      <c r="AO924" s="251"/>
      <c r="AP924" s="251"/>
      <c r="AQ924" s="251"/>
      <c r="AR924" s="251"/>
      <c r="AS924" s="251"/>
    </row>
    <row r="925" spans="1:45" s="44" customFormat="1" x14ac:dyDescent="0.2">
      <c r="A925" s="71"/>
      <c r="B925" s="71"/>
      <c r="C925" s="7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251"/>
      <c r="AE925" s="251"/>
      <c r="AF925" s="251"/>
      <c r="AG925" s="251"/>
      <c r="AH925" s="251"/>
      <c r="AI925" s="251"/>
      <c r="AJ925" s="251"/>
      <c r="AK925" s="251"/>
      <c r="AL925" s="251"/>
      <c r="AM925" s="251"/>
      <c r="AN925" s="251"/>
      <c r="AO925" s="251"/>
      <c r="AP925" s="251"/>
      <c r="AQ925" s="251"/>
      <c r="AR925" s="251"/>
      <c r="AS925" s="251"/>
    </row>
    <row r="926" spans="1:45" s="44" customFormat="1" x14ac:dyDescent="0.2">
      <c r="A926" s="71"/>
      <c r="B926" s="71"/>
      <c r="C926" s="7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251"/>
      <c r="AE926" s="251"/>
      <c r="AF926" s="251"/>
      <c r="AG926" s="251"/>
      <c r="AH926" s="251"/>
      <c r="AI926" s="251"/>
      <c r="AJ926" s="251"/>
      <c r="AK926" s="251"/>
      <c r="AL926" s="251"/>
      <c r="AM926" s="251"/>
      <c r="AN926" s="251"/>
      <c r="AO926" s="251"/>
      <c r="AP926" s="251"/>
      <c r="AQ926" s="251"/>
      <c r="AR926" s="251"/>
      <c r="AS926" s="251"/>
    </row>
    <row r="927" spans="1:45" s="44" customFormat="1" x14ac:dyDescent="0.2">
      <c r="A927" s="71"/>
      <c r="B927" s="71"/>
      <c r="C927" s="7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251"/>
      <c r="AE927" s="251"/>
      <c r="AF927" s="251"/>
      <c r="AG927" s="251"/>
      <c r="AH927" s="251"/>
      <c r="AI927" s="251"/>
      <c r="AJ927" s="251"/>
      <c r="AK927" s="251"/>
      <c r="AL927" s="251"/>
      <c r="AM927" s="251"/>
      <c r="AN927" s="251"/>
      <c r="AO927" s="251"/>
      <c r="AP927" s="251"/>
      <c r="AQ927" s="251"/>
      <c r="AR927" s="251"/>
      <c r="AS927" s="251"/>
    </row>
    <row r="928" spans="1:45" s="44" customFormat="1" x14ac:dyDescent="0.2">
      <c r="A928" s="71"/>
      <c r="B928" s="71"/>
      <c r="C928" s="7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c r="AC928" s="251"/>
      <c r="AD928" s="251"/>
      <c r="AE928" s="251"/>
      <c r="AF928" s="251"/>
      <c r="AG928" s="251"/>
      <c r="AH928" s="251"/>
      <c r="AI928" s="251"/>
      <c r="AJ928" s="251"/>
      <c r="AK928" s="251"/>
      <c r="AL928" s="251"/>
      <c r="AM928" s="251"/>
      <c r="AN928" s="251"/>
      <c r="AO928" s="251"/>
      <c r="AP928" s="251"/>
      <c r="AQ928" s="251"/>
      <c r="AR928" s="251"/>
      <c r="AS928" s="251"/>
    </row>
    <row r="929" spans="1:45" s="44" customFormat="1" x14ac:dyDescent="0.2">
      <c r="A929" s="71"/>
      <c r="B929" s="71"/>
      <c r="C929" s="7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251"/>
      <c r="AE929" s="251"/>
      <c r="AF929" s="251"/>
      <c r="AG929" s="251"/>
      <c r="AH929" s="251"/>
      <c r="AI929" s="251"/>
      <c r="AJ929" s="251"/>
      <c r="AK929" s="251"/>
      <c r="AL929" s="251"/>
      <c r="AM929" s="251"/>
      <c r="AN929" s="251"/>
      <c r="AO929" s="251"/>
      <c r="AP929" s="251"/>
      <c r="AQ929" s="251"/>
      <c r="AR929" s="251"/>
      <c r="AS929" s="251"/>
    </row>
    <row r="930" spans="1:45" s="44" customFormat="1" x14ac:dyDescent="0.2">
      <c r="A930" s="71"/>
      <c r="B930" s="71"/>
      <c r="C930" s="7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251"/>
      <c r="AF930" s="251"/>
      <c r="AG930" s="251"/>
      <c r="AH930" s="251"/>
      <c r="AI930" s="251"/>
      <c r="AJ930" s="251"/>
      <c r="AK930" s="251"/>
      <c r="AL930" s="251"/>
      <c r="AM930" s="251"/>
      <c r="AN930" s="251"/>
      <c r="AO930" s="251"/>
      <c r="AP930" s="251"/>
      <c r="AQ930" s="251"/>
      <c r="AR930" s="251"/>
      <c r="AS930" s="251"/>
    </row>
    <row r="931" spans="1:45" s="44" customFormat="1" x14ac:dyDescent="0.2">
      <c r="A931" s="71"/>
      <c r="B931" s="71"/>
      <c r="C931" s="7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251"/>
      <c r="AE931" s="251"/>
      <c r="AF931" s="251"/>
      <c r="AG931" s="251"/>
      <c r="AH931" s="251"/>
      <c r="AI931" s="251"/>
      <c r="AJ931" s="251"/>
      <c r="AK931" s="251"/>
      <c r="AL931" s="251"/>
      <c r="AM931" s="251"/>
      <c r="AN931" s="251"/>
      <c r="AO931" s="251"/>
      <c r="AP931" s="251"/>
      <c r="AQ931" s="251"/>
      <c r="AR931" s="251"/>
      <c r="AS931" s="251"/>
    </row>
    <row r="932" spans="1:45" s="44" customFormat="1" x14ac:dyDescent="0.2">
      <c r="A932" s="71"/>
      <c r="B932" s="71"/>
      <c r="C932" s="7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c r="AC932" s="251"/>
      <c r="AD932" s="251"/>
      <c r="AE932" s="251"/>
      <c r="AF932" s="251"/>
      <c r="AG932" s="251"/>
      <c r="AH932" s="251"/>
      <c r="AI932" s="251"/>
      <c r="AJ932" s="251"/>
      <c r="AK932" s="251"/>
      <c r="AL932" s="251"/>
      <c r="AM932" s="251"/>
      <c r="AN932" s="251"/>
      <c r="AO932" s="251"/>
      <c r="AP932" s="251"/>
      <c r="AQ932" s="251"/>
      <c r="AR932" s="251"/>
      <c r="AS932" s="251"/>
    </row>
    <row r="933" spans="1:45" s="44" customFormat="1" x14ac:dyDescent="0.2">
      <c r="A933" s="71"/>
      <c r="B933" s="71"/>
      <c r="C933" s="7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251"/>
      <c r="AF933" s="251"/>
      <c r="AG933" s="251"/>
      <c r="AH933" s="251"/>
      <c r="AI933" s="251"/>
      <c r="AJ933" s="251"/>
      <c r="AK933" s="251"/>
      <c r="AL933" s="251"/>
      <c r="AM933" s="251"/>
      <c r="AN933" s="251"/>
      <c r="AO933" s="251"/>
      <c r="AP933" s="251"/>
      <c r="AQ933" s="251"/>
      <c r="AR933" s="251"/>
      <c r="AS933" s="251"/>
    </row>
    <row r="934" spans="1:45" s="44" customFormat="1" x14ac:dyDescent="0.2">
      <c r="A934" s="71"/>
      <c r="B934" s="71"/>
      <c r="C934" s="7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c r="AC934" s="251"/>
      <c r="AD934" s="251"/>
      <c r="AE934" s="251"/>
      <c r="AF934" s="251"/>
      <c r="AG934" s="251"/>
      <c r="AH934" s="251"/>
      <c r="AI934" s="251"/>
      <c r="AJ934" s="251"/>
      <c r="AK934" s="251"/>
      <c r="AL934" s="251"/>
      <c r="AM934" s="251"/>
      <c r="AN934" s="251"/>
      <c r="AO934" s="251"/>
      <c r="AP934" s="251"/>
      <c r="AQ934" s="251"/>
      <c r="AR934" s="251"/>
      <c r="AS934" s="251"/>
    </row>
    <row r="935" spans="1:45" s="44" customFormat="1" x14ac:dyDescent="0.2">
      <c r="A935" s="71"/>
      <c r="B935" s="71"/>
      <c r="C935" s="7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c r="AC935" s="251"/>
      <c r="AD935" s="251"/>
      <c r="AE935" s="251"/>
      <c r="AF935" s="251"/>
      <c r="AG935" s="251"/>
      <c r="AH935" s="251"/>
      <c r="AI935" s="251"/>
      <c r="AJ935" s="251"/>
      <c r="AK935" s="251"/>
      <c r="AL935" s="251"/>
      <c r="AM935" s="251"/>
      <c r="AN935" s="251"/>
      <c r="AO935" s="251"/>
      <c r="AP935" s="251"/>
      <c r="AQ935" s="251"/>
      <c r="AR935" s="251"/>
      <c r="AS935" s="251"/>
    </row>
    <row r="936" spans="1:45" s="44" customFormat="1" x14ac:dyDescent="0.2">
      <c r="A936" s="71"/>
      <c r="B936" s="71"/>
      <c r="C936" s="7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251"/>
      <c r="AF936" s="251"/>
      <c r="AG936" s="251"/>
      <c r="AH936" s="251"/>
      <c r="AI936" s="251"/>
      <c r="AJ936" s="251"/>
      <c r="AK936" s="251"/>
      <c r="AL936" s="251"/>
      <c r="AM936" s="251"/>
      <c r="AN936" s="251"/>
      <c r="AO936" s="251"/>
      <c r="AP936" s="251"/>
      <c r="AQ936" s="251"/>
      <c r="AR936" s="251"/>
      <c r="AS936" s="251"/>
    </row>
    <row r="937" spans="1:45" s="44" customFormat="1" x14ac:dyDescent="0.2">
      <c r="A937" s="71"/>
      <c r="B937" s="71"/>
      <c r="C937" s="7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c r="AC937" s="251"/>
      <c r="AD937" s="251"/>
      <c r="AE937" s="251"/>
      <c r="AF937" s="251"/>
      <c r="AG937" s="251"/>
      <c r="AH937" s="251"/>
      <c r="AI937" s="251"/>
      <c r="AJ937" s="251"/>
      <c r="AK937" s="251"/>
      <c r="AL937" s="251"/>
      <c r="AM937" s="251"/>
      <c r="AN937" s="251"/>
      <c r="AO937" s="251"/>
      <c r="AP937" s="251"/>
      <c r="AQ937" s="251"/>
      <c r="AR937" s="251"/>
      <c r="AS937" s="251"/>
    </row>
    <row r="938" spans="1:45" s="44" customFormat="1" x14ac:dyDescent="0.2">
      <c r="A938" s="71"/>
      <c r="B938" s="71"/>
      <c r="C938" s="7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c r="AC938" s="251"/>
      <c r="AD938" s="251"/>
      <c r="AE938" s="251"/>
      <c r="AF938" s="251"/>
      <c r="AG938" s="251"/>
      <c r="AH938" s="251"/>
      <c r="AI938" s="251"/>
      <c r="AJ938" s="251"/>
      <c r="AK938" s="251"/>
      <c r="AL938" s="251"/>
      <c r="AM938" s="251"/>
      <c r="AN938" s="251"/>
      <c r="AO938" s="251"/>
      <c r="AP938" s="251"/>
      <c r="AQ938" s="251"/>
      <c r="AR938" s="251"/>
      <c r="AS938" s="251"/>
    </row>
    <row r="939" spans="1:45" s="44" customFormat="1" x14ac:dyDescent="0.2">
      <c r="A939" s="71"/>
      <c r="B939" s="71"/>
      <c r="C939" s="7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251"/>
      <c r="AF939" s="251"/>
      <c r="AG939" s="251"/>
      <c r="AH939" s="251"/>
      <c r="AI939" s="251"/>
      <c r="AJ939" s="251"/>
      <c r="AK939" s="251"/>
      <c r="AL939" s="251"/>
      <c r="AM939" s="251"/>
      <c r="AN939" s="251"/>
      <c r="AO939" s="251"/>
      <c r="AP939" s="251"/>
      <c r="AQ939" s="251"/>
      <c r="AR939" s="251"/>
      <c r="AS939" s="251"/>
    </row>
    <row r="940" spans="1:45" s="44" customFormat="1" x14ac:dyDescent="0.2">
      <c r="A940" s="71"/>
      <c r="B940" s="71"/>
      <c r="C940" s="7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51"/>
      <c r="AE940" s="251"/>
      <c r="AF940" s="251"/>
      <c r="AG940" s="251"/>
      <c r="AH940" s="251"/>
      <c r="AI940" s="251"/>
      <c r="AJ940" s="251"/>
      <c r="AK940" s="251"/>
      <c r="AL940" s="251"/>
      <c r="AM940" s="251"/>
      <c r="AN940" s="251"/>
      <c r="AO940" s="251"/>
      <c r="AP940" s="251"/>
      <c r="AQ940" s="251"/>
      <c r="AR940" s="251"/>
      <c r="AS940" s="251"/>
    </row>
    <row r="941" spans="1:45" s="44" customFormat="1" x14ac:dyDescent="0.2">
      <c r="A941" s="71"/>
      <c r="B941" s="71"/>
      <c r="C941" s="7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251"/>
      <c r="AE941" s="251"/>
      <c r="AF941" s="251"/>
      <c r="AG941" s="251"/>
      <c r="AH941" s="251"/>
      <c r="AI941" s="251"/>
      <c r="AJ941" s="251"/>
      <c r="AK941" s="251"/>
      <c r="AL941" s="251"/>
      <c r="AM941" s="251"/>
      <c r="AN941" s="251"/>
      <c r="AO941" s="251"/>
      <c r="AP941" s="251"/>
      <c r="AQ941" s="251"/>
      <c r="AR941" s="251"/>
      <c r="AS941" s="251"/>
    </row>
    <row r="942" spans="1:45" s="44" customFormat="1" x14ac:dyDescent="0.2">
      <c r="A942" s="71"/>
      <c r="B942" s="71"/>
      <c r="C942" s="7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251"/>
      <c r="AF942" s="251"/>
      <c r="AG942" s="251"/>
      <c r="AH942" s="251"/>
      <c r="AI942" s="251"/>
      <c r="AJ942" s="251"/>
      <c r="AK942" s="251"/>
      <c r="AL942" s="251"/>
      <c r="AM942" s="251"/>
      <c r="AN942" s="251"/>
      <c r="AO942" s="251"/>
      <c r="AP942" s="251"/>
      <c r="AQ942" s="251"/>
      <c r="AR942" s="251"/>
      <c r="AS942" s="251"/>
    </row>
    <row r="943" spans="1:45" s="44" customFormat="1" x14ac:dyDescent="0.2">
      <c r="A943" s="71"/>
      <c r="B943" s="71"/>
      <c r="C943" s="7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c r="AC943" s="251"/>
      <c r="AD943" s="251"/>
      <c r="AE943" s="251"/>
      <c r="AF943" s="251"/>
      <c r="AG943" s="251"/>
      <c r="AH943" s="251"/>
      <c r="AI943" s="251"/>
      <c r="AJ943" s="251"/>
      <c r="AK943" s="251"/>
      <c r="AL943" s="251"/>
      <c r="AM943" s="251"/>
      <c r="AN943" s="251"/>
      <c r="AO943" s="251"/>
      <c r="AP943" s="251"/>
      <c r="AQ943" s="251"/>
      <c r="AR943" s="251"/>
      <c r="AS943" s="251"/>
    </row>
    <row r="944" spans="1:45" s="44" customFormat="1" x14ac:dyDescent="0.2">
      <c r="A944" s="71"/>
      <c r="B944" s="71"/>
      <c r="C944" s="7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c r="AA944" s="251"/>
      <c r="AB944" s="251"/>
      <c r="AC944" s="251"/>
      <c r="AD944" s="251"/>
      <c r="AE944" s="251"/>
      <c r="AF944" s="251"/>
      <c r="AG944" s="251"/>
      <c r="AH944" s="251"/>
      <c r="AI944" s="251"/>
      <c r="AJ944" s="251"/>
      <c r="AK944" s="251"/>
      <c r="AL944" s="251"/>
      <c r="AM944" s="251"/>
      <c r="AN944" s="251"/>
      <c r="AO944" s="251"/>
      <c r="AP944" s="251"/>
      <c r="AQ944" s="251"/>
      <c r="AR944" s="251"/>
      <c r="AS944" s="251"/>
    </row>
    <row r="945" spans="1:45" s="44" customFormat="1" x14ac:dyDescent="0.2">
      <c r="A945" s="71"/>
      <c r="B945" s="71"/>
      <c r="C945" s="7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251"/>
      <c r="AF945" s="251"/>
      <c r="AG945" s="251"/>
      <c r="AH945" s="251"/>
      <c r="AI945" s="251"/>
      <c r="AJ945" s="251"/>
      <c r="AK945" s="251"/>
      <c r="AL945" s="251"/>
      <c r="AM945" s="251"/>
      <c r="AN945" s="251"/>
      <c r="AO945" s="251"/>
      <c r="AP945" s="251"/>
      <c r="AQ945" s="251"/>
      <c r="AR945" s="251"/>
      <c r="AS945" s="251"/>
    </row>
    <row r="946" spans="1:45" s="44" customFormat="1" x14ac:dyDescent="0.2">
      <c r="A946" s="71"/>
      <c r="B946" s="71"/>
      <c r="C946" s="7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c r="AC946" s="251"/>
      <c r="AD946" s="251"/>
      <c r="AE946" s="251"/>
      <c r="AF946" s="251"/>
      <c r="AG946" s="251"/>
      <c r="AH946" s="251"/>
      <c r="AI946" s="251"/>
      <c r="AJ946" s="251"/>
      <c r="AK946" s="251"/>
      <c r="AL946" s="251"/>
      <c r="AM946" s="251"/>
      <c r="AN946" s="251"/>
      <c r="AO946" s="251"/>
      <c r="AP946" s="251"/>
      <c r="AQ946" s="251"/>
      <c r="AR946" s="251"/>
      <c r="AS946" s="251"/>
    </row>
    <row r="947" spans="1:45" s="44" customFormat="1" x14ac:dyDescent="0.2">
      <c r="A947" s="71"/>
      <c r="B947" s="71"/>
      <c r="C947" s="7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c r="AA947" s="251"/>
      <c r="AB947" s="251"/>
      <c r="AC947" s="251"/>
      <c r="AD947" s="251"/>
      <c r="AE947" s="251"/>
      <c r="AF947" s="251"/>
      <c r="AG947" s="251"/>
      <c r="AH947" s="251"/>
      <c r="AI947" s="251"/>
      <c r="AJ947" s="251"/>
      <c r="AK947" s="251"/>
      <c r="AL947" s="251"/>
      <c r="AM947" s="251"/>
      <c r="AN947" s="251"/>
      <c r="AO947" s="251"/>
      <c r="AP947" s="251"/>
      <c r="AQ947" s="251"/>
      <c r="AR947" s="251"/>
      <c r="AS947" s="251"/>
    </row>
    <row r="948" spans="1:45" s="44" customFormat="1" x14ac:dyDescent="0.2">
      <c r="A948" s="71"/>
      <c r="B948" s="71"/>
      <c r="C948" s="7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s="251"/>
      <c r="AG948" s="251"/>
      <c r="AH948" s="251"/>
      <c r="AI948" s="251"/>
      <c r="AJ948" s="251"/>
      <c r="AK948" s="251"/>
      <c r="AL948" s="251"/>
      <c r="AM948" s="251"/>
      <c r="AN948" s="251"/>
      <c r="AO948" s="251"/>
      <c r="AP948" s="251"/>
      <c r="AQ948" s="251"/>
      <c r="AR948" s="251"/>
      <c r="AS948" s="251"/>
    </row>
    <row r="949" spans="1:45" s="44" customFormat="1" x14ac:dyDescent="0.2">
      <c r="A949" s="71"/>
      <c r="B949" s="71"/>
      <c r="C949" s="7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251"/>
      <c r="AE949" s="251"/>
      <c r="AF949" s="251"/>
      <c r="AG949" s="251"/>
      <c r="AH949" s="251"/>
      <c r="AI949" s="251"/>
      <c r="AJ949" s="251"/>
      <c r="AK949" s="251"/>
      <c r="AL949" s="251"/>
      <c r="AM949" s="251"/>
      <c r="AN949" s="251"/>
      <c r="AO949" s="251"/>
      <c r="AP949" s="251"/>
      <c r="AQ949" s="251"/>
      <c r="AR949" s="251"/>
      <c r="AS949" s="251"/>
    </row>
    <row r="950" spans="1:45" s="44" customFormat="1" x14ac:dyDescent="0.2">
      <c r="A950" s="71"/>
      <c r="B950" s="71"/>
      <c r="C950" s="7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c r="AA950" s="251"/>
      <c r="AB950" s="251"/>
      <c r="AC950" s="251"/>
      <c r="AD950" s="251"/>
      <c r="AE950" s="251"/>
      <c r="AF950" s="251"/>
      <c r="AG950" s="251"/>
      <c r="AH950" s="251"/>
      <c r="AI950" s="251"/>
      <c r="AJ950" s="251"/>
      <c r="AK950" s="251"/>
      <c r="AL950" s="251"/>
      <c r="AM950" s="251"/>
      <c r="AN950" s="251"/>
      <c r="AO950" s="251"/>
      <c r="AP950" s="251"/>
      <c r="AQ950" s="251"/>
      <c r="AR950" s="251"/>
      <c r="AS950" s="251"/>
    </row>
    <row r="951" spans="1:45" s="44" customFormat="1" x14ac:dyDescent="0.2">
      <c r="A951" s="71"/>
      <c r="B951" s="71"/>
      <c r="C951" s="7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251"/>
      <c r="AF951" s="251"/>
      <c r="AG951" s="251"/>
      <c r="AH951" s="251"/>
      <c r="AI951" s="251"/>
      <c r="AJ951" s="251"/>
      <c r="AK951" s="251"/>
      <c r="AL951" s="251"/>
      <c r="AM951" s="251"/>
      <c r="AN951" s="251"/>
      <c r="AO951" s="251"/>
      <c r="AP951" s="251"/>
      <c r="AQ951" s="251"/>
      <c r="AR951" s="251"/>
      <c r="AS951" s="251"/>
    </row>
    <row r="952" spans="1:45" s="44" customFormat="1" x14ac:dyDescent="0.2">
      <c r="A952" s="71"/>
      <c r="B952" s="71"/>
      <c r="C952" s="7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251"/>
      <c r="AE952" s="251"/>
      <c r="AF952" s="251"/>
      <c r="AG952" s="251"/>
      <c r="AH952" s="251"/>
      <c r="AI952" s="251"/>
      <c r="AJ952" s="251"/>
      <c r="AK952" s="251"/>
      <c r="AL952" s="251"/>
      <c r="AM952" s="251"/>
      <c r="AN952" s="251"/>
      <c r="AO952" s="251"/>
      <c r="AP952" s="251"/>
      <c r="AQ952" s="251"/>
      <c r="AR952" s="251"/>
      <c r="AS952" s="251"/>
    </row>
    <row r="953" spans="1:45" s="44" customFormat="1" x14ac:dyDescent="0.2">
      <c r="A953" s="71"/>
      <c r="B953" s="71"/>
      <c r="C953" s="7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c r="AC953" s="251"/>
      <c r="AD953" s="251"/>
      <c r="AE953" s="251"/>
      <c r="AF953" s="251"/>
      <c r="AG953" s="251"/>
      <c r="AH953" s="251"/>
      <c r="AI953" s="251"/>
      <c r="AJ953" s="251"/>
      <c r="AK953" s="251"/>
      <c r="AL953" s="251"/>
      <c r="AM953" s="251"/>
      <c r="AN953" s="251"/>
      <c r="AO953" s="251"/>
      <c r="AP953" s="251"/>
      <c r="AQ953" s="251"/>
      <c r="AR953" s="251"/>
      <c r="AS953" s="251"/>
    </row>
    <row r="954" spans="1:45" s="44" customFormat="1" x14ac:dyDescent="0.2">
      <c r="A954" s="71"/>
      <c r="B954" s="71"/>
      <c r="C954" s="7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251"/>
      <c r="AE954" s="251"/>
      <c r="AF954" s="251"/>
      <c r="AG954" s="251"/>
      <c r="AH954" s="251"/>
      <c r="AI954" s="251"/>
      <c r="AJ954" s="251"/>
      <c r="AK954" s="251"/>
      <c r="AL954" s="251"/>
      <c r="AM954" s="251"/>
      <c r="AN954" s="251"/>
      <c r="AO954" s="251"/>
      <c r="AP954" s="251"/>
      <c r="AQ954" s="251"/>
      <c r="AR954" s="251"/>
      <c r="AS954" s="251"/>
    </row>
    <row r="955" spans="1:45" s="44" customFormat="1" x14ac:dyDescent="0.2">
      <c r="A955" s="71"/>
      <c r="B955" s="71"/>
      <c r="C955" s="7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251"/>
      <c r="AE955" s="251"/>
      <c r="AF955" s="251"/>
      <c r="AG955" s="251"/>
      <c r="AH955" s="251"/>
      <c r="AI955" s="251"/>
      <c r="AJ955" s="251"/>
      <c r="AK955" s="251"/>
      <c r="AL955" s="251"/>
      <c r="AM955" s="251"/>
      <c r="AN955" s="251"/>
      <c r="AO955" s="251"/>
      <c r="AP955" s="251"/>
      <c r="AQ955" s="251"/>
      <c r="AR955" s="251"/>
      <c r="AS955" s="251"/>
    </row>
    <row r="956" spans="1:45" s="44" customFormat="1" x14ac:dyDescent="0.2">
      <c r="A956" s="71"/>
      <c r="B956" s="71"/>
      <c r="C956" s="7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c r="AA956" s="251"/>
      <c r="AB956" s="251"/>
      <c r="AC956" s="251"/>
      <c r="AD956" s="251"/>
      <c r="AE956" s="251"/>
      <c r="AF956" s="251"/>
      <c r="AG956" s="251"/>
      <c r="AH956" s="251"/>
      <c r="AI956" s="251"/>
      <c r="AJ956" s="251"/>
      <c r="AK956" s="251"/>
      <c r="AL956" s="251"/>
      <c r="AM956" s="251"/>
      <c r="AN956" s="251"/>
      <c r="AO956" s="251"/>
      <c r="AP956" s="251"/>
      <c r="AQ956" s="251"/>
      <c r="AR956" s="251"/>
      <c r="AS956" s="251"/>
    </row>
    <row r="957" spans="1:45" s="44" customFormat="1" x14ac:dyDescent="0.2">
      <c r="A957" s="71"/>
      <c r="B957" s="71"/>
      <c r="C957" s="7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251"/>
      <c r="AE957" s="251"/>
      <c r="AF957" s="251"/>
      <c r="AG957" s="251"/>
      <c r="AH957" s="251"/>
      <c r="AI957" s="251"/>
      <c r="AJ957" s="251"/>
      <c r="AK957" s="251"/>
      <c r="AL957" s="251"/>
      <c r="AM957" s="251"/>
      <c r="AN957" s="251"/>
      <c r="AO957" s="251"/>
      <c r="AP957" s="251"/>
      <c r="AQ957" s="251"/>
      <c r="AR957" s="251"/>
      <c r="AS957" s="251"/>
    </row>
    <row r="958" spans="1:45" s="44" customFormat="1" x14ac:dyDescent="0.2">
      <c r="A958" s="71"/>
      <c r="B958" s="71"/>
      <c r="C958" s="7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251"/>
      <c r="AE958" s="251"/>
      <c r="AF958" s="251"/>
      <c r="AG958" s="251"/>
      <c r="AH958" s="251"/>
      <c r="AI958" s="251"/>
      <c r="AJ958" s="251"/>
      <c r="AK958" s="251"/>
      <c r="AL958" s="251"/>
      <c r="AM958" s="251"/>
      <c r="AN958" s="251"/>
      <c r="AO958" s="251"/>
      <c r="AP958" s="251"/>
      <c r="AQ958" s="251"/>
      <c r="AR958" s="251"/>
      <c r="AS958" s="251"/>
    </row>
    <row r="959" spans="1:45" s="44" customFormat="1" x14ac:dyDescent="0.2">
      <c r="A959" s="71"/>
      <c r="B959" s="71"/>
      <c r="C959" s="7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251"/>
      <c r="AE959" s="251"/>
      <c r="AF959" s="251"/>
      <c r="AG959" s="251"/>
      <c r="AH959" s="251"/>
      <c r="AI959" s="251"/>
      <c r="AJ959" s="251"/>
      <c r="AK959" s="251"/>
      <c r="AL959" s="251"/>
      <c r="AM959" s="251"/>
      <c r="AN959" s="251"/>
      <c r="AO959" s="251"/>
      <c r="AP959" s="251"/>
      <c r="AQ959" s="251"/>
      <c r="AR959" s="251"/>
      <c r="AS959" s="251"/>
    </row>
    <row r="960" spans="1:45" s="44" customFormat="1" x14ac:dyDescent="0.2">
      <c r="A960" s="71"/>
      <c r="B960" s="71"/>
      <c r="C960" s="7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251"/>
      <c r="AE960" s="251"/>
      <c r="AF960" s="251"/>
      <c r="AG960" s="251"/>
      <c r="AH960" s="251"/>
      <c r="AI960" s="251"/>
      <c r="AJ960" s="251"/>
      <c r="AK960" s="251"/>
      <c r="AL960" s="251"/>
      <c r="AM960" s="251"/>
      <c r="AN960" s="251"/>
      <c r="AO960" s="251"/>
      <c r="AP960" s="251"/>
      <c r="AQ960" s="251"/>
      <c r="AR960" s="251"/>
      <c r="AS960" s="251"/>
    </row>
    <row r="961" spans="1:45" s="44" customFormat="1" x14ac:dyDescent="0.2">
      <c r="A961" s="71"/>
      <c r="B961" s="71"/>
      <c r="C961" s="7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251"/>
      <c r="AE961" s="251"/>
      <c r="AF961" s="251"/>
      <c r="AG961" s="251"/>
      <c r="AH961" s="251"/>
      <c r="AI961" s="251"/>
      <c r="AJ961" s="251"/>
      <c r="AK961" s="251"/>
      <c r="AL961" s="251"/>
      <c r="AM961" s="251"/>
      <c r="AN961" s="251"/>
      <c r="AO961" s="251"/>
      <c r="AP961" s="251"/>
      <c r="AQ961" s="251"/>
      <c r="AR961" s="251"/>
      <c r="AS961" s="251"/>
    </row>
    <row r="962" spans="1:45" s="44" customFormat="1" x14ac:dyDescent="0.2">
      <c r="A962" s="71"/>
      <c r="B962" s="71"/>
      <c r="C962" s="7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c r="AA962" s="251"/>
      <c r="AB962" s="251"/>
      <c r="AC962" s="251"/>
      <c r="AD962" s="251"/>
      <c r="AE962" s="251"/>
      <c r="AF962" s="251"/>
      <c r="AG962" s="251"/>
      <c r="AH962" s="251"/>
      <c r="AI962" s="251"/>
      <c r="AJ962" s="251"/>
      <c r="AK962" s="251"/>
      <c r="AL962" s="251"/>
      <c r="AM962" s="251"/>
      <c r="AN962" s="251"/>
      <c r="AO962" s="251"/>
      <c r="AP962" s="251"/>
      <c r="AQ962" s="251"/>
      <c r="AR962" s="251"/>
      <c r="AS962" s="251"/>
    </row>
    <row r="963" spans="1:45" s="44" customFormat="1" x14ac:dyDescent="0.2">
      <c r="A963" s="71"/>
      <c r="B963" s="71"/>
      <c r="C963" s="7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c r="AC963" s="251"/>
      <c r="AD963" s="251"/>
      <c r="AE963" s="251"/>
      <c r="AF963" s="251"/>
      <c r="AG963" s="251"/>
      <c r="AH963" s="251"/>
      <c r="AI963" s="251"/>
      <c r="AJ963" s="251"/>
      <c r="AK963" s="251"/>
      <c r="AL963" s="251"/>
      <c r="AM963" s="251"/>
      <c r="AN963" s="251"/>
      <c r="AO963" s="251"/>
      <c r="AP963" s="251"/>
      <c r="AQ963" s="251"/>
      <c r="AR963" s="251"/>
      <c r="AS963" s="251"/>
    </row>
    <row r="964" spans="1:45" s="44" customFormat="1" x14ac:dyDescent="0.2">
      <c r="A964" s="71"/>
      <c r="B964" s="71"/>
      <c r="C964" s="7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251"/>
      <c r="AE964" s="251"/>
      <c r="AF964" s="251"/>
      <c r="AG964" s="251"/>
      <c r="AH964" s="251"/>
      <c r="AI964" s="251"/>
      <c r="AJ964" s="251"/>
      <c r="AK964" s="251"/>
      <c r="AL964" s="251"/>
      <c r="AM964" s="251"/>
      <c r="AN964" s="251"/>
      <c r="AO964" s="251"/>
      <c r="AP964" s="251"/>
      <c r="AQ964" s="251"/>
      <c r="AR964" s="251"/>
      <c r="AS964" s="251"/>
    </row>
    <row r="965" spans="1:45" s="44" customFormat="1" x14ac:dyDescent="0.2">
      <c r="A965" s="71"/>
      <c r="B965" s="71"/>
      <c r="C965" s="7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c r="AA965" s="251"/>
      <c r="AB965" s="251"/>
      <c r="AC965" s="251"/>
      <c r="AD965" s="251"/>
      <c r="AE965" s="251"/>
      <c r="AF965" s="251"/>
      <c r="AG965" s="251"/>
      <c r="AH965" s="251"/>
      <c r="AI965" s="251"/>
      <c r="AJ965" s="251"/>
      <c r="AK965" s="251"/>
      <c r="AL965" s="251"/>
      <c r="AM965" s="251"/>
      <c r="AN965" s="251"/>
      <c r="AO965" s="251"/>
      <c r="AP965" s="251"/>
      <c r="AQ965" s="251"/>
      <c r="AR965" s="251"/>
      <c r="AS965" s="251"/>
    </row>
    <row r="966" spans="1:45" s="44" customFormat="1" x14ac:dyDescent="0.2">
      <c r="A966" s="71"/>
      <c r="B966" s="71"/>
      <c r="C966" s="7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c r="AC966" s="251"/>
      <c r="AD966" s="251"/>
      <c r="AE966" s="251"/>
      <c r="AF966" s="251"/>
      <c r="AG966" s="251"/>
      <c r="AH966" s="251"/>
      <c r="AI966" s="251"/>
      <c r="AJ966" s="251"/>
      <c r="AK966" s="251"/>
      <c r="AL966" s="251"/>
      <c r="AM966" s="251"/>
      <c r="AN966" s="251"/>
      <c r="AO966" s="251"/>
      <c r="AP966" s="251"/>
      <c r="AQ966" s="251"/>
      <c r="AR966" s="251"/>
      <c r="AS966" s="251"/>
    </row>
    <row r="967" spans="1:45" s="44" customFormat="1" x14ac:dyDescent="0.2">
      <c r="A967" s="71"/>
      <c r="B967" s="71"/>
      <c r="C967" s="7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251"/>
      <c r="AE967" s="251"/>
      <c r="AF967" s="251"/>
      <c r="AG967" s="251"/>
      <c r="AH967" s="251"/>
      <c r="AI967" s="251"/>
      <c r="AJ967" s="251"/>
      <c r="AK967" s="251"/>
      <c r="AL967" s="251"/>
      <c r="AM967" s="251"/>
      <c r="AN967" s="251"/>
      <c r="AO967" s="251"/>
      <c r="AP967" s="251"/>
      <c r="AQ967" s="251"/>
      <c r="AR967" s="251"/>
      <c r="AS967" s="251"/>
    </row>
    <row r="968" spans="1:45" s="44" customFormat="1" x14ac:dyDescent="0.2">
      <c r="A968" s="71"/>
      <c r="B968" s="71"/>
      <c r="C968" s="7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c r="AC968" s="251"/>
      <c r="AD968" s="251"/>
      <c r="AE968" s="251"/>
      <c r="AF968" s="251"/>
      <c r="AG968" s="251"/>
      <c r="AH968" s="251"/>
      <c r="AI968" s="251"/>
      <c r="AJ968" s="251"/>
      <c r="AK968" s="251"/>
      <c r="AL968" s="251"/>
      <c r="AM968" s="251"/>
      <c r="AN968" s="251"/>
      <c r="AO968" s="251"/>
      <c r="AP968" s="251"/>
      <c r="AQ968" s="251"/>
      <c r="AR968" s="251"/>
      <c r="AS968" s="251"/>
    </row>
    <row r="969" spans="1:45" s="44" customFormat="1" x14ac:dyDescent="0.2">
      <c r="A969" s="71"/>
      <c r="B969" s="71"/>
      <c r="C969" s="7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c r="AC969" s="251"/>
      <c r="AD969" s="251"/>
      <c r="AE969" s="251"/>
      <c r="AF969" s="251"/>
      <c r="AG969" s="251"/>
      <c r="AH969" s="251"/>
      <c r="AI969" s="251"/>
      <c r="AJ969" s="251"/>
      <c r="AK969" s="251"/>
      <c r="AL969" s="251"/>
      <c r="AM969" s="251"/>
      <c r="AN969" s="251"/>
      <c r="AO969" s="251"/>
      <c r="AP969" s="251"/>
      <c r="AQ969" s="251"/>
      <c r="AR969" s="251"/>
      <c r="AS969" s="251"/>
    </row>
    <row r="970" spans="1:45" s="44" customFormat="1" x14ac:dyDescent="0.2">
      <c r="A970" s="71"/>
      <c r="B970" s="71"/>
      <c r="C970" s="7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251"/>
      <c r="AE970" s="251"/>
      <c r="AF970" s="251"/>
      <c r="AG970" s="251"/>
      <c r="AH970" s="251"/>
      <c r="AI970" s="251"/>
      <c r="AJ970" s="251"/>
      <c r="AK970" s="251"/>
      <c r="AL970" s="251"/>
      <c r="AM970" s="251"/>
      <c r="AN970" s="251"/>
      <c r="AO970" s="251"/>
      <c r="AP970" s="251"/>
      <c r="AQ970" s="251"/>
      <c r="AR970" s="251"/>
      <c r="AS970" s="251"/>
    </row>
    <row r="971" spans="1:45" s="44" customFormat="1" x14ac:dyDescent="0.2">
      <c r="A971" s="71"/>
      <c r="B971" s="71"/>
      <c r="C971" s="7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c r="AA971" s="251"/>
      <c r="AB971" s="251"/>
      <c r="AC971" s="251"/>
      <c r="AD971" s="251"/>
      <c r="AE971" s="251"/>
      <c r="AF971" s="251"/>
      <c r="AG971" s="251"/>
      <c r="AH971" s="251"/>
      <c r="AI971" s="251"/>
      <c r="AJ971" s="251"/>
      <c r="AK971" s="251"/>
      <c r="AL971" s="251"/>
      <c r="AM971" s="251"/>
      <c r="AN971" s="251"/>
      <c r="AO971" s="251"/>
      <c r="AP971" s="251"/>
      <c r="AQ971" s="251"/>
      <c r="AR971" s="251"/>
      <c r="AS971" s="251"/>
    </row>
    <row r="972" spans="1:45" s="44" customFormat="1" x14ac:dyDescent="0.2">
      <c r="A972" s="71"/>
      <c r="B972" s="71"/>
      <c r="C972" s="7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c r="AA972" s="251"/>
      <c r="AB972" s="251"/>
      <c r="AC972" s="251"/>
      <c r="AD972" s="251"/>
      <c r="AE972" s="251"/>
      <c r="AF972" s="251"/>
      <c r="AG972" s="251"/>
      <c r="AH972" s="251"/>
      <c r="AI972" s="251"/>
      <c r="AJ972" s="251"/>
      <c r="AK972" s="251"/>
      <c r="AL972" s="251"/>
      <c r="AM972" s="251"/>
      <c r="AN972" s="251"/>
      <c r="AO972" s="251"/>
      <c r="AP972" s="251"/>
      <c r="AQ972" s="251"/>
      <c r="AR972" s="251"/>
      <c r="AS972" s="251"/>
    </row>
    <row r="973" spans="1:45" s="44" customFormat="1" x14ac:dyDescent="0.2">
      <c r="A973" s="71"/>
      <c r="B973" s="71"/>
      <c r="C973" s="7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251"/>
      <c r="AE973" s="251"/>
      <c r="AF973" s="251"/>
      <c r="AG973" s="251"/>
      <c r="AH973" s="251"/>
      <c r="AI973" s="251"/>
      <c r="AJ973" s="251"/>
      <c r="AK973" s="251"/>
      <c r="AL973" s="251"/>
      <c r="AM973" s="251"/>
      <c r="AN973" s="251"/>
      <c r="AO973" s="251"/>
      <c r="AP973" s="251"/>
      <c r="AQ973" s="251"/>
      <c r="AR973" s="251"/>
      <c r="AS973" s="251"/>
    </row>
    <row r="974" spans="1:45" s="44" customFormat="1" x14ac:dyDescent="0.2">
      <c r="A974" s="71"/>
      <c r="B974" s="71"/>
      <c r="C974" s="7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c r="AC974" s="251"/>
      <c r="AD974" s="251"/>
      <c r="AE974" s="251"/>
      <c r="AF974" s="251"/>
      <c r="AG974" s="251"/>
      <c r="AH974" s="251"/>
      <c r="AI974" s="251"/>
      <c r="AJ974" s="251"/>
      <c r="AK974" s="251"/>
      <c r="AL974" s="251"/>
      <c r="AM974" s="251"/>
      <c r="AN974" s="251"/>
      <c r="AO974" s="251"/>
      <c r="AP974" s="251"/>
      <c r="AQ974" s="251"/>
      <c r="AR974" s="251"/>
      <c r="AS974" s="251"/>
    </row>
    <row r="975" spans="1:45" s="44" customFormat="1" x14ac:dyDescent="0.2">
      <c r="A975" s="71"/>
      <c r="B975" s="71"/>
      <c r="C975" s="7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c r="AC975" s="251"/>
      <c r="AD975" s="251"/>
      <c r="AE975" s="251"/>
      <c r="AF975" s="251"/>
      <c r="AG975" s="251"/>
      <c r="AH975" s="251"/>
      <c r="AI975" s="251"/>
      <c r="AJ975" s="251"/>
      <c r="AK975" s="251"/>
      <c r="AL975" s="251"/>
      <c r="AM975" s="251"/>
      <c r="AN975" s="251"/>
      <c r="AO975" s="251"/>
      <c r="AP975" s="251"/>
      <c r="AQ975" s="251"/>
      <c r="AR975" s="251"/>
      <c r="AS975" s="251"/>
    </row>
    <row r="976" spans="1:45" s="44" customFormat="1" x14ac:dyDescent="0.2">
      <c r="A976" s="71"/>
      <c r="B976" s="71"/>
      <c r="C976" s="7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251"/>
      <c r="AE976" s="251"/>
      <c r="AF976" s="251"/>
      <c r="AG976" s="251"/>
      <c r="AH976" s="251"/>
      <c r="AI976" s="251"/>
      <c r="AJ976" s="251"/>
      <c r="AK976" s="251"/>
      <c r="AL976" s="251"/>
      <c r="AM976" s="251"/>
      <c r="AN976" s="251"/>
      <c r="AO976" s="251"/>
      <c r="AP976" s="251"/>
      <c r="AQ976" s="251"/>
      <c r="AR976" s="251"/>
      <c r="AS976" s="251"/>
    </row>
    <row r="977" spans="1:45" s="44" customFormat="1" x14ac:dyDescent="0.2">
      <c r="A977" s="71"/>
      <c r="B977" s="71"/>
      <c r="C977" s="71"/>
      <c r="D977" s="251"/>
      <c r="E977" s="251"/>
      <c r="F977" s="251"/>
      <c r="G977" s="251"/>
      <c r="H977" s="251"/>
      <c r="I977" s="251"/>
      <c r="J977" s="251"/>
      <c r="K977" s="251"/>
      <c r="L977" s="251"/>
      <c r="M977" s="251"/>
      <c r="N977" s="251"/>
      <c r="O977" s="251"/>
      <c r="P977" s="251"/>
      <c r="Q977" s="251"/>
      <c r="R977" s="251"/>
      <c r="S977" s="251"/>
      <c r="T977" s="251"/>
      <c r="U977" s="251"/>
      <c r="V977" s="251"/>
      <c r="W977" s="251"/>
      <c r="X977" s="251"/>
      <c r="Y977" s="251"/>
      <c r="Z977" s="251"/>
      <c r="AA977" s="251"/>
      <c r="AB977" s="251"/>
      <c r="AC977" s="251"/>
      <c r="AD977" s="251"/>
      <c r="AE977" s="251"/>
      <c r="AF977" s="251"/>
      <c r="AG977" s="251"/>
      <c r="AH977" s="251"/>
      <c r="AI977" s="251"/>
      <c r="AJ977" s="251"/>
      <c r="AK977" s="251"/>
      <c r="AL977" s="251"/>
      <c r="AM977" s="251"/>
      <c r="AN977" s="251"/>
      <c r="AO977" s="251"/>
      <c r="AP977" s="251"/>
      <c r="AQ977" s="251"/>
      <c r="AR977" s="251"/>
      <c r="AS977" s="251"/>
    </row>
    <row r="978" spans="1:45" s="44" customFormat="1" x14ac:dyDescent="0.2">
      <c r="A978" s="71"/>
      <c r="B978" s="71"/>
      <c r="C978" s="71"/>
      <c r="D978" s="251"/>
      <c r="E978" s="251"/>
      <c r="F978" s="251"/>
      <c r="G978" s="251"/>
      <c r="H978" s="251"/>
      <c r="I978" s="251"/>
      <c r="J978" s="251"/>
      <c r="K978" s="251"/>
      <c r="L978" s="251"/>
      <c r="M978" s="251"/>
      <c r="N978" s="251"/>
      <c r="O978" s="251"/>
      <c r="P978" s="251"/>
      <c r="Q978" s="251"/>
      <c r="R978" s="251"/>
      <c r="S978" s="251"/>
      <c r="T978" s="251"/>
      <c r="U978" s="251"/>
      <c r="V978" s="251"/>
      <c r="W978" s="251"/>
      <c r="X978" s="251"/>
      <c r="Y978" s="251"/>
      <c r="Z978" s="251"/>
      <c r="AA978" s="251"/>
      <c r="AB978" s="251"/>
      <c r="AC978" s="251"/>
      <c r="AD978" s="251"/>
      <c r="AE978" s="251"/>
      <c r="AF978" s="251"/>
      <c r="AG978" s="251"/>
      <c r="AH978" s="251"/>
      <c r="AI978" s="251"/>
      <c r="AJ978" s="251"/>
      <c r="AK978" s="251"/>
      <c r="AL978" s="251"/>
      <c r="AM978" s="251"/>
      <c r="AN978" s="251"/>
      <c r="AO978" s="251"/>
      <c r="AP978" s="251"/>
      <c r="AQ978" s="251"/>
      <c r="AR978" s="251"/>
      <c r="AS978" s="251"/>
    </row>
    <row r="979" spans="1:45" s="44" customFormat="1" x14ac:dyDescent="0.2">
      <c r="A979" s="71"/>
      <c r="B979" s="71"/>
      <c r="C979" s="7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c r="AC979" s="251"/>
      <c r="AD979" s="251"/>
      <c r="AE979" s="251"/>
      <c r="AF979" s="251"/>
      <c r="AG979" s="251"/>
      <c r="AH979" s="251"/>
      <c r="AI979" s="251"/>
      <c r="AJ979" s="251"/>
      <c r="AK979" s="251"/>
      <c r="AL979" s="251"/>
      <c r="AM979" s="251"/>
      <c r="AN979" s="251"/>
      <c r="AO979" s="251"/>
      <c r="AP979" s="251"/>
      <c r="AQ979" s="251"/>
      <c r="AR979" s="251"/>
      <c r="AS979" s="251"/>
    </row>
    <row r="980" spans="1:45" s="44" customFormat="1" x14ac:dyDescent="0.2">
      <c r="A980" s="71"/>
      <c r="B980" s="71"/>
      <c r="C980" s="71"/>
      <c r="D980" s="251"/>
      <c r="E980" s="251"/>
      <c r="F980" s="251"/>
      <c r="G980" s="251"/>
      <c r="H980" s="251"/>
      <c r="I980" s="251"/>
      <c r="J980" s="251"/>
      <c r="K980" s="251"/>
      <c r="L980" s="251"/>
      <c r="M980" s="251"/>
      <c r="N980" s="251"/>
      <c r="O980" s="251"/>
      <c r="P980" s="251"/>
      <c r="Q980" s="251"/>
      <c r="R980" s="251"/>
      <c r="S980" s="251"/>
      <c r="T980" s="251"/>
      <c r="U980" s="251"/>
      <c r="V980" s="251"/>
      <c r="W980" s="251"/>
      <c r="X980" s="251"/>
      <c r="Y980" s="251"/>
      <c r="Z980" s="251"/>
      <c r="AA980" s="251"/>
      <c r="AB980" s="251"/>
      <c r="AC980" s="251"/>
      <c r="AD980" s="251"/>
      <c r="AE980" s="251"/>
      <c r="AF980" s="251"/>
      <c r="AG980" s="251"/>
      <c r="AH980" s="251"/>
      <c r="AI980" s="251"/>
      <c r="AJ980" s="251"/>
      <c r="AK980" s="251"/>
      <c r="AL980" s="251"/>
      <c r="AM980" s="251"/>
      <c r="AN980" s="251"/>
      <c r="AO980" s="251"/>
      <c r="AP980" s="251"/>
      <c r="AQ980" s="251"/>
      <c r="AR980" s="251"/>
      <c r="AS980" s="251"/>
    </row>
    <row r="981" spans="1:45" s="44" customFormat="1" x14ac:dyDescent="0.2">
      <c r="A981" s="71"/>
      <c r="B981" s="71"/>
      <c r="C981" s="7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c r="AA981" s="251"/>
      <c r="AB981" s="251"/>
      <c r="AC981" s="251"/>
      <c r="AD981" s="251"/>
      <c r="AE981" s="251"/>
      <c r="AF981" s="251"/>
      <c r="AG981" s="251"/>
      <c r="AH981" s="251"/>
      <c r="AI981" s="251"/>
      <c r="AJ981" s="251"/>
      <c r="AK981" s="251"/>
      <c r="AL981" s="251"/>
      <c r="AM981" s="251"/>
      <c r="AN981" s="251"/>
      <c r="AO981" s="251"/>
      <c r="AP981" s="251"/>
      <c r="AQ981" s="251"/>
      <c r="AR981" s="251"/>
      <c r="AS981" s="251"/>
    </row>
    <row r="982" spans="1:45" s="44" customFormat="1" x14ac:dyDescent="0.2">
      <c r="A982" s="71"/>
      <c r="B982" s="71"/>
      <c r="C982" s="7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c r="AA982" s="251"/>
      <c r="AB982" s="251"/>
      <c r="AC982" s="251"/>
      <c r="AD982" s="251"/>
      <c r="AE982" s="251"/>
      <c r="AF982" s="251"/>
      <c r="AG982" s="251"/>
      <c r="AH982" s="251"/>
      <c r="AI982" s="251"/>
      <c r="AJ982" s="251"/>
      <c r="AK982" s="251"/>
      <c r="AL982" s="251"/>
      <c r="AM982" s="251"/>
      <c r="AN982" s="251"/>
      <c r="AO982" s="251"/>
      <c r="AP982" s="251"/>
      <c r="AQ982" s="251"/>
      <c r="AR982" s="251"/>
      <c r="AS982" s="251"/>
    </row>
    <row r="983" spans="1:45" s="44" customFormat="1" x14ac:dyDescent="0.2">
      <c r="A983" s="71"/>
      <c r="B983" s="71"/>
      <c r="C983" s="7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c r="AA983" s="251"/>
      <c r="AB983" s="251"/>
      <c r="AC983" s="251"/>
      <c r="AD983" s="251"/>
      <c r="AE983" s="251"/>
      <c r="AF983" s="251"/>
      <c r="AG983" s="251"/>
      <c r="AH983" s="251"/>
      <c r="AI983" s="251"/>
      <c r="AJ983" s="251"/>
      <c r="AK983" s="251"/>
      <c r="AL983" s="251"/>
      <c r="AM983" s="251"/>
      <c r="AN983" s="251"/>
      <c r="AO983" s="251"/>
      <c r="AP983" s="251"/>
      <c r="AQ983" s="251"/>
      <c r="AR983" s="251"/>
      <c r="AS983" s="251"/>
    </row>
    <row r="984" spans="1:45" s="44" customFormat="1" x14ac:dyDescent="0.2">
      <c r="A984" s="71"/>
      <c r="B984" s="71"/>
      <c r="C984" s="7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c r="AA984" s="251"/>
      <c r="AB984" s="251"/>
      <c r="AC984" s="251"/>
      <c r="AD984" s="251"/>
      <c r="AE984" s="251"/>
      <c r="AF984" s="251"/>
      <c r="AG984" s="251"/>
      <c r="AH984" s="251"/>
      <c r="AI984" s="251"/>
      <c r="AJ984" s="251"/>
      <c r="AK984" s="251"/>
      <c r="AL984" s="251"/>
      <c r="AM984" s="251"/>
      <c r="AN984" s="251"/>
      <c r="AO984" s="251"/>
      <c r="AP984" s="251"/>
      <c r="AQ984" s="251"/>
      <c r="AR984" s="251"/>
      <c r="AS984" s="251"/>
    </row>
    <row r="985" spans="1:45" s="44" customFormat="1" x14ac:dyDescent="0.2">
      <c r="A985" s="71"/>
      <c r="B985" s="71"/>
      <c r="C985" s="7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c r="AA985" s="251"/>
      <c r="AB985" s="251"/>
      <c r="AC985" s="251"/>
      <c r="AD985" s="251"/>
      <c r="AE985" s="251"/>
      <c r="AF985" s="251"/>
      <c r="AG985" s="251"/>
      <c r="AH985" s="251"/>
      <c r="AI985" s="251"/>
      <c r="AJ985" s="251"/>
      <c r="AK985" s="251"/>
      <c r="AL985" s="251"/>
      <c r="AM985" s="251"/>
      <c r="AN985" s="251"/>
      <c r="AO985" s="251"/>
      <c r="AP985" s="251"/>
      <c r="AQ985" s="251"/>
      <c r="AR985" s="251"/>
      <c r="AS985" s="251"/>
    </row>
    <row r="986" spans="1:45" s="44" customFormat="1" x14ac:dyDescent="0.2">
      <c r="A986" s="71"/>
      <c r="B986" s="71"/>
      <c r="C986" s="71"/>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c r="AA986" s="251"/>
      <c r="AB986" s="251"/>
      <c r="AC986" s="251"/>
      <c r="AD986" s="251"/>
      <c r="AE986" s="251"/>
      <c r="AF986" s="251"/>
      <c r="AG986" s="251"/>
      <c r="AH986" s="251"/>
      <c r="AI986" s="251"/>
      <c r="AJ986" s="251"/>
      <c r="AK986" s="251"/>
      <c r="AL986" s="251"/>
      <c r="AM986" s="251"/>
      <c r="AN986" s="251"/>
      <c r="AO986" s="251"/>
      <c r="AP986" s="251"/>
      <c r="AQ986" s="251"/>
      <c r="AR986" s="251"/>
      <c r="AS986" s="251"/>
    </row>
    <row r="987" spans="1:45" s="44" customFormat="1" x14ac:dyDescent="0.2">
      <c r="A987" s="71"/>
      <c r="B987" s="71"/>
      <c r="C987" s="7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s="251"/>
      <c r="AG987" s="251"/>
      <c r="AH987" s="251"/>
      <c r="AI987" s="251"/>
      <c r="AJ987" s="251"/>
      <c r="AK987" s="251"/>
      <c r="AL987" s="251"/>
      <c r="AM987" s="251"/>
      <c r="AN987" s="251"/>
      <c r="AO987" s="251"/>
      <c r="AP987" s="251"/>
      <c r="AQ987" s="251"/>
      <c r="AR987" s="251"/>
      <c r="AS987" s="251"/>
    </row>
    <row r="988" spans="1:45" s="44" customFormat="1" x14ac:dyDescent="0.2">
      <c r="A988" s="71"/>
      <c r="B988" s="71"/>
      <c r="C988" s="71"/>
      <c r="D988" s="251"/>
      <c r="E988" s="251"/>
      <c r="F988" s="251"/>
      <c r="G988" s="251"/>
      <c r="H988" s="251"/>
      <c r="I988" s="251"/>
      <c r="J988" s="251"/>
      <c r="K988" s="251"/>
      <c r="L988" s="251"/>
      <c r="M988" s="251"/>
      <c r="N988" s="251"/>
      <c r="O988" s="251"/>
      <c r="P988" s="251"/>
      <c r="Q988" s="251"/>
      <c r="R988" s="251"/>
      <c r="S988" s="251"/>
      <c r="T988" s="251"/>
      <c r="U988" s="251"/>
      <c r="V988" s="251"/>
      <c r="W988" s="251"/>
      <c r="X988" s="251"/>
      <c r="Y988" s="251"/>
      <c r="Z988" s="251"/>
      <c r="AA988" s="251"/>
      <c r="AB988" s="251"/>
      <c r="AC988" s="251"/>
      <c r="AD988" s="251"/>
      <c r="AE988" s="251"/>
      <c r="AF988" s="251"/>
      <c r="AG988" s="251"/>
      <c r="AH988" s="251"/>
      <c r="AI988" s="251"/>
      <c r="AJ988" s="251"/>
      <c r="AK988" s="251"/>
      <c r="AL988" s="251"/>
      <c r="AM988" s="251"/>
      <c r="AN988" s="251"/>
      <c r="AO988" s="251"/>
      <c r="AP988" s="251"/>
      <c r="AQ988" s="251"/>
      <c r="AR988" s="251"/>
      <c r="AS988" s="251"/>
    </row>
    <row r="989" spans="1:45" s="44" customFormat="1" x14ac:dyDescent="0.2">
      <c r="A989" s="71"/>
      <c r="B989" s="71"/>
      <c r="C989" s="71"/>
      <c r="D989" s="251"/>
      <c r="E989" s="251"/>
      <c r="F989" s="251"/>
      <c r="G989" s="251"/>
      <c r="H989" s="251"/>
      <c r="I989" s="251"/>
      <c r="J989" s="251"/>
      <c r="K989" s="251"/>
      <c r="L989" s="251"/>
      <c r="M989" s="251"/>
      <c r="N989" s="251"/>
      <c r="O989" s="251"/>
      <c r="P989" s="251"/>
      <c r="Q989" s="251"/>
      <c r="R989" s="251"/>
      <c r="S989" s="251"/>
      <c r="T989" s="251"/>
      <c r="U989" s="251"/>
      <c r="V989" s="251"/>
      <c r="W989" s="251"/>
      <c r="X989" s="251"/>
      <c r="Y989" s="251"/>
      <c r="Z989" s="251"/>
      <c r="AA989" s="251"/>
      <c r="AB989" s="251"/>
      <c r="AC989" s="251"/>
      <c r="AD989" s="251"/>
      <c r="AE989" s="251"/>
      <c r="AF989" s="251"/>
      <c r="AG989" s="251"/>
      <c r="AH989" s="251"/>
      <c r="AI989" s="251"/>
      <c r="AJ989" s="251"/>
      <c r="AK989" s="251"/>
      <c r="AL989" s="251"/>
      <c r="AM989" s="251"/>
      <c r="AN989" s="251"/>
      <c r="AO989" s="251"/>
      <c r="AP989" s="251"/>
      <c r="AQ989" s="251"/>
      <c r="AR989" s="251"/>
      <c r="AS989" s="251"/>
    </row>
    <row r="990" spans="1:45" s="44" customFormat="1" x14ac:dyDescent="0.2">
      <c r="A990" s="71"/>
      <c r="B990" s="71"/>
      <c r="C990" s="71"/>
      <c r="D990" s="251"/>
      <c r="E990" s="251"/>
      <c r="F990" s="251"/>
      <c r="G990" s="251"/>
      <c r="H990" s="251"/>
      <c r="I990" s="251"/>
      <c r="J990" s="251"/>
      <c r="K990" s="251"/>
      <c r="L990" s="251"/>
      <c r="M990" s="251"/>
      <c r="N990" s="251"/>
      <c r="O990" s="251"/>
      <c r="P990" s="251"/>
      <c r="Q990" s="251"/>
      <c r="R990" s="251"/>
      <c r="S990" s="251"/>
      <c r="T990" s="251"/>
      <c r="U990" s="251"/>
      <c r="V990" s="251"/>
      <c r="W990" s="251"/>
      <c r="X990" s="251"/>
      <c r="Y990" s="251"/>
      <c r="Z990" s="251"/>
      <c r="AA990" s="251"/>
      <c r="AB990" s="251"/>
      <c r="AC990" s="251"/>
      <c r="AD990" s="251"/>
      <c r="AE990" s="251"/>
      <c r="AF990" s="251"/>
      <c r="AG990" s="251"/>
      <c r="AH990" s="251"/>
      <c r="AI990" s="251"/>
      <c r="AJ990" s="251"/>
      <c r="AK990" s="251"/>
      <c r="AL990" s="251"/>
      <c r="AM990" s="251"/>
      <c r="AN990" s="251"/>
      <c r="AO990" s="251"/>
      <c r="AP990" s="251"/>
      <c r="AQ990" s="251"/>
      <c r="AR990" s="251"/>
      <c r="AS990" s="251"/>
    </row>
    <row r="991" spans="1:45" s="44" customFormat="1" x14ac:dyDescent="0.2">
      <c r="A991" s="71"/>
      <c r="B991" s="71"/>
      <c r="C991" s="71"/>
      <c r="D991" s="251"/>
      <c r="E991" s="251"/>
      <c r="F991" s="251"/>
      <c r="G991" s="251"/>
      <c r="H991" s="251"/>
      <c r="I991" s="251"/>
      <c r="J991" s="251"/>
      <c r="K991" s="251"/>
      <c r="L991" s="251"/>
      <c r="M991" s="251"/>
      <c r="N991" s="251"/>
      <c r="O991" s="251"/>
      <c r="P991" s="251"/>
      <c r="Q991" s="251"/>
      <c r="R991" s="251"/>
      <c r="S991" s="251"/>
      <c r="T991" s="251"/>
      <c r="U991" s="251"/>
      <c r="V991" s="251"/>
      <c r="W991" s="251"/>
      <c r="X991" s="251"/>
      <c r="Y991" s="251"/>
      <c r="Z991" s="251"/>
      <c r="AA991" s="251"/>
      <c r="AB991" s="251"/>
      <c r="AC991" s="251"/>
      <c r="AD991" s="251"/>
      <c r="AE991" s="251"/>
      <c r="AF991" s="251"/>
      <c r="AG991" s="251"/>
      <c r="AH991" s="251"/>
      <c r="AI991" s="251"/>
      <c r="AJ991" s="251"/>
      <c r="AK991" s="251"/>
      <c r="AL991" s="251"/>
      <c r="AM991" s="251"/>
      <c r="AN991" s="251"/>
      <c r="AO991" s="251"/>
      <c r="AP991" s="251"/>
      <c r="AQ991" s="251"/>
      <c r="AR991" s="251"/>
      <c r="AS991" s="251"/>
    </row>
    <row r="992" spans="1:45" s="44" customFormat="1" x14ac:dyDescent="0.2">
      <c r="A992" s="71"/>
      <c r="B992" s="71"/>
      <c r="C992" s="71"/>
      <c r="D992" s="251"/>
      <c r="E992" s="251"/>
      <c r="F992" s="251"/>
      <c r="G992" s="251"/>
      <c r="H992" s="251"/>
      <c r="I992" s="251"/>
      <c r="J992" s="251"/>
      <c r="K992" s="251"/>
      <c r="L992" s="251"/>
      <c r="M992" s="251"/>
      <c r="N992" s="251"/>
      <c r="O992" s="251"/>
      <c r="P992" s="251"/>
      <c r="Q992" s="251"/>
      <c r="R992" s="251"/>
      <c r="S992" s="251"/>
      <c r="T992" s="251"/>
      <c r="U992" s="251"/>
      <c r="V992" s="251"/>
      <c r="W992" s="251"/>
      <c r="X992" s="251"/>
      <c r="Y992" s="251"/>
      <c r="Z992" s="251"/>
      <c r="AA992" s="251"/>
      <c r="AB992" s="251"/>
      <c r="AC992" s="251"/>
      <c r="AD992" s="251"/>
      <c r="AE992" s="251"/>
      <c r="AF992" s="251"/>
      <c r="AG992" s="251"/>
      <c r="AH992" s="251"/>
      <c r="AI992" s="251"/>
      <c r="AJ992" s="251"/>
      <c r="AK992" s="251"/>
      <c r="AL992" s="251"/>
      <c r="AM992" s="251"/>
      <c r="AN992" s="251"/>
      <c r="AO992" s="251"/>
      <c r="AP992" s="251"/>
      <c r="AQ992" s="251"/>
      <c r="AR992" s="251"/>
      <c r="AS992" s="251"/>
    </row>
    <row r="993" spans="1:45" s="44" customFormat="1" x14ac:dyDescent="0.2">
      <c r="A993" s="71"/>
      <c r="B993" s="71"/>
      <c r="C993" s="7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251"/>
      <c r="AE993" s="251"/>
      <c r="AF993" s="251"/>
      <c r="AG993" s="251"/>
      <c r="AH993" s="251"/>
      <c r="AI993" s="251"/>
      <c r="AJ993" s="251"/>
      <c r="AK993" s="251"/>
      <c r="AL993" s="251"/>
      <c r="AM993" s="251"/>
      <c r="AN993" s="251"/>
      <c r="AO993" s="251"/>
      <c r="AP993" s="251"/>
      <c r="AQ993" s="251"/>
      <c r="AR993" s="251"/>
      <c r="AS993" s="251"/>
    </row>
    <row r="994" spans="1:45" s="44" customFormat="1" x14ac:dyDescent="0.2">
      <c r="A994" s="71"/>
      <c r="B994" s="71"/>
      <c r="C994" s="7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c r="AA994" s="251"/>
      <c r="AB994" s="251"/>
      <c r="AC994" s="251"/>
      <c r="AD994" s="251"/>
      <c r="AE994" s="251"/>
      <c r="AF994" s="251"/>
      <c r="AG994" s="251"/>
      <c r="AH994" s="251"/>
      <c r="AI994" s="251"/>
      <c r="AJ994" s="251"/>
      <c r="AK994" s="251"/>
      <c r="AL994" s="251"/>
      <c r="AM994" s="251"/>
      <c r="AN994" s="251"/>
      <c r="AO994" s="251"/>
      <c r="AP994" s="251"/>
      <c r="AQ994" s="251"/>
      <c r="AR994" s="251"/>
      <c r="AS994" s="251"/>
    </row>
    <row r="995" spans="1:45" s="44" customFormat="1" x14ac:dyDescent="0.2">
      <c r="A995" s="71"/>
      <c r="B995" s="71"/>
      <c r="C995" s="7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c r="AA995" s="251"/>
      <c r="AB995" s="251"/>
      <c r="AC995" s="251"/>
      <c r="AD995" s="251"/>
      <c r="AE995" s="251"/>
      <c r="AF995" s="251"/>
      <c r="AG995" s="251"/>
      <c r="AH995" s="251"/>
      <c r="AI995" s="251"/>
      <c r="AJ995" s="251"/>
      <c r="AK995" s="251"/>
      <c r="AL995" s="251"/>
      <c r="AM995" s="251"/>
      <c r="AN995" s="251"/>
      <c r="AO995" s="251"/>
      <c r="AP995" s="251"/>
      <c r="AQ995" s="251"/>
      <c r="AR995" s="251"/>
      <c r="AS995" s="251"/>
    </row>
    <row r="996" spans="1:45" s="44" customFormat="1" x14ac:dyDescent="0.2">
      <c r="A996" s="71"/>
      <c r="B996" s="71"/>
      <c r="C996" s="7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c r="AA996" s="251"/>
      <c r="AB996" s="251"/>
      <c r="AC996" s="251"/>
      <c r="AD996" s="251"/>
      <c r="AE996" s="251"/>
      <c r="AF996" s="251"/>
      <c r="AG996" s="251"/>
      <c r="AH996" s="251"/>
      <c r="AI996" s="251"/>
      <c r="AJ996" s="251"/>
      <c r="AK996" s="251"/>
      <c r="AL996" s="251"/>
      <c r="AM996" s="251"/>
      <c r="AN996" s="251"/>
      <c r="AO996" s="251"/>
      <c r="AP996" s="251"/>
      <c r="AQ996" s="251"/>
      <c r="AR996" s="251"/>
      <c r="AS996" s="251"/>
    </row>
    <row r="997" spans="1:45" s="44" customFormat="1" x14ac:dyDescent="0.2">
      <c r="A997" s="71"/>
      <c r="B997" s="71"/>
      <c r="C997" s="7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c r="AA997" s="251"/>
      <c r="AB997" s="251"/>
      <c r="AC997" s="251"/>
      <c r="AD997" s="251"/>
      <c r="AE997" s="251"/>
      <c r="AF997" s="251"/>
      <c r="AG997" s="251"/>
      <c r="AH997" s="251"/>
      <c r="AI997" s="251"/>
      <c r="AJ997" s="251"/>
      <c r="AK997" s="251"/>
      <c r="AL997" s="251"/>
      <c r="AM997" s="251"/>
      <c r="AN997" s="251"/>
      <c r="AO997" s="251"/>
      <c r="AP997" s="251"/>
      <c r="AQ997" s="251"/>
      <c r="AR997" s="251"/>
      <c r="AS997" s="251"/>
    </row>
    <row r="998" spans="1:45" s="44" customFormat="1" x14ac:dyDescent="0.2">
      <c r="A998" s="71"/>
      <c r="B998" s="71"/>
      <c r="C998" s="7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c r="AA998" s="251"/>
      <c r="AB998" s="251"/>
      <c r="AC998" s="251"/>
      <c r="AD998" s="251"/>
      <c r="AE998" s="251"/>
      <c r="AF998" s="251"/>
      <c r="AG998" s="251"/>
      <c r="AH998" s="251"/>
      <c r="AI998" s="251"/>
      <c r="AJ998" s="251"/>
      <c r="AK998" s="251"/>
      <c r="AL998" s="251"/>
      <c r="AM998" s="251"/>
      <c r="AN998" s="251"/>
      <c r="AO998" s="251"/>
      <c r="AP998" s="251"/>
      <c r="AQ998" s="251"/>
      <c r="AR998" s="251"/>
      <c r="AS998" s="251"/>
    </row>
    <row r="999" spans="1:45" s="44" customFormat="1" x14ac:dyDescent="0.2">
      <c r="A999" s="71"/>
      <c r="B999" s="71"/>
      <c r="C999" s="7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c r="AA999" s="251"/>
      <c r="AB999" s="251"/>
      <c r="AC999" s="251"/>
      <c r="AD999" s="251"/>
      <c r="AE999" s="251"/>
      <c r="AF999" s="251"/>
      <c r="AG999" s="251"/>
      <c r="AH999" s="251"/>
      <c r="AI999" s="251"/>
      <c r="AJ999" s="251"/>
      <c r="AK999" s="251"/>
      <c r="AL999" s="251"/>
      <c r="AM999" s="251"/>
      <c r="AN999" s="251"/>
      <c r="AO999" s="251"/>
      <c r="AP999" s="251"/>
      <c r="AQ999" s="251"/>
      <c r="AR999" s="251"/>
      <c r="AS999" s="251"/>
    </row>
    <row r="1000" spans="1:45" s="44" customFormat="1" x14ac:dyDescent="0.2">
      <c r="A1000" s="71"/>
      <c r="B1000" s="71"/>
      <c r="C1000" s="7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c r="AA1000" s="251"/>
      <c r="AB1000" s="251"/>
      <c r="AC1000" s="251"/>
      <c r="AD1000" s="251"/>
      <c r="AE1000" s="251"/>
      <c r="AF1000" s="251"/>
      <c r="AG1000" s="251"/>
      <c r="AH1000" s="251"/>
      <c r="AI1000" s="251"/>
      <c r="AJ1000" s="251"/>
      <c r="AK1000" s="251"/>
      <c r="AL1000" s="251"/>
      <c r="AM1000" s="251"/>
      <c r="AN1000" s="251"/>
      <c r="AO1000" s="251"/>
      <c r="AP1000" s="251"/>
      <c r="AQ1000" s="251"/>
      <c r="AR1000" s="251"/>
      <c r="AS1000" s="251"/>
    </row>
    <row r="1001" spans="1:45" s="44" customFormat="1" x14ac:dyDescent="0.2">
      <c r="A1001" s="71"/>
      <c r="B1001" s="71"/>
      <c r="C1001" s="71"/>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251"/>
      <c r="AE1001" s="251"/>
      <c r="AF1001" s="251"/>
      <c r="AG1001" s="251"/>
      <c r="AH1001" s="251"/>
      <c r="AI1001" s="251"/>
      <c r="AJ1001" s="251"/>
      <c r="AK1001" s="251"/>
      <c r="AL1001" s="251"/>
      <c r="AM1001" s="251"/>
      <c r="AN1001" s="251"/>
      <c r="AO1001" s="251"/>
      <c r="AP1001" s="251"/>
      <c r="AQ1001" s="251"/>
      <c r="AR1001" s="251"/>
      <c r="AS1001" s="251"/>
    </row>
    <row r="1002" spans="1:45" s="44" customFormat="1" x14ac:dyDescent="0.2">
      <c r="A1002" s="71"/>
      <c r="B1002" s="71"/>
      <c r="C1002" s="71"/>
      <c r="D1002" s="251"/>
      <c r="E1002" s="251"/>
      <c r="F1002" s="251"/>
      <c r="G1002" s="251"/>
      <c r="H1002" s="251"/>
      <c r="I1002" s="251"/>
      <c r="J1002" s="251"/>
      <c r="K1002" s="251"/>
      <c r="L1002" s="251"/>
      <c r="M1002" s="251"/>
      <c r="N1002" s="251"/>
      <c r="O1002" s="251"/>
      <c r="P1002" s="251"/>
      <c r="Q1002" s="251"/>
      <c r="R1002" s="251"/>
      <c r="S1002" s="251"/>
      <c r="T1002" s="251"/>
      <c r="U1002" s="251"/>
      <c r="V1002" s="251"/>
      <c r="W1002" s="251"/>
      <c r="X1002" s="251"/>
      <c r="Y1002" s="251"/>
      <c r="Z1002" s="251"/>
      <c r="AA1002" s="251"/>
      <c r="AB1002" s="251"/>
      <c r="AC1002" s="251"/>
      <c r="AD1002" s="251"/>
      <c r="AE1002" s="251"/>
      <c r="AF1002" s="251"/>
      <c r="AG1002" s="251"/>
      <c r="AH1002" s="251"/>
      <c r="AI1002" s="251"/>
      <c r="AJ1002" s="251"/>
      <c r="AK1002" s="251"/>
      <c r="AL1002" s="251"/>
      <c r="AM1002" s="251"/>
      <c r="AN1002" s="251"/>
      <c r="AO1002" s="251"/>
      <c r="AP1002" s="251"/>
      <c r="AQ1002" s="251"/>
      <c r="AR1002" s="251"/>
      <c r="AS1002" s="251"/>
    </row>
    <row r="1003" spans="1:45" s="44" customFormat="1" x14ac:dyDescent="0.2">
      <c r="A1003" s="71"/>
      <c r="B1003" s="71"/>
      <c r="C1003" s="71"/>
      <c r="D1003" s="251"/>
      <c r="E1003" s="251"/>
      <c r="F1003" s="251"/>
      <c r="G1003" s="251"/>
      <c r="H1003" s="251"/>
      <c r="I1003" s="251"/>
      <c r="J1003" s="251"/>
      <c r="K1003" s="251"/>
      <c r="L1003" s="251"/>
      <c r="M1003" s="251"/>
      <c r="N1003" s="251"/>
      <c r="O1003" s="251"/>
      <c r="P1003" s="251"/>
      <c r="Q1003" s="251"/>
      <c r="R1003" s="251"/>
      <c r="S1003" s="251"/>
      <c r="T1003" s="251"/>
      <c r="U1003" s="251"/>
      <c r="V1003" s="251"/>
      <c r="W1003" s="251"/>
      <c r="X1003" s="251"/>
      <c r="Y1003" s="251"/>
      <c r="Z1003" s="251"/>
      <c r="AA1003" s="251"/>
      <c r="AB1003" s="251"/>
      <c r="AC1003" s="251"/>
      <c r="AD1003" s="251"/>
      <c r="AE1003" s="251"/>
      <c r="AF1003" s="251"/>
      <c r="AG1003" s="251"/>
      <c r="AH1003" s="251"/>
      <c r="AI1003" s="251"/>
      <c r="AJ1003" s="251"/>
      <c r="AK1003" s="251"/>
      <c r="AL1003" s="251"/>
      <c r="AM1003" s="251"/>
      <c r="AN1003" s="251"/>
      <c r="AO1003" s="251"/>
      <c r="AP1003" s="251"/>
      <c r="AQ1003" s="251"/>
      <c r="AR1003" s="251"/>
      <c r="AS1003" s="251"/>
    </row>
    <row r="1004" spans="1:45" s="44" customFormat="1" x14ac:dyDescent="0.2">
      <c r="A1004" s="71"/>
      <c r="B1004" s="71"/>
      <c r="C1004" s="71"/>
      <c r="D1004" s="251"/>
      <c r="E1004" s="251"/>
      <c r="F1004" s="251"/>
      <c r="G1004" s="251"/>
      <c r="H1004" s="251"/>
      <c r="I1004" s="251"/>
      <c r="J1004" s="251"/>
      <c r="K1004" s="251"/>
      <c r="L1004" s="251"/>
      <c r="M1004" s="251"/>
      <c r="N1004" s="251"/>
      <c r="O1004" s="251"/>
      <c r="P1004" s="251"/>
      <c r="Q1004" s="251"/>
      <c r="R1004" s="251"/>
      <c r="S1004" s="251"/>
      <c r="T1004" s="251"/>
      <c r="U1004" s="251"/>
      <c r="V1004" s="251"/>
      <c r="W1004" s="251"/>
      <c r="X1004" s="251"/>
      <c r="Y1004" s="251"/>
      <c r="Z1004" s="251"/>
      <c r="AA1004" s="251"/>
      <c r="AB1004" s="251"/>
      <c r="AC1004" s="251"/>
      <c r="AD1004" s="251"/>
      <c r="AE1004" s="251"/>
      <c r="AF1004" s="251"/>
      <c r="AG1004" s="251"/>
      <c r="AH1004" s="251"/>
      <c r="AI1004" s="251"/>
      <c r="AJ1004" s="251"/>
      <c r="AK1004" s="251"/>
      <c r="AL1004" s="251"/>
      <c r="AM1004" s="251"/>
      <c r="AN1004" s="251"/>
      <c r="AO1004" s="251"/>
      <c r="AP1004" s="251"/>
      <c r="AQ1004" s="251"/>
      <c r="AR1004" s="251"/>
      <c r="AS1004" s="251"/>
    </row>
    <row r="1005" spans="1:45" s="44" customFormat="1" x14ac:dyDescent="0.2">
      <c r="A1005" s="71"/>
      <c r="B1005" s="71"/>
      <c r="C1005" s="71"/>
      <c r="D1005" s="251"/>
      <c r="E1005" s="251"/>
      <c r="F1005" s="251"/>
      <c r="G1005" s="251"/>
      <c r="H1005" s="251"/>
      <c r="I1005" s="251"/>
      <c r="J1005" s="251"/>
      <c r="K1005" s="251"/>
      <c r="L1005" s="251"/>
      <c r="M1005" s="251"/>
      <c r="N1005" s="251"/>
      <c r="O1005" s="251"/>
      <c r="P1005" s="251"/>
      <c r="Q1005" s="251"/>
      <c r="R1005" s="251"/>
      <c r="S1005" s="251"/>
      <c r="T1005" s="251"/>
      <c r="U1005" s="251"/>
      <c r="V1005" s="251"/>
      <c r="W1005" s="251"/>
      <c r="X1005" s="251"/>
      <c r="Y1005" s="251"/>
      <c r="Z1005" s="251"/>
      <c r="AA1005" s="251"/>
      <c r="AB1005" s="251"/>
      <c r="AC1005" s="251"/>
      <c r="AD1005" s="251"/>
      <c r="AE1005" s="251"/>
      <c r="AF1005" s="251"/>
      <c r="AG1005" s="251"/>
      <c r="AH1005" s="251"/>
      <c r="AI1005" s="251"/>
      <c r="AJ1005" s="251"/>
      <c r="AK1005" s="251"/>
      <c r="AL1005" s="251"/>
      <c r="AM1005" s="251"/>
      <c r="AN1005" s="251"/>
      <c r="AO1005" s="251"/>
      <c r="AP1005" s="251"/>
      <c r="AQ1005" s="251"/>
      <c r="AR1005" s="251"/>
      <c r="AS1005" s="251"/>
    </row>
    <row r="1006" spans="1:45" s="44" customFormat="1" x14ac:dyDescent="0.2">
      <c r="A1006" s="71"/>
      <c r="B1006" s="71"/>
      <c r="C1006" s="71"/>
      <c r="D1006" s="251"/>
      <c r="E1006" s="251"/>
      <c r="F1006" s="251"/>
      <c r="G1006" s="251"/>
      <c r="H1006" s="251"/>
      <c r="I1006" s="251"/>
      <c r="J1006" s="251"/>
      <c r="K1006" s="251"/>
      <c r="L1006" s="251"/>
      <c r="M1006" s="251"/>
      <c r="N1006" s="251"/>
      <c r="O1006" s="251"/>
      <c r="P1006" s="251"/>
      <c r="Q1006" s="251"/>
      <c r="R1006" s="251"/>
      <c r="S1006" s="251"/>
      <c r="T1006" s="251"/>
      <c r="U1006" s="251"/>
      <c r="V1006" s="251"/>
      <c r="W1006" s="251"/>
      <c r="X1006" s="251"/>
      <c r="Y1006" s="251"/>
      <c r="Z1006" s="251"/>
      <c r="AA1006" s="251"/>
      <c r="AB1006" s="251"/>
      <c r="AC1006" s="251"/>
      <c r="AD1006" s="251"/>
      <c r="AE1006" s="251"/>
      <c r="AF1006" s="251"/>
      <c r="AG1006" s="251"/>
      <c r="AH1006" s="251"/>
      <c r="AI1006" s="251"/>
      <c r="AJ1006" s="251"/>
      <c r="AK1006" s="251"/>
      <c r="AL1006" s="251"/>
      <c r="AM1006" s="251"/>
      <c r="AN1006" s="251"/>
      <c r="AO1006" s="251"/>
      <c r="AP1006" s="251"/>
      <c r="AQ1006" s="251"/>
      <c r="AR1006" s="251"/>
      <c r="AS1006" s="251"/>
    </row>
    <row r="1007" spans="1:45" s="44" customFormat="1" x14ac:dyDescent="0.2">
      <c r="A1007" s="71"/>
      <c r="B1007" s="71"/>
      <c r="C1007" s="7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251"/>
      <c r="AE1007" s="251"/>
      <c r="AF1007" s="251"/>
      <c r="AG1007" s="251"/>
      <c r="AH1007" s="251"/>
      <c r="AI1007" s="251"/>
      <c r="AJ1007" s="251"/>
      <c r="AK1007" s="251"/>
      <c r="AL1007" s="251"/>
      <c r="AM1007" s="251"/>
      <c r="AN1007" s="251"/>
      <c r="AO1007" s="251"/>
      <c r="AP1007" s="251"/>
      <c r="AQ1007" s="251"/>
      <c r="AR1007" s="251"/>
      <c r="AS1007" s="251"/>
    </row>
    <row r="1008" spans="1:45" s="44" customFormat="1" x14ac:dyDescent="0.2">
      <c r="A1008" s="71"/>
      <c r="B1008" s="71"/>
      <c r="C1008" s="71"/>
      <c r="D1008" s="251"/>
      <c r="E1008" s="251"/>
      <c r="F1008" s="251"/>
      <c r="G1008" s="251"/>
      <c r="H1008" s="251"/>
      <c r="I1008" s="251"/>
      <c r="J1008" s="251"/>
      <c r="K1008" s="251"/>
      <c r="L1008" s="251"/>
      <c r="M1008" s="251"/>
      <c r="N1008" s="251"/>
      <c r="O1008" s="251"/>
      <c r="P1008" s="251"/>
      <c r="Q1008" s="251"/>
      <c r="R1008" s="251"/>
      <c r="S1008" s="251"/>
      <c r="T1008" s="251"/>
      <c r="U1008" s="251"/>
      <c r="V1008" s="251"/>
      <c r="W1008" s="251"/>
      <c r="X1008" s="251"/>
      <c r="Y1008" s="251"/>
      <c r="Z1008" s="251"/>
      <c r="AA1008" s="251"/>
      <c r="AB1008" s="251"/>
      <c r="AC1008" s="251"/>
      <c r="AD1008" s="251"/>
      <c r="AE1008" s="251"/>
      <c r="AF1008" s="251"/>
      <c r="AG1008" s="251"/>
      <c r="AH1008" s="251"/>
      <c r="AI1008" s="251"/>
      <c r="AJ1008" s="251"/>
      <c r="AK1008" s="251"/>
      <c r="AL1008" s="251"/>
      <c r="AM1008" s="251"/>
      <c r="AN1008" s="251"/>
      <c r="AO1008" s="251"/>
      <c r="AP1008" s="251"/>
      <c r="AQ1008" s="251"/>
      <c r="AR1008" s="251"/>
      <c r="AS1008" s="251"/>
    </row>
    <row r="1009" spans="1:45" s="44" customFormat="1" x14ac:dyDescent="0.2">
      <c r="A1009" s="71"/>
      <c r="B1009" s="71"/>
      <c r="C1009" s="71"/>
      <c r="D1009" s="251"/>
      <c r="E1009" s="251"/>
      <c r="F1009" s="251"/>
      <c r="G1009" s="251"/>
      <c r="H1009" s="251"/>
      <c r="I1009" s="251"/>
      <c r="J1009" s="251"/>
      <c r="K1009" s="251"/>
      <c r="L1009" s="251"/>
      <c r="M1009" s="251"/>
      <c r="N1009" s="251"/>
      <c r="O1009" s="251"/>
      <c r="P1009" s="251"/>
      <c r="Q1009" s="251"/>
      <c r="R1009" s="251"/>
      <c r="S1009" s="251"/>
      <c r="T1009" s="251"/>
      <c r="U1009" s="251"/>
      <c r="V1009" s="251"/>
      <c r="W1009" s="251"/>
      <c r="X1009" s="251"/>
      <c r="Y1009" s="251"/>
      <c r="Z1009" s="251"/>
      <c r="AA1009" s="251"/>
      <c r="AB1009" s="251"/>
      <c r="AC1009" s="251"/>
      <c r="AD1009" s="251"/>
      <c r="AE1009" s="251"/>
      <c r="AF1009" s="251"/>
      <c r="AG1009" s="251"/>
      <c r="AH1009" s="251"/>
      <c r="AI1009" s="251"/>
      <c r="AJ1009" s="251"/>
      <c r="AK1009" s="251"/>
      <c r="AL1009" s="251"/>
      <c r="AM1009" s="251"/>
      <c r="AN1009" s="251"/>
      <c r="AO1009" s="251"/>
      <c r="AP1009" s="251"/>
      <c r="AQ1009" s="251"/>
      <c r="AR1009" s="251"/>
      <c r="AS1009" s="251"/>
    </row>
    <row r="1010" spans="1:45" s="44" customFormat="1" x14ac:dyDescent="0.2">
      <c r="A1010" s="71"/>
      <c r="B1010" s="71"/>
      <c r="C1010" s="71"/>
      <c r="D1010" s="251"/>
      <c r="E1010" s="251"/>
      <c r="F1010" s="251"/>
      <c r="G1010" s="251"/>
      <c r="H1010" s="251"/>
      <c r="I1010" s="251"/>
      <c r="J1010" s="251"/>
      <c r="K1010" s="251"/>
      <c r="L1010" s="251"/>
      <c r="M1010" s="251"/>
      <c r="N1010" s="251"/>
      <c r="O1010" s="251"/>
      <c r="P1010" s="251"/>
      <c r="Q1010" s="251"/>
      <c r="R1010" s="251"/>
      <c r="S1010" s="251"/>
      <c r="T1010" s="251"/>
      <c r="U1010" s="251"/>
      <c r="V1010" s="251"/>
      <c r="W1010" s="251"/>
      <c r="X1010" s="251"/>
      <c r="Y1010" s="251"/>
      <c r="Z1010" s="251"/>
      <c r="AA1010" s="251"/>
      <c r="AB1010" s="251"/>
      <c r="AC1010" s="251"/>
      <c r="AD1010" s="251"/>
      <c r="AE1010" s="251"/>
      <c r="AF1010" s="251"/>
      <c r="AG1010" s="251"/>
      <c r="AH1010" s="251"/>
      <c r="AI1010" s="251"/>
      <c r="AJ1010" s="251"/>
      <c r="AK1010" s="251"/>
      <c r="AL1010" s="251"/>
      <c r="AM1010" s="251"/>
      <c r="AN1010" s="251"/>
      <c r="AO1010" s="251"/>
      <c r="AP1010" s="251"/>
      <c r="AQ1010" s="251"/>
      <c r="AR1010" s="251"/>
      <c r="AS1010" s="251"/>
    </row>
    <row r="1011" spans="1:45" s="44" customFormat="1" x14ac:dyDescent="0.2">
      <c r="A1011" s="71"/>
      <c r="B1011" s="71"/>
      <c r="C1011" s="7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251"/>
      <c r="AE1011" s="251"/>
      <c r="AF1011" s="251"/>
      <c r="AG1011" s="251"/>
      <c r="AH1011" s="251"/>
      <c r="AI1011" s="251"/>
      <c r="AJ1011" s="251"/>
      <c r="AK1011" s="251"/>
      <c r="AL1011" s="251"/>
      <c r="AM1011" s="251"/>
      <c r="AN1011" s="251"/>
      <c r="AO1011" s="251"/>
      <c r="AP1011" s="251"/>
      <c r="AQ1011" s="251"/>
      <c r="AR1011" s="251"/>
      <c r="AS1011" s="251"/>
    </row>
    <row r="1012" spans="1:45" s="44" customFormat="1" x14ac:dyDescent="0.2">
      <c r="A1012" s="71"/>
      <c r="B1012" s="71"/>
      <c r="C1012" s="71"/>
      <c r="D1012" s="251"/>
      <c r="E1012" s="251"/>
      <c r="F1012" s="251"/>
      <c r="G1012" s="251"/>
      <c r="H1012" s="251"/>
      <c r="I1012" s="251"/>
      <c r="J1012" s="251"/>
      <c r="K1012" s="251"/>
      <c r="L1012" s="251"/>
      <c r="M1012" s="251"/>
      <c r="N1012" s="251"/>
      <c r="O1012" s="251"/>
      <c r="P1012" s="251"/>
      <c r="Q1012" s="251"/>
      <c r="R1012" s="251"/>
      <c r="S1012" s="251"/>
      <c r="T1012" s="251"/>
      <c r="U1012" s="251"/>
      <c r="V1012" s="251"/>
      <c r="W1012" s="251"/>
      <c r="X1012" s="251"/>
      <c r="Y1012" s="251"/>
      <c r="Z1012" s="251"/>
      <c r="AA1012" s="251"/>
      <c r="AB1012" s="251"/>
      <c r="AC1012" s="251"/>
      <c r="AD1012" s="251"/>
      <c r="AE1012" s="251"/>
      <c r="AF1012" s="251"/>
      <c r="AG1012" s="251"/>
      <c r="AH1012" s="251"/>
      <c r="AI1012" s="251"/>
      <c r="AJ1012" s="251"/>
      <c r="AK1012" s="251"/>
      <c r="AL1012" s="251"/>
      <c r="AM1012" s="251"/>
      <c r="AN1012" s="251"/>
      <c r="AO1012" s="251"/>
      <c r="AP1012" s="251"/>
      <c r="AQ1012" s="251"/>
      <c r="AR1012" s="251"/>
      <c r="AS1012" s="251"/>
    </row>
    <row r="1013" spans="1:45" s="44" customFormat="1" x14ac:dyDescent="0.2">
      <c r="A1013" s="71"/>
      <c r="B1013" s="71"/>
      <c r="C1013" s="71"/>
      <c r="D1013" s="251"/>
      <c r="E1013" s="251"/>
      <c r="F1013" s="251"/>
      <c r="G1013" s="251"/>
      <c r="H1013" s="251"/>
      <c r="I1013" s="251"/>
      <c r="J1013" s="251"/>
      <c r="K1013" s="251"/>
      <c r="L1013" s="251"/>
      <c r="M1013" s="251"/>
      <c r="N1013" s="251"/>
      <c r="O1013" s="251"/>
      <c r="P1013" s="251"/>
      <c r="Q1013" s="251"/>
      <c r="R1013" s="251"/>
      <c r="S1013" s="251"/>
      <c r="T1013" s="251"/>
      <c r="U1013" s="251"/>
      <c r="V1013" s="251"/>
      <c r="W1013" s="251"/>
      <c r="X1013" s="251"/>
      <c r="Y1013" s="251"/>
      <c r="Z1013" s="251"/>
      <c r="AA1013" s="251"/>
      <c r="AB1013" s="251"/>
      <c r="AC1013" s="251"/>
      <c r="AD1013" s="251"/>
      <c r="AE1013" s="251"/>
      <c r="AF1013" s="251"/>
      <c r="AG1013" s="251"/>
      <c r="AH1013" s="251"/>
      <c r="AI1013" s="251"/>
      <c r="AJ1013" s="251"/>
      <c r="AK1013" s="251"/>
      <c r="AL1013" s="251"/>
      <c r="AM1013" s="251"/>
      <c r="AN1013" s="251"/>
      <c r="AO1013" s="251"/>
      <c r="AP1013" s="251"/>
      <c r="AQ1013" s="251"/>
      <c r="AR1013" s="251"/>
      <c r="AS1013" s="251"/>
    </row>
    <row r="1014" spans="1:45" s="44" customFormat="1" x14ac:dyDescent="0.2">
      <c r="A1014" s="71"/>
      <c r="B1014" s="71"/>
      <c r="C1014" s="7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251"/>
      <c r="AE1014" s="251"/>
      <c r="AF1014" s="251"/>
      <c r="AG1014" s="251"/>
      <c r="AH1014" s="251"/>
      <c r="AI1014" s="251"/>
      <c r="AJ1014" s="251"/>
      <c r="AK1014" s="251"/>
      <c r="AL1014" s="251"/>
      <c r="AM1014" s="251"/>
      <c r="AN1014" s="251"/>
      <c r="AO1014" s="251"/>
      <c r="AP1014" s="251"/>
      <c r="AQ1014" s="251"/>
      <c r="AR1014" s="251"/>
      <c r="AS1014" s="251"/>
    </row>
    <row r="1015" spans="1:45" s="44" customFormat="1" x14ac:dyDescent="0.2">
      <c r="A1015" s="71"/>
      <c r="B1015" s="71"/>
      <c r="C1015" s="71"/>
      <c r="D1015" s="251"/>
      <c r="E1015" s="251"/>
      <c r="F1015" s="251"/>
      <c r="G1015" s="251"/>
      <c r="H1015" s="251"/>
      <c r="I1015" s="251"/>
      <c r="J1015" s="251"/>
      <c r="K1015" s="251"/>
      <c r="L1015" s="251"/>
      <c r="M1015" s="251"/>
      <c r="N1015" s="251"/>
      <c r="O1015" s="251"/>
      <c r="P1015" s="251"/>
      <c r="Q1015" s="251"/>
      <c r="R1015" s="251"/>
      <c r="S1015" s="251"/>
      <c r="T1015" s="251"/>
      <c r="U1015" s="251"/>
      <c r="V1015" s="251"/>
      <c r="W1015" s="251"/>
      <c r="X1015" s="251"/>
      <c r="Y1015" s="251"/>
      <c r="Z1015" s="251"/>
      <c r="AA1015" s="251"/>
      <c r="AB1015" s="251"/>
      <c r="AC1015" s="251"/>
      <c r="AD1015" s="251"/>
      <c r="AE1015" s="251"/>
      <c r="AF1015" s="251"/>
      <c r="AG1015" s="251"/>
      <c r="AH1015" s="251"/>
      <c r="AI1015" s="251"/>
      <c r="AJ1015" s="251"/>
      <c r="AK1015" s="251"/>
      <c r="AL1015" s="251"/>
      <c r="AM1015" s="251"/>
      <c r="AN1015" s="251"/>
      <c r="AO1015" s="251"/>
      <c r="AP1015" s="251"/>
      <c r="AQ1015" s="251"/>
      <c r="AR1015" s="251"/>
      <c r="AS1015" s="251"/>
    </row>
    <row r="1016" spans="1:45" s="44" customFormat="1" x14ac:dyDescent="0.2">
      <c r="A1016" s="71"/>
      <c r="B1016" s="71"/>
      <c r="C1016" s="71"/>
      <c r="D1016" s="251"/>
      <c r="E1016" s="251"/>
      <c r="F1016" s="251"/>
      <c r="G1016" s="251"/>
      <c r="H1016" s="251"/>
      <c r="I1016" s="251"/>
      <c r="J1016" s="251"/>
      <c r="K1016" s="251"/>
      <c r="L1016" s="251"/>
      <c r="M1016" s="251"/>
      <c r="N1016" s="251"/>
      <c r="O1016" s="251"/>
      <c r="P1016" s="251"/>
      <c r="Q1016" s="251"/>
      <c r="R1016" s="251"/>
      <c r="S1016" s="251"/>
      <c r="T1016" s="251"/>
      <c r="U1016" s="251"/>
      <c r="V1016" s="251"/>
      <c r="W1016" s="251"/>
      <c r="X1016" s="251"/>
      <c r="Y1016" s="251"/>
      <c r="Z1016" s="251"/>
      <c r="AA1016" s="251"/>
      <c r="AB1016" s="251"/>
      <c r="AC1016" s="251"/>
      <c r="AD1016" s="251"/>
      <c r="AE1016" s="251"/>
      <c r="AF1016" s="251"/>
      <c r="AG1016" s="251"/>
      <c r="AH1016" s="251"/>
      <c r="AI1016" s="251"/>
      <c r="AJ1016" s="251"/>
      <c r="AK1016" s="251"/>
      <c r="AL1016" s="251"/>
      <c r="AM1016" s="251"/>
      <c r="AN1016" s="251"/>
      <c r="AO1016" s="251"/>
      <c r="AP1016" s="251"/>
      <c r="AQ1016" s="251"/>
      <c r="AR1016" s="251"/>
      <c r="AS1016" s="251"/>
    </row>
  </sheetData>
  <dataValidations count="2">
    <dataValidation type="custom" allowBlank="1" showInputMessage="1" showErrorMessage="1" sqref="AD2:AD1048576 A336:C1048576 AE1:XFD1048576 D1:AC1048576">
      <formula1>$AD$1="Unlock"</formula1>
    </dataValidation>
    <dataValidation type="custom" allowBlank="1" showInputMessage="1" showErrorMessage="1" sqref="A1:C335">
      <formula1>$AD$1="UNLOCK"</formula1>
    </dataValidation>
  </dataValidations>
  <pageMargins left="0.39370078740157483" right="0.39370078740157483" top="0.39370078740157483" bottom="0.39370078740157483" header="0.51181102362204722" footer="0.51181102362204722"/>
  <pageSetup paperSize="8" scale="37" fitToWidth="2" fitToHeight="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335"/>
  <sheetViews>
    <sheetView workbookViewId="0">
      <pane xSplit="2" ySplit="5" topLeftCell="C6" activePane="bottomRight" state="frozen"/>
      <selection sqref="A1:J1"/>
      <selection pane="topRight" sqref="A1:J1"/>
      <selection pane="bottomLeft" sqref="A1:J1"/>
      <selection pane="bottomRight" sqref="A1:J1"/>
    </sheetView>
  </sheetViews>
  <sheetFormatPr defaultColWidth="9.140625" defaultRowHeight="15.75" x14ac:dyDescent="0.25"/>
  <cols>
    <col min="1" max="1" width="7.5703125" style="254" customWidth="1"/>
    <col min="2" max="2" width="28.42578125" style="254" bestFit="1" customWidth="1"/>
    <col min="3" max="3" width="8.85546875" style="256" customWidth="1"/>
    <col min="4" max="4" width="8.7109375" style="256" customWidth="1"/>
    <col min="5" max="5" width="23.28515625" style="254" bestFit="1" customWidth="1"/>
    <col min="6" max="6" width="9.85546875" style="256" customWidth="1"/>
    <col min="7" max="7" width="6.85546875" style="256" bestFit="1" customWidth="1"/>
    <col min="8" max="8" width="33" style="254" bestFit="1" customWidth="1"/>
    <col min="9" max="9" width="8.85546875" style="256" customWidth="1"/>
    <col min="10" max="10" width="6.42578125" style="254" customWidth="1"/>
    <col min="11" max="11" width="9.140625" style="215"/>
    <col min="12" max="12" width="11.42578125" style="260" customWidth="1"/>
    <col min="13" max="14" width="35" style="259" customWidth="1"/>
    <col min="15" max="15" width="15.7109375" style="258" customWidth="1"/>
    <col min="16" max="16" width="15.7109375" style="257" customWidth="1"/>
    <col min="17" max="17" width="8" style="256" customWidth="1"/>
    <col min="18" max="19" width="16.7109375" style="255" customWidth="1"/>
    <col min="20" max="20" width="12.85546875" style="254" customWidth="1"/>
    <col min="21" max="21" width="10.85546875" style="254" customWidth="1"/>
    <col min="22" max="16384" width="9.140625" style="254"/>
  </cols>
  <sheetData>
    <row r="1" spans="1:104" x14ac:dyDescent="0.25">
      <c r="A1" s="807" t="s">
        <v>942</v>
      </c>
      <c r="B1" s="807"/>
      <c r="C1" s="807"/>
      <c r="D1" s="807"/>
      <c r="E1" s="807"/>
      <c r="F1" s="807"/>
      <c r="G1" s="807"/>
      <c r="H1" s="807"/>
      <c r="I1" s="807"/>
      <c r="J1" s="807"/>
      <c r="L1" s="279"/>
      <c r="M1" s="278"/>
      <c r="N1" s="278"/>
      <c r="O1" s="269"/>
      <c r="P1" s="287"/>
      <c r="Q1" s="310"/>
      <c r="R1" s="313"/>
      <c r="S1" s="313"/>
      <c r="T1" s="309"/>
      <c r="CZ1" s="588" t="s">
        <v>1125</v>
      </c>
    </row>
    <row r="2" spans="1:104" x14ac:dyDescent="0.25">
      <c r="A2" s="311"/>
      <c r="B2" s="311"/>
      <c r="C2" s="312"/>
      <c r="D2" s="312"/>
      <c r="E2" s="312"/>
      <c r="F2" s="312"/>
      <c r="G2" s="312"/>
      <c r="H2" s="311"/>
      <c r="I2" s="312"/>
      <c r="J2" s="311"/>
      <c r="L2" s="279"/>
      <c r="M2" s="278"/>
      <c r="N2" s="278"/>
      <c r="O2" s="269"/>
      <c r="P2" s="287"/>
      <c r="Q2" s="310"/>
      <c r="R2" s="280"/>
      <c r="S2" s="280"/>
      <c r="T2" s="309"/>
    </row>
    <row r="3" spans="1:104" s="301" customFormat="1" thickBot="1" x14ac:dyDescent="0.3">
      <c r="A3" s="308">
        <v>1</v>
      </c>
      <c r="B3" s="308">
        <v>2</v>
      </c>
      <c r="C3" s="308">
        <v>3</v>
      </c>
      <c r="D3" s="308">
        <v>4</v>
      </c>
      <c r="E3" s="308">
        <v>5</v>
      </c>
      <c r="F3" s="308">
        <v>6</v>
      </c>
      <c r="G3" s="308">
        <v>7</v>
      </c>
      <c r="H3" s="308">
        <v>8</v>
      </c>
      <c r="I3" s="308">
        <v>9</v>
      </c>
      <c r="J3" s="308">
        <v>10</v>
      </c>
      <c r="K3" s="307"/>
      <c r="L3" s="306">
        <v>12</v>
      </c>
      <c r="M3" s="306">
        <v>13</v>
      </c>
      <c r="N3" s="306">
        <v>14</v>
      </c>
      <c r="O3" s="305">
        <v>15</v>
      </c>
      <c r="P3" s="305">
        <v>16</v>
      </c>
      <c r="Q3" s="304">
        <v>17</v>
      </c>
      <c r="R3" s="303">
        <v>18</v>
      </c>
      <c r="S3" s="303">
        <v>19</v>
      </c>
      <c r="T3" s="302">
        <v>20</v>
      </c>
    </row>
    <row r="4" spans="1:104" s="283" customFormat="1" ht="39" x14ac:dyDescent="0.25">
      <c r="A4" s="300" t="s">
        <v>22</v>
      </c>
      <c r="B4" s="300" t="s">
        <v>941</v>
      </c>
      <c r="C4" s="299" t="s">
        <v>940</v>
      </c>
      <c r="D4" s="299" t="s">
        <v>22</v>
      </c>
      <c r="E4" s="300" t="s">
        <v>939</v>
      </c>
      <c r="F4" s="299" t="s">
        <v>938</v>
      </c>
      <c r="G4" s="299" t="s">
        <v>22</v>
      </c>
      <c r="H4" s="300" t="s">
        <v>937</v>
      </c>
      <c r="I4" s="299" t="s">
        <v>936</v>
      </c>
      <c r="J4" s="298" t="s">
        <v>935</v>
      </c>
      <c r="K4" s="215"/>
      <c r="L4" s="297" t="s">
        <v>934</v>
      </c>
      <c r="M4" s="805" t="s">
        <v>933</v>
      </c>
      <c r="N4" s="805"/>
      <c r="O4" s="296" t="s">
        <v>932</v>
      </c>
      <c r="P4" s="295" t="s">
        <v>931</v>
      </c>
      <c r="Q4" s="294" t="s">
        <v>930</v>
      </c>
      <c r="R4" s="806" t="s">
        <v>929</v>
      </c>
      <c r="S4" s="806"/>
      <c r="T4" s="293" t="s">
        <v>928</v>
      </c>
    </row>
    <row r="5" spans="1:104" s="283" customFormat="1" x14ac:dyDescent="0.25">
      <c r="A5" s="292"/>
      <c r="B5" s="292"/>
      <c r="C5" s="291"/>
      <c r="D5" s="291"/>
      <c r="E5" s="292"/>
      <c r="F5" s="291"/>
      <c r="G5" s="291"/>
      <c r="H5" s="292"/>
      <c r="I5" s="291"/>
      <c r="J5" s="290"/>
      <c r="K5" s="289"/>
      <c r="L5" s="288"/>
      <c r="M5" s="278"/>
      <c r="N5" s="278"/>
      <c r="O5" s="269"/>
      <c r="P5" s="287"/>
      <c r="Q5" s="286"/>
      <c r="R5" s="285"/>
      <c r="S5" s="285"/>
      <c r="T5" s="284"/>
    </row>
    <row r="6" spans="1:104" x14ac:dyDescent="0.25">
      <c r="A6" s="272" t="s">
        <v>95</v>
      </c>
      <c r="B6" s="275" t="s">
        <v>94</v>
      </c>
      <c r="C6" s="265">
        <v>0.4</v>
      </c>
      <c r="D6" s="273" t="s">
        <v>765</v>
      </c>
      <c r="E6" s="274" t="s">
        <v>764</v>
      </c>
      <c r="F6" s="265">
        <v>0.1</v>
      </c>
      <c r="G6" s="273" t="s">
        <v>749</v>
      </c>
      <c r="H6" s="272" t="s">
        <v>763</v>
      </c>
      <c r="I6" s="265">
        <v>0</v>
      </c>
      <c r="J6" s="271">
        <f t="shared" ref="J6:J69" si="0">+C6+F6+I6</f>
        <v>0.5</v>
      </c>
      <c r="K6" s="270"/>
      <c r="L6" s="279" t="s">
        <v>1088</v>
      </c>
      <c r="M6" s="279" t="s">
        <v>1088</v>
      </c>
      <c r="N6" s="279" t="s">
        <v>1088</v>
      </c>
      <c r="O6" s="268" t="s">
        <v>1088</v>
      </c>
      <c r="P6" s="268">
        <v>0</v>
      </c>
      <c r="Q6" s="277" t="s">
        <v>1088</v>
      </c>
      <c r="R6" s="267">
        <v>0</v>
      </c>
      <c r="S6" s="267">
        <v>0</v>
      </c>
      <c r="T6" s="276" t="s">
        <v>1088</v>
      </c>
    </row>
    <row r="7" spans="1:104" x14ac:dyDescent="0.25">
      <c r="A7" s="272" t="s">
        <v>97</v>
      </c>
      <c r="B7" s="275" t="s">
        <v>96</v>
      </c>
      <c r="C7" s="265">
        <v>0.4</v>
      </c>
      <c r="D7" s="273" t="s">
        <v>852</v>
      </c>
      <c r="E7" s="274" t="s">
        <v>851</v>
      </c>
      <c r="F7" s="265">
        <v>0.1</v>
      </c>
      <c r="G7" s="273" t="s">
        <v>749</v>
      </c>
      <c r="H7" s="272" t="s">
        <v>763</v>
      </c>
      <c r="I7" s="265">
        <v>0</v>
      </c>
      <c r="J7" s="271">
        <f t="shared" si="0"/>
        <v>0.5</v>
      </c>
      <c r="K7" s="270"/>
      <c r="L7" s="279" t="s">
        <v>1088</v>
      </c>
      <c r="M7" s="279" t="s">
        <v>1088</v>
      </c>
      <c r="N7" s="279" t="s">
        <v>1088</v>
      </c>
      <c r="O7" s="268" t="s">
        <v>1088</v>
      </c>
      <c r="P7" s="268">
        <v>0</v>
      </c>
      <c r="Q7" s="277" t="s">
        <v>1088</v>
      </c>
      <c r="R7" s="267">
        <v>0</v>
      </c>
      <c r="S7" s="267">
        <v>0</v>
      </c>
      <c r="T7" s="276" t="s">
        <v>1088</v>
      </c>
    </row>
    <row r="8" spans="1:104" x14ac:dyDescent="0.25">
      <c r="A8" s="272" t="s">
        <v>99</v>
      </c>
      <c r="B8" s="275" t="s">
        <v>98</v>
      </c>
      <c r="C8" s="265">
        <v>0.4</v>
      </c>
      <c r="D8" s="273" t="s">
        <v>859</v>
      </c>
      <c r="E8" s="274" t="s">
        <v>858</v>
      </c>
      <c r="F8" s="265">
        <v>0.09</v>
      </c>
      <c r="G8" s="273" t="s">
        <v>857</v>
      </c>
      <c r="H8" s="272" t="s">
        <v>856</v>
      </c>
      <c r="I8" s="265">
        <v>0.01</v>
      </c>
      <c r="J8" s="271">
        <f t="shared" si="0"/>
        <v>0.5</v>
      </c>
      <c r="K8" s="270"/>
      <c r="L8" s="279" t="s">
        <v>1088</v>
      </c>
      <c r="M8" s="279" t="s">
        <v>1088</v>
      </c>
      <c r="N8" s="279" t="s">
        <v>1088</v>
      </c>
      <c r="O8" s="268" t="s">
        <v>1088</v>
      </c>
      <c r="P8" s="268">
        <v>0</v>
      </c>
      <c r="Q8" s="277" t="s">
        <v>1088</v>
      </c>
      <c r="R8" s="267">
        <v>0</v>
      </c>
      <c r="S8" s="267">
        <v>0</v>
      </c>
      <c r="T8" s="276" t="s">
        <v>1088</v>
      </c>
    </row>
    <row r="9" spans="1:104" x14ac:dyDescent="0.25">
      <c r="A9" s="272" t="s">
        <v>101</v>
      </c>
      <c r="B9" s="275" t="s">
        <v>100</v>
      </c>
      <c r="C9" s="265">
        <v>0.4</v>
      </c>
      <c r="D9" s="273" t="s">
        <v>765</v>
      </c>
      <c r="E9" s="274" t="s">
        <v>764</v>
      </c>
      <c r="F9" s="265">
        <v>0.1</v>
      </c>
      <c r="G9" s="273" t="s">
        <v>749</v>
      </c>
      <c r="H9" s="272" t="s">
        <v>763</v>
      </c>
      <c r="I9" s="265">
        <v>0</v>
      </c>
      <c r="J9" s="271">
        <f t="shared" si="0"/>
        <v>0.5</v>
      </c>
      <c r="K9" s="270"/>
      <c r="L9" s="279" t="s">
        <v>1088</v>
      </c>
      <c r="M9" s="279" t="s">
        <v>1088</v>
      </c>
      <c r="N9" s="279" t="s">
        <v>1088</v>
      </c>
      <c r="O9" s="268" t="s">
        <v>1088</v>
      </c>
      <c r="P9" s="268">
        <v>0</v>
      </c>
      <c r="Q9" s="277" t="s">
        <v>1088</v>
      </c>
      <c r="R9" s="267">
        <v>0</v>
      </c>
      <c r="S9" s="267">
        <v>0</v>
      </c>
      <c r="T9" s="276" t="s">
        <v>1088</v>
      </c>
    </row>
    <row r="10" spans="1:104" x14ac:dyDescent="0.25">
      <c r="A10" s="272" t="s">
        <v>103</v>
      </c>
      <c r="B10" s="275" t="s">
        <v>102</v>
      </c>
      <c r="C10" s="265">
        <v>0.4</v>
      </c>
      <c r="D10" s="273" t="s">
        <v>875</v>
      </c>
      <c r="E10" s="274" t="s">
        <v>874</v>
      </c>
      <c r="F10" s="265">
        <v>0.09</v>
      </c>
      <c r="G10" s="273" t="s">
        <v>873</v>
      </c>
      <c r="H10" s="272" t="s">
        <v>872</v>
      </c>
      <c r="I10" s="265">
        <v>0.01</v>
      </c>
      <c r="J10" s="271">
        <f t="shared" si="0"/>
        <v>0.5</v>
      </c>
      <c r="L10" s="279" t="s">
        <v>1088</v>
      </c>
      <c r="M10" s="279" t="s">
        <v>1088</v>
      </c>
      <c r="N10" s="279" t="s">
        <v>1088</v>
      </c>
      <c r="O10" s="268" t="s">
        <v>1088</v>
      </c>
      <c r="P10" s="268">
        <v>0</v>
      </c>
      <c r="Q10" s="277" t="s">
        <v>1088</v>
      </c>
      <c r="R10" s="267">
        <v>0</v>
      </c>
      <c r="S10" s="267">
        <v>0</v>
      </c>
      <c r="T10" s="276" t="s">
        <v>1088</v>
      </c>
    </row>
    <row r="11" spans="1:104" x14ac:dyDescent="0.25">
      <c r="A11" s="272" t="s">
        <v>105</v>
      </c>
      <c r="B11" s="281" t="s">
        <v>104</v>
      </c>
      <c r="C11" s="265">
        <v>0.4</v>
      </c>
      <c r="D11" s="273" t="s">
        <v>827</v>
      </c>
      <c r="E11" s="274" t="s">
        <v>826</v>
      </c>
      <c r="F11" s="265">
        <v>0.09</v>
      </c>
      <c r="G11" s="273" t="s">
        <v>825</v>
      </c>
      <c r="H11" s="272" t="s">
        <v>824</v>
      </c>
      <c r="I11" s="265">
        <v>0.01</v>
      </c>
      <c r="J11" s="271">
        <f t="shared" si="0"/>
        <v>0.5</v>
      </c>
      <c r="K11" s="270"/>
      <c r="L11" s="279" t="s">
        <v>1088</v>
      </c>
      <c r="M11" s="279" t="s">
        <v>1088</v>
      </c>
      <c r="N11" s="279" t="s">
        <v>1088</v>
      </c>
      <c r="O11" s="268" t="s">
        <v>1089</v>
      </c>
      <c r="P11" s="268">
        <v>1535866</v>
      </c>
      <c r="Q11" s="277" t="s">
        <v>1088</v>
      </c>
      <c r="R11" s="267">
        <v>0</v>
      </c>
      <c r="S11" s="267">
        <v>0</v>
      </c>
      <c r="T11" s="276" t="s">
        <v>1088</v>
      </c>
    </row>
    <row r="12" spans="1:104" x14ac:dyDescent="0.25">
      <c r="A12" s="272" t="s">
        <v>107</v>
      </c>
      <c r="B12" s="275" t="s">
        <v>106</v>
      </c>
      <c r="C12" s="265">
        <v>0.4</v>
      </c>
      <c r="D12" s="273" t="s">
        <v>762</v>
      </c>
      <c r="E12" s="274" t="s">
        <v>761</v>
      </c>
      <c r="F12" s="265">
        <v>0.09</v>
      </c>
      <c r="G12" s="273" t="s">
        <v>760</v>
      </c>
      <c r="H12" s="272" t="s">
        <v>759</v>
      </c>
      <c r="I12" s="265">
        <v>0.01</v>
      </c>
      <c r="J12" s="271">
        <f t="shared" si="0"/>
        <v>0.5</v>
      </c>
      <c r="K12" s="270"/>
      <c r="L12" s="279" t="s">
        <v>1088</v>
      </c>
      <c r="M12" s="279" t="s">
        <v>1088</v>
      </c>
      <c r="N12" s="279" t="s">
        <v>1088</v>
      </c>
      <c r="O12" s="268" t="s">
        <v>1088</v>
      </c>
      <c r="P12" s="268">
        <v>0</v>
      </c>
      <c r="Q12" s="277" t="s">
        <v>1088</v>
      </c>
      <c r="R12" s="267">
        <v>0</v>
      </c>
      <c r="S12" s="267">
        <v>0</v>
      </c>
      <c r="T12" s="276" t="s">
        <v>1088</v>
      </c>
    </row>
    <row r="13" spans="1:104" x14ac:dyDescent="0.25">
      <c r="A13" s="272" t="s">
        <v>109</v>
      </c>
      <c r="B13" s="275" t="s">
        <v>108</v>
      </c>
      <c r="C13" s="265">
        <v>0.4</v>
      </c>
      <c r="D13" s="273" t="s">
        <v>812</v>
      </c>
      <c r="E13" s="274" t="s">
        <v>811</v>
      </c>
      <c r="F13" s="265">
        <v>0.1</v>
      </c>
      <c r="G13" s="273" t="s">
        <v>749</v>
      </c>
      <c r="H13" s="272" t="s">
        <v>763</v>
      </c>
      <c r="I13" s="265">
        <v>0</v>
      </c>
      <c r="J13" s="271">
        <f t="shared" si="0"/>
        <v>0.5</v>
      </c>
      <c r="K13" s="270"/>
      <c r="L13" s="279" t="s">
        <v>1088</v>
      </c>
      <c r="M13" s="279" t="s">
        <v>1088</v>
      </c>
      <c r="N13" s="279" t="s">
        <v>1088</v>
      </c>
      <c r="O13" s="268" t="s">
        <v>1088</v>
      </c>
      <c r="P13" s="268">
        <v>0</v>
      </c>
      <c r="Q13" s="277" t="s">
        <v>1088</v>
      </c>
      <c r="R13" s="267">
        <v>0</v>
      </c>
      <c r="S13" s="267">
        <v>0</v>
      </c>
      <c r="T13" s="276" t="s">
        <v>1088</v>
      </c>
    </row>
    <row r="14" spans="1:104" x14ac:dyDescent="0.25">
      <c r="A14" s="272" t="s">
        <v>111</v>
      </c>
      <c r="B14" s="275" t="s">
        <v>927</v>
      </c>
      <c r="C14" s="265">
        <v>0.3</v>
      </c>
      <c r="D14" s="273" t="s">
        <v>791</v>
      </c>
      <c r="E14" s="274" t="s">
        <v>790</v>
      </c>
      <c r="F14" s="265">
        <v>0.2</v>
      </c>
      <c r="G14" s="273" t="s">
        <v>749</v>
      </c>
      <c r="H14" s="274" t="s">
        <v>749</v>
      </c>
      <c r="I14" s="265">
        <v>0</v>
      </c>
      <c r="J14" s="271">
        <f t="shared" si="0"/>
        <v>0.5</v>
      </c>
      <c r="K14" s="270"/>
      <c r="L14" s="279" t="s">
        <v>1088</v>
      </c>
      <c r="M14" s="279" t="s">
        <v>1088</v>
      </c>
      <c r="N14" s="279" t="s">
        <v>1088</v>
      </c>
      <c r="O14" s="268" t="s">
        <v>1089</v>
      </c>
      <c r="P14" s="268">
        <v>3840000</v>
      </c>
      <c r="Q14" s="277" t="s">
        <v>1089</v>
      </c>
      <c r="R14" s="267">
        <v>0</v>
      </c>
      <c r="S14" s="267">
        <v>0</v>
      </c>
      <c r="T14" s="276" t="s">
        <v>1089</v>
      </c>
    </row>
    <row r="15" spans="1:104" x14ac:dyDescent="0.25">
      <c r="A15" s="272" t="s">
        <v>113</v>
      </c>
      <c r="B15" s="275" t="s">
        <v>112</v>
      </c>
      <c r="C15" s="265">
        <v>0.3</v>
      </c>
      <c r="D15" s="273" t="s">
        <v>791</v>
      </c>
      <c r="E15" s="274" t="s">
        <v>790</v>
      </c>
      <c r="F15" s="265">
        <v>0.2</v>
      </c>
      <c r="G15" s="273" t="s">
        <v>749</v>
      </c>
      <c r="H15" s="274" t="s">
        <v>749</v>
      </c>
      <c r="I15" s="265">
        <v>0</v>
      </c>
      <c r="J15" s="271">
        <f t="shared" si="0"/>
        <v>0.5</v>
      </c>
      <c r="K15" s="270"/>
      <c r="L15" s="279" t="s">
        <v>1088</v>
      </c>
      <c r="M15" s="279" t="s">
        <v>1088</v>
      </c>
      <c r="N15" s="279" t="s">
        <v>1088</v>
      </c>
      <c r="O15" s="268" t="s">
        <v>1088</v>
      </c>
      <c r="P15" s="268">
        <v>0</v>
      </c>
      <c r="Q15" s="277" t="s">
        <v>1089</v>
      </c>
      <c r="R15" s="267">
        <v>0</v>
      </c>
      <c r="S15" s="267">
        <v>0</v>
      </c>
      <c r="T15" s="276" t="s">
        <v>1089</v>
      </c>
    </row>
    <row r="16" spans="1:104" x14ac:dyDescent="0.25">
      <c r="A16" s="272" t="s">
        <v>115</v>
      </c>
      <c r="B16" s="275" t="s">
        <v>114</v>
      </c>
      <c r="C16" s="265">
        <v>0.49</v>
      </c>
      <c r="D16" s="273" t="s">
        <v>749</v>
      </c>
      <c r="E16" s="274" t="s">
        <v>768</v>
      </c>
      <c r="F16" s="265">
        <v>0</v>
      </c>
      <c r="G16" s="273" t="s">
        <v>866</v>
      </c>
      <c r="H16" s="272" t="s">
        <v>865</v>
      </c>
      <c r="I16" s="265">
        <v>0.01</v>
      </c>
      <c r="J16" s="271">
        <f t="shared" si="0"/>
        <v>0.5</v>
      </c>
      <c r="K16" s="270"/>
      <c r="L16" s="279" t="s">
        <v>1089</v>
      </c>
      <c r="M16" s="279" t="s">
        <v>1090</v>
      </c>
      <c r="N16" s="279" t="s">
        <v>1088</v>
      </c>
      <c r="O16" s="268" t="s">
        <v>1088</v>
      </c>
      <c r="P16" s="268">
        <v>0</v>
      </c>
      <c r="Q16" s="277" t="s">
        <v>1089</v>
      </c>
      <c r="R16" s="267">
        <v>89102</v>
      </c>
      <c r="S16" s="267">
        <v>0</v>
      </c>
      <c r="T16" s="276" t="s">
        <v>1089</v>
      </c>
    </row>
    <row r="17" spans="1:20" ht="15.75" customHeight="1" x14ac:dyDescent="0.25">
      <c r="A17" s="272" t="s">
        <v>117</v>
      </c>
      <c r="B17" s="275" t="s">
        <v>116</v>
      </c>
      <c r="C17" s="265">
        <v>0.4</v>
      </c>
      <c r="D17" s="273" t="s">
        <v>852</v>
      </c>
      <c r="E17" s="274" t="s">
        <v>851</v>
      </c>
      <c r="F17" s="265">
        <v>0.1</v>
      </c>
      <c r="G17" s="273" t="s">
        <v>749</v>
      </c>
      <c r="H17" s="272" t="s">
        <v>763</v>
      </c>
      <c r="I17" s="265">
        <v>0</v>
      </c>
      <c r="J17" s="271">
        <f t="shared" si="0"/>
        <v>0.5</v>
      </c>
      <c r="K17" s="270"/>
      <c r="L17" s="279" t="s">
        <v>1088</v>
      </c>
      <c r="M17" s="279" t="s">
        <v>1088</v>
      </c>
      <c r="N17" s="279" t="s">
        <v>1088</v>
      </c>
      <c r="O17" s="268" t="s">
        <v>1088</v>
      </c>
      <c r="P17" s="268">
        <v>0</v>
      </c>
      <c r="Q17" s="277" t="s">
        <v>1088</v>
      </c>
      <c r="R17" s="267">
        <v>0</v>
      </c>
      <c r="S17" s="267">
        <v>0</v>
      </c>
      <c r="T17" s="276" t="s">
        <v>1088</v>
      </c>
    </row>
    <row r="18" spans="1:20" ht="15.75" customHeight="1" x14ac:dyDescent="0.25">
      <c r="A18" s="272" t="s">
        <v>119</v>
      </c>
      <c r="B18" s="275" t="s">
        <v>118</v>
      </c>
      <c r="C18" s="265">
        <v>0.4</v>
      </c>
      <c r="D18" s="273" t="s">
        <v>823</v>
      </c>
      <c r="E18" s="274" t="s">
        <v>822</v>
      </c>
      <c r="F18" s="265">
        <v>0.09</v>
      </c>
      <c r="G18" s="273" t="s">
        <v>821</v>
      </c>
      <c r="H18" s="272" t="s">
        <v>820</v>
      </c>
      <c r="I18" s="265">
        <v>0.01</v>
      </c>
      <c r="J18" s="271">
        <f t="shared" si="0"/>
        <v>0.5</v>
      </c>
      <c r="K18" s="270"/>
      <c r="L18" s="279" t="s">
        <v>1088</v>
      </c>
      <c r="M18" s="279" t="s">
        <v>1088</v>
      </c>
      <c r="N18" s="279" t="s">
        <v>1088</v>
      </c>
      <c r="O18" s="268" t="s">
        <v>1088</v>
      </c>
      <c r="P18" s="268">
        <v>0</v>
      </c>
      <c r="Q18" s="277" t="s">
        <v>1088</v>
      </c>
      <c r="R18" s="267">
        <v>0</v>
      </c>
      <c r="S18" s="267">
        <v>0</v>
      </c>
      <c r="T18" s="276" t="s">
        <v>1088</v>
      </c>
    </row>
    <row r="19" spans="1:20" ht="15.75" customHeight="1" x14ac:dyDescent="0.25">
      <c r="A19" s="272" t="s">
        <v>121</v>
      </c>
      <c r="B19" s="275" t="s">
        <v>120</v>
      </c>
      <c r="C19" s="265">
        <v>0.4</v>
      </c>
      <c r="D19" s="273" t="s">
        <v>780</v>
      </c>
      <c r="E19" s="274" t="s">
        <v>779</v>
      </c>
      <c r="F19" s="265">
        <v>0.09</v>
      </c>
      <c r="G19" s="273" t="s">
        <v>778</v>
      </c>
      <c r="H19" s="272" t="s">
        <v>777</v>
      </c>
      <c r="I19" s="265">
        <v>0.01</v>
      </c>
      <c r="J19" s="271">
        <f t="shared" si="0"/>
        <v>0.5</v>
      </c>
      <c r="K19" s="270"/>
      <c r="L19" s="279" t="s">
        <v>1088</v>
      </c>
      <c r="M19" s="279" t="s">
        <v>1088</v>
      </c>
      <c r="N19" s="279" t="s">
        <v>1088</v>
      </c>
      <c r="O19" s="268" t="s">
        <v>1088</v>
      </c>
      <c r="P19" s="268">
        <v>0</v>
      </c>
      <c r="Q19" s="277" t="s">
        <v>1088</v>
      </c>
      <c r="R19" s="267">
        <v>0</v>
      </c>
      <c r="S19" s="267">
        <v>0</v>
      </c>
      <c r="T19" s="276" t="s">
        <v>1088</v>
      </c>
    </row>
    <row r="20" spans="1:20" ht="15.75" customHeight="1" x14ac:dyDescent="0.25">
      <c r="A20" s="272" t="s">
        <v>123</v>
      </c>
      <c r="B20" s="275" t="s">
        <v>122</v>
      </c>
      <c r="C20" s="265">
        <v>0.4</v>
      </c>
      <c r="D20" s="273" t="s">
        <v>875</v>
      </c>
      <c r="E20" s="274" t="s">
        <v>874</v>
      </c>
      <c r="F20" s="265">
        <v>0.09</v>
      </c>
      <c r="G20" s="273" t="s">
        <v>873</v>
      </c>
      <c r="H20" s="272" t="s">
        <v>872</v>
      </c>
      <c r="I20" s="265">
        <v>0.01</v>
      </c>
      <c r="J20" s="271">
        <f t="shared" si="0"/>
        <v>0.5</v>
      </c>
      <c r="K20" s="270"/>
      <c r="L20" s="279" t="s">
        <v>1088</v>
      </c>
      <c r="M20" s="279" t="s">
        <v>1088</v>
      </c>
      <c r="N20" s="279" t="s">
        <v>1088</v>
      </c>
      <c r="O20" s="268" t="s">
        <v>1089</v>
      </c>
      <c r="P20" s="268">
        <v>1000000</v>
      </c>
      <c r="Q20" s="277" t="s">
        <v>1088</v>
      </c>
      <c r="R20" s="267">
        <v>0</v>
      </c>
      <c r="S20" s="267">
        <v>0</v>
      </c>
      <c r="T20" s="276" t="s">
        <v>1088</v>
      </c>
    </row>
    <row r="21" spans="1:20" x14ac:dyDescent="0.25">
      <c r="A21" s="272" t="s">
        <v>125</v>
      </c>
      <c r="B21" s="275" t="s">
        <v>926</v>
      </c>
      <c r="C21" s="265">
        <v>0.49</v>
      </c>
      <c r="D21" s="273" t="s">
        <v>749</v>
      </c>
      <c r="E21" s="274" t="s">
        <v>748</v>
      </c>
      <c r="F21" s="265">
        <v>0</v>
      </c>
      <c r="G21" s="273" t="s">
        <v>854</v>
      </c>
      <c r="H21" s="272" t="s">
        <v>853</v>
      </c>
      <c r="I21" s="265">
        <v>0.01</v>
      </c>
      <c r="J21" s="271">
        <f t="shared" si="0"/>
        <v>0.5</v>
      </c>
      <c r="K21" s="270"/>
      <c r="L21" s="279" t="s">
        <v>1089</v>
      </c>
      <c r="M21" s="279" t="s">
        <v>1091</v>
      </c>
      <c r="N21" s="279" t="s">
        <v>1088</v>
      </c>
      <c r="O21" s="268" t="s">
        <v>1088</v>
      </c>
      <c r="P21" s="268">
        <v>0</v>
      </c>
      <c r="Q21" s="277" t="s">
        <v>1089</v>
      </c>
      <c r="R21" s="267">
        <v>4886323</v>
      </c>
      <c r="S21" s="267">
        <v>0</v>
      </c>
      <c r="T21" s="276" t="s">
        <v>1089</v>
      </c>
    </row>
    <row r="22" spans="1:20" ht="15.75" customHeight="1" x14ac:dyDescent="0.25">
      <c r="A22" s="274" t="s">
        <v>127</v>
      </c>
      <c r="B22" s="274" t="s">
        <v>126</v>
      </c>
      <c r="C22" s="265">
        <v>0.49</v>
      </c>
      <c r="D22" s="273" t="s">
        <v>749</v>
      </c>
      <c r="E22" s="274" t="s">
        <v>748</v>
      </c>
      <c r="F22" s="265">
        <v>0</v>
      </c>
      <c r="G22" s="273" t="s">
        <v>899</v>
      </c>
      <c r="H22" s="272" t="s">
        <v>898</v>
      </c>
      <c r="I22" s="265">
        <v>0.01</v>
      </c>
      <c r="J22" s="271">
        <f t="shared" si="0"/>
        <v>0.5</v>
      </c>
      <c r="K22" s="270"/>
      <c r="L22" s="279" t="s">
        <v>1088</v>
      </c>
      <c r="M22" s="279" t="s">
        <v>1088</v>
      </c>
      <c r="N22" s="279" t="s">
        <v>1088</v>
      </c>
      <c r="O22" s="268" t="s">
        <v>1088</v>
      </c>
      <c r="P22" s="268">
        <v>0</v>
      </c>
      <c r="Q22" s="277" t="s">
        <v>1089</v>
      </c>
      <c r="R22" s="267">
        <v>0</v>
      </c>
      <c r="S22" s="267">
        <v>0</v>
      </c>
      <c r="T22" s="276" t="s">
        <v>1089</v>
      </c>
    </row>
    <row r="23" spans="1:20" ht="15.75" customHeight="1" x14ac:dyDescent="0.25">
      <c r="A23" s="272" t="s">
        <v>129</v>
      </c>
      <c r="B23" s="275" t="s">
        <v>128</v>
      </c>
      <c r="C23" s="265">
        <v>0.3</v>
      </c>
      <c r="D23" s="273" t="s">
        <v>791</v>
      </c>
      <c r="E23" s="274" t="s">
        <v>790</v>
      </c>
      <c r="F23" s="265">
        <v>0.2</v>
      </c>
      <c r="G23" s="273" t="s">
        <v>749</v>
      </c>
      <c r="H23" s="274" t="s">
        <v>749</v>
      </c>
      <c r="I23" s="265">
        <v>0</v>
      </c>
      <c r="J23" s="271">
        <f t="shared" si="0"/>
        <v>0.5</v>
      </c>
      <c r="K23" s="270"/>
      <c r="L23" s="279" t="s">
        <v>1088</v>
      </c>
      <c r="M23" s="279" t="s">
        <v>1088</v>
      </c>
      <c r="N23" s="279" t="s">
        <v>1088</v>
      </c>
      <c r="O23" s="268" t="s">
        <v>1088</v>
      </c>
      <c r="P23" s="268">
        <v>0</v>
      </c>
      <c r="Q23" s="277" t="s">
        <v>1089</v>
      </c>
      <c r="R23" s="267">
        <v>0</v>
      </c>
      <c r="S23" s="267">
        <v>0</v>
      </c>
      <c r="T23" s="276" t="s">
        <v>1089</v>
      </c>
    </row>
    <row r="24" spans="1:20" x14ac:dyDescent="0.25">
      <c r="A24" s="272" t="s">
        <v>131</v>
      </c>
      <c r="B24" s="275" t="s">
        <v>130</v>
      </c>
      <c r="C24" s="265">
        <v>0.49</v>
      </c>
      <c r="D24" s="273" t="s">
        <v>749</v>
      </c>
      <c r="E24" s="274" t="s">
        <v>768</v>
      </c>
      <c r="F24" s="265">
        <v>0</v>
      </c>
      <c r="G24" s="273" t="s">
        <v>767</v>
      </c>
      <c r="H24" s="272" t="s">
        <v>766</v>
      </c>
      <c r="I24" s="265">
        <v>0.01</v>
      </c>
      <c r="J24" s="271">
        <f t="shared" si="0"/>
        <v>0.5</v>
      </c>
      <c r="K24" s="270"/>
      <c r="L24" s="279" t="s">
        <v>1089</v>
      </c>
      <c r="M24" s="279" t="s">
        <v>1092</v>
      </c>
      <c r="N24" s="279" t="s">
        <v>1088</v>
      </c>
      <c r="O24" s="268" t="s">
        <v>1089</v>
      </c>
      <c r="P24" s="268">
        <v>19396560</v>
      </c>
      <c r="Q24" s="277" t="s">
        <v>1089</v>
      </c>
      <c r="R24" s="267">
        <v>4026547</v>
      </c>
      <c r="S24" s="267">
        <v>0</v>
      </c>
      <c r="T24" s="276" t="s">
        <v>1089</v>
      </c>
    </row>
    <row r="25" spans="1:20" ht="15.75" customHeight="1" x14ac:dyDescent="0.25">
      <c r="A25" s="272" t="s">
        <v>133</v>
      </c>
      <c r="B25" s="275" t="s">
        <v>132</v>
      </c>
      <c r="C25" s="265">
        <v>0.4</v>
      </c>
      <c r="D25" s="273" t="s">
        <v>885</v>
      </c>
      <c r="E25" s="274" t="s">
        <v>884</v>
      </c>
      <c r="F25" s="265">
        <v>0.09</v>
      </c>
      <c r="G25" s="273" t="s">
        <v>870</v>
      </c>
      <c r="H25" s="272" t="s">
        <v>869</v>
      </c>
      <c r="I25" s="265">
        <v>0.01</v>
      </c>
      <c r="J25" s="271">
        <f t="shared" si="0"/>
        <v>0.5</v>
      </c>
      <c r="K25" s="270"/>
      <c r="L25" s="279" t="s">
        <v>1088</v>
      </c>
      <c r="M25" s="279" t="s">
        <v>1088</v>
      </c>
      <c r="N25" s="279" t="s">
        <v>1088</v>
      </c>
      <c r="O25" s="268" t="s">
        <v>1088</v>
      </c>
      <c r="P25" s="268">
        <v>0</v>
      </c>
      <c r="Q25" s="277" t="s">
        <v>1088</v>
      </c>
      <c r="R25" s="267">
        <v>0</v>
      </c>
      <c r="S25" s="267">
        <v>0</v>
      </c>
      <c r="T25" s="276" t="s">
        <v>1088</v>
      </c>
    </row>
    <row r="26" spans="1:20" ht="15.75" customHeight="1" x14ac:dyDescent="0.25">
      <c r="A26" s="272" t="s">
        <v>135</v>
      </c>
      <c r="B26" s="275" t="s">
        <v>925</v>
      </c>
      <c r="C26" s="265">
        <v>0.49</v>
      </c>
      <c r="D26" s="273" t="s">
        <v>749</v>
      </c>
      <c r="E26" s="274" t="s">
        <v>748</v>
      </c>
      <c r="F26" s="265">
        <v>0</v>
      </c>
      <c r="G26" s="273" t="s">
        <v>756</v>
      </c>
      <c r="H26" s="272" t="s">
        <v>755</v>
      </c>
      <c r="I26" s="265">
        <v>0.01</v>
      </c>
      <c r="J26" s="271">
        <f t="shared" si="0"/>
        <v>0.5</v>
      </c>
      <c r="K26" s="270"/>
      <c r="L26" s="279" t="s">
        <v>1088</v>
      </c>
      <c r="M26" s="279" t="s">
        <v>1088</v>
      </c>
      <c r="N26" s="279" t="s">
        <v>1088</v>
      </c>
      <c r="O26" s="268" t="s">
        <v>1088</v>
      </c>
      <c r="P26" s="268">
        <v>0</v>
      </c>
      <c r="Q26" s="277" t="s">
        <v>1089</v>
      </c>
      <c r="R26" s="267">
        <v>0</v>
      </c>
      <c r="S26" s="267">
        <v>0</v>
      </c>
      <c r="T26" s="276" t="s">
        <v>1089</v>
      </c>
    </row>
    <row r="27" spans="1:20" ht="15.75" customHeight="1" x14ac:dyDescent="0.25">
      <c r="A27" s="272" t="s">
        <v>137</v>
      </c>
      <c r="B27" s="275" t="s">
        <v>924</v>
      </c>
      <c r="C27" s="265">
        <v>0.49</v>
      </c>
      <c r="D27" s="273" t="s">
        <v>749</v>
      </c>
      <c r="E27" s="274" t="s">
        <v>748</v>
      </c>
      <c r="F27" s="265">
        <v>0</v>
      </c>
      <c r="G27" s="273" t="s">
        <v>756</v>
      </c>
      <c r="H27" s="272" t="s">
        <v>755</v>
      </c>
      <c r="I27" s="265">
        <v>0.01</v>
      </c>
      <c r="J27" s="271">
        <f t="shared" si="0"/>
        <v>0.5</v>
      </c>
      <c r="K27" s="270"/>
      <c r="L27" s="279" t="s">
        <v>1088</v>
      </c>
      <c r="M27" s="279" t="s">
        <v>1088</v>
      </c>
      <c r="N27" s="279" t="s">
        <v>1088</v>
      </c>
      <c r="O27" s="268" t="s">
        <v>1088</v>
      </c>
      <c r="P27" s="268">
        <v>0</v>
      </c>
      <c r="Q27" s="277" t="s">
        <v>1089</v>
      </c>
      <c r="R27" s="267">
        <v>0</v>
      </c>
      <c r="S27" s="267">
        <v>0</v>
      </c>
      <c r="T27" s="276" t="s">
        <v>1089</v>
      </c>
    </row>
    <row r="28" spans="1:20" ht="15.75" customHeight="1" x14ac:dyDescent="0.25">
      <c r="A28" s="272" t="s">
        <v>139</v>
      </c>
      <c r="B28" s="275" t="s">
        <v>138</v>
      </c>
      <c r="C28" s="265">
        <v>0.4</v>
      </c>
      <c r="D28" s="273" t="s">
        <v>859</v>
      </c>
      <c r="E28" s="274" t="s">
        <v>858</v>
      </c>
      <c r="F28" s="265">
        <v>0.09</v>
      </c>
      <c r="G28" s="273" t="s">
        <v>857</v>
      </c>
      <c r="H28" s="272" t="s">
        <v>856</v>
      </c>
      <c r="I28" s="265">
        <v>0.01</v>
      </c>
      <c r="J28" s="271">
        <f t="shared" si="0"/>
        <v>0.5</v>
      </c>
      <c r="K28" s="270"/>
      <c r="L28" s="279" t="s">
        <v>1088</v>
      </c>
      <c r="M28" s="279" t="s">
        <v>1088</v>
      </c>
      <c r="N28" s="279" t="s">
        <v>1088</v>
      </c>
      <c r="O28" s="268" t="s">
        <v>1088</v>
      </c>
      <c r="P28" s="268">
        <v>0</v>
      </c>
      <c r="Q28" s="277" t="s">
        <v>1088</v>
      </c>
      <c r="R28" s="267">
        <v>0</v>
      </c>
      <c r="S28" s="267">
        <v>0</v>
      </c>
      <c r="T28" s="276" t="s">
        <v>1088</v>
      </c>
    </row>
    <row r="29" spans="1:20" ht="15.75" customHeight="1" x14ac:dyDescent="0.25">
      <c r="A29" s="272" t="s">
        <v>141</v>
      </c>
      <c r="B29" s="275" t="s">
        <v>140</v>
      </c>
      <c r="C29" s="265">
        <v>0.49</v>
      </c>
      <c r="D29" s="273" t="s">
        <v>749</v>
      </c>
      <c r="E29" s="274" t="s">
        <v>768</v>
      </c>
      <c r="F29" s="265">
        <v>0</v>
      </c>
      <c r="G29" s="273" t="s">
        <v>784</v>
      </c>
      <c r="H29" s="272" t="s">
        <v>783</v>
      </c>
      <c r="I29" s="265">
        <v>0.01</v>
      </c>
      <c r="J29" s="271">
        <f t="shared" si="0"/>
        <v>0.5</v>
      </c>
      <c r="K29" s="270"/>
      <c r="L29" s="279" t="s">
        <v>1088</v>
      </c>
      <c r="M29" s="279" t="s">
        <v>1088</v>
      </c>
      <c r="N29" s="279" t="s">
        <v>1088</v>
      </c>
      <c r="O29" s="268" t="s">
        <v>1088</v>
      </c>
      <c r="P29" s="268">
        <v>0</v>
      </c>
      <c r="Q29" s="277" t="s">
        <v>1089</v>
      </c>
      <c r="R29" s="267">
        <v>0</v>
      </c>
      <c r="S29" s="267">
        <v>0</v>
      </c>
      <c r="T29" s="276" t="s">
        <v>1089</v>
      </c>
    </row>
    <row r="30" spans="1:20" ht="15.75" customHeight="1" x14ac:dyDescent="0.25">
      <c r="A30" s="272" t="s">
        <v>143</v>
      </c>
      <c r="B30" s="275" t="s">
        <v>142</v>
      </c>
      <c r="C30" s="265">
        <v>0.4</v>
      </c>
      <c r="D30" s="273" t="s">
        <v>799</v>
      </c>
      <c r="E30" s="274" t="s">
        <v>798</v>
      </c>
      <c r="F30" s="265">
        <v>0.1</v>
      </c>
      <c r="G30" s="273" t="s">
        <v>749</v>
      </c>
      <c r="H30" s="272" t="s">
        <v>763</v>
      </c>
      <c r="I30" s="265">
        <v>0</v>
      </c>
      <c r="J30" s="271">
        <f t="shared" si="0"/>
        <v>0.5</v>
      </c>
      <c r="K30" s="270"/>
      <c r="L30" s="279" t="s">
        <v>1088</v>
      </c>
      <c r="M30" s="279" t="s">
        <v>1088</v>
      </c>
      <c r="N30" s="279" t="s">
        <v>1088</v>
      </c>
      <c r="O30" s="268" t="s">
        <v>1088</v>
      </c>
      <c r="P30" s="268">
        <v>0</v>
      </c>
      <c r="Q30" s="277" t="s">
        <v>1088</v>
      </c>
      <c r="R30" s="267">
        <v>0</v>
      </c>
      <c r="S30" s="267">
        <v>0</v>
      </c>
      <c r="T30" s="276" t="s">
        <v>1088</v>
      </c>
    </row>
    <row r="31" spans="1:20" ht="15.75" customHeight="1" x14ac:dyDescent="0.25">
      <c r="A31" s="272" t="s">
        <v>145</v>
      </c>
      <c r="B31" s="275" t="s">
        <v>923</v>
      </c>
      <c r="C31" s="265">
        <v>0.49</v>
      </c>
      <c r="D31" s="273" t="s">
        <v>749</v>
      </c>
      <c r="E31" s="274" t="s">
        <v>748</v>
      </c>
      <c r="F31" s="265">
        <v>0</v>
      </c>
      <c r="G31" s="273" t="s">
        <v>786</v>
      </c>
      <c r="H31" s="272" t="s">
        <v>785</v>
      </c>
      <c r="I31" s="265">
        <v>0.01</v>
      </c>
      <c r="J31" s="271">
        <f t="shared" si="0"/>
        <v>0.5</v>
      </c>
      <c r="K31" s="270"/>
      <c r="L31" s="279" t="s">
        <v>1088</v>
      </c>
      <c r="M31" s="279" t="s">
        <v>1088</v>
      </c>
      <c r="N31" s="279" t="s">
        <v>1088</v>
      </c>
      <c r="O31" s="268" t="s">
        <v>1089</v>
      </c>
      <c r="P31" s="268">
        <v>1160000</v>
      </c>
      <c r="Q31" s="277" t="s">
        <v>1089</v>
      </c>
      <c r="R31" s="267">
        <v>0</v>
      </c>
      <c r="S31" s="267">
        <v>0</v>
      </c>
      <c r="T31" s="276" t="s">
        <v>1089</v>
      </c>
    </row>
    <row r="32" spans="1:20" ht="15.75" customHeight="1" x14ac:dyDescent="0.25">
      <c r="A32" s="272" t="s">
        <v>147</v>
      </c>
      <c r="B32" s="275" t="s">
        <v>922</v>
      </c>
      <c r="C32" s="265">
        <v>0.49</v>
      </c>
      <c r="D32" s="273" t="s">
        <v>749</v>
      </c>
      <c r="E32" s="274" t="s">
        <v>748</v>
      </c>
      <c r="F32" s="265">
        <v>0</v>
      </c>
      <c r="G32" s="273" t="s">
        <v>770</v>
      </c>
      <c r="H32" s="272" t="s">
        <v>769</v>
      </c>
      <c r="I32" s="265">
        <v>0.01</v>
      </c>
      <c r="J32" s="271">
        <f t="shared" si="0"/>
        <v>0.5</v>
      </c>
      <c r="K32" s="270"/>
      <c r="L32" s="279" t="s">
        <v>1088</v>
      </c>
      <c r="M32" s="279" t="s">
        <v>1088</v>
      </c>
      <c r="N32" s="279" t="s">
        <v>1088</v>
      </c>
      <c r="O32" s="268" t="s">
        <v>1088</v>
      </c>
      <c r="P32" s="268">
        <v>0</v>
      </c>
      <c r="Q32" s="277" t="s">
        <v>1089</v>
      </c>
      <c r="R32" s="267">
        <v>0</v>
      </c>
      <c r="S32" s="267">
        <v>0</v>
      </c>
      <c r="T32" s="276" t="s">
        <v>1089</v>
      </c>
    </row>
    <row r="33" spans="1:20" ht="15.75" customHeight="1" x14ac:dyDescent="0.25">
      <c r="A33" s="272" t="s">
        <v>149</v>
      </c>
      <c r="B33" s="275" t="s">
        <v>148</v>
      </c>
      <c r="C33" s="265">
        <v>0.49</v>
      </c>
      <c r="D33" s="273" t="s">
        <v>749</v>
      </c>
      <c r="E33" s="274" t="s">
        <v>768</v>
      </c>
      <c r="F33" s="265">
        <v>0</v>
      </c>
      <c r="G33" s="273" t="s">
        <v>819</v>
      </c>
      <c r="H33" s="272" t="s">
        <v>818</v>
      </c>
      <c r="I33" s="265">
        <v>0.01</v>
      </c>
      <c r="J33" s="271">
        <f t="shared" si="0"/>
        <v>0.5</v>
      </c>
      <c r="L33" s="279" t="s">
        <v>1088</v>
      </c>
      <c r="M33" s="279" t="s">
        <v>1088</v>
      </c>
      <c r="N33" s="279" t="s">
        <v>1088</v>
      </c>
      <c r="O33" s="268" t="s">
        <v>1089</v>
      </c>
      <c r="P33" s="268">
        <v>5276789</v>
      </c>
      <c r="Q33" s="277" t="s">
        <v>1089</v>
      </c>
      <c r="R33" s="267">
        <v>0</v>
      </c>
      <c r="S33" s="267">
        <v>0</v>
      </c>
      <c r="T33" s="276" t="s">
        <v>1089</v>
      </c>
    </row>
    <row r="34" spans="1:20" ht="15.75" customHeight="1" x14ac:dyDescent="0.25">
      <c r="A34" s="272" t="s">
        <v>151</v>
      </c>
      <c r="B34" s="275" t="s">
        <v>150</v>
      </c>
      <c r="C34" s="265">
        <v>0.4</v>
      </c>
      <c r="D34" s="273" t="s">
        <v>823</v>
      </c>
      <c r="E34" s="274" t="s">
        <v>822</v>
      </c>
      <c r="F34" s="265">
        <v>0.09</v>
      </c>
      <c r="G34" s="273" t="s">
        <v>821</v>
      </c>
      <c r="H34" s="272" t="s">
        <v>820</v>
      </c>
      <c r="I34" s="265">
        <v>0.01</v>
      </c>
      <c r="J34" s="271">
        <f t="shared" si="0"/>
        <v>0.5</v>
      </c>
      <c r="K34" s="270"/>
      <c r="L34" s="279" t="s">
        <v>1088</v>
      </c>
      <c r="M34" s="279" t="s">
        <v>1088</v>
      </c>
      <c r="N34" s="279" t="s">
        <v>1088</v>
      </c>
      <c r="O34" s="268" t="s">
        <v>1088</v>
      </c>
      <c r="P34" s="268">
        <v>0</v>
      </c>
      <c r="Q34" s="277" t="s">
        <v>1088</v>
      </c>
      <c r="R34" s="267">
        <v>0</v>
      </c>
      <c r="S34" s="267">
        <v>0</v>
      </c>
      <c r="T34" s="276" t="s">
        <v>1088</v>
      </c>
    </row>
    <row r="35" spans="1:20" ht="15.75" customHeight="1" x14ac:dyDescent="0.25">
      <c r="A35" s="272" t="s">
        <v>153</v>
      </c>
      <c r="B35" s="275" t="s">
        <v>152</v>
      </c>
      <c r="C35" s="265">
        <v>0.4</v>
      </c>
      <c r="D35" s="273" t="s">
        <v>850</v>
      </c>
      <c r="E35" s="274" t="s">
        <v>849</v>
      </c>
      <c r="F35" s="265">
        <v>0.1</v>
      </c>
      <c r="G35" s="273" t="s">
        <v>749</v>
      </c>
      <c r="H35" s="272" t="s">
        <v>763</v>
      </c>
      <c r="I35" s="265">
        <v>0</v>
      </c>
      <c r="J35" s="271">
        <f t="shared" si="0"/>
        <v>0.5</v>
      </c>
      <c r="K35" s="270"/>
      <c r="L35" s="279" t="s">
        <v>1088</v>
      </c>
      <c r="M35" s="279" t="s">
        <v>1088</v>
      </c>
      <c r="N35" s="279" t="s">
        <v>1088</v>
      </c>
      <c r="O35" s="268" t="s">
        <v>1088</v>
      </c>
      <c r="P35" s="268">
        <v>0</v>
      </c>
      <c r="Q35" s="277" t="s">
        <v>1088</v>
      </c>
      <c r="R35" s="267">
        <v>0</v>
      </c>
      <c r="S35" s="267">
        <v>0</v>
      </c>
      <c r="T35" s="276" t="s">
        <v>1088</v>
      </c>
    </row>
    <row r="36" spans="1:20" ht="15.75" customHeight="1" x14ac:dyDescent="0.25">
      <c r="A36" s="272" t="s">
        <v>155</v>
      </c>
      <c r="B36" s="275" t="s">
        <v>154</v>
      </c>
      <c r="C36" s="265">
        <v>0.3</v>
      </c>
      <c r="D36" s="273" t="s">
        <v>791</v>
      </c>
      <c r="E36" s="274" t="s">
        <v>790</v>
      </c>
      <c r="F36" s="265">
        <v>0.2</v>
      </c>
      <c r="G36" s="273" t="s">
        <v>749</v>
      </c>
      <c r="H36" s="274" t="s">
        <v>749</v>
      </c>
      <c r="I36" s="265">
        <v>0</v>
      </c>
      <c r="J36" s="271">
        <f t="shared" si="0"/>
        <v>0.5</v>
      </c>
      <c r="K36" s="270"/>
      <c r="L36" s="279" t="s">
        <v>1088</v>
      </c>
      <c r="M36" s="279" t="s">
        <v>1088</v>
      </c>
      <c r="N36" s="279" t="s">
        <v>1088</v>
      </c>
      <c r="O36" s="268" t="s">
        <v>1089</v>
      </c>
      <c r="P36" s="268">
        <v>3573333</v>
      </c>
      <c r="Q36" s="277" t="s">
        <v>1089</v>
      </c>
      <c r="R36" s="267">
        <v>0</v>
      </c>
      <c r="S36" s="267">
        <v>0</v>
      </c>
      <c r="T36" s="276" t="s">
        <v>1089</v>
      </c>
    </row>
    <row r="37" spans="1:20" ht="15.75" customHeight="1" x14ac:dyDescent="0.25">
      <c r="A37" s="272" t="s">
        <v>157</v>
      </c>
      <c r="B37" s="275" t="s">
        <v>156</v>
      </c>
      <c r="C37" s="265">
        <v>0.4</v>
      </c>
      <c r="D37" s="273" t="s">
        <v>823</v>
      </c>
      <c r="E37" s="274" t="s">
        <v>822</v>
      </c>
      <c r="F37" s="265">
        <v>0.09</v>
      </c>
      <c r="G37" s="273" t="s">
        <v>821</v>
      </c>
      <c r="H37" s="272" t="s">
        <v>820</v>
      </c>
      <c r="I37" s="265">
        <v>0.01</v>
      </c>
      <c r="J37" s="271">
        <f t="shared" si="0"/>
        <v>0.5</v>
      </c>
      <c r="K37" s="270"/>
      <c r="L37" s="279" t="s">
        <v>1088</v>
      </c>
      <c r="M37" s="279" t="s">
        <v>1088</v>
      </c>
      <c r="N37" s="279" t="s">
        <v>1088</v>
      </c>
      <c r="O37" s="268" t="s">
        <v>1088</v>
      </c>
      <c r="P37" s="268">
        <v>0</v>
      </c>
      <c r="Q37" s="277" t="s">
        <v>1088</v>
      </c>
      <c r="R37" s="267">
        <v>0</v>
      </c>
      <c r="S37" s="267">
        <v>0</v>
      </c>
      <c r="T37" s="276" t="s">
        <v>1088</v>
      </c>
    </row>
    <row r="38" spans="1:20" ht="15.75" customHeight="1" x14ac:dyDescent="0.25">
      <c r="A38" s="272" t="s">
        <v>159</v>
      </c>
      <c r="B38" s="275" t="s">
        <v>921</v>
      </c>
      <c r="C38" s="265">
        <v>0.49</v>
      </c>
      <c r="D38" s="273" t="s">
        <v>749</v>
      </c>
      <c r="E38" s="274" t="s">
        <v>748</v>
      </c>
      <c r="F38" s="265">
        <v>0</v>
      </c>
      <c r="G38" s="273" t="s">
        <v>808</v>
      </c>
      <c r="H38" s="272" t="s">
        <v>807</v>
      </c>
      <c r="I38" s="265">
        <v>0.01</v>
      </c>
      <c r="J38" s="271">
        <f t="shared" si="0"/>
        <v>0.5</v>
      </c>
      <c r="K38" s="270"/>
      <c r="L38" s="279" t="s">
        <v>1088</v>
      </c>
      <c r="M38" s="279" t="s">
        <v>1088</v>
      </c>
      <c r="N38" s="279" t="s">
        <v>1088</v>
      </c>
      <c r="O38" s="268" t="s">
        <v>1088</v>
      </c>
      <c r="P38" s="268">
        <v>0</v>
      </c>
      <c r="Q38" s="277" t="s">
        <v>1089</v>
      </c>
      <c r="R38" s="267">
        <v>0</v>
      </c>
      <c r="S38" s="267">
        <v>0</v>
      </c>
      <c r="T38" s="276" t="s">
        <v>1089</v>
      </c>
    </row>
    <row r="39" spans="1:20" x14ac:dyDescent="0.25">
      <c r="A39" s="272" t="s">
        <v>161</v>
      </c>
      <c r="B39" s="275" t="s">
        <v>920</v>
      </c>
      <c r="C39" s="265">
        <v>0.49</v>
      </c>
      <c r="D39" s="273" t="s">
        <v>749</v>
      </c>
      <c r="E39" s="274" t="s">
        <v>748</v>
      </c>
      <c r="F39" s="265">
        <v>0</v>
      </c>
      <c r="G39" s="273" t="s">
        <v>854</v>
      </c>
      <c r="H39" s="272" t="s">
        <v>853</v>
      </c>
      <c r="I39" s="265">
        <v>0.01</v>
      </c>
      <c r="J39" s="271">
        <f t="shared" si="0"/>
        <v>0.5</v>
      </c>
      <c r="K39" s="270"/>
      <c r="L39" s="279" t="s">
        <v>1089</v>
      </c>
      <c r="M39" s="279" t="s">
        <v>1093</v>
      </c>
      <c r="N39" s="279" t="s">
        <v>1091</v>
      </c>
      <c r="O39" s="268" t="s">
        <v>1088</v>
      </c>
      <c r="P39" s="268">
        <v>0</v>
      </c>
      <c r="Q39" s="277" t="s">
        <v>1089</v>
      </c>
      <c r="R39" s="267">
        <v>13240942</v>
      </c>
      <c r="S39" s="267">
        <v>6584128</v>
      </c>
      <c r="T39" s="276" t="s">
        <v>1089</v>
      </c>
    </row>
    <row r="40" spans="1:20" ht="15.75" customHeight="1" x14ac:dyDescent="0.25">
      <c r="A40" s="272" t="s">
        <v>163</v>
      </c>
      <c r="B40" s="275" t="s">
        <v>162</v>
      </c>
      <c r="C40" s="265">
        <v>0.4</v>
      </c>
      <c r="D40" s="273" t="s">
        <v>850</v>
      </c>
      <c r="E40" s="274" t="s">
        <v>849</v>
      </c>
      <c r="F40" s="265">
        <v>0.1</v>
      </c>
      <c r="G40" s="273" t="s">
        <v>749</v>
      </c>
      <c r="H40" s="272" t="s">
        <v>763</v>
      </c>
      <c r="I40" s="265">
        <v>0</v>
      </c>
      <c r="J40" s="271">
        <f t="shared" si="0"/>
        <v>0.5</v>
      </c>
      <c r="K40" s="270"/>
      <c r="L40" s="279" t="s">
        <v>1088</v>
      </c>
      <c r="M40" s="279" t="s">
        <v>1088</v>
      </c>
      <c r="N40" s="279" t="s">
        <v>1088</v>
      </c>
      <c r="O40" s="268" t="s">
        <v>1088</v>
      </c>
      <c r="P40" s="268">
        <v>0</v>
      </c>
      <c r="Q40" s="277" t="s">
        <v>1088</v>
      </c>
      <c r="R40" s="267">
        <v>0</v>
      </c>
      <c r="S40" s="267">
        <v>0</v>
      </c>
      <c r="T40" s="276" t="s">
        <v>1088</v>
      </c>
    </row>
    <row r="41" spans="1:20" ht="15.75" customHeight="1" x14ac:dyDescent="0.25">
      <c r="A41" s="272" t="s">
        <v>165</v>
      </c>
      <c r="B41" s="275" t="s">
        <v>164</v>
      </c>
      <c r="C41" s="265">
        <v>0.3</v>
      </c>
      <c r="D41" s="273" t="s">
        <v>791</v>
      </c>
      <c r="E41" s="274" t="s">
        <v>790</v>
      </c>
      <c r="F41" s="265">
        <v>0.2</v>
      </c>
      <c r="G41" s="273" t="s">
        <v>749</v>
      </c>
      <c r="H41" s="274" t="s">
        <v>749</v>
      </c>
      <c r="I41" s="265">
        <v>0</v>
      </c>
      <c r="J41" s="271">
        <f t="shared" si="0"/>
        <v>0.5</v>
      </c>
      <c r="K41" s="270"/>
      <c r="L41" s="279" t="s">
        <v>1088</v>
      </c>
      <c r="M41" s="279" t="s">
        <v>1088</v>
      </c>
      <c r="N41" s="279" t="s">
        <v>1088</v>
      </c>
      <c r="O41" s="268" t="s">
        <v>1088</v>
      </c>
      <c r="P41" s="268">
        <v>0</v>
      </c>
      <c r="Q41" s="277" t="s">
        <v>1089</v>
      </c>
      <c r="R41" s="267">
        <v>0</v>
      </c>
      <c r="S41" s="267">
        <v>0</v>
      </c>
      <c r="T41" s="276" t="s">
        <v>1089</v>
      </c>
    </row>
    <row r="42" spans="1:20" ht="15.75" customHeight="1" x14ac:dyDescent="0.25">
      <c r="A42" s="272" t="s">
        <v>167</v>
      </c>
      <c r="B42" s="275" t="s">
        <v>166</v>
      </c>
      <c r="C42" s="265">
        <v>0.4</v>
      </c>
      <c r="D42" s="273" t="s">
        <v>754</v>
      </c>
      <c r="E42" s="274" t="s">
        <v>753</v>
      </c>
      <c r="F42" s="265">
        <v>0.09</v>
      </c>
      <c r="G42" s="273" t="s">
        <v>752</v>
      </c>
      <c r="H42" s="272" t="s">
        <v>751</v>
      </c>
      <c r="I42" s="265">
        <v>0.01</v>
      </c>
      <c r="J42" s="271">
        <f t="shared" si="0"/>
        <v>0.5</v>
      </c>
      <c r="K42" s="270"/>
      <c r="L42" s="279" t="s">
        <v>1088</v>
      </c>
      <c r="M42" s="279" t="s">
        <v>1088</v>
      </c>
      <c r="N42" s="279" t="s">
        <v>1088</v>
      </c>
      <c r="O42" s="268" t="s">
        <v>1089</v>
      </c>
      <c r="P42" s="268">
        <v>651339</v>
      </c>
      <c r="Q42" s="277" t="s">
        <v>1088</v>
      </c>
      <c r="R42" s="267">
        <v>0</v>
      </c>
      <c r="S42" s="267">
        <v>0</v>
      </c>
      <c r="T42" s="276" t="s">
        <v>1088</v>
      </c>
    </row>
    <row r="43" spans="1:20" ht="15.75" customHeight="1" x14ac:dyDescent="0.25">
      <c r="A43" s="272" t="s">
        <v>169</v>
      </c>
      <c r="B43" s="275" t="s">
        <v>168</v>
      </c>
      <c r="C43" s="265">
        <v>0.4</v>
      </c>
      <c r="D43" s="273" t="s">
        <v>804</v>
      </c>
      <c r="E43" s="274" t="s">
        <v>803</v>
      </c>
      <c r="F43" s="265">
        <v>0.1</v>
      </c>
      <c r="G43" s="273" t="s">
        <v>749</v>
      </c>
      <c r="H43" s="272" t="s">
        <v>763</v>
      </c>
      <c r="I43" s="265">
        <v>0</v>
      </c>
      <c r="J43" s="271">
        <f t="shared" si="0"/>
        <v>0.5</v>
      </c>
      <c r="K43" s="270"/>
      <c r="L43" s="279" t="s">
        <v>1088</v>
      </c>
      <c r="M43" s="279" t="s">
        <v>1088</v>
      </c>
      <c r="N43" s="279" t="s">
        <v>1088</v>
      </c>
      <c r="O43" s="268" t="s">
        <v>1088</v>
      </c>
      <c r="P43" s="268">
        <v>0</v>
      </c>
      <c r="Q43" s="277" t="s">
        <v>1088</v>
      </c>
      <c r="R43" s="267">
        <v>0</v>
      </c>
      <c r="S43" s="267">
        <v>0</v>
      </c>
      <c r="T43" s="276" t="s">
        <v>1088</v>
      </c>
    </row>
    <row r="44" spans="1:20" x14ac:dyDescent="0.25">
      <c r="A44" s="272" t="s">
        <v>171</v>
      </c>
      <c r="B44" s="275" t="s">
        <v>170</v>
      </c>
      <c r="C44" s="265">
        <v>0.4</v>
      </c>
      <c r="D44" s="273" t="s">
        <v>875</v>
      </c>
      <c r="E44" s="274" t="s">
        <v>874</v>
      </c>
      <c r="F44" s="265">
        <v>0.09</v>
      </c>
      <c r="G44" s="273" t="s">
        <v>873</v>
      </c>
      <c r="H44" s="272" t="s">
        <v>872</v>
      </c>
      <c r="I44" s="265">
        <v>0.01</v>
      </c>
      <c r="J44" s="271">
        <f t="shared" si="0"/>
        <v>0.5</v>
      </c>
      <c r="K44" s="270"/>
      <c r="L44" s="279" t="s">
        <v>1089</v>
      </c>
      <c r="M44" s="279" t="s">
        <v>1094</v>
      </c>
      <c r="N44" s="279" t="s">
        <v>1088</v>
      </c>
      <c r="O44" s="268" t="s">
        <v>1089</v>
      </c>
      <c r="P44" s="268">
        <v>428539</v>
      </c>
      <c r="Q44" s="277" t="s">
        <v>1088</v>
      </c>
      <c r="R44" s="267">
        <v>1120700</v>
      </c>
      <c r="S44" s="267">
        <v>0</v>
      </c>
      <c r="T44" s="276" t="s">
        <v>1088</v>
      </c>
    </row>
    <row r="45" spans="1:20" ht="15.75" customHeight="1" x14ac:dyDescent="0.25">
      <c r="A45" s="272" t="s">
        <v>173</v>
      </c>
      <c r="B45" s="275" t="s">
        <v>172</v>
      </c>
      <c r="C45" s="265">
        <v>0.4</v>
      </c>
      <c r="D45" s="273" t="s">
        <v>758</v>
      </c>
      <c r="E45" s="274" t="s">
        <v>757</v>
      </c>
      <c r="F45" s="265">
        <v>0.09</v>
      </c>
      <c r="G45" s="273" t="s">
        <v>756</v>
      </c>
      <c r="H45" s="272" t="s">
        <v>755</v>
      </c>
      <c r="I45" s="265">
        <v>0.01</v>
      </c>
      <c r="J45" s="271">
        <f t="shared" si="0"/>
        <v>0.5</v>
      </c>
      <c r="K45" s="270"/>
      <c r="L45" s="279" t="s">
        <v>1088</v>
      </c>
      <c r="M45" s="279" t="s">
        <v>1088</v>
      </c>
      <c r="N45" s="279" t="s">
        <v>1088</v>
      </c>
      <c r="O45" s="268" t="s">
        <v>1088</v>
      </c>
      <c r="P45" s="268">
        <v>0</v>
      </c>
      <c r="Q45" s="277" t="s">
        <v>1088</v>
      </c>
      <c r="R45" s="267">
        <v>0</v>
      </c>
      <c r="S45" s="267">
        <v>0</v>
      </c>
      <c r="T45" s="276" t="s">
        <v>1088</v>
      </c>
    </row>
    <row r="46" spans="1:20" ht="15.75" customHeight="1" x14ac:dyDescent="0.25">
      <c r="A46" s="272" t="s">
        <v>175</v>
      </c>
      <c r="B46" s="275" t="s">
        <v>174</v>
      </c>
      <c r="C46" s="265">
        <v>0.49</v>
      </c>
      <c r="D46" s="273" t="s">
        <v>749</v>
      </c>
      <c r="E46" s="274" t="s">
        <v>768</v>
      </c>
      <c r="F46" s="265">
        <v>0</v>
      </c>
      <c r="G46" s="273" t="s">
        <v>784</v>
      </c>
      <c r="H46" s="272" t="s">
        <v>783</v>
      </c>
      <c r="I46" s="265">
        <v>0.01</v>
      </c>
      <c r="J46" s="271">
        <f t="shared" si="0"/>
        <v>0.5</v>
      </c>
      <c r="K46" s="270"/>
      <c r="L46" s="279" t="s">
        <v>1088</v>
      </c>
      <c r="M46" s="279" t="s">
        <v>1088</v>
      </c>
      <c r="N46" s="279" t="s">
        <v>1088</v>
      </c>
      <c r="O46" s="268" t="s">
        <v>1088</v>
      </c>
      <c r="P46" s="268">
        <v>0</v>
      </c>
      <c r="Q46" s="277" t="s">
        <v>1089</v>
      </c>
      <c r="R46" s="267">
        <v>0</v>
      </c>
      <c r="S46" s="267">
        <v>0</v>
      </c>
      <c r="T46" s="276" t="s">
        <v>1089</v>
      </c>
    </row>
    <row r="47" spans="1:20" ht="15.75" customHeight="1" x14ac:dyDescent="0.25">
      <c r="A47" s="272" t="s">
        <v>177</v>
      </c>
      <c r="B47" s="275" t="s">
        <v>176</v>
      </c>
      <c r="C47" s="265">
        <v>0.49</v>
      </c>
      <c r="D47" s="273" t="s">
        <v>749</v>
      </c>
      <c r="E47" s="274" t="s">
        <v>768</v>
      </c>
      <c r="F47" s="265">
        <v>0</v>
      </c>
      <c r="G47" s="273" t="s">
        <v>819</v>
      </c>
      <c r="H47" s="272" t="s">
        <v>818</v>
      </c>
      <c r="I47" s="265">
        <v>0.01</v>
      </c>
      <c r="J47" s="271">
        <f t="shared" si="0"/>
        <v>0.5</v>
      </c>
      <c r="K47" s="270"/>
      <c r="L47" s="279" t="s">
        <v>1088</v>
      </c>
      <c r="M47" s="279" t="s">
        <v>1088</v>
      </c>
      <c r="N47" s="279" t="s">
        <v>1088</v>
      </c>
      <c r="O47" s="268" t="s">
        <v>1088</v>
      </c>
      <c r="P47" s="268">
        <v>0</v>
      </c>
      <c r="Q47" s="277" t="s">
        <v>1089</v>
      </c>
      <c r="R47" s="267">
        <v>0</v>
      </c>
      <c r="S47" s="267">
        <v>0</v>
      </c>
      <c r="T47" s="276" t="s">
        <v>1089</v>
      </c>
    </row>
    <row r="48" spans="1:20" ht="15.75" customHeight="1" x14ac:dyDescent="0.25">
      <c r="A48" s="272" t="s">
        <v>179</v>
      </c>
      <c r="B48" s="275" t="s">
        <v>178</v>
      </c>
      <c r="C48" s="265">
        <v>0.4</v>
      </c>
      <c r="D48" s="273" t="s">
        <v>863</v>
      </c>
      <c r="E48" s="274" t="s">
        <v>862</v>
      </c>
      <c r="F48" s="265">
        <v>0.09</v>
      </c>
      <c r="G48" s="273" t="s">
        <v>861</v>
      </c>
      <c r="H48" s="272" t="s">
        <v>860</v>
      </c>
      <c r="I48" s="265">
        <v>0.01</v>
      </c>
      <c r="J48" s="271">
        <f t="shared" si="0"/>
        <v>0.5</v>
      </c>
      <c r="K48" s="270"/>
      <c r="L48" s="279" t="s">
        <v>1088</v>
      </c>
      <c r="M48" s="279" t="s">
        <v>1088</v>
      </c>
      <c r="N48" s="279" t="s">
        <v>1088</v>
      </c>
      <c r="O48" s="268" t="s">
        <v>1088</v>
      </c>
      <c r="P48" s="268">
        <v>0</v>
      </c>
      <c r="Q48" s="277" t="s">
        <v>1088</v>
      </c>
      <c r="R48" s="267">
        <v>0</v>
      </c>
      <c r="S48" s="267">
        <v>0</v>
      </c>
      <c r="T48" s="276" t="s">
        <v>1088</v>
      </c>
    </row>
    <row r="49" spans="1:20" ht="15.75" customHeight="1" x14ac:dyDescent="0.25">
      <c r="A49" s="272" t="s">
        <v>181</v>
      </c>
      <c r="B49" s="275" t="s">
        <v>180</v>
      </c>
      <c r="C49" s="265">
        <v>0.3</v>
      </c>
      <c r="D49" s="273" t="s">
        <v>791</v>
      </c>
      <c r="E49" s="274" t="s">
        <v>790</v>
      </c>
      <c r="F49" s="265">
        <v>0.2</v>
      </c>
      <c r="G49" s="273" t="s">
        <v>749</v>
      </c>
      <c r="H49" s="274" t="s">
        <v>749</v>
      </c>
      <c r="I49" s="265">
        <v>0</v>
      </c>
      <c r="J49" s="271">
        <f t="shared" si="0"/>
        <v>0.5</v>
      </c>
      <c r="K49" s="270"/>
      <c r="L49" s="279" t="s">
        <v>1088</v>
      </c>
      <c r="M49" s="279" t="s">
        <v>1088</v>
      </c>
      <c r="N49" s="279" t="s">
        <v>1088</v>
      </c>
      <c r="O49" s="268" t="s">
        <v>1088</v>
      </c>
      <c r="P49" s="268">
        <v>0</v>
      </c>
      <c r="Q49" s="277" t="s">
        <v>1089</v>
      </c>
      <c r="R49" s="267">
        <v>0</v>
      </c>
      <c r="S49" s="267">
        <v>0</v>
      </c>
      <c r="T49" s="276" t="s">
        <v>1089</v>
      </c>
    </row>
    <row r="50" spans="1:20" ht="15.75" customHeight="1" x14ac:dyDescent="0.25">
      <c r="A50" s="272" t="s">
        <v>183</v>
      </c>
      <c r="B50" s="275" t="s">
        <v>182</v>
      </c>
      <c r="C50" s="265">
        <v>0.4</v>
      </c>
      <c r="D50" s="273" t="s">
        <v>839</v>
      </c>
      <c r="E50" s="274" t="s">
        <v>838</v>
      </c>
      <c r="F50" s="265">
        <v>0.09</v>
      </c>
      <c r="G50" s="273" t="s">
        <v>837</v>
      </c>
      <c r="H50" s="272" t="s">
        <v>836</v>
      </c>
      <c r="I50" s="265">
        <v>0.01</v>
      </c>
      <c r="J50" s="271">
        <f t="shared" si="0"/>
        <v>0.5</v>
      </c>
      <c r="K50" s="270"/>
      <c r="L50" s="279" t="s">
        <v>1088</v>
      </c>
      <c r="M50" s="279" t="s">
        <v>1088</v>
      </c>
      <c r="N50" s="279" t="s">
        <v>1088</v>
      </c>
      <c r="O50" s="268" t="s">
        <v>1088</v>
      </c>
      <c r="P50" s="268">
        <v>0</v>
      </c>
      <c r="Q50" s="277" t="s">
        <v>1088</v>
      </c>
      <c r="R50" s="267">
        <v>0</v>
      </c>
      <c r="S50" s="267">
        <v>0</v>
      </c>
      <c r="T50" s="276" t="s">
        <v>1088</v>
      </c>
    </row>
    <row r="51" spans="1:20" ht="15.75" customHeight="1" x14ac:dyDescent="0.25">
      <c r="A51" s="272" t="s">
        <v>185</v>
      </c>
      <c r="B51" s="275" t="s">
        <v>184</v>
      </c>
      <c r="C51" s="265">
        <v>0.4</v>
      </c>
      <c r="D51" s="273" t="s">
        <v>827</v>
      </c>
      <c r="E51" s="274" t="s">
        <v>826</v>
      </c>
      <c r="F51" s="265">
        <v>0.09</v>
      </c>
      <c r="G51" s="273" t="s">
        <v>825</v>
      </c>
      <c r="H51" s="272" t="s">
        <v>824</v>
      </c>
      <c r="I51" s="265">
        <v>0.01</v>
      </c>
      <c r="J51" s="271">
        <f t="shared" si="0"/>
        <v>0.5</v>
      </c>
      <c r="K51" s="270"/>
      <c r="L51" s="279" t="s">
        <v>1088</v>
      </c>
      <c r="M51" s="279" t="s">
        <v>1088</v>
      </c>
      <c r="N51" s="279" t="s">
        <v>1088</v>
      </c>
      <c r="O51" s="268" t="s">
        <v>1088</v>
      </c>
      <c r="P51" s="268">
        <v>0</v>
      </c>
      <c r="Q51" s="277" t="s">
        <v>1088</v>
      </c>
      <c r="R51" s="267">
        <v>0</v>
      </c>
      <c r="S51" s="267">
        <v>0</v>
      </c>
      <c r="T51" s="276" t="s">
        <v>1088</v>
      </c>
    </row>
    <row r="52" spans="1:20" ht="15.75" customHeight="1" x14ac:dyDescent="0.25">
      <c r="A52" s="272" t="s">
        <v>187</v>
      </c>
      <c r="B52" s="275" t="s">
        <v>186</v>
      </c>
      <c r="C52" s="265">
        <v>0.4</v>
      </c>
      <c r="D52" s="273" t="s">
        <v>852</v>
      </c>
      <c r="E52" s="274" t="s">
        <v>851</v>
      </c>
      <c r="F52" s="265">
        <v>0.1</v>
      </c>
      <c r="G52" s="273" t="s">
        <v>749</v>
      </c>
      <c r="H52" s="272" t="s">
        <v>763</v>
      </c>
      <c r="I52" s="265">
        <v>0</v>
      </c>
      <c r="J52" s="271">
        <f t="shared" si="0"/>
        <v>0.5</v>
      </c>
      <c r="K52" s="270"/>
      <c r="L52" s="279" t="s">
        <v>1088</v>
      </c>
      <c r="M52" s="279" t="s">
        <v>1088</v>
      </c>
      <c r="N52" s="279" t="s">
        <v>1088</v>
      </c>
      <c r="O52" s="268" t="s">
        <v>1088</v>
      </c>
      <c r="P52" s="268">
        <v>0</v>
      </c>
      <c r="Q52" s="277" t="s">
        <v>1088</v>
      </c>
      <c r="R52" s="267">
        <v>0</v>
      </c>
      <c r="S52" s="267">
        <v>0</v>
      </c>
      <c r="T52" s="276" t="s">
        <v>1088</v>
      </c>
    </row>
    <row r="53" spans="1:20" ht="15.75" customHeight="1" x14ac:dyDescent="0.25">
      <c r="A53" s="272" t="s">
        <v>189</v>
      </c>
      <c r="B53" s="275" t="s">
        <v>188</v>
      </c>
      <c r="C53" s="265">
        <v>0.4</v>
      </c>
      <c r="D53" s="273" t="s">
        <v>823</v>
      </c>
      <c r="E53" s="274" t="s">
        <v>822</v>
      </c>
      <c r="F53" s="265">
        <v>0.09</v>
      </c>
      <c r="G53" s="273" t="s">
        <v>821</v>
      </c>
      <c r="H53" s="272" t="s">
        <v>820</v>
      </c>
      <c r="I53" s="265">
        <v>0.01</v>
      </c>
      <c r="J53" s="271">
        <f t="shared" si="0"/>
        <v>0.5</v>
      </c>
      <c r="K53" s="270"/>
      <c r="L53" s="279" t="s">
        <v>1088</v>
      </c>
      <c r="M53" s="279" t="s">
        <v>1088</v>
      </c>
      <c r="N53" s="279" t="s">
        <v>1088</v>
      </c>
      <c r="O53" s="268" t="s">
        <v>1089</v>
      </c>
      <c r="P53" s="268">
        <v>117460</v>
      </c>
      <c r="Q53" s="277" t="s">
        <v>1088</v>
      </c>
      <c r="R53" s="267">
        <v>0</v>
      </c>
      <c r="S53" s="267">
        <v>0</v>
      </c>
      <c r="T53" s="276" t="s">
        <v>1088</v>
      </c>
    </row>
    <row r="54" spans="1:20" ht="15.75" customHeight="1" x14ac:dyDescent="0.25">
      <c r="A54" s="274" t="s">
        <v>191</v>
      </c>
      <c r="B54" s="274" t="s">
        <v>190</v>
      </c>
      <c r="C54" s="265">
        <v>0.49</v>
      </c>
      <c r="D54" s="273" t="s">
        <v>749</v>
      </c>
      <c r="E54" s="274" t="s">
        <v>748</v>
      </c>
      <c r="F54" s="265">
        <v>0</v>
      </c>
      <c r="G54" s="273" t="s">
        <v>899</v>
      </c>
      <c r="H54" s="272" t="s">
        <v>898</v>
      </c>
      <c r="I54" s="265">
        <v>0.01</v>
      </c>
      <c r="J54" s="271">
        <f t="shared" si="0"/>
        <v>0.5</v>
      </c>
      <c r="K54" s="270"/>
      <c r="L54" s="279" t="s">
        <v>1088</v>
      </c>
      <c r="M54" s="279" t="s">
        <v>1088</v>
      </c>
      <c r="N54" s="279" t="s">
        <v>1088</v>
      </c>
      <c r="O54" s="268" t="s">
        <v>1088</v>
      </c>
      <c r="P54" s="268">
        <v>0</v>
      </c>
      <c r="Q54" s="277" t="s">
        <v>1089</v>
      </c>
      <c r="R54" s="267">
        <v>0</v>
      </c>
      <c r="S54" s="267">
        <v>0</v>
      </c>
      <c r="T54" s="276" t="s">
        <v>1089</v>
      </c>
    </row>
    <row r="55" spans="1:20" ht="15.75" customHeight="1" x14ac:dyDescent="0.25">
      <c r="A55" s="272" t="s">
        <v>193</v>
      </c>
      <c r="B55" s="275" t="s">
        <v>192</v>
      </c>
      <c r="C55" s="265">
        <v>0.4</v>
      </c>
      <c r="D55" s="273" t="s">
        <v>885</v>
      </c>
      <c r="E55" s="274" t="s">
        <v>884</v>
      </c>
      <c r="F55" s="265">
        <v>0.09</v>
      </c>
      <c r="G55" s="273" t="s">
        <v>870</v>
      </c>
      <c r="H55" s="272" t="s">
        <v>869</v>
      </c>
      <c r="I55" s="265">
        <v>0.01</v>
      </c>
      <c r="J55" s="271">
        <f t="shared" si="0"/>
        <v>0.5</v>
      </c>
      <c r="K55" s="270"/>
      <c r="L55" s="279" t="s">
        <v>1088</v>
      </c>
      <c r="M55" s="279" t="s">
        <v>1088</v>
      </c>
      <c r="N55" s="279" t="s">
        <v>1088</v>
      </c>
      <c r="O55" s="268" t="s">
        <v>1088</v>
      </c>
      <c r="P55" s="268">
        <v>0</v>
      </c>
      <c r="Q55" s="277" t="s">
        <v>1088</v>
      </c>
      <c r="R55" s="267">
        <v>0</v>
      </c>
      <c r="S55" s="267">
        <v>0</v>
      </c>
      <c r="T55" s="276" t="s">
        <v>1088</v>
      </c>
    </row>
    <row r="56" spans="1:20" ht="15.75" customHeight="1" x14ac:dyDescent="0.25">
      <c r="A56" s="272" t="s">
        <v>195</v>
      </c>
      <c r="B56" s="275" t="s">
        <v>194</v>
      </c>
      <c r="C56" s="265">
        <v>0.4</v>
      </c>
      <c r="D56" s="273" t="s">
        <v>823</v>
      </c>
      <c r="E56" s="274" t="s">
        <v>822</v>
      </c>
      <c r="F56" s="265">
        <v>0.09</v>
      </c>
      <c r="G56" s="273" t="s">
        <v>821</v>
      </c>
      <c r="H56" s="272" t="s">
        <v>820</v>
      </c>
      <c r="I56" s="265">
        <v>0.01</v>
      </c>
      <c r="J56" s="271">
        <f t="shared" si="0"/>
        <v>0.5</v>
      </c>
      <c r="K56" s="270"/>
      <c r="L56" s="279" t="s">
        <v>1088</v>
      </c>
      <c r="M56" s="279" t="s">
        <v>1088</v>
      </c>
      <c r="N56" s="279" t="s">
        <v>1088</v>
      </c>
      <c r="O56" s="268" t="s">
        <v>1088</v>
      </c>
      <c r="P56" s="268">
        <v>0</v>
      </c>
      <c r="Q56" s="277" t="s">
        <v>1088</v>
      </c>
      <c r="R56" s="267">
        <v>0</v>
      </c>
      <c r="S56" s="267">
        <v>0</v>
      </c>
      <c r="T56" s="276" t="s">
        <v>1088</v>
      </c>
    </row>
    <row r="57" spans="1:20" ht="15.75" customHeight="1" x14ac:dyDescent="0.25">
      <c r="A57" s="272" t="s">
        <v>197</v>
      </c>
      <c r="B57" s="275" t="s">
        <v>196</v>
      </c>
      <c r="C57" s="265">
        <v>0.4</v>
      </c>
      <c r="D57" s="273" t="s">
        <v>832</v>
      </c>
      <c r="E57" s="274" t="s">
        <v>831</v>
      </c>
      <c r="F57" s="265">
        <v>0.1</v>
      </c>
      <c r="G57" s="273" t="s">
        <v>749</v>
      </c>
      <c r="H57" s="272" t="s">
        <v>763</v>
      </c>
      <c r="I57" s="265">
        <v>0</v>
      </c>
      <c r="J57" s="271">
        <f t="shared" si="0"/>
        <v>0.5</v>
      </c>
      <c r="K57" s="270"/>
      <c r="L57" s="279" t="s">
        <v>1088</v>
      </c>
      <c r="M57" s="279" t="s">
        <v>1088</v>
      </c>
      <c r="N57" s="279" t="s">
        <v>1088</v>
      </c>
      <c r="O57" s="268" t="s">
        <v>1088</v>
      </c>
      <c r="P57" s="268">
        <v>0</v>
      </c>
      <c r="Q57" s="277" t="s">
        <v>1088</v>
      </c>
      <c r="R57" s="267">
        <v>0</v>
      </c>
      <c r="S57" s="267">
        <v>0</v>
      </c>
      <c r="T57" s="276" t="s">
        <v>1088</v>
      </c>
    </row>
    <row r="58" spans="1:20" ht="15.75" customHeight="1" x14ac:dyDescent="0.25">
      <c r="A58" s="272" t="s">
        <v>199</v>
      </c>
      <c r="B58" s="275" t="s">
        <v>198</v>
      </c>
      <c r="C58" s="265">
        <v>0.4</v>
      </c>
      <c r="D58" s="273" t="s">
        <v>797</v>
      </c>
      <c r="E58" s="274" t="s">
        <v>796</v>
      </c>
      <c r="F58" s="265">
        <v>0.1</v>
      </c>
      <c r="G58" s="273" t="s">
        <v>749</v>
      </c>
      <c r="H58" s="272" t="s">
        <v>763</v>
      </c>
      <c r="I58" s="265">
        <v>0</v>
      </c>
      <c r="J58" s="271">
        <f t="shared" si="0"/>
        <v>0.5</v>
      </c>
      <c r="K58" s="270"/>
      <c r="L58" s="279" t="s">
        <v>1088</v>
      </c>
      <c r="M58" s="279" t="s">
        <v>1088</v>
      </c>
      <c r="N58" s="279" t="s">
        <v>1088</v>
      </c>
      <c r="O58" s="268" t="s">
        <v>1088</v>
      </c>
      <c r="P58" s="268">
        <v>0</v>
      </c>
      <c r="Q58" s="277" t="s">
        <v>1088</v>
      </c>
      <c r="R58" s="267">
        <v>0</v>
      </c>
      <c r="S58" s="267">
        <v>0</v>
      </c>
      <c r="T58" s="276" t="s">
        <v>1088</v>
      </c>
    </row>
    <row r="59" spans="1:20" ht="15.75" customHeight="1" x14ac:dyDescent="0.25">
      <c r="A59" s="274" t="s">
        <v>201</v>
      </c>
      <c r="B59" s="274" t="s">
        <v>200</v>
      </c>
      <c r="C59" s="265">
        <v>0.49</v>
      </c>
      <c r="D59" s="273" t="s">
        <v>749</v>
      </c>
      <c r="E59" s="274" t="s">
        <v>748</v>
      </c>
      <c r="F59" s="265">
        <v>0</v>
      </c>
      <c r="G59" s="273" t="s">
        <v>816</v>
      </c>
      <c r="H59" s="272" t="s">
        <v>815</v>
      </c>
      <c r="I59" s="265">
        <v>0.01</v>
      </c>
      <c r="J59" s="271">
        <f t="shared" si="0"/>
        <v>0.5</v>
      </c>
      <c r="K59" s="270"/>
      <c r="L59" s="279" t="s">
        <v>1088</v>
      </c>
      <c r="M59" s="279" t="s">
        <v>1088</v>
      </c>
      <c r="N59" s="279" t="s">
        <v>1088</v>
      </c>
      <c r="O59" s="268" t="s">
        <v>1088</v>
      </c>
      <c r="P59" s="268">
        <v>0</v>
      </c>
      <c r="Q59" s="277" t="s">
        <v>1089</v>
      </c>
      <c r="R59" s="267">
        <v>0</v>
      </c>
      <c r="S59" s="267">
        <v>0</v>
      </c>
      <c r="T59" s="276" t="s">
        <v>1089</v>
      </c>
    </row>
    <row r="60" spans="1:20" ht="15.75" customHeight="1" x14ac:dyDescent="0.25">
      <c r="A60" s="274" t="s">
        <v>203</v>
      </c>
      <c r="B60" s="274" t="s">
        <v>919</v>
      </c>
      <c r="C60" s="265">
        <v>0.49</v>
      </c>
      <c r="D60" s="273" t="s">
        <v>749</v>
      </c>
      <c r="E60" s="274" t="s">
        <v>748</v>
      </c>
      <c r="F60" s="265">
        <v>0</v>
      </c>
      <c r="G60" s="273" t="s">
        <v>816</v>
      </c>
      <c r="H60" s="272" t="s">
        <v>815</v>
      </c>
      <c r="I60" s="265">
        <v>0.01</v>
      </c>
      <c r="J60" s="271">
        <f t="shared" si="0"/>
        <v>0.5</v>
      </c>
      <c r="K60" s="270"/>
      <c r="L60" s="279" t="s">
        <v>1088</v>
      </c>
      <c r="M60" s="279" t="s">
        <v>1088</v>
      </c>
      <c r="N60" s="279" t="s">
        <v>1088</v>
      </c>
      <c r="O60" s="268" t="s">
        <v>1089</v>
      </c>
      <c r="P60" s="268">
        <v>3520385</v>
      </c>
      <c r="Q60" s="277" t="s">
        <v>1089</v>
      </c>
      <c r="R60" s="267">
        <v>0</v>
      </c>
      <c r="S60" s="267">
        <v>0</v>
      </c>
      <c r="T60" s="276" t="s">
        <v>1089</v>
      </c>
    </row>
    <row r="61" spans="1:20" x14ac:dyDescent="0.25">
      <c r="A61" s="272" t="s">
        <v>205</v>
      </c>
      <c r="B61" s="275" t="s">
        <v>204</v>
      </c>
      <c r="C61" s="265">
        <v>0.4</v>
      </c>
      <c r="D61" s="273" t="s">
        <v>859</v>
      </c>
      <c r="E61" s="274" t="s">
        <v>858</v>
      </c>
      <c r="F61" s="265">
        <v>0.09</v>
      </c>
      <c r="G61" s="273" t="s">
        <v>857</v>
      </c>
      <c r="H61" s="272" t="s">
        <v>856</v>
      </c>
      <c r="I61" s="265">
        <v>0.01</v>
      </c>
      <c r="J61" s="271">
        <f t="shared" si="0"/>
        <v>0.5</v>
      </c>
      <c r="K61" s="270"/>
      <c r="L61" s="279" t="s">
        <v>1089</v>
      </c>
      <c r="M61" s="279" t="s">
        <v>1095</v>
      </c>
      <c r="N61" s="279" t="s">
        <v>1088</v>
      </c>
      <c r="O61" s="268" t="s">
        <v>1088</v>
      </c>
      <c r="P61" s="268">
        <v>0</v>
      </c>
      <c r="Q61" s="277" t="s">
        <v>1088</v>
      </c>
      <c r="R61" s="267">
        <v>0</v>
      </c>
      <c r="S61" s="267">
        <v>0</v>
      </c>
      <c r="T61" s="276" t="s">
        <v>1088</v>
      </c>
    </row>
    <row r="62" spans="1:20" ht="15.75" customHeight="1" x14ac:dyDescent="0.25">
      <c r="A62" s="272" t="s">
        <v>207</v>
      </c>
      <c r="B62" s="275" t="s">
        <v>206</v>
      </c>
      <c r="C62" s="265">
        <v>0.4</v>
      </c>
      <c r="D62" s="273" t="s">
        <v>765</v>
      </c>
      <c r="E62" s="274" t="s">
        <v>764</v>
      </c>
      <c r="F62" s="265">
        <v>0.1</v>
      </c>
      <c r="G62" s="273" t="s">
        <v>749</v>
      </c>
      <c r="H62" s="272" t="s">
        <v>763</v>
      </c>
      <c r="I62" s="265">
        <v>0</v>
      </c>
      <c r="J62" s="271">
        <f t="shared" si="0"/>
        <v>0.5</v>
      </c>
      <c r="K62" s="270"/>
      <c r="L62" s="279" t="s">
        <v>1088</v>
      </c>
      <c r="M62" s="279" t="s">
        <v>1088</v>
      </c>
      <c r="N62" s="279" t="s">
        <v>1088</v>
      </c>
      <c r="O62" s="268" t="s">
        <v>1088</v>
      </c>
      <c r="P62" s="268">
        <v>0</v>
      </c>
      <c r="Q62" s="277" t="s">
        <v>1088</v>
      </c>
      <c r="R62" s="267">
        <v>0</v>
      </c>
      <c r="S62" s="267">
        <v>0</v>
      </c>
      <c r="T62" s="276" t="s">
        <v>1088</v>
      </c>
    </row>
    <row r="63" spans="1:20" ht="15.75" customHeight="1" x14ac:dyDescent="0.25">
      <c r="A63" s="272" t="s">
        <v>209</v>
      </c>
      <c r="B63" s="275" t="s">
        <v>208</v>
      </c>
      <c r="C63" s="265">
        <v>0.4</v>
      </c>
      <c r="D63" s="273" t="s">
        <v>762</v>
      </c>
      <c r="E63" s="274" t="s">
        <v>761</v>
      </c>
      <c r="F63" s="265">
        <v>0.09</v>
      </c>
      <c r="G63" s="273" t="s">
        <v>760</v>
      </c>
      <c r="H63" s="272" t="s">
        <v>759</v>
      </c>
      <c r="I63" s="265">
        <v>0.01</v>
      </c>
      <c r="J63" s="271">
        <f t="shared" si="0"/>
        <v>0.5</v>
      </c>
      <c r="K63" s="270"/>
      <c r="L63" s="279" t="s">
        <v>1088</v>
      </c>
      <c r="M63" s="279" t="s">
        <v>1088</v>
      </c>
      <c r="N63" s="279" t="s">
        <v>1088</v>
      </c>
      <c r="O63" s="268" t="s">
        <v>1088</v>
      </c>
      <c r="P63" s="268">
        <v>0</v>
      </c>
      <c r="Q63" s="277" t="s">
        <v>1088</v>
      </c>
      <c r="R63" s="267">
        <v>0</v>
      </c>
      <c r="S63" s="267">
        <v>0</v>
      </c>
      <c r="T63" s="276" t="s">
        <v>1088</v>
      </c>
    </row>
    <row r="64" spans="1:20" ht="15.75" customHeight="1" x14ac:dyDescent="0.25">
      <c r="A64" s="272" t="s">
        <v>211</v>
      </c>
      <c r="B64" s="275" t="s">
        <v>210</v>
      </c>
      <c r="C64" s="265">
        <v>0.4</v>
      </c>
      <c r="D64" s="273" t="s">
        <v>758</v>
      </c>
      <c r="E64" s="274" t="s">
        <v>757</v>
      </c>
      <c r="F64" s="265">
        <v>0.09</v>
      </c>
      <c r="G64" s="273" t="s">
        <v>756</v>
      </c>
      <c r="H64" s="272" t="s">
        <v>755</v>
      </c>
      <c r="I64" s="265">
        <v>0.01</v>
      </c>
      <c r="J64" s="271">
        <f t="shared" si="0"/>
        <v>0.5</v>
      </c>
      <c r="K64" s="270"/>
      <c r="L64" s="279" t="s">
        <v>1088</v>
      </c>
      <c r="M64" s="279" t="s">
        <v>1088</v>
      </c>
      <c r="N64" s="279" t="s">
        <v>1088</v>
      </c>
      <c r="O64" s="268" t="s">
        <v>1088</v>
      </c>
      <c r="P64" s="268">
        <v>0</v>
      </c>
      <c r="Q64" s="277" t="s">
        <v>1088</v>
      </c>
      <c r="R64" s="267">
        <v>0</v>
      </c>
      <c r="S64" s="267">
        <v>0</v>
      </c>
      <c r="T64" s="276" t="s">
        <v>1088</v>
      </c>
    </row>
    <row r="65" spans="1:20" ht="15.75" customHeight="1" x14ac:dyDescent="0.25">
      <c r="A65" s="272" t="s">
        <v>213</v>
      </c>
      <c r="B65" s="275" t="s">
        <v>212</v>
      </c>
      <c r="C65" s="265">
        <v>0.4</v>
      </c>
      <c r="D65" s="273" t="s">
        <v>788</v>
      </c>
      <c r="E65" s="274" t="s">
        <v>787</v>
      </c>
      <c r="F65" s="265">
        <v>0.09</v>
      </c>
      <c r="G65" s="273" t="s">
        <v>786</v>
      </c>
      <c r="H65" s="272" t="s">
        <v>785</v>
      </c>
      <c r="I65" s="265">
        <v>0.01</v>
      </c>
      <c r="J65" s="271">
        <f t="shared" si="0"/>
        <v>0.5</v>
      </c>
      <c r="K65" s="270"/>
      <c r="L65" s="279" t="s">
        <v>1088</v>
      </c>
      <c r="M65" s="279" t="s">
        <v>1088</v>
      </c>
      <c r="N65" s="279" t="s">
        <v>1088</v>
      </c>
      <c r="O65" s="268" t="s">
        <v>1088</v>
      </c>
      <c r="P65" s="268">
        <v>0</v>
      </c>
      <c r="Q65" s="277" t="s">
        <v>1088</v>
      </c>
      <c r="R65" s="267">
        <v>0</v>
      </c>
      <c r="S65" s="267">
        <v>0</v>
      </c>
      <c r="T65" s="276" t="s">
        <v>1088</v>
      </c>
    </row>
    <row r="66" spans="1:20" ht="15.75" customHeight="1" x14ac:dyDescent="0.25">
      <c r="A66" s="272" t="s">
        <v>215</v>
      </c>
      <c r="B66" s="275" t="s">
        <v>214</v>
      </c>
      <c r="C66" s="265">
        <v>0.3</v>
      </c>
      <c r="D66" s="273" t="s">
        <v>918</v>
      </c>
      <c r="E66" s="274" t="s">
        <v>917</v>
      </c>
      <c r="F66" s="265">
        <v>0.2</v>
      </c>
      <c r="G66" s="273" t="s">
        <v>749</v>
      </c>
      <c r="H66" s="274" t="s">
        <v>749</v>
      </c>
      <c r="I66" s="265">
        <v>0</v>
      </c>
      <c r="J66" s="271">
        <f t="shared" si="0"/>
        <v>0.5</v>
      </c>
      <c r="K66" s="270"/>
      <c r="L66" s="279" t="s">
        <v>1088</v>
      </c>
      <c r="M66" s="279" t="s">
        <v>1088</v>
      </c>
      <c r="N66" s="279" t="s">
        <v>1088</v>
      </c>
      <c r="O66" s="268" t="s">
        <v>1088</v>
      </c>
      <c r="P66" s="268">
        <v>0</v>
      </c>
      <c r="Q66" s="277" t="s">
        <v>1089</v>
      </c>
      <c r="R66" s="267">
        <v>0</v>
      </c>
      <c r="S66" s="267">
        <v>0</v>
      </c>
      <c r="T66" s="276" t="s">
        <v>1088</v>
      </c>
    </row>
    <row r="67" spans="1:20" ht="15.75" customHeight="1" x14ac:dyDescent="0.25">
      <c r="A67" s="272" t="s">
        <v>217</v>
      </c>
      <c r="B67" s="275" t="s">
        <v>216</v>
      </c>
      <c r="C67" s="265">
        <v>0.4</v>
      </c>
      <c r="D67" s="273" t="s">
        <v>823</v>
      </c>
      <c r="E67" s="274" t="s">
        <v>822</v>
      </c>
      <c r="F67" s="265">
        <v>0.09</v>
      </c>
      <c r="G67" s="273" t="s">
        <v>821</v>
      </c>
      <c r="H67" s="272" t="s">
        <v>820</v>
      </c>
      <c r="I67" s="265">
        <v>0.01</v>
      </c>
      <c r="J67" s="271">
        <f t="shared" si="0"/>
        <v>0.5</v>
      </c>
      <c r="K67" s="270"/>
      <c r="L67" s="279" t="s">
        <v>1088</v>
      </c>
      <c r="M67" s="279" t="s">
        <v>1088</v>
      </c>
      <c r="N67" s="279" t="s">
        <v>1088</v>
      </c>
      <c r="O67" s="268" t="s">
        <v>1088</v>
      </c>
      <c r="P67" s="268">
        <v>0</v>
      </c>
      <c r="Q67" s="277" t="s">
        <v>1088</v>
      </c>
      <c r="R67" s="267">
        <v>0</v>
      </c>
      <c r="S67" s="267">
        <v>0</v>
      </c>
      <c r="T67" s="276" t="s">
        <v>1088</v>
      </c>
    </row>
    <row r="68" spans="1:20" ht="15.75" customHeight="1" x14ac:dyDescent="0.25">
      <c r="A68" s="272" t="s">
        <v>219</v>
      </c>
      <c r="B68" s="275" t="s">
        <v>218</v>
      </c>
      <c r="C68" s="265">
        <v>0.4</v>
      </c>
      <c r="D68" s="273" t="s">
        <v>852</v>
      </c>
      <c r="E68" s="274" t="s">
        <v>851</v>
      </c>
      <c r="F68" s="265">
        <v>0.1</v>
      </c>
      <c r="G68" s="273" t="s">
        <v>749</v>
      </c>
      <c r="H68" s="272" t="s">
        <v>763</v>
      </c>
      <c r="I68" s="265">
        <v>0</v>
      </c>
      <c r="J68" s="271">
        <f t="shared" si="0"/>
        <v>0.5</v>
      </c>
      <c r="K68" s="270"/>
      <c r="L68" s="279" t="s">
        <v>1088</v>
      </c>
      <c r="M68" s="279" t="s">
        <v>1088</v>
      </c>
      <c r="N68" s="279" t="s">
        <v>1088</v>
      </c>
      <c r="O68" s="268" t="s">
        <v>1088</v>
      </c>
      <c r="P68" s="268">
        <v>0</v>
      </c>
      <c r="Q68" s="277" t="s">
        <v>1088</v>
      </c>
      <c r="R68" s="267">
        <v>0</v>
      </c>
      <c r="S68" s="267">
        <v>0</v>
      </c>
      <c r="T68" s="276" t="s">
        <v>1088</v>
      </c>
    </row>
    <row r="69" spans="1:20" ht="15.75" customHeight="1" x14ac:dyDescent="0.25">
      <c r="A69" s="272" t="s">
        <v>221</v>
      </c>
      <c r="B69" s="275" t="s">
        <v>220</v>
      </c>
      <c r="C69" s="265">
        <v>0.4</v>
      </c>
      <c r="D69" s="273" t="s">
        <v>806</v>
      </c>
      <c r="E69" s="274" t="s">
        <v>805</v>
      </c>
      <c r="F69" s="265">
        <v>0.1</v>
      </c>
      <c r="G69" s="273" t="s">
        <v>749</v>
      </c>
      <c r="H69" s="272" t="s">
        <v>763</v>
      </c>
      <c r="I69" s="265">
        <v>0</v>
      </c>
      <c r="J69" s="271">
        <f t="shared" si="0"/>
        <v>0.5</v>
      </c>
      <c r="K69" s="270"/>
      <c r="L69" s="279" t="s">
        <v>1088</v>
      </c>
      <c r="M69" s="279" t="s">
        <v>1088</v>
      </c>
      <c r="N69" s="279" t="s">
        <v>1088</v>
      </c>
      <c r="O69" s="268" t="s">
        <v>1088</v>
      </c>
      <c r="P69" s="268">
        <v>0</v>
      </c>
      <c r="Q69" s="277" t="s">
        <v>1088</v>
      </c>
      <c r="R69" s="267">
        <v>0</v>
      </c>
      <c r="S69" s="267">
        <v>0</v>
      </c>
      <c r="T69" s="276" t="s">
        <v>1088</v>
      </c>
    </row>
    <row r="70" spans="1:20" x14ac:dyDescent="0.25">
      <c r="A70" s="274" t="s">
        <v>223</v>
      </c>
      <c r="B70" s="274" t="s">
        <v>222</v>
      </c>
      <c r="C70" s="265">
        <v>0.5</v>
      </c>
      <c r="D70" s="273" t="s">
        <v>749</v>
      </c>
      <c r="E70" s="274" t="s">
        <v>748</v>
      </c>
      <c r="F70" s="265">
        <v>0</v>
      </c>
      <c r="G70" s="273" t="s">
        <v>749</v>
      </c>
      <c r="H70" s="272" t="s">
        <v>763</v>
      </c>
      <c r="I70" s="265">
        <v>0</v>
      </c>
      <c r="J70" s="271">
        <f t="shared" ref="J70:J133" si="1">+C70+F70+I70</f>
        <v>0.5</v>
      </c>
      <c r="K70" s="270"/>
      <c r="L70" s="279" t="s">
        <v>1089</v>
      </c>
      <c r="M70" s="279" t="s">
        <v>1096</v>
      </c>
      <c r="N70" s="279" t="s">
        <v>1088</v>
      </c>
      <c r="O70" s="268" t="s">
        <v>1088</v>
      </c>
      <c r="P70" s="268">
        <v>0</v>
      </c>
      <c r="Q70" s="277" t="s">
        <v>1089</v>
      </c>
      <c r="R70" s="267">
        <v>429388</v>
      </c>
      <c r="S70" s="267">
        <v>0</v>
      </c>
      <c r="T70" s="276" t="s">
        <v>1089</v>
      </c>
    </row>
    <row r="71" spans="1:20" ht="15.75" customHeight="1" x14ac:dyDescent="0.25">
      <c r="A71" s="272" t="s">
        <v>225</v>
      </c>
      <c r="B71" s="275" t="s">
        <v>224</v>
      </c>
      <c r="C71" s="265">
        <v>0.4</v>
      </c>
      <c r="D71" s="273" t="s">
        <v>832</v>
      </c>
      <c r="E71" s="274" t="s">
        <v>831</v>
      </c>
      <c r="F71" s="265">
        <v>0.1</v>
      </c>
      <c r="G71" s="273" t="s">
        <v>749</v>
      </c>
      <c r="H71" s="272" t="s">
        <v>763</v>
      </c>
      <c r="I71" s="265">
        <v>0</v>
      </c>
      <c r="J71" s="271">
        <f t="shared" si="1"/>
        <v>0.5</v>
      </c>
      <c r="K71" s="270"/>
      <c r="L71" s="279" t="s">
        <v>1088</v>
      </c>
      <c r="M71" s="279" t="s">
        <v>1088</v>
      </c>
      <c r="N71" s="279" t="s">
        <v>1088</v>
      </c>
      <c r="O71" s="268" t="s">
        <v>1088</v>
      </c>
      <c r="P71" s="268">
        <v>0</v>
      </c>
      <c r="Q71" s="277" t="s">
        <v>1088</v>
      </c>
      <c r="R71" s="267">
        <v>0</v>
      </c>
      <c r="S71" s="267">
        <v>0</v>
      </c>
      <c r="T71" s="276" t="s">
        <v>1088</v>
      </c>
    </row>
    <row r="72" spans="1:20" ht="15.75" customHeight="1" x14ac:dyDescent="0.25">
      <c r="A72" s="272" t="s">
        <v>227</v>
      </c>
      <c r="B72" s="275" t="s">
        <v>226</v>
      </c>
      <c r="C72" s="265">
        <v>0.49</v>
      </c>
      <c r="D72" s="273" t="s">
        <v>749</v>
      </c>
      <c r="E72" s="274" t="s">
        <v>768</v>
      </c>
      <c r="F72" s="265">
        <v>0</v>
      </c>
      <c r="G72" s="273" t="s">
        <v>767</v>
      </c>
      <c r="H72" s="272" t="s">
        <v>766</v>
      </c>
      <c r="I72" s="265">
        <v>0.01</v>
      </c>
      <c r="J72" s="271">
        <f t="shared" si="1"/>
        <v>0.5</v>
      </c>
      <c r="L72" s="279" t="s">
        <v>1088</v>
      </c>
      <c r="M72" s="279" t="s">
        <v>1088</v>
      </c>
      <c r="N72" s="279" t="s">
        <v>1088</v>
      </c>
      <c r="O72" s="268" t="s">
        <v>1089</v>
      </c>
      <c r="P72" s="268">
        <v>2838669</v>
      </c>
      <c r="Q72" s="277" t="s">
        <v>1089</v>
      </c>
      <c r="R72" s="267">
        <v>0</v>
      </c>
      <c r="S72" s="267">
        <v>0</v>
      </c>
      <c r="T72" s="276" t="s">
        <v>1089</v>
      </c>
    </row>
    <row r="73" spans="1:20" ht="15.75" customHeight="1" x14ac:dyDescent="0.25">
      <c r="A73" s="272" t="s">
        <v>229</v>
      </c>
      <c r="B73" s="275" t="s">
        <v>228</v>
      </c>
      <c r="C73" s="265">
        <v>0.4</v>
      </c>
      <c r="D73" s="273" t="s">
        <v>868</v>
      </c>
      <c r="E73" s="274" t="s">
        <v>867</v>
      </c>
      <c r="F73" s="265">
        <v>0.09</v>
      </c>
      <c r="G73" s="273" t="s">
        <v>747</v>
      </c>
      <c r="H73" s="272" t="s">
        <v>746</v>
      </c>
      <c r="I73" s="265">
        <v>0.01</v>
      </c>
      <c r="J73" s="271">
        <f t="shared" si="1"/>
        <v>0.5</v>
      </c>
      <c r="K73" s="270"/>
      <c r="L73" s="279" t="s">
        <v>1088</v>
      </c>
      <c r="M73" s="279" t="s">
        <v>1088</v>
      </c>
      <c r="N73" s="279" t="s">
        <v>1088</v>
      </c>
      <c r="O73" s="268" t="s">
        <v>1088</v>
      </c>
      <c r="P73" s="268">
        <v>0</v>
      </c>
      <c r="Q73" s="277" t="s">
        <v>1088</v>
      </c>
      <c r="R73" s="267">
        <v>0</v>
      </c>
      <c r="S73" s="267">
        <v>0</v>
      </c>
      <c r="T73" s="276" t="s">
        <v>1088</v>
      </c>
    </row>
    <row r="74" spans="1:20" ht="15.75" customHeight="1" x14ac:dyDescent="0.25">
      <c r="A74" s="272" t="s">
        <v>231</v>
      </c>
      <c r="B74" s="275" t="s">
        <v>230</v>
      </c>
      <c r="C74" s="265">
        <v>0.4</v>
      </c>
      <c r="D74" s="273" t="s">
        <v>765</v>
      </c>
      <c r="E74" s="274" t="s">
        <v>764</v>
      </c>
      <c r="F74" s="265">
        <v>0.1</v>
      </c>
      <c r="G74" s="273" t="s">
        <v>749</v>
      </c>
      <c r="H74" s="272" t="s">
        <v>763</v>
      </c>
      <c r="I74" s="265">
        <v>0</v>
      </c>
      <c r="J74" s="271">
        <f t="shared" si="1"/>
        <v>0.5</v>
      </c>
      <c r="K74" s="270"/>
      <c r="L74" s="279" t="s">
        <v>1088</v>
      </c>
      <c r="M74" s="279" t="s">
        <v>1088</v>
      </c>
      <c r="N74" s="279" t="s">
        <v>1088</v>
      </c>
      <c r="O74" s="268" t="s">
        <v>1088</v>
      </c>
      <c r="P74" s="268">
        <v>0</v>
      </c>
      <c r="Q74" s="277" t="s">
        <v>1088</v>
      </c>
      <c r="R74" s="267">
        <v>0</v>
      </c>
      <c r="S74" s="267">
        <v>0</v>
      </c>
      <c r="T74" s="276" t="s">
        <v>1088</v>
      </c>
    </row>
    <row r="75" spans="1:20" ht="15.75" customHeight="1" x14ac:dyDescent="0.25">
      <c r="A75" s="272" t="s">
        <v>233</v>
      </c>
      <c r="B75" s="275" t="s">
        <v>232</v>
      </c>
      <c r="C75" s="265">
        <v>0.3</v>
      </c>
      <c r="D75" s="273" t="s">
        <v>791</v>
      </c>
      <c r="E75" s="274" t="s">
        <v>790</v>
      </c>
      <c r="F75" s="265">
        <v>0.2</v>
      </c>
      <c r="G75" s="273" t="s">
        <v>749</v>
      </c>
      <c r="H75" s="274" t="s">
        <v>749</v>
      </c>
      <c r="I75" s="265">
        <v>0</v>
      </c>
      <c r="J75" s="271">
        <f t="shared" si="1"/>
        <v>0.5</v>
      </c>
      <c r="K75" s="270"/>
      <c r="L75" s="279" t="s">
        <v>1088</v>
      </c>
      <c r="M75" s="279" t="s">
        <v>1088</v>
      </c>
      <c r="N75" s="279" t="s">
        <v>1088</v>
      </c>
      <c r="O75" s="268" t="s">
        <v>1088</v>
      </c>
      <c r="P75" s="268">
        <v>0</v>
      </c>
      <c r="Q75" s="277" t="s">
        <v>1089</v>
      </c>
      <c r="R75" s="267">
        <v>0</v>
      </c>
      <c r="S75" s="267">
        <v>0</v>
      </c>
      <c r="T75" s="276" t="s">
        <v>1089</v>
      </c>
    </row>
    <row r="76" spans="1:20" ht="15.75" customHeight="1" x14ac:dyDescent="0.25">
      <c r="A76" s="272" t="s">
        <v>235</v>
      </c>
      <c r="B76" s="275" t="s">
        <v>234</v>
      </c>
      <c r="C76" s="265">
        <v>0.4</v>
      </c>
      <c r="D76" s="273" t="s">
        <v>804</v>
      </c>
      <c r="E76" s="274" t="s">
        <v>803</v>
      </c>
      <c r="F76" s="265">
        <v>0.1</v>
      </c>
      <c r="G76" s="273" t="s">
        <v>749</v>
      </c>
      <c r="H76" s="272" t="s">
        <v>763</v>
      </c>
      <c r="I76" s="265">
        <v>0</v>
      </c>
      <c r="J76" s="271">
        <f t="shared" si="1"/>
        <v>0.5</v>
      </c>
      <c r="K76" s="270"/>
      <c r="L76" s="279" t="s">
        <v>1088</v>
      </c>
      <c r="M76" s="279" t="s">
        <v>1088</v>
      </c>
      <c r="N76" s="279" t="s">
        <v>1088</v>
      </c>
      <c r="O76" s="268" t="s">
        <v>1088</v>
      </c>
      <c r="P76" s="268">
        <v>0</v>
      </c>
      <c r="Q76" s="277" t="s">
        <v>1088</v>
      </c>
      <c r="R76" s="267">
        <v>0</v>
      </c>
      <c r="S76" s="267">
        <v>0</v>
      </c>
      <c r="T76" s="276" t="s">
        <v>1088</v>
      </c>
    </row>
    <row r="77" spans="1:20" ht="15.75" customHeight="1" x14ac:dyDescent="0.25">
      <c r="A77" s="272" t="s">
        <v>237</v>
      </c>
      <c r="B77" s="275" t="s">
        <v>916</v>
      </c>
      <c r="C77" s="265">
        <v>0.49</v>
      </c>
      <c r="D77" s="273" t="s">
        <v>749</v>
      </c>
      <c r="E77" s="274" t="s">
        <v>748</v>
      </c>
      <c r="F77" s="265">
        <v>0</v>
      </c>
      <c r="G77" s="273" t="s">
        <v>914</v>
      </c>
      <c r="H77" s="272" t="s">
        <v>913</v>
      </c>
      <c r="I77" s="265">
        <v>0.01</v>
      </c>
      <c r="J77" s="271">
        <f t="shared" si="1"/>
        <v>0.5</v>
      </c>
      <c r="K77" s="270"/>
      <c r="L77" s="279" t="s">
        <v>1088</v>
      </c>
      <c r="M77" s="279" t="s">
        <v>1088</v>
      </c>
      <c r="N77" s="279" t="s">
        <v>1088</v>
      </c>
      <c r="O77" s="268" t="s">
        <v>1088</v>
      </c>
      <c r="P77" s="268">
        <v>0</v>
      </c>
      <c r="Q77" s="277" t="s">
        <v>1089</v>
      </c>
      <c r="R77" s="267">
        <v>0</v>
      </c>
      <c r="S77" s="267">
        <v>0</v>
      </c>
      <c r="T77" s="276" t="s">
        <v>1089</v>
      </c>
    </row>
    <row r="78" spans="1:20" ht="15.75" customHeight="1" x14ac:dyDescent="0.25">
      <c r="A78" s="272" t="s">
        <v>239</v>
      </c>
      <c r="B78" s="275" t="s">
        <v>238</v>
      </c>
      <c r="C78" s="265">
        <v>0.4</v>
      </c>
      <c r="D78" s="273" t="s">
        <v>827</v>
      </c>
      <c r="E78" s="274" t="s">
        <v>826</v>
      </c>
      <c r="F78" s="265">
        <v>0.09</v>
      </c>
      <c r="G78" s="273" t="s">
        <v>825</v>
      </c>
      <c r="H78" s="272" t="s">
        <v>824</v>
      </c>
      <c r="I78" s="265">
        <v>0.01</v>
      </c>
      <c r="J78" s="271">
        <f t="shared" si="1"/>
        <v>0.5</v>
      </c>
      <c r="K78" s="270"/>
      <c r="L78" s="279" t="s">
        <v>1088</v>
      </c>
      <c r="M78" s="279" t="s">
        <v>1088</v>
      </c>
      <c r="N78" s="279" t="s">
        <v>1088</v>
      </c>
      <c r="O78" s="268" t="s">
        <v>1088</v>
      </c>
      <c r="P78" s="268">
        <v>0</v>
      </c>
      <c r="Q78" s="277" t="s">
        <v>1088</v>
      </c>
      <c r="R78" s="267">
        <v>0</v>
      </c>
      <c r="S78" s="267">
        <v>0</v>
      </c>
      <c r="T78" s="276" t="s">
        <v>1088</v>
      </c>
    </row>
    <row r="79" spans="1:20" ht="15.75" customHeight="1" x14ac:dyDescent="0.25">
      <c r="A79" s="272" t="s">
        <v>241</v>
      </c>
      <c r="B79" s="275" t="s">
        <v>240</v>
      </c>
      <c r="C79" s="265">
        <v>0.4</v>
      </c>
      <c r="D79" s="273" t="s">
        <v>806</v>
      </c>
      <c r="E79" s="274" t="s">
        <v>805</v>
      </c>
      <c r="F79" s="265">
        <v>0.1</v>
      </c>
      <c r="G79" s="273" t="s">
        <v>749</v>
      </c>
      <c r="H79" s="272" t="s">
        <v>763</v>
      </c>
      <c r="I79" s="265">
        <v>0</v>
      </c>
      <c r="J79" s="271">
        <f t="shared" si="1"/>
        <v>0.5</v>
      </c>
      <c r="K79" s="270"/>
      <c r="L79" s="279" t="s">
        <v>1088</v>
      </c>
      <c r="M79" s="279" t="s">
        <v>1088</v>
      </c>
      <c r="N79" s="279" t="s">
        <v>1088</v>
      </c>
      <c r="O79" s="268" t="s">
        <v>1089</v>
      </c>
      <c r="P79" s="268">
        <v>544707</v>
      </c>
      <c r="Q79" s="277" t="s">
        <v>1088</v>
      </c>
      <c r="R79" s="267">
        <v>0</v>
      </c>
      <c r="S79" s="267">
        <v>0</v>
      </c>
      <c r="T79" s="276" t="s">
        <v>1088</v>
      </c>
    </row>
    <row r="80" spans="1:20" ht="15.75" customHeight="1" x14ac:dyDescent="0.25">
      <c r="A80" s="272" t="s">
        <v>243</v>
      </c>
      <c r="B80" s="281" t="s">
        <v>915</v>
      </c>
      <c r="C80" s="265">
        <v>0.49</v>
      </c>
      <c r="D80" s="273" t="s">
        <v>749</v>
      </c>
      <c r="E80" s="274" t="s">
        <v>748</v>
      </c>
      <c r="F80" s="265">
        <v>0</v>
      </c>
      <c r="G80" s="273" t="s">
        <v>857</v>
      </c>
      <c r="H80" s="272" t="s">
        <v>856</v>
      </c>
      <c r="I80" s="265">
        <v>0.01</v>
      </c>
      <c r="J80" s="271">
        <f t="shared" si="1"/>
        <v>0.5</v>
      </c>
      <c r="K80" s="270"/>
      <c r="L80" s="279" t="s">
        <v>1089</v>
      </c>
      <c r="M80" s="279" t="s">
        <v>1097</v>
      </c>
      <c r="N80" s="279" t="s">
        <v>1088</v>
      </c>
      <c r="O80" s="268" t="s">
        <v>1088</v>
      </c>
      <c r="P80" s="268">
        <v>0</v>
      </c>
      <c r="Q80" s="277" t="s">
        <v>1089</v>
      </c>
      <c r="R80" s="267">
        <v>0</v>
      </c>
      <c r="S80" s="267">
        <v>0</v>
      </c>
      <c r="T80" s="276" t="s">
        <v>1089</v>
      </c>
    </row>
    <row r="81" spans="1:20" ht="15.75" customHeight="1" x14ac:dyDescent="0.25">
      <c r="A81" s="272" t="s">
        <v>245</v>
      </c>
      <c r="B81" s="275" t="s">
        <v>244</v>
      </c>
      <c r="C81" s="265">
        <v>0.4</v>
      </c>
      <c r="D81" s="273" t="s">
        <v>859</v>
      </c>
      <c r="E81" s="274" t="s">
        <v>858</v>
      </c>
      <c r="F81" s="265">
        <v>0.09</v>
      </c>
      <c r="G81" s="273" t="s">
        <v>857</v>
      </c>
      <c r="H81" s="272" t="s">
        <v>856</v>
      </c>
      <c r="I81" s="265">
        <v>0.01</v>
      </c>
      <c r="J81" s="271">
        <f t="shared" si="1"/>
        <v>0.5</v>
      </c>
      <c r="K81" s="270"/>
      <c r="L81" s="279" t="s">
        <v>1088</v>
      </c>
      <c r="M81" s="279" t="s">
        <v>1088</v>
      </c>
      <c r="N81" s="279" t="s">
        <v>1088</v>
      </c>
      <c r="O81" s="268" t="s">
        <v>1088</v>
      </c>
      <c r="P81" s="268">
        <v>0</v>
      </c>
      <c r="Q81" s="277" t="s">
        <v>1088</v>
      </c>
      <c r="R81" s="267">
        <v>0</v>
      </c>
      <c r="S81" s="267">
        <v>0</v>
      </c>
      <c r="T81" s="276" t="s">
        <v>1088</v>
      </c>
    </row>
    <row r="82" spans="1:20" ht="15.75" customHeight="1" x14ac:dyDescent="0.25">
      <c r="A82" s="272" t="s">
        <v>247</v>
      </c>
      <c r="B82" s="275" t="s">
        <v>246</v>
      </c>
      <c r="C82" s="265">
        <v>0.49</v>
      </c>
      <c r="D82" s="273" t="s">
        <v>749</v>
      </c>
      <c r="E82" s="274" t="s">
        <v>768</v>
      </c>
      <c r="F82" s="265">
        <v>0</v>
      </c>
      <c r="G82" s="273" t="s">
        <v>866</v>
      </c>
      <c r="H82" s="272" t="s">
        <v>865</v>
      </c>
      <c r="I82" s="265">
        <v>0.01</v>
      </c>
      <c r="J82" s="271">
        <f t="shared" si="1"/>
        <v>0.5</v>
      </c>
      <c r="L82" s="279" t="s">
        <v>1088</v>
      </c>
      <c r="M82" s="279" t="s">
        <v>1088</v>
      </c>
      <c r="N82" s="279" t="s">
        <v>1088</v>
      </c>
      <c r="O82" s="268" t="s">
        <v>1088</v>
      </c>
      <c r="P82" s="268">
        <v>0</v>
      </c>
      <c r="Q82" s="277" t="s">
        <v>1089</v>
      </c>
      <c r="R82" s="267">
        <v>0</v>
      </c>
      <c r="S82" s="267">
        <v>0</v>
      </c>
      <c r="T82" s="276" t="s">
        <v>1089</v>
      </c>
    </row>
    <row r="83" spans="1:20" ht="15.75" customHeight="1" x14ac:dyDescent="0.25">
      <c r="A83" s="272" t="s">
        <v>249</v>
      </c>
      <c r="B83" s="275" t="s">
        <v>248</v>
      </c>
      <c r="C83" s="265">
        <v>0.4</v>
      </c>
      <c r="D83" s="273" t="s">
        <v>827</v>
      </c>
      <c r="E83" s="274" t="s">
        <v>826</v>
      </c>
      <c r="F83" s="265">
        <v>0.09</v>
      </c>
      <c r="G83" s="273" t="s">
        <v>825</v>
      </c>
      <c r="H83" s="272" t="s">
        <v>824</v>
      </c>
      <c r="I83" s="265">
        <v>0.01</v>
      </c>
      <c r="J83" s="271">
        <f t="shared" si="1"/>
        <v>0.5</v>
      </c>
      <c r="K83" s="270"/>
      <c r="L83" s="279" t="s">
        <v>1088</v>
      </c>
      <c r="M83" s="279" t="s">
        <v>1088</v>
      </c>
      <c r="N83" s="279" t="s">
        <v>1088</v>
      </c>
      <c r="O83" s="268" t="s">
        <v>1088</v>
      </c>
      <c r="P83" s="268">
        <v>0</v>
      </c>
      <c r="Q83" s="277" t="s">
        <v>1088</v>
      </c>
      <c r="R83" s="267">
        <v>0</v>
      </c>
      <c r="S83" s="267">
        <v>0</v>
      </c>
      <c r="T83" s="276" t="s">
        <v>1088</v>
      </c>
    </row>
    <row r="84" spans="1:20" ht="15.75" customHeight="1" x14ac:dyDescent="0.25">
      <c r="A84" s="272" t="s">
        <v>251</v>
      </c>
      <c r="B84" s="275" t="s">
        <v>250</v>
      </c>
      <c r="C84" s="265">
        <v>0.49</v>
      </c>
      <c r="D84" s="273" t="s">
        <v>749</v>
      </c>
      <c r="E84" s="274" t="s">
        <v>768</v>
      </c>
      <c r="F84" s="265">
        <v>0</v>
      </c>
      <c r="G84" s="273" t="s">
        <v>767</v>
      </c>
      <c r="H84" s="272" t="s">
        <v>766</v>
      </c>
      <c r="I84" s="265">
        <v>0.01</v>
      </c>
      <c r="J84" s="271">
        <f t="shared" si="1"/>
        <v>0.5</v>
      </c>
      <c r="K84" s="270"/>
      <c r="L84" s="279" t="s">
        <v>1088</v>
      </c>
      <c r="M84" s="279" t="s">
        <v>1088</v>
      </c>
      <c r="N84" s="279" t="s">
        <v>1088</v>
      </c>
      <c r="O84" s="268" t="s">
        <v>1089</v>
      </c>
      <c r="P84" s="268">
        <v>2700000</v>
      </c>
      <c r="Q84" s="277" t="s">
        <v>1089</v>
      </c>
      <c r="R84" s="267">
        <v>0</v>
      </c>
      <c r="S84" s="267">
        <v>0</v>
      </c>
      <c r="T84" s="276" t="s">
        <v>1089</v>
      </c>
    </row>
    <row r="85" spans="1:20" ht="15.75" customHeight="1" x14ac:dyDescent="0.25">
      <c r="A85" s="272" t="s">
        <v>253</v>
      </c>
      <c r="B85" s="281" t="s">
        <v>252</v>
      </c>
      <c r="C85" s="265">
        <v>0.49</v>
      </c>
      <c r="D85" s="273" t="s">
        <v>749</v>
      </c>
      <c r="E85" s="274" t="s">
        <v>748</v>
      </c>
      <c r="F85" s="265">
        <v>0</v>
      </c>
      <c r="G85" s="273" t="s">
        <v>914</v>
      </c>
      <c r="H85" s="272" t="s">
        <v>913</v>
      </c>
      <c r="I85" s="265">
        <v>0.01</v>
      </c>
      <c r="J85" s="271">
        <f t="shared" si="1"/>
        <v>0.5</v>
      </c>
      <c r="K85" s="270"/>
      <c r="L85" s="279" t="s">
        <v>1088</v>
      </c>
      <c r="M85" s="279" t="s">
        <v>1088</v>
      </c>
      <c r="N85" s="279" t="s">
        <v>1088</v>
      </c>
      <c r="O85" s="268" t="s">
        <v>1088</v>
      </c>
      <c r="P85" s="268">
        <v>0</v>
      </c>
      <c r="Q85" s="277" t="s">
        <v>1089</v>
      </c>
      <c r="R85" s="267">
        <v>0</v>
      </c>
      <c r="S85" s="267">
        <v>0</v>
      </c>
      <c r="T85" s="276" t="s">
        <v>1089</v>
      </c>
    </row>
    <row r="86" spans="1:20" ht="15.75" customHeight="1" x14ac:dyDescent="0.25">
      <c r="A86" s="272" t="s">
        <v>255</v>
      </c>
      <c r="B86" s="275" t="s">
        <v>254</v>
      </c>
      <c r="C86" s="265">
        <v>0.3</v>
      </c>
      <c r="D86" s="273" t="s">
        <v>791</v>
      </c>
      <c r="E86" s="274" t="s">
        <v>790</v>
      </c>
      <c r="F86" s="265">
        <v>0.2</v>
      </c>
      <c r="G86" s="273" t="s">
        <v>749</v>
      </c>
      <c r="H86" s="274" t="s">
        <v>749</v>
      </c>
      <c r="I86" s="265">
        <v>0</v>
      </c>
      <c r="J86" s="271">
        <f t="shared" si="1"/>
        <v>0.5</v>
      </c>
      <c r="K86" s="270"/>
      <c r="L86" s="279" t="s">
        <v>1088</v>
      </c>
      <c r="M86" s="279" t="s">
        <v>1088</v>
      </c>
      <c r="N86" s="279" t="s">
        <v>1088</v>
      </c>
      <c r="O86" s="268" t="s">
        <v>1088</v>
      </c>
      <c r="P86" s="268">
        <v>0</v>
      </c>
      <c r="Q86" s="277" t="s">
        <v>1089</v>
      </c>
      <c r="R86" s="267">
        <v>0</v>
      </c>
      <c r="S86" s="267">
        <v>0</v>
      </c>
      <c r="T86" s="276" t="s">
        <v>1089</v>
      </c>
    </row>
    <row r="87" spans="1:20" ht="15.75" customHeight="1" x14ac:dyDescent="0.25">
      <c r="A87" s="272" t="s">
        <v>257</v>
      </c>
      <c r="B87" s="275" t="s">
        <v>256</v>
      </c>
      <c r="C87" s="265">
        <v>0.4</v>
      </c>
      <c r="D87" s="273" t="s">
        <v>863</v>
      </c>
      <c r="E87" s="274" t="s">
        <v>862</v>
      </c>
      <c r="F87" s="265">
        <v>0.09</v>
      </c>
      <c r="G87" s="273" t="s">
        <v>861</v>
      </c>
      <c r="H87" s="272" t="s">
        <v>860</v>
      </c>
      <c r="I87" s="265">
        <v>0.01</v>
      </c>
      <c r="J87" s="271">
        <f t="shared" si="1"/>
        <v>0.5</v>
      </c>
      <c r="K87" s="270"/>
      <c r="L87" s="279" t="s">
        <v>1088</v>
      </c>
      <c r="M87" s="279" t="s">
        <v>1088</v>
      </c>
      <c r="N87" s="279" t="s">
        <v>1088</v>
      </c>
      <c r="O87" s="268" t="s">
        <v>1088</v>
      </c>
      <c r="P87" s="268">
        <v>0</v>
      </c>
      <c r="Q87" s="277" t="s">
        <v>1088</v>
      </c>
      <c r="R87" s="267">
        <v>0</v>
      </c>
      <c r="S87" s="267">
        <v>0</v>
      </c>
      <c r="T87" s="276" t="s">
        <v>1088</v>
      </c>
    </row>
    <row r="88" spans="1:20" ht="15.75" customHeight="1" x14ac:dyDescent="0.25">
      <c r="A88" s="272" t="s">
        <v>259</v>
      </c>
      <c r="B88" s="275" t="s">
        <v>258</v>
      </c>
      <c r="C88" s="265">
        <v>0.4</v>
      </c>
      <c r="D88" s="273" t="s">
        <v>801</v>
      </c>
      <c r="E88" s="274" t="s">
        <v>800</v>
      </c>
      <c r="F88" s="265">
        <v>0.09</v>
      </c>
      <c r="G88" s="273" t="s">
        <v>793</v>
      </c>
      <c r="H88" s="282" t="s">
        <v>792</v>
      </c>
      <c r="I88" s="265">
        <v>0.01</v>
      </c>
      <c r="J88" s="271">
        <f t="shared" si="1"/>
        <v>0.5</v>
      </c>
      <c r="K88" s="270"/>
      <c r="L88" s="279" t="s">
        <v>1088</v>
      </c>
      <c r="M88" s="279" t="s">
        <v>1088</v>
      </c>
      <c r="N88" s="279" t="s">
        <v>1088</v>
      </c>
      <c r="O88" s="268" t="s">
        <v>1089</v>
      </c>
      <c r="P88" s="268">
        <v>628540</v>
      </c>
      <c r="Q88" s="277" t="s">
        <v>1088</v>
      </c>
      <c r="R88" s="267">
        <v>0</v>
      </c>
      <c r="S88" s="267">
        <v>0</v>
      </c>
      <c r="T88" s="276" t="s">
        <v>1088</v>
      </c>
    </row>
    <row r="89" spans="1:20" ht="15.75" customHeight="1" x14ac:dyDescent="0.25">
      <c r="A89" s="272" t="s">
        <v>261</v>
      </c>
      <c r="B89" s="275" t="s">
        <v>260</v>
      </c>
      <c r="C89" s="265">
        <v>0.4</v>
      </c>
      <c r="D89" s="273" t="s">
        <v>788</v>
      </c>
      <c r="E89" s="274" t="s">
        <v>787</v>
      </c>
      <c r="F89" s="265">
        <v>0.09</v>
      </c>
      <c r="G89" s="273" t="s">
        <v>786</v>
      </c>
      <c r="H89" s="272" t="s">
        <v>785</v>
      </c>
      <c r="I89" s="265">
        <v>0.01</v>
      </c>
      <c r="J89" s="271">
        <f t="shared" si="1"/>
        <v>0.5</v>
      </c>
      <c r="K89" s="270"/>
      <c r="L89" s="279" t="s">
        <v>1088</v>
      </c>
      <c r="M89" s="279" t="s">
        <v>1088</v>
      </c>
      <c r="N89" s="279" t="s">
        <v>1088</v>
      </c>
      <c r="O89" s="268" t="s">
        <v>1088</v>
      </c>
      <c r="P89" s="268">
        <v>0</v>
      </c>
      <c r="Q89" s="277" t="s">
        <v>1088</v>
      </c>
      <c r="R89" s="267">
        <v>0</v>
      </c>
      <c r="S89" s="267">
        <v>0</v>
      </c>
      <c r="T89" s="276" t="s">
        <v>1088</v>
      </c>
    </row>
    <row r="90" spans="1:20" ht="15.75" customHeight="1" x14ac:dyDescent="0.25">
      <c r="A90" s="272" t="s">
        <v>263</v>
      </c>
      <c r="B90" s="275" t="s">
        <v>262</v>
      </c>
      <c r="C90" s="265">
        <v>0.4</v>
      </c>
      <c r="D90" s="273" t="s">
        <v>780</v>
      </c>
      <c r="E90" s="274" t="s">
        <v>779</v>
      </c>
      <c r="F90" s="265">
        <v>0.09</v>
      </c>
      <c r="G90" s="273" t="s">
        <v>778</v>
      </c>
      <c r="H90" s="272" t="s">
        <v>777</v>
      </c>
      <c r="I90" s="265">
        <v>0.01</v>
      </c>
      <c r="J90" s="271">
        <f t="shared" si="1"/>
        <v>0.5</v>
      </c>
      <c r="K90" s="270"/>
      <c r="L90" s="279" t="s">
        <v>1088</v>
      </c>
      <c r="M90" s="279" t="s">
        <v>1088</v>
      </c>
      <c r="N90" s="279" t="s">
        <v>1088</v>
      </c>
      <c r="O90" s="268" t="s">
        <v>1088</v>
      </c>
      <c r="P90" s="268">
        <v>0</v>
      </c>
      <c r="Q90" s="277" t="s">
        <v>1088</v>
      </c>
      <c r="R90" s="267">
        <v>0</v>
      </c>
      <c r="S90" s="267">
        <v>0</v>
      </c>
      <c r="T90" s="276" t="s">
        <v>1088</v>
      </c>
    </row>
    <row r="91" spans="1:20" ht="15.75" customHeight="1" x14ac:dyDescent="0.25">
      <c r="A91" s="272" t="s">
        <v>265</v>
      </c>
      <c r="B91" s="275" t="s">
        <v>264</v>
      </c>
      <c r="C91" s="265">
        <v>0.4</v>
      </c>
      <c r="D91" s="273" t="s">
        <v>804</v>
      </c>
      <c r="E91" s="274" t="s">
        <v>803</v>
      </c>
      <c r="F91" s="265">
        <v>0.1</v>
      </c>
      <c r="G91" s="273" t="s">
        <v>749</v>
      </c>
      <c r="H91" s="272" t="s">
        <v>763</v>
      </c>
      <c r="I91" s="265">
        <v>0</v>
      </c>
      <c r="J91" s="271">
        <f t="shared" si="1"/>
        <v>0.5</v>
      </c>
      <c r="K91" s="270"/>
      <c r="L91" s="279" t="s">
        <v>1088</v>
      </c>
      <c r="M91" s="279" t="s">
        <v>1088</v>
      </c>
      <c r="N91" s="279" t="s">
        <v>1088</v>
      </c>
      <c r="O91" s="268" t="s">
        <v>1089</v>
      </c>
      <c r="P91" s="268">
        <v>779435</v>
      </c>
      <c r="Q91" s="277" t="s">
        <v>1088</v>
      </c>
      <c r="R91" s="267">
        <v>0</v>
      </c>
      <c r="S91" s="267">
        <v>0</v>
      </c>
      <c r="T91" s="276" t="s">
        <v>1088</v>
      </c>
    </row>
    <row r="92" spans="1:20" ht="15.75" customHeight="1" x14ac:dyDescent="0.25">
      <c r="A92" s="272" t="s">
        <v>267</v>
      </c>
      <c r="B92" s="275" t="s">
        <v>266</v>
      </c>
      <c r="C92" s="265">
        <v>0.4</v>
      </c>
      <c r="D92" s="273" t="s">
        <v>799</v>
      </c>
      <c r="E92" s="274" t="s">
        <v>798</v>
      </c>
      <c r="F92" s="265">
        <v>0.1</v>
      </c>
      <c r="G92" s="273" t="s">
        <v>749</v>
      </c>
      <c r="H92" s="272" t="s">
        <v>763</v>
      </c>
      <c r="I92" s="265">
        <v>0</v>
      </c>
      <c r="J92" s="271">
        <f t="shared" si="1"/>
        <v>0.5</v>
      </c>
      <c r="K92" s="270"/>
      <c r="L92" s="279" t="s">
        <v>1088</v>
      </c>
      <c r="M92" s="279" t="s">
        <v>1088</v>
      </c>
      <c r="N92" s="279" t="s">
        <v>1088</v>
      </c>
      <c r="O92" s="268" t="s">
        <v>1088</v>
      </c>
      <c r="P92" s="268">
        <v>0</v>
      </c>
      <c r="Q92" s="277" t="s">
        <v>1088</v>
      </c>
      <c r="R92" s="267">
        <v>0</v>
      </c>
      <c r="S92" s="267">
        <v>0</v>
      </c>
      <c r="T92" s="276" t="s">
        <v>1088</v>
      </c>
    </row>
    <row r="93" spans="1:20" ht="15.75" customHeight="1" x14ac:dyDescent="0.25">
      <c r="A93" s="272" t="s">
        <v>269</v>
      </c>
      <c r="B93" s="275" t="s">
        <v>268</v>
      </c>
      <c r="C93" s="265">
        <v>0.4</v>
      </c>
      <c r="D93" s="273" t="s">
        <v>806</v>
      </c>
      <c r="E93" s="274" t="s">
        <v>805</v>
      </c>
      <c r="F93" s="265">
        <v>0.1</v>
      </c>
      <c r="G93" s="273" t="s">
        <v>749</v>
      </c>
      <c r="H93" s="272" t="s">
        <v>763</v>
      </c>
      <c r="I93" s="265">
        <v>0</v>
      </c>
      <c r="J93" s="271">
        <f t="shared" si="1"/>
        <v>0.5</v>
      </c>
      <c r="K93" s="270"/>
      <c r="L93" s="279" t="s">
        <v>1088</v>
      </c>
      <c r="M93" s="279" t="s">
        <v>1088</v>
      </c>
      <c r="N93" s="279" t="s">
        <v>1088</v>
      </c>
      <c r="O93" s="268" t="s">
        <v>1089</v>
      </c>
      <c r="P93" s="268">
        <v>84800</v>
      </c>
      <c r="Q93" s="277" t="s">
        <v>1088</v>
      </c>
      <c r="R93" s="267">
        <v>0</v>
      </c>
      <c r="S93" s="267">
        <v>0</v>
      </c>
      <c r="T93" s="276" t="s">
        <v>1088</v>
      </c>
    </row>
    <row r="94" spans="1:20" x14ac:dyDescent="0.25">
      <c r="A94" s="272" t="s">
        <v>271</v>
      </c>
      <c r="B94" s="275" t="s">
        <v>912</v>
      </c>
      <c r="C94" s="265">
        <v>0.49</v>
      </c>
      <c r="D94" s="273" t="s">
        <v>749</v>
      </c>
      <c r="E94" s="274" t="s">
        <v>748</v>
      </c>
      <c r="F94" s="265">
        <v>0</v>
      </c>
      <c r="G94" s="273" t="s">
        <v>891</v>
      </c>
      <c r="H94" s="272" t="s">
        <v>890</v>
      </c>
      <c r="I94" s="265">
        <v>0.01</v>
      </c>
      <c r="J94" s="271">
        <f t="shared" si="1"/>
        <v>0.5</v>
      </c>
      <c r="K94" s="270"/>
      <c r="L94" s="279" t="s">
        <v>1089</v>
      </c>
      <c r="M94" s="279" t="s">
        <v>1098</v>
      </c>
      <c r="N94" s="279" t="s">
        <v>1099</v>
      </c>
      <c r="O94" s="268" t="s">
        <v>1089</v>
      </c>
      <c r="P94" s="268">
        <v>1451347</v>
      </c>
      <c r="Q94" s="277" t="s">
        <v>1089</v>
      </c>
      <c r="R94" s="267">
        <v>0</v>
      </c>
      <c r="S94" s="267">
        <v>97702</v>
      </c>
      <c r="T94" s="276" t="s">
        <v>1089</v>
      </c>
    </row>
    <row r="95" spans="1:20" ht="15.75" customHeight="1" x14ac:dyDescent="0.25">
      <c r="A95" s="272" t="s">
        <v>273</v>
      </c>
      <c r="B95" s="275" t="s">
        <v>272</v>
      </c>
      <c r="C95" s="265">
        <v>0.4</v>
      </c>
      <c r="D95" s="273" t="s">
        <v>839</v>
      </c>
      <c r="E95" s="274" t="s">
        <v>838</v>
      </c>
      <c r="F95" s="265">
        <v>0.09</v>
      </c>
      <c r="G95" s="273" t="s">
        <v>837</v>
      </c>
      <c r="H95" s="272" t="s">
        <v>836</v>
      </c>
      <c r="I95" s="265">
        <v>0.01</v>
      </c>
      <c r="J95" s="271">
        <f t="shared" si="1"/>
        <v>0.5</v>
      </c>
      <c r="K95" s="270"/>
      <c r="L95" s="279" t="s">
        <v>1088</v>
      </c>
      <c r="M95" s="279" t="s">
        <v>1088</v>
      </c>
      <c r="N95" s="279" t="s">
        <v>1088</v>
      </c>
      <c r="O95" s="268" t="s">
        <v>1088</v>
      </c>
      <c r="P95" s="268">
        <v>0</v>
      </c>
      <c r="Q95" s="277" t="s">
        <v>1088</v>
      </c>
      <c r="R95" s="267">
        <v>0</v>
      </c>
      <c r="S95" s="267">
        <v>0</v>
      </c>
      <c r="T95" s="276" t="s">
        <v>1088</v>
      </c>
    </row>
    <row r="96" spans="1:20" ht="15.75" customHeight="1" x14ac:dyDescent="0.25">
      <c r="A96" s="272" t="s">
        <v>275</v>
      </c>
      <c r="B96" s="275" t="s">
        <v>274</v>
      </c>
      <c r="C96" s="265">
        <v>0.4</v>
      </c>
      <c r="D96" s="273" t="s">
        <v>810</v>
      </c>
      <c r="E96" s="274" t="s">
        <v>809</v>
      </c>
      <c r="F96" s="265">
        <v>0.09</v>
      </c>
      <c r="G96" s="273" t="s">
        <v>808</v>
      </c>
      <c r="H96" s="272" t="s">
        <v>807</v>
      </c>
      <c r="I96" s="265">
        <v>0.01</v>
      </c>
      <c r="J96" s="271">
        <f t="shared" si="1"/>
        <v>0.5</v>
      </c>
      <c r="K96" s="270"/>
      <c r="L96" s="279" t="s">
        <v>1088</v>
      </c>
      <c r="M96" s="279" t="s">
        <v>1088</v>
      </c>
      <c r="N96" s="279" t="s">
        <v>1088</v>
      </c>
      <c r="O96" s="268" t="s">
        <v>1088</v>
      </c>
      <c r="P96" s="268">
        <v>0</v>
      </c>
      <c r="Q96" s="277" t="s">
        <v>1088</v>
      </c>
      <c r="R96" s="267">
        <v>0</v>
      </c>
      <c r="S96" s="267">
        <v>0</v>
      </c>
      <c r="T96" s="276" t="s">
        <v>1088</v>
      </c>
    </row>
    <row r="97" spans="1:20" ht="15.75" customHeight="1" x14ac:dyDescent="0.25">
      <c r="A97" s="272" t="s">
        <v>277</v>
      </c>
      <c r="B97" s="275" t="s">
        <v>276</v>
      </c>
      <c r="C97" s="265">
        <v>0.4</v>
      </c>
      <c r="D97" s="273" t="s">
        <v>780</v>
      </c>
      <c r="E97" s="274" t="s">
        <v>779</v>
      </c>
      <c r="F97" s="265">
        <v>0.09</v>
      </c>
      <c r="G97" s="273" t="s">
        <v>778</v>
      </c>
      <c r="H97" s="272" t="s">
        <v>777</v>
      </c>
      <c r="I97" s="265">
        <v>0.01</v>
      </c>
      <c r="J97" s="271">
        <f t="shared" si="1"/>
        <v>0.5</v>
      </c>
      <c r="K97" s="270"/>
      <c r="L97" s="279" t="s">
        <v>1088</v>
      </c>
      <c r="M97" s="279" t="s">
        <v>1088</v>
      </c>
      <c r="N97" s="279" t="s">
        <v>1088</v>
      </c>
      <c r="O97" s="268" t="s">
        <v>1088</v>
      </c>
      <c r="P97" s="268">
        <v>0</v>
      </c>
      <c r="Q97" s="277" t="s">
        <v>1088</v>
      </c>
      <c r="R97" s="267">
        <v>0</v>
      </c>
      <c r="S97" s="267">
        <v>0</v>
      </c>
      <c r="T97" s="276" t="s">
        <v>1088</v>
      </c>
    </row>
    <row r="98" spans="1:20" ht="15.75" customHeight="1" x14ac:dyDescent="0.25">
      <c r="A98" s="272" t="s">
        <v>279</v>
      </c>
      <c r="B98" s="275" t="s">
        <v>278</v>
      </c>
      <c r="C98" s="265">
        <v>0.4</v>
      </c>
      <c r="D98" s="273" t="s">
        <v>852</v>
      </c>
      <c r="E98" s="274" t="s">
        <v>851</v>
      </c>
      <c r="F98" s="265">
        <v>0.1</v>
      </c>
      <c r="G98" s="273" t="s">
        <v>749</v>
      </c>
      <c r="H98" s="272" t="s">
        <v>763</v>
      </c>
      <c r="I98" s="265">
        <v>0</v>
      </c>
      <c r="J98" s="271">
        <f t="shared" si="1"/>
        <v>0.5</v>
      </c>
      <c r="K98" s="270"/>
      <c r="L98" s="279" t="s">
        <v>1088</v>
      </c>
      <c r="M98" s="279" t="s">
        <v>1088</v>
      </c>
      <c r="N98" s="279" t="s">
        <v>1088</v>
      </c>
      <c r="O98" s="268" t="s">
        <v>1088</v>
      </c>
      <c r="P98" s="268">
        <v>0</v>
      </c>
      <c r="Q98" s="277" t="s">
        <v>1088</v>
      </c>
      <c r="R98" s="267">
        <v>0</v>
      </c>
      <c r="S98" s="267">
        <v>0</v>
      </c>
      <c r="T98" s="276" t="s">
        <v>1088</v>
      </c>
    </row>
    <row r="99" spans="1:20" ht="15.75" customHeight="1" x14ac:dyDescent="0.25">
      <c r="A99" s="272" t="s">
        <v>281</v>
      </c>
      <c r="B99" s="275" t="s">
        <v>280</v>
      </c>
      <c r="C99" s="265">
        <v>0.4</v>
      </c>
      <c r="D99" s="273" t="s">
        <v>773</v>
      </c>
      <c r="E99" s="274" t="s">
        <v>772</v>
      </c>
      <c r="F99" s="265">
        <v>0.1</v>
      </c>
      <c r="G99" s="273" t="s">
        <v>749</v>
      </c>
      <c r="H99" s="272" t="s">
        <v>763</v>
      </c>
      <c r="I99" s="265">
        <v>0</v>
      </c>
      <c r="J99" s="271">
        <f t="shared" si="1"/>
        <v>0.5</v>
      </c>
      <c r="L99" s="279" t="s">
        <v>1088</v>
      </c>
      <c r="M99" s="279" t="s">
        <v>1088</v>
      </c>
      <c r="N99" s="279" t="s">
        <v>1088</v>
      </c>
      <c r="O99" s="268" t="s">
        <v>1088</v>
      </c>
      <c r="P99" s="268">
        <v>0</v>
      </c>
      <c r="Q99" s="277" t="s">
        <v>1088</v>
      </c>
      <c r="R99" s="267">
        <v>0</v>
      </c>
      <c r="S99" s="267">
        <v>0</v>
      </c>
      <c r="T99" s="276" t="s">
        <v>1088</v>
      </c>
    </row>
    <row r="100" spans="1:20" ht="15.75" customHeight="1" x14ac:dyDescent="0.25">
      <c r="A100" s="272" t="s">
        <v>283</v>
      </c>
      <c r="B100" s="275" t="s">
        <v>282</v>
      </c>
      <c r="C100" s="265">
        <v>0.3</v>
      </c>
      <c r="D100" s="273" t="s">
        <v>791</v>
      </c>
      <c r="E100" s="274" t="s">
        <v>790</v>
      </c>
      <c r="F100" s="265">
        <v>0.2</v>
      </c>
      <c r="G100" s="273" t="s">
        <v>749</v>
      </c>
      <c r="H100" s="274" t="s">
        <v>749</v>
      </c>
      <c r="I100" s="265">
        <v>0</v>
      </c>
      <c r="J100" s="271">
        <f t="shared" si="1"/>
        <v>0.5</v>
      </c>
      <c r="K100" s="270"/>
      <c r="L100" s="279" t="s">
        <v>1088</v>
      </c>
      <c r="M100" s="279" t="s">
        <v>1088</v>
      </c>
      <c r="N100" s="279" t="s">
        <v>1088</v>
      </c>
      <c r="O100" s="268" t="s">
        <v>1088</v>
      </c>
      <c r="P100" s="268">
        <v>0</v>
      </c>
      <c r="Q100" s="277" t="s">
        <v>1089</v>
      </c>
      <c r="R100" s="267">
        <v>0</v>
      </c>
      <c r="S100" s="267">
        <v>0</v>
      </c>
      <c r="T100" s="276" t="s">
        <v>1089</v>
      </c>
    </row>
    <row r="101" spans="1:20" ht="15.75" customHeight="1" x14ac:dyDescent="0.25">
      <c r="A101" s="272" t="s">
        <v>285</v>
      </c>
      <c r="B101" s="275" t="s">
        <v>284</v>
      </c>
      <c r="C101" s="265">
        <v>0.4</v>
      </c>
      <c r="D101" s="273" t="s">
        <v>823</v>
      </c>
      <c r="E101" s="274" t="s">
        <v>822</v>
      </c>
      <c r="F101" s="265">
        <v>0.09</v>
      </c>
      <c r="G101" s="273" t="s">
        <v>821</v>
      </c>
      <c r="H101" s="272" t="s">
        <v>820</v>
      </c>
      <c r="I101" s="265">
        <v>0.01</v>
      </c>
      <c r="J101" s="271">
        <f t="shared" si="1"/>
        <v>0.5</v>
      </c>
      <c r="K101" s="270"/>
      <c r="L101" s="279" t="s">
        <v>1088</v>
      </c>
      <c r="M101" s="279" t="s">
        <v>1088</v>
      </c>
      <c r="N101" s="279" t="s">
        <v>1088</v>
      </c>
      <c r="O101" s="268" t="s">
        <v>1088</v>
      </c>
      <c r="P101" s="268">
        <v>0</v>
      </c>
      <c r="Q101" s="277" t="s">
        <v>1088</v>
      </c>
      <c r="R101" s="267">
        <v>0</v>
      </c>
      <c r="S101" s="267">
        <v>0</v>
      </c>
      <c r="T101" s="276" t="s">
        <v>1088</v>
      </c>
    </row>
    <row r="102" spans="1:20" ht="15.75" customHeight="1" x14ac:dyDescent="0.25">
      <c r="A102" s="272" t="s">
        <v>287</v>
      </c>
      <c r="B102" s="275" t="s">
        <v>286</v>
      </c>
      <c r="C102" s="265">
        <v>0.4</v>
      </c>
      <c r="D102" s="273" t="s">
        <v>773</v>
      </c>
      <c r="E102" s="274" t="s">
        <v>772</v>
      </c>
      <c r="F102" s="265">
        <v>0.1</v>
      </c>
      <c r="G102" s="273" t="s">
        <v>749</v>
      </c>
      <c r="H102" s="272" t="s">
        <v>763</v>
      </c>
      <c r="I102" s="265">
        <v>0</v>
      </c>
      <c r="J102" s="271">
        <f t="shared" si="1"/>
        <v>0.5</v>
      </c>
      <c r="K102" s="270"/>
      <c r="L102" s="279" t="s">
        <v>1088</v>
      </c>
      <c r="M102" s="279" t="s">
        <v>1088</v>
      </c>
      <c r="N102" s="279" t="s">
        <v>1088</v>
      </c>
      <c r="O102" s="268" t="s">
        <v>1088</v>
      </c>
      <c r="P102" s="268">
        <v>0</v>
      </c>
      <c r="Q102" s="277" t="s">
        <v>1088</v>
      </c>
      <c r="R102" s="267">
        <v>0</v>
      </c>
      <c r="S102" s="267">
        <v>0</v>
      </c>
      <c r="T102" s="276" t="s">
        <v>1088</v>
      </c>
    </row>
    <row r="103" spans="1:20" ht="15.75" customHeight="1" x14ac:dyDescent="0.25">
      <c r="A103" s="272" t="s">
        <v>289</v>
      </c>
      <c r="B103" s="275" t="s">
        <v>288</v>
      </c>
      <c r="C103" s="265">
        <v>0.4</v>
      </c>
      <c r="D103" s="273" t="s">
        <v>859</v>
      </c>
      <c r="E103" s="274" t="s">
        <v>858</v>
      </c>
      <c r="F103" s="265">
        <v>0.09</v>
      </c>
      <c r="G103" s="273" t="s">
        <v>857</v>
      </c>
      <c r="H103" s="272" t="s">
        <v>856</v>
      </c>
      <c r="I103" s="265">
        <v>0.01</v>
      </c>
      <c r="J103" s="271">
        <f t="shared" si="1"/>
        <v>0.5</v>
      </c>
      <c r="K103" s="270"/>
      <c r="L103" s="279" t="s">
        <v>1088</v>
      </c>
      <c r="M103" s="279" t="s">
        <v>1088</v>
      </c>
      <c r="N103" s="279" t="s">
        <v>1088</v>
      </c>
      <c r="O103" s="268" t="s">
        <v>1088</v>
      </c>
      <c r="P103" s="268">
        <v>0</v>
      </c>
      <c r="Q103" s="277" t="s">
        <v>1088</v>
      </c>
      <c r="R103" s="267">
        <v>0</v>
      </c>
      <c r="S103" s="267">
        <v>0</v>
      </c>
      <c r="T103" s="276" t="s">
        <v>1088</v>
      </c>
    </row>
    <row r="104" spans="1:20" ht="15.75" customHeight="1" x14ac:dyDescent="0.25">
      <c r="A104" s="272" t="s">
        <v>291</v>
      </c>
      <c r="B104" s="275" t="s">
        <v>290</v>
      </c>
      <c r="C104" s="265">
        <v>0.4</v>
      </c>
      <c r="D104" s="273" t="s">
        <v>801</v>
      </c>
      <c r="E104" s="274" t="s">
        <v>800</v>
      </c>
      <c r="F104" s="265">
        <v>0.09</v>
      </c>
      <c r="G104" s="273" t="s">
        <v>793</v>
      </c>
      <c r="H104" s="272" t="s">
        <v>792</v>
      </c>
      <c r="I104" s="265">
        <v>0.01</v>
      </c>
      <c r="J104" s="271">
        <f t="shared" si="1"/>
        <v>0.5</v>
      </c>
      <c r="K104" s="270"/>
      <c r="L104" s="279" t="s">
        <v>1088</v>
      </c>
      <c r="M104" s="279" t="s">
        <v>1088</v>
      </c>
      <c r="N104" s="279" t="s">
        <v>1088</v>
      </c>
      <c r="O104" s="268" t="s">
        <v>1088</v>
      </c>
      <c r="P104" s="268">
        <v>0</v>
      </c>
      <c r="Q104" s="277" t="s">
        <v>1088</v>
      </c>
      <c r="R104" s="267">
        <v>0</v>
      </c>
      <c r="S104" s="267">
        <v>0</v>
      </c>
      <c r="T104" s="276" t="s">
        <v>1088</v>
      </c>
    </row>
    <row r="105" spans="1:20" x14ac:dyDescent="0.25">
      <c r="A105" s="272" t="s">
        <v>293</v>
      </c>
      <c r="B105" s="275" t="s">
        <v>292</v>
      </c>
      <c r="C105" s="265">
        <v>0.4</v>
      </c>
      <c r="D105" s="273" t="s">
        <v>780</v>
      </c>
      <c r="E105" s="274" t="s">
        <v>779</v>
      </c>
      <c r="F105" s="265">
        <v>0.09</v>
      </c>
      <c r="G105" s="273" t="s">
        <v>778</v>
      </c>
      <c r="H105" s="272" t="s">
        <v>777</v>
      </c>
      <c r="I105" s="265">
        <v>0.01</v>
      </c>
      <c r="J105" s="271">
        <f t="shared" si="1"/>
        <v>0.5</v>
      </c>
      <c r="K105" s="270"/>
      <c r="L105" s="279" t="s">
        <v>1089</v>
      </c>
      <c r="M105" s="279" t="s">
        <v>1100</v>
      </c>
      <c r="N105" s="279" t="s">
        <v>1088</v>
      </c>
      <c r="O105" s="268" t="s">
        <v>1088</v>
      </c>
      <c r="P105" s="268">
        <v>0</v>
      </c>
      <c r="Q105" s="277" t="s">
        <v>1088</v>
      </c>
      <c r="R105" s="267">
        <v>98929</v>
      </c>
      <c r="S105" s="267">
        <v>0</v>
      </c>
      <c r="T105" s="276" t="s">
        <v>1088</v>
      </c>
    </row>
    <row r="106" spans="1:20" ht="15.75" customHeight="1" x14ac:dyDescent="0.25">
      <c r="A106" s="272" t="s">
        <v>295</v>
      </c>
      <c r="B106" s="275" t="s">
        <v>294</v>
      </c>
      <c r="C106" s="265">
        <v>0.4</v>
      </c>
      <c r="D106" s="273" t="s">
        <v>863</v>
      </c>
      <c r="E106" s="274" t="s">
        <v>862</v>
      </c>
      <c r="F106" s="265">
        <v>0.09</v>
      </c>
      <c r="G106" s="273" t="s">
        <v>861</v>
      </c>
      <c r="H106" s="272" t="s">
        <v>860</v>
      </c>
      <c r="I106" s="265">
        <v>0.01</v>
      </c>
      <c r="J106" s="271">
        <f t="shared" si="1"/>
        <v>0.5</v>
      </c>
      <c r="K106" s="270"/>
      <c r="L106" s="279" t="s">
        <v>1088</v>
      </c>
      <c r="M106" s="279" t="s">
        <v>1088</v>
      </c>
      <c r="N106" s="279" t="s">
        <v>1088</v>
      </c>
      <c r="O106" s="268" t="s">
        <v>1088</v>
      </c>
      <c r="P106" s="268">
        <v>0</v>
      </c>
      <c r="Q106" s="277" t="s">
        <v>1088</v>
      </c>
      <c r="R106" s="267">
        <v>0</v>
      </c>
      <c r="S106" s="267">
        <v>0</v>
      </c>
      <c r="T106" s="276" t="s">
        <v>1088</v>
      </c>
    </row>
    <row r="107" spans="1:20" ht="15.75" customHeight="1" x14ac:dyDescent="0.25">
      <c r="A107" s="272" t="s">
        <v>297</v>
      </c>
      <c r="B107" s="275" t="s">
        <v>296</v>
      </c>
      <c r="C107" s="265">
        <v>0.4</v>
      </c>
      <c r="D107" s="273" t="s">
        <v>812</v>
      </c>
      <c r="E107" s="274" t="s">
        <v>811</v>
      </c>
      <c r="F107" s="265">
        <v>0.1</v>
      </c>
      <c r="G107" s="273" t="s">
        <v>749</v>
      </c>
      <c r="H107" s="272" t="s">
        <v>763</v>
      </c>
      <c r="I107" s="265">
        <v>0</v>
      </c>
      <c r="J107" s="271">
        <f t="shared" si="1"/>
        <v>0.5</v>
      </c>
      <c r="K107" s="270"/>
      <c r="L107" s="279" t="s">
        <v>1088</v>
      </c>
      <c r="M107" s="279" t="s">
        <v>1088</v>
      </c>
      <c r="N107" s="279" t="s">
        <v>1088</v>
      </c>
      <c r="O107" s="268" t="s">
        <v>1088</v>
      </c>
      <c r="P107" s="268">
        <v>0</v>
      </c>
      <c r="Q107" s="277" t="s">
        <v>1088</v>
      </c>
      <c r="R107" s="267">
        <v>0</v>
      </c>
      <c r="S107" s="267">
        <v>0</v>
      </c>
      <c r="T107" s="276" t="s">
        <v>1088</v>
      </c>
    </row>
    <row r="108" spans="1:20" ht="15.75" customHeight="1" x14ac:dyDescent="0.25">
      <c r="A108" s="272" t="s">
        <v>299</v>
      </c>
      <c r="B108" s="275" t="s">
        <v>298</v>
      </c>
      <c r="C108" s="265">
        <v>0.4</v>
      </c>
      <c r="D108" s="273" t="s">
        <v>832</v>
      </c>
      <c r="E108" s="274" t="s">
        <v>831</v>
      </c>
      <c r="F108" s="265">
        <v>0.1</v>
      </c>
      <c r="G108" s="273" t="s">
        <v>749</v>
      </c>
      <c r="H108" s="272" t="s">
        <v>763</v>
      </c>
      <c r="I108" s="265">
        <v>0</v>
      </c>
      <c r="J108" s="271">
        <f t="shared" si="1"/>
        <v>0.5</v>
      </c>
      <c r="K108" s="270"/>
      <c r="L108" s="279" t="s">
        <v>1088</v>
      </c>
      <c r="M108" s="279" t="s">
        <v>1088</v>
      </c>
      <c r="N108" s="279" t="s">
        <v>1088</v>
      </c>
      <c r="O108" s="268" t="s">
        <v>1088</v>
      </c>
      <c r="P108" s="268">
        <v>0</v>
      </c>
      <c r="Q108" s="277" t="s">
        <v>1088</v>
      </c>
      <c r="R108" s="267">
        <v>0</v>
      </c>
      <c r="S108" s="267">
        <v>0</v>
      </c>
      <c r="T108" s="276" t="s">
        <v>1088</v>
      </c>
    </row>
    <row r="109" spans="1:20" x14ac:dyDescent="0.25">
      <c r="A109" s="272" t="s">
        <v>301</v>
      </c>
      <c r="B109" s="275" t="s">
        <v>300</v>
      </c>
      <c r="C109" s="265">
        <v>0.4</v>
      </c>
      <c r="D109" s="273" t="s">
        <v>758</v>
      </c>
      <c r="E109" s="274" t="s">
        <v>757</v>
      </c>
      <c r="F109" s="265">
        <v>0.09</v>
      </c>
      <c r="G109" s="273" t="s">
        <v>756</v>
      </c>
      <c r="H109" s="272" t="s">
        <v>755</v>
      </c>
      <c r="I109" s="265">
        <v>0.01</v>
      </c>
      <c r="J109" s="271">
        <f t="shared" si="1"/>
        <v>0.5</v>
      </c>
      <c r="K109" s="270"/>
      <c r="L109" s="279" t="s">
        <v>1089</v>
      </c>
      <c r="M109" s="279" t="s">
        <v>1101</v>
      </c>
      <c r="N109" s="279" t="s">
        <v>1101</v>
      </c>
      <c r="O109" s="268" t="s">
        <v>1088</v>
      </c>
      <c r="P109" s="268">
        <v>0</v>
      </c>
      <c r="Q109" s="277" t="s">
        <v>1088</v>
      </c>
      <c r="R109" s="267">
        <v>1994204</v>
      </c>
      <c r="S109" s="267">
        <v>0</v>
      </c>
      <c r="T109" s="276" t="s">
        <v>1088</v>
      </c>
    </row>
    <row r="110" spans="1:20" x14ac:dyDescent="0.25">
      <c r="A110" s="272" t="s">
        <v>303</v>
      </c>
      <c r="B110" s="275" t="s">
        <v>302</v>
      </c>
      <c r="C110" s="265">
        <v>0.49</v>
      </c>
      <c r="D110" s="273" t="s">
        <v>749</v>
      </c>
      <c r="E110" s="274" t="s">
        <v>768</v>
      </c>
      <c r="F110" s="265">
        <v>0</v>
      </c>
      <c r="G110" s="273" t="s">
        <v>842</v>
      </c>
      <c r="H110" s="272" t="s">
        <v>841</v>
      </c>
      <c r="I110" s="265">
        <v>0.01</v>
      </c>
      <c r="J110" s="271">
        <f t="shared" si="1"/>
        <v>0.5</v>
      </c>
      <c r="K110" s="270"/>
      <c r="L110" s="279" t="s">
        <v>1089</v>
      </c>
      <c r="M110" s="279" t="s">
        <v>1102</v>
      </c>
      <c r="N110" s="279" t="s">
        <v>1088</v>
      </c>
      <c r="O110" s="268" t="s">
        <v>1088</v>
      </c>
      <c r="P110" s="268">
        <v>0</v>
      </c>
      <c r="Q110" s="277" t="s">
        <v>1089</v>
      </c>
      <c r="R110" s="267">
        <v>1154997</v>
      </c>
      <c r="S110" s="267">
        <v>0</v>
      </c>
      <c r="T110" s="276" t="s">
        <v>1089</v>
      </c>
    </row>
    <row r="111" spans="1:20" ht="15.75" customHeight="1" x14ac:dyDescent="0.25">
      <c r="A111" s="272" t="s">
        <v>305</v>
      </c>
      <c r="B111" s="275" t="s">
        <v>304</v>
      </c>
      <c r="C111" s="265">
        <v>0.4</v>
      </c>
      <c r="D111" s="273" t="s">
        <v>875</v>
      </c>
      <c r="E111" s="274" t="s">
        <v>874</v>
      </c>
      <c r="F111" s="265">
        <v>0.09</v>
      </c>
      <c r="G111" s="273" t="s">
        <v>873</v>
      </c>
      <c r="H111" s="272" t="s">
        <v>872</v>
      </c>
      <c r="I111" s="265">
        <v>0.01</v>
      </c>
      <c r="J111" s="271">
        <f t="shared" si="1"/>
        <v>0.5</v>
      </c>
      <c r="L111" s="279" t="s">
        <v>1088</v>
      </c>
      <c r="M111" s="279" t="s">
        <v>1088</v>
      </c>
      <c r="N111" s="279" t="s">
        <v>1088</v>
      </c>
      <c r="O111" s="268" t="s">
        <v>1088</v>
      </c>
      <c r="P111" s="268">
        <v>0</v>
      </c>
      <c r="Q111" s="277" t="s">
        <v>1088</v>
      </c>
      <c r="R111" s="267">
        <v>0</v>
      </c>
      <c r="S111" s="267">
        <v>0</v>
      </c>
      <c r="T111" s="276" t="s">
        <v>1088</v>
      </c>
    </row>
    <row r="112" spans="1:20" ht="15.75" customHeight="1" x14ac:dyDescent="0.25">
      <c r="A112" s="272" t="s">
        <v>307</v>
      </c>
      <c r="B112" s="275" t="s">
        <v>306</v>
      </c>
      <c r="C112" s="265">
        <v>0.4</v>
      </c>
      <c r="D112" s="273" t="s">
        <v>832</v>
      </c>
      <c r="E112" s="274" t="s">
        <v>831</v>
      </c>
      <c r="F112" s="265">
        <v>0.1</v>
      </c>
      <c r="G112" s="273" t="s">
        <v>749</v>
      </c>
      <c r="H112" s="272" t="s">
        <v>763</v>
      </c>
      <c r="I112" s="265">
        <v>0</v>
      </c>
      <c r="J112" s="271">
        <f t="shared" si="1"/>
        <v>0.5</v>
      </c>
      <c r="K112" s="270"/>
      <c r="L112" s="279" t="s">
        <v>1088</v>
      </c>
      <c r="M112" s="279" t="s">
        <v>1088</v>
      </c>
      <c r="N112" s="279" t="s">
        <v>1088</v>
      </c>
      <c r="O112" s="268" t="s">
        <v>1088</v>
      </c>
      <c r="P112" s="268">
        <v>0</v>
      </c>
      <c r="Q112" s="277" t="s">
        <v>1088</v>
      </c>
      <c r="R112" s="267">
        <v>0</v>
      </c>
      <c r="S112" s="267">
        <v>0</v>
      </c>
      <c r="T112" s="276" t="s">
        <v>1088</v>
      </c>
    </row>
    <row r="113" spans="1:20" x14ac:dyDescent="0.25">
      <c r="A113" s="272" t="s">
        <v>309</v>
      </c>
      <c r="B113" s="275" t="s">
        <v>308</v>
      </c>
      <c r="C113" s="265">
        <v>0.4</v>
      </c>
      <c r="D113" s="273" t="s">
        <v>780</v>
      </c>
      <c r="E113" s="274" t="s">
        <v>779</v>
      </c>
      <c r="F113" s="265">
        <v>0.09</v>
      </c>
      <c r="G113" s="273" t="s">
        <v>778</v>
      </c>
      <c r="H113" s="272" t="s">
        <v>777</v>
      </c>
      <c r="I113" s="265">
        <v>0.01</v>
      </c>
      <c r="J113" s="271">
        <f t="shared" si="1"/>
        <v>0.5</v>
      </c>
      <c r="K113" s="270"/>
      <c r="L113" s="279" t="s">
        <v>1089</v>
      </c>
      <c r="M113" s="279" t="s">
        <v>1100</v>
      </c>
      <c r="N113" s="279" t="s">
        <v>1088</v>
      </c>
      <c r="O113" s="268" t="s">
        <v>1088</v>
      </c>
      <c r="P113" s="268">
        <v>0</v>
      </c>
      <c r="Q113" s="277" t="s">
        <v>1088</v>
      </c>
      <c r="R113" s="267">
        <v>435664</v>
      </c>
      <c r="S113" s="267">
        <v>0</v>
      </c>
      <c r="T113" s="276" t="s">
        <v>1088</v>
      </c>
    </row>
    <row r="114" spans="1:20" ht="15.75" customHeight="1" x14ac:dyDescent="0.25">
      <c r="A114" s="272" t="s">
        <v>311</v>
      </c>
      <c r="B114" s="275" t="s">
        <v>310</v>
      </c>
      <c r="C114" s="265">
        <v>0.4</v>
      </c>
      <c r="D114" s="273" t="s">
        <v>827</v>
      </c>
      <c r="E114" s="274" t="s">
        <v>826</v>
      </c>
      <c r="F114" s="265">
        <v>0.09</v>
      </c>
      <c r="G114" s="273" t="s">
        <v>825</v>
      </c>
      <c r="H114" s="272" t="s">
        <v>824</v>
      </c>
      <c r="I114" s="265">
        <v>0.01</v>
      </c>
      <c r="J114" s="271">
        <f t="shared" si="1"/>
        <v>0.5</v>
      </c>
      <c r="K114" s="270"/>
      <c r="L114" s="279" t="s">
        <v>1088</v>
      </c>
      <c r="M114" s="279" t="s">
        <v>1088</v>
      </c>
      <c r="N114" s="279" t="s">
        <v>1088</v>
      </c>
      <c r="O114" s="268" t="s">
        <v>1088</v>
      </c>
      <c r="P114" s="268">
        <v>0</v>
      </c>
      <c r="Q114" s="277" t="s">
        <v>1088</v>
      </c>
      <c r="R114" s="267">
        <v>0</v>
      </c>
      <c r="S114" s="267">
        <v>0</v>
      </c>
      <c r="T114" s="276" t="s">
        <v>1088</v>
      </c>
    </row>
    <row r="115" spans="1:20" x14ac:dyDescent="0.25">
      <c r="A115" s="272" t="s">
        <v>313</v>
      </c>
      <c r="B115" s="275" t="s">
        <v>312</v>
      </c>
      <c r="C115" s="265">
        <v>0.4</v>
      </c>
      <c r="D115" s="273" t="s">
        <v>850</v>
      </c>
      <c r="E115" s="274" t="s">
        <v>849</v>
      </c>
      <c r="F115" s="265">
        <v>0.1</v>
      </c>
      <c r="G115" s="273" t="s">
        <v>749</v>
      </c>
      <c r="H115" s="272" t="s">
        <v>763</v>
      </c>
      <c r="I115" s="265">
        <v>0</v>
      </c>
      <c r="J115" s="271">
        <f t="shared" si="1"/>
        <v>0.5</v>
      </c>
      <c r="K115" s="270"/>
      <c r="L115" s="279" t="s">
        <v>1089</v>
      </c>
      <c r="M115" s="279" t="s">
        <v>1103</v>
      </c>
      <c r="N115" s="279" t="s">
        <v>1088</v>
      </c>
      <c r="O115" s="268" t="s">
        <v>1088</v>
      </c>
      <c r="P115" s="268">
        <v>0</v>
      </c>
      <c r="Q115" s="277" t="s">
        <v>1088</v>
      </c>
      <c r="R115" s="267">
        <v>277898</v>
      </c>
      <c r="S115" s="267">
        <v>0</v>
      </c>
      <c r="T115" s="276" t="s">
        <v>1088</v>
      </c>
    </row>
    <row r="116" spans="1:20" ht="15.75" customHeight="1" x14ac:dyDescent="0.25">
      <c r="A116" s="272" t="s">
        <v>315</v>
      </c>
      <c r="B116" s="275" t="s">
        <v>314</v>
      </c>
      <c r="C116" s="265">
        <v>0.3</v>
      </c>
      <c r="D116" s="273" t="s">
        <v>791</v>
      </c>
      <c r="E116" s="274" t="s">
        <v>790</v>
      </c>
      <c r="F116" s="265">
        <v>0.2</v>
      </c>
      <c r="G116" s="273" t="s">
        <v>749</v>
      </c>
      <c r="H116" s="274" t="s">
        <v>749</v>
      </c>
      <c r="I116" s="265">
        <v>0</v>
      </c>
      <c r="J116" s="271">
        <f t="shared" si="1"/>
        <v>0.5</v>
      </c>
      <c r="K116" s="270"/>
      <c r="L116" s="279" t="s">
        <v>1088</v>
      </c>
      <c r="M116" s="279" t="s">
        <v>1088</v>
      </c>
      <c r="N116" s="279" t="s">
        <v>1088</v>
      </c>
      <c r="O116" s="268" t="s">
        <v>1088</v>
      </c>
      <c r="P116" s="268">
        <v>0</v>
      </c>
      <c r="Q116" s="277" t="s">
        <v>1089</v>
      </c>
      <c r="R116" s="267">
        <v>0</v>
      </c>
      <c r="S116" s="267">
        <v>0</v>
      </c>
      <c r="T116" s="276" t="s">
        <v>1089</v>
      </c>
    </row>
    <row r="117" spans="1:20" ht="15.75" customHeight="1" x14ac:dyDescent="0.25">
      <c r="A117" s="272" t="s">
        <v>317</v>
      </c>
      <c r="B117" s="275" t="s">
        <v>316</v>
      </c>
      <c r="C117" s="265">
        <v>0.4</v>
      </c>
      <c r="D117" s="273" t="s">
        <v>773</v>
      </c>
      <c r="E117" s="274" t="s">
        <v>772</v>
      </c>
      <c r="F117" s="265">
        <v>0.1</v>
      </c>
      <c r="G117" s="273" t="s">
        <v>749</v>
      </c>
      <c r="H117" s="272" t="s">
        <v>763</v>
      </c>
      <c r="I117" s="265">
        <v>0</v>
      </c>
      <c r="J117" s="271">
        <f t="shared" si="1"/>
        <v>0.5</v>
      </c>
      <c r="K117" s="270"/>
      <c r="L117" s="279" t="s">
        <v>1088</v>
      </c>
      <c r="M117" s="279" t="s">
        <v>1088</v>
      </c>
      <c r="N117" s="279" t="s">
        <v>1088</v>
      </c>
      <c r="O117" s="268" t="s">
        <v>1089</v>
      </c>
      <c r="P117" s="268">
        <v>1800000</v>
      </c>
      <c r="Q117" s="277" t="s">
        <v>1088</v>
      </c>
      <c r="R117" s="267">
        <v>0</v>
      </c>
      <c r="S117" s="267">
        <v>0</v>
      </c>
      <c r="T117" s="276" t="s">
        <v>1088</v>
      </c>
    </row>
    <row r="118" spans="1:20" ht="15.75" customHeight="1" x14ac:dyDescent="0.25">
      <c r="A118" s="272" t="s">
        <v>319</v>
      </c>
      <c r="B118" s="275" t="s">
        <v>318</v>
      </c>
      <c r="C118" s="265">
        <v>0.3</v>
      </c>
      <c r="D118" s="273" t="s">
        <v>791</v>
      </c>
      <c r="E118" s="274" t="s">
        <v>790</v>
      </c>
      <c r="F118" s="265">
        <v>0.2</v>
      </c>
      <c r="G118" s="273" t="s">
        <v>749</v>
      </c>
      <c r="H118" s="274" t="s">
        <v>749</v>
      </c>
      <c r="I118" s="265">
        <v>0</v>
      </c>
      <c r="J118" s="271">
        <f t="shared" si="1"/>
        <v>0.5</v>
      </c>
      <c r="K118" s="270"/>
      <c r="L118" s="279" t="s">
        <v>1088</v>
      </c>
      <c r="M118" s="279" t="s">
        <v>1088</v>
      </c>
      <c r="N118" s="279" t="s">
        <v>1088</v>
      </c>
      <c r="O118" s="268" t="s">
        <v>1088</v>
      </c>
      <c r="P118" s="268">
        <v>0</v>
      </c>
      <c r="Q118" s="277" t="s">
        <v>1089</v>
      </c>
      <c r="R118" s="267">
        <v>0</v>
      </c>
      <c r="S118" s="267">
        <v>0</v>
      </c>
      <c r="T118" s="276" t="s">
        <v>1089</v>
      </c>
    </row>
    <row r="119" spans="1:20" x14ac:dyDescent="0.25">
      <c r="A119" s="272" t="s">
        <v>321</v>
      </c>
      <c r="B119" s="275" t="s">
        <v>911</v>
      </c>
      <c r="C119" s="265">
        <v>0.49</v>
      </c>
      <c r="D119" s="273" t="s">
        <v>749</v>
      </c>
      <c r="E119" s="274" t="s">
        <v>748</v>
      </c>
      <c r="F119" s="265">
        <v>0</v>
      </c>
      <c r="G119" s="273" t="s">
        <v>816</v>
      </c>
      <c r="H119" s="272" t="s">
        <v>815</v>
      </c>
      <c r="I119" s="265">
        <v>0.01</v>
      </c>
      <c r="J119" s="271">
        <f t="shared" si="1"/>
        <v>0.5</v>
      </c>
      <c r="K119" s="270"/>
      <c r="L119" s="279" t="s">
        <v>1089</v>
      </c>
      <c r="M119" s="279" t="s">
        <v>1104</v>
      </c>
      <c r="N119" s="279" t="s">
        <v>1104</v>
      </c>
      <c r="O119" s="268" t="s">
        <v>1088</v>
      </c>
      <c r="P119" s="268">
        <v>0</v>
      </c>
      <c r="Q119" s="277" t="s">
        <v>1089</v>
      </c>
      <c r="R119" s="267">
        <v>33252</v>
      </c>
      <c r="S119" s="267">
        <v>0</v>
      </c>
      <c r="T119" s="276" t="s">
        <v>1089</v>
      </c>
    </row>
    <row r="120" spans="1:20" ht="15.75" customHeight="1" x14ac:dyDescent="0.25">
      <c r="A120" s="272" t="s">
        <v>323</v>
      </c>
      <c r="B120" s="275" t="s">
        <v>322</v>
      </c>
      <c r="C120" s="265">
        <v>0.4</v>
      </c>
      <c r="D120" s="273" t="s">
        <v>868</v>
      </c>
      <c r="E120" s="274" t="s">
        <v>867</v>
      </c>
      <c r="F120" s="265">
        <v>0.09</v>
      </c>
      <c r="G120" s="273" t="s">
        <v>747</v>
      </c>
      <c r="H120" s="272" t="s">
        <v>746</v>
      </c>
      <c r="I120" s="265">
        <v>0.01</v>
      </c>
      <c r="J120" s="271">
        <f t="shared" si="1"/>
        <v>0.5</v>
      </c>
      <c r="K120" s="270"/>
      <c r="L120" s="279" t="s">
        <v>1088</v>
      </c>
      <c r="M120" s="279" t="s">
        <v>1088</v>
      </c>
      <c r="N120" s="279" t="s">
        <v>1088</v>
      </c>
      <c r="O120" s="268" t="s">
        <v>1088</v>
      </c>
      <c r="P120" s="268">
        <v>0</v>
      </c>
      <c r="Q120" s="277" t="s">
        <v>1088</v>
      </c>
      <c r="R120" s="267">
        <v>0</v>
      </c>
      <c r="S120" s="267">
        <v>0</v>
      </c>
      <c r="T120" s="276" t="s">
        <v>1088</v>
      </c>
    </row>
    <row r="121" spans="1:20" ht="15.75" customHeight="1" x14ac:dyDescent="0.25">
      <c r="A121" s="272" t="s">
        <v>325</v>
      </c>
      <c r="B121" s="275" t="s">
        <v>910</v>
      </c>
      <c r="C121" s="265">
        <v>0.3</v>
      </c>
      <c r="D121" s="273" t="s">
        <v>791</v>
      </c>
      <c r="E121" s="274" t="s">
        <v>790</v>
      </c>
      <c r="F121" s="265">
        <v>0.2</v>
      </c>
      <c r="G121" s="273" t="s">
        <v>749</v>
      </c>
      <c r="H121" s="274" t="s">
        <v>749</v>
      </c>
      <c r="I121" s="265">
        <v>0</v>
      </c>
      <c r="J121" s="271">
        <f t="shared" si="1"/>
        <v>0.5</v>
      </c>
      <c r="K121" s="270"/>
      <c r="L121" s="279" t="s">
        <v>1088</v>
      </c>
      <c r="M121" s="279" t="s">
        <v>1088</v>
      </c>
      <c r="N121" s="279" t="s">
        <v>1088</v>
      </c>
      <c r="O121" s="268" t="s">
        <v>1088</v>
      </c>
      <c r="P121" s="268">
        <v>0</v>
      </c>
      <c r="Q121" s="277" t="s">
        <v>1089</v>
      </c>
      <c r="R121" s="267">
        <v>0</v>
      </c>
      <c r="S121" s="267">
        <v>0</v>
      </c>
      <c r="T121" s="276" t="s">
        <v>1089</v>
      </c>
    </row>
    <row r="122" spans="1:20" ht="15.75" customHeight="1" x14ac:dyDescent="0.25">
      <c r="A122" s="272" t="s">
        <v>327</v>
      </c>
      <c r="B122" s="275" t="s">
        <v>326</v>
      </c>
      <c r="C122" s="265">
        <v>0.4</v>
      </c>
      <c r="D122" s="273" t="s">
        <v>885</v>
      </c>
      <c r="E122" s="274" t="s">
        <v>884</v>
      </c>
      <c r="F122" s="265">
        <v>0.09</v>
      </c>
      <c r="G122" s="273" t="s">
        <v>870</v>
      </c>
      <c r="H122" s="272" t="s">
        <v>869</v>
      </c>
      <c r="I122" s="265">
        <v>0.01</v>
      </c>
      <c r="J122" s="271">
        <f t="shared" si="1"/>
        <v>0.5</v>
      </c>
      <c r="K122" s="270"/>
      <c r="L122" s="279" t="s">
        <v>1088</v>
      </c>
      <c r="M122" s="279" t="s">
        <v>1088</v>
      </c>
      <c r="N122" s="279" t="s">
        <v>1088</v>
      </c>
      <c r="O122" s="268" t="s">
        <v>1088</v>
      </c>
      <c r="P122" s="268">
        <v>0</v>
      </c>
      <c r="Q122" s="277" t="s">
        <v>1088</v>
      </c>
      <c r="R122" s="267">
        <v>0</v>
      </c>
      <c r="S122" s="267">
        <v>0</v>
      </c>
      <c r="T122" s="276" t="s">
        <v>1088</v>
      </c>
    </row>
    <row r="123" spans="1:20" ht="15.75" customHeight="1" x14ac:dyDescent="0.25">
      <c r="A123" s="272" t="s">
        <v>329</v>
      </c>
      <c r="B123" s="275" t="s">
        <v>328</v>
      </c>
      <c r="C123" s="265">
        <v>0.3</v>
      </c>
      <c r="D123" s="273" t="s">
        <v>791</v>
      </c>
      <c r="E123" s="274" t="s">
        <v>790</v>
      </c>
      <c r="F123" s="265">
        <v>0.2</v>
      </c>
      <c r="G123" s="273" t="s">
        <v>749</v>
      </c>
      <c r="H123" s="274" t="s">
        <v>749</v>
      </c>
      <c r="I123" s="265">
        <v>0</v>
      </c>
      <c r="J123" s="271">
        <f t="shared" si="1"/>
        <v>0.5</v>
      </c>
      <c r="K123" s="270"/>
      <c r="L123" s="279" t="s">
        <v>1088</v>
      </c>
      <c r="M123" s="279" t="s">
        <v>1088</v>
      </c>
      <c r="N123" s="279" t="s">
        <v>1088</v>
      </c>
      <c r="O123" s="268" t="s">
        <v>1088</v>
      </c>
      <c r="P123" s="268">
        <v>0</v>
      </c>
      <c r="Q123" s="277" t="s">
        <v>1089</v>
      </c>
      <c r="R123" s="267">
        <v>0</v>
      </c>
      <c r="S123" s="267">
        <v>0</v>
      </c>
      <c r="T123" s="276" t="s">
        <v>1089</v>
      </c>
    </row>
    <row r="124" spans="1:20" x14ac:dyDescent="0.25">
      <c r="A124" s="272" t="s">
        <v>331</v>
      </c>
      <c r="B124" s="275" t="s">
        <v>330</v>
      </c>
      <c r="C124" s="265">
        <v>0.4</v>
      </c>
      <c r="D124" s="273" t="s">
        <v>823</v>
      </c>
      <c r="E124" s="274" t="s">
        <v>822</v>
      </c>
      <c r="F124" s="265">
        <v>0.09</v>
      </c>
      <c r="G124" s="273" t="s">
        <v>821</v>
      </c>
      <c r="H124" s="272" t="s">
        <v>820</v>
      </c>
      <c r="I124" s="265">
        <v>0.01</v>
      </c>
      <c r="J124" s="271">
        <f t="shared" si="1"/>
        <v>0.5</v>
      </c>
      <c r="K124" s="270"/>
      <c r="L124" s="279" t="s">
        <v>1089</v>
      </c>
      <c r="M124" s="279" t="s">
        <v>330</v>
      </c>
      <c r="N124" s="279" t="s">
        <v>1088</v>
      </c>
      <c r="O124" s="268" t="s">
        <v>1088</v>
      </c>
      <c r="P124" s="268">
        <v>0</v>
      </c>
      <c r="Q124" s="277" t="s">
        <v>1088</v>
      </c>
      <c r="R124" s="267">
        <v>2938559</v>
      </c>
      <c r="S124" s="267">
        <v>0</v>
      </c>
      <c r="T124" s="276" t="s">
        <v>1088</v>
      </c>
    </row>
    <row r="125" spans="1:20" ht="15.75" customHeight="1" x14ac:dyDescent="0.25">
      <c r="A125" s="272" t="s">
        <v>333</v>
      </c>
      <c r="B125" s="275" t="s">
        <v>332</v>
      </c>
      <c r="C125" s="265">
        <v>0.4</v>
      </c>
      <c r="D125" s="273" t="s">
        <v>868</v>
      </c>
      <c r="E125" s="274" t="s">
        <v>867</v>
      </c>
      <c r="F125" s="265">
        <v>0.09</v>
      </c>
      <c r="G125" s="273" t="s">
        <v>747</v>
      </c>
      <c r="H125" s="272" t="s">
        <v>746</v>
      </c>
      <c r="I125" s="265">
        <v>0.01</v>
      </c>
      <c r="J125" s="271">
        <f t="shared" si="1"/>
        <v>0.5</v>
      </c>
      <c r="K125" s="270"/>
      <c r="L125" s="279" t="s">
        <v>1088</v>
      </c>
      <c r="M125" s="279" t="s">
        <v>1088</v>
      </c>
      <c r="N125" s="279" t="s">
        <v>1088</v>
      </c>
      <c r="O125" s="268" t="s">
        <v>1088</v>
      </c>
      <c r="P125" s="268">
        <v>0</v>
      </c>
      <c r="Q125" s="277" t="s">
        <v>1088</v>
      </c>
      <c r="R125" s="267">
        <v>0</v>
      </c>
      <c r="S125" s="267">
        <v>0</v>
      </c>
      <c r="T125" s="276" t="s">
        <v>1088</v>
      </c>
    </row>
    <row r="126" spans="1:20" ht="15.75" customHeight="1" x14ac:dyDescent="0.25">
      <c r="A126" s="272" t="s">
        <v>335</v>
      </c>
      <c r="B126" s="275" t="s">
        <v>334</v>
      </c>
      <c r="C126" s="265">
        <v>0.3</v>
      </c>
      <c r="D126" s="273" t="s">
        <v>791</v>
      </c>
      <c r="E126" s="274" t="s">
        <v>790</v>
      </c>
      <c r="F126" s="265">
        <v>0.2</v>
      </c>
      <c r="G126" s="273" t="s">
        <v>749</v>
      </c>
      <c r="H126" s="274" t="s">
        <v>749</v>
      </c>
      <c r="I126" s="265">
        <v>0</v>
      </c>
      <c r="J126" s="271">
        <f t="shared" si="1"/>
        <v>0.5</v>
      </c>
      <c r="K126" s="270"/>
      <c r="L126" s="279" t="s">
        <v>1088</v>
      </c>
      <c r="M126" s="279" t="s">
        <v>1088</v>
      </c>
      <c r="N126" s="279" t="s">
        <v>1088</v>
      </c>
      <c r="O126" s="268" t="s">
        <v>1088</v>
      </c>
      <c r="P126" s="268">
        <v>0</v>
      </c>
      <c r="Q126" s="277" t="s">
        <v>1089</v>
      </c>
      <c r="R126" s="267">
        <v>0</v>
      </c>
      <c r="S126" s="267">
        <v>0</v>
      </c>
      <c r="T126" s="276" t="s">
        <v>1089</v>
      </c>
    </row>
    <row r="127" spans="1:20" ht="15.75" customHeight="1" x14ac:dyDescent="0.25">
      <c r="A127" s="272" t="s">
        <v>337</v>
      </c>
      <c r="B127" s="275" t="s">
        <v>336</v>
      </c>
      <c r="C127" s="265">
        <v>0.4</v>
      </c>
      <c r="D127" s="273" t="s">
        <v>780</v>
      </c>
      <c r="E127" s="274" t="s">
        <v>779</v>
      </c>
      <c r="F127" s="265">
        <v>0.09</v>
      </c>
      <c r="G127" s="273" t="s">
        <v>778</v>
      </c>
      <c r="H127" s="272" t="s">
        <v>777</v>
      </c>
      <c r="I127" s="265">
        <v>0.01</v>
      </c>
      <c r="J127" s="271">
        <f t="shared" si="1"/>
        <v>0.5</v>
      </c>
      <c r="K127" s="270"/>
      <c r="L127" s="279" t="s">
        <v>1088</v>
      </c>
      <c r="M127" s="279" t="s">
        <v>1088</v>
      </c>
      <c r="N127" s="279" t="s">
        <v>1088</v>
      </c>
      <c r="O127" s="268" t="s">
        <v>1088</v>
      </c>
      <c r="P127" s="268">
        <v>0</v>
      </c>
      <c r="Q127" s="277" t="s">
        <v>1088</v>
      </c>
      <c r="R127" s="267">
        <v>0</v>
      </c>
      <c r="S127" s="267">
        <v>0</v>
      </c>
      <c r="T127" s="276" t="s">
        <v>1088</v>
      </c>
    </row>
    <row r="128" spans="1:20" x14ac:dyDescent="0.25">
      <c r="A128" s="272" t="s">
        <v>339</v>
      </c>
      <c r="B128" s="275" t="s">
        <v>909</v>
      </c>
      <c r="C128" s="265">
        <v>0.49</v>
      </c>
      <c r="D128" s="273" t="s">
        <v>749</v>
      </c>
      <c r="E128" s="274" t="s">
        <v>748</v>
      </c>
      <c r="F128" s="265">
        <v>0</v>
      </c>
      <c r="G128" s="273" t="s">
        <v>845</v>
      </c>
      <c r="H128" s="272" t="s">
        <v>844</v>
      </c>
      <c r="I128" s="265">
        <v>0.01</v>
      </c>
      <c r="J128" s="271">
        <f t="shared" si="1"/>
        <v>0.5</v>
      </c>
      <c r="K128" s="270"/>
      <c r="L128" s="279" t="s">
        <v>1089</v>
      </c>
      <c r="M128" s="279" t="s">
        <v>1105</v>
      </c>
      <c r="N128" s="279" t="s">
        <v>1088</v>
      </c>
      <c r="O128" s="268" t="s">
        <v>1088</v>
      </c>
      <c r="P128" s="268">
        <v>0</v>
      </c>
      <c r="Q128" s="277" t="s">
        <v>1089</v>
      </c>
      <c r="R128" s="267">
        <v>0</v>
      </c>
      <c r="S128" s="267">
        <v>0</v>
      </c>
      <c r="T128" s="276" t="s">
        <v>1089</v>
      </c>
    </row>
    <row r="129" spans="1:20" ht="15.75" customHeight="1" x14ac:dyDescent="0.25">
      <c r="A129" s="272" t="s">
        <v>341</v>
      </c>
      <c r="B129" s="275" t="s">
        <v>340</v>
      </c>
      <c r="C129" s="265">
        <v>0.4</v>
      </c>
      <c r="D129" s="273" t="s">
        <v>810</v>
      </c>
      <c r="E129" s="274" t="s">
        <v>809</v>
      </c>
      <c r="F129" s="265">
        <v>0.09</v>
      </c>
      <c r="G129" s="273" t="s">
        <v>808</v>
      </c>
      <c r="H129" s="272" t="s">
        <v>807</v>
      </c>
      <c r="I129" s="265">
        <v>0.01</v>
      </c>
      <c r="J129" s="271">
        <f t="shared" si="1"/>
        <v>0.5</v>
      </c>
      <c r="K129" s="270"/>
      <c r="L129" s="279" t="s">
        <v>1088</v>
      </c>
      <c r="M129" s="279" t="s">
        <v>1088</v>
      </c>
      <c r="N129" s="279" t="s">
        <v>1088</v>
      </c>
      <c r="O129" s="268" t="s">
        <v>1088</v>
      </c>
      <c r="P129" s="268">
        <v>0</v>
      </c>
      <c r="Q129" s="277" t="s">
        <v>1088</v>
      </c>
      <c r="R129" s="267">
        <v>0</v>
      </c>
      <c r="S129" s="267">
        <v>0</v>
      </c>
      <c r="T129" s="276" t="s">
        <v>1088</v>
      </c>
    </row>
    <row r="130" spans="1:20" ht="15.75" customHeight="1" x14ac:dyDescent="0.25">
      <c r="A130" s="272" t="s">
        <v>343</v>
      </c>
      <c r="B130" s="275" t="s">
        <v>342</v>
      </c>
      <c r="C130" s="265">
        <v>0.4</v>
      </c>
      <c r="D130" s="273" t="s">
        <v>780</v>
      </c>
      <c r="E130" s="274" t="s">
        <v>779</v>
      </c>
      <c r="F130" s="265">
        <v>0.09</v>
      </c>
      <c r="G130" s="273" t="s">
        <v>778</v>
      </c>
      <c r="H130" s="272" t="s">
        <v>777</v>
      </c>
      <c r="I130" s="265">
        <v>0.01</v>
      </c>
      <c r="J130" s="271">
        <f t="shared" si="1"/>
        <v>0.5</v>
      </c>
      <c r="K130" s="270"/>
      <c r="L130" s="279" t="s">
        <v>1088</v>
      </c>
      <c r="M130" s="279" t="s">
        <v>1088</v>
      </c>
      <c r="N130" s="279" t="s">
        <v>1088</v>
      </c>
      <c r="O130" s="268" t="s">
        <v>1088</v>
      </c>
      <c r="P130" s="268">
        <v>0</v>
      </c>
      <c r="Q130" s="277" t="s">
        <v>1088</v>
      </c>
      <c r="R130" s="267">
        <v>0</v>
      </c>
      <c r="S130" s="267">
        <v>0</v>
      </c>
      <c r="T130" s="276" t="s">
        <v>1088</v>
      </c>
    </row>
    <row r="131" spans="1:20" ht="15.75" customHeight="1" x14ac:dyDescent="0.25">
      <c r="A131" s="272" t="s">
        <v>345</v>
      </c>
      <c r="B131" s="275" t="s">
        <v>344</v>
      </c>
      <c r="C131" s="265">
        <v>0.3</v>
      </c>
      <c r="D131" s="273" t="s">
        <v>791</v>
      </c>
      <c r="E131" s="274" t="s">
        <v>790</v>
      </c>
      <c r="F131" s="265">
        <v>0.2</v>
      </c>
      <c r="G131" s="273" t="s">
        <v>749</v>
      </c>
      <c r="H131" s="274" t="s">
        <v>749</v>
      </c>
      <c r="I131" s="265">
        <v>0</v>
      </c>
      <c r="J131" s="271">
        <f t="shared" si="1"/>
        <v>0.5</v>
      </c>
      <c r="K131" s="270"/>
      <c r="L131" s="279" t="s">
        <v>1088</v>
      </c>
      <c r="M131" s="279" t="s">
        <v>1088</v>
      </c>
      <c r="N131" s="279" t="s">
        <v>1088</v>
      </c>
      <c r="O131" s="268" t="s">
        <v>1088</v>
      </c>
      <c r="P131" s="268">
        <v>0</v>
      </c>
      <c r="Q131" s="277" t="s">
        <v>1089</v>
      </c>
      <c r="R131" s="267">
        <v>0</v>
      </c>
      <c r="S131" s="267">
        <v>0</v>
      </c>
      <c r="T131" s="276" t="s">
        <v>1089</v>
      </c>
    </row>
    <row r="132" spans="1:20" x14ac:dyDescent="0.25">
      <c r="A132" s="272" t="s">
        <v>347</v>
      </c>
      <c r="B132" s="275" t="s">
        <v>908</v>
      </c>
      <c r="C132" s="265">
        <v>0.49</v>
      </c>
      <c r="D132" s="273" t="s">
        <v>749</v>
      </c>
      <c r="E132" s="274" t="s">
        <v>748</v>
      </c>
      <c r="F132" s="265">
        <v>0</v>
      </c>
      <c r="G132" s="273" t="s">
        <v>752</v>
      </c>
      <c r="H132" s="272" t="s">
        <v>751</v>
      </c>
      <c r="I132" s="265">
        <v>0.01</v>
      </c>
      <c r="J132" s="271">
        <f t="shared" si="1"/>
        <v>0.5</v>
      </c>
      <c r="K132" s="270"/>
      <c r="L132" s="279" t="s">
        <v>1089</v>
      </c>
      <c r="M132" s="279" t="s">
        <v>1106</v>
      </c>
      <c r="N132" s="279" t="s">
        <v>1088</v>
      </c>
      <c r="O132" s="268" t="s">
        <v>1089</v>
      </c>
      <c r="P132" s="268">
        <v>623377</v>
      </c>
      <c r="Q132" s="277" t="s">
        <v>1089</v>
      </c>
      <c r="R132" s="267">
        <v>234538</v>
      </c>
      <c r="S132" s="267">
        <v>0</v>
      </c>
      <c r="T132" s="276" t="s">
        <v>1089</v>
      </c>
    </row>
    <row r="133" spans="1:20" ht="15.75" customHeight="1" x14ac:dyDescent="0.25">
      <c r="A133" s="272" t="s">
        <v>349</v>
      </c>
      <c r="B133" s="275" t="s">
        <v>348</v>
      </c>
      <c r="C133" s="265">
        <v>0.4</v>
      </c>
      <c r="D133" s="273" t="s">
        <v>804</v>
      </c>
      <c r="E133" s="274" t="s">
        <v>803</v>
      </c>
      <c r="F133" s="265">
        <v>0.1</v>
      </c>
      <c r="G133" s="273" t="s">
        <v>749</v>
      </c>
      <c r="H133" s="272" t="s">
        <v>763</v>
      </c>
      <c r="I133" s="265">
        <v>0</v>
      </c>
      <c r="J133" s="271">
        <f t="shared" si="1"/>
        <v>0.5</v>
      </c>
      <c r="K133" s="270"/>
      <c r="L133" s="279" t="s">
        <v>1088</v>
      </c>
      <c r="M133" s="279" t="s">
        <v>1088</v>
      </c>
      <c r="N133" s="279" t="s">
        <v>1088</v>
      </c>
      <c r="O133" s="268" t="s">
        <v>1088</v>
      </c>
      <c r="P133" s="268">
        <v>0</v>
      </c>
      <c r="Q133" s="277" t="s">
        <v>1088</v>
      </c>
      <c r="R133" s="267">
        <v>0</v>
      </c>
      <c r="S133" s="267">
        <v>0</v>
      </c>
      <c r="T133" s="276" t="s">
        <v>1088</v>
      </c>
    </row>
    <row r="134" spans="1:20" ht="15.75" customHeight="1" x14ac:dyDescent="0.25">
      <c r="A134" s="272" t="s">
        <v>351</v>
      </c>
      <c r="B134" s="275" t="s">
        <v>350</v>
      </c>
      <c r="C134" s="265">
        <v>0.4</v>
      </c>
      <c r="D134" s="273" t="s">
        <v>859</v>
      </c>
      <c r="E134" s="274" t="s">
        <v>858</v>
      </c>
      <c r="F134" s="265">
        <v>0.09</v>
      </c>
      <c r="G134" s="273" t="s">
        <v>857</v>
      </c>
      <c r="H134" s="272" t="s">
        <v>856</v>
      </c>
      <c r="I134" s="265">
        <v>0.01</v>
      </c>
      <c r="J134" s="271">
        <f t="shared" ref="J134:J197" si="2">+C134+F134+I134</f>
        <v>0.5</v>
      </c>
      <c r="K134" s="270"/>
      <c r="L134" s="279" t="s">
        <v>1088</v>
      </c>
      <c r="M134" s="279" t="s">
        <v>1088</v>
      </c>
      <c r="N134" s="279" t="s">
        <v>1088</v>
      </c>
      <c r="O134" s="268" t="s">
        <v>1088</v>
      </c>
      <c r="P134" s="268">
        <v>0</v>
      </c>
      <c r="Q134" s="277" t="s">
        <v>1088</v>
      </c>
      <c r="R134" s="267">
        <v>0</v>
      </c>
      <c r="S134" s="267">
        <v>0</v>
      </c>
      <c r="T134" s="276" t="s">
        <v>1088</v>
      </c>
    </row>
    <row r="135" spans="1:20" ht="15.75" customHeight="1" x14ac:dyDescent="0.25">
      <c r="A135" s="272" t="s">
        <v>353</v>
      </c>
      <c r="B135" s="275" t="s">
        <v>352</v>
      </c>
      <c r="C135" s="265">
        <v>0.3</v>
      </c>
      <c r="D135" s="273" t="s">
        <v>791</v>
      </c>
      <c r="E135" s="274" t="s">
        <v>790</v>
      </c>
      <c r="F135" s="265">
        <v>0.2</v>
      </c>
      <c r="G135" s="273" t="s">
        <v>749</v>
      </c>
      <c r="H135" s="274" t="s">
        <v>749</v>
      </c>
      <c r="I135" s="265">
        <v>0</v>
      </c>
      <c r="J135" s="271">
        <f t="shared" si="2"/>
        <v>0.5</v>
      </c>
      <c r="K135" s="270"/>
      <c r="L135" s="279" t="s">
        <v>1088</v>
      </c>
      <c r="M135" s="279" t="s">
        <v>1088</v>
      </c>
      <c r="N135" s="279" t="s">
        <v>1088</v>
      </c>
      <c r="O135" s="268" t="s">
        <v>1088</v>
      </c>
      <c r="P135" s="268">
        <v>0</v>
      </c>
      <c r="Q135" s="277" t="s">
        <v>1089</v>
      </c>
      <c r="R135" s="267">
        <v>0</v>
      </c>
      <c r="S135" s="267">
        <v>0</v>
      </c>
      <c r="T135" s="276" t="s">
        <v>1089</v>
      </c>
    </row>
    <row r="136" spans="1:20" x14ac:dyDescent="0.25">
      <c r="A136" s="272" t="s">
        <v>355</v>
      </c>
      <c r="B136" s="275" t="s">
        <v>907</v>
      </c>
      <c r="C136" s="265">
        <v>0.4</v>
      </c>
      <c r="D136" s="273" t="s">
        <v>885</v>
      </c>
      <c r="E136" s="274" t="s">
        <v>884</v>
      </c>
      <c r="F136" s="265">
        <v>0.09</v>
      </c>
      <c r="G136" s="273" t="s">
        <v>870</v>
      </c>
      <c r="H136" s="272" t="s">
        <v>869</v>
      </c>
      <c r="I136" s="265">
        <v>0.01</v>
      </c>
      <c r="J136" s="271">
        <f t="shared" si="2"/>
        <v>0.5</v>
      </c>
      <c r="K136" s="270"/>
      <c r="L136" s="279" t="s">
        <v>1089</v>
      </c>
      <c r="M136" s="279" t="s">
        <v>1107</v>
      </c>
      <c r="N136" s="279" t="s">
        <v>1088</v>
      </c>
      <c r="O136" s="268" t="s">
        <v>1088</v>
      </c>
      <c r="P136" s="268">
        <v>0</v>
      </c>
      <c r="Q136" s="277" t="s">
        <v>1088</v>
      </c>
      <c r="R136" s="267">
        <v>907450</v>
      </c>
      <c r="S136" s="267">
        <v>0</v>
      </c>
      <c r="T136" s="276" t="s">
        <v>1088</v>
      </c>
    </row>
    <row r="137" spans="1:20" ht="15.75" customHeight="1" x14ac:dyDescent="0.25">
      <c r="A137" s="272" t="s">
        <v>357</v>
      </c>
      <c r="B137" s="275" t="s">
        <v>356</v>
      </c>
      <c r="C137" s="265">
        <v>0.4</v>
      </c>
      <c r="D137" s="273" t="s">
        <v>765</v>
      </c>
      <c r="E137" s="274" t="s">
        <v>764</v>
      </c>
      <c r="F137" s="265">
        <v>0.1</v>
      </c>
      <c r="G137" s="273" t="s">
        <v>749</v>
      </c>
      <c r="H137" s="272" t="s">
        <v>763</v>
      </c>
      <c r="I137" s="265">
        <v>0</v>
      </c>
      <c r="J137" s="271">
        <f t="shared" si="2"/>
        <v>0.5</v>
      </c>
      <c r="K137" s="270"/>
      <c r="L137" s="279" t="s">
        <v>1088</v>
      </c>
      <c r="M137" s="279" t="s">
        <v>1088</v>
      </c>
      <c r="N137" s="279" t="s">
        <v>1088</v>
      </c>
      <c r="O137" s="268" t="s">
        <v>1088</v>
      </c>
      <c r="P137" s="268">
        <v>0</v>
      </c>
      <c r="Q137" s="277" t="s">
        <v>1088</v>
      </c>
      <c r="R137" s="267">
        <v>0</v>
      </c>
      <c r="S137" s="267">
        <v>0</v>
      </c>
      <c r="T137" s="276" t="s">
        <v>1088</v>
      </c>
    </row>
    <row r="138" spans="1:20" ht="15.75" customHeight="1" x14ac:dyDescent="0.25">
      <c r="A138" s="272" t="s">
        <v>359</v>
      </c>
      <c r="B138" s="275" t="s">
        <v>358</v>
      </c>
      <c r="C138" s="265">
        <v>0.3</v>
      </c>
      <c r="D138" s="273" t="s">
        <v>791</v>
      </c>
      <c r="E138" s="274" t="s">
        <v>790</v>
      </c>
      <c r="F138" s="265">
        <v>0.2</v>
      </c>
      <c r="G138" s="273" t="s">
        <v>749</v>
      </c>
      <c r="H138" s="274" t="s">
        <v>749</v>
      </c>
      <c r="I138" s="265">
        <v>0</v>
      </c>
      <c r="J138" s="271">
        <f t="shared" si="2"/>
        <v>0.5</v>
      </c>
      <c r="K138" s="270"/>
      <c r="L138" s="279" t="s">
        <v>1088</v>
      </c>
      <c r="M138" s="279" t="s">
        <v>1088</v>
      </c>
      <c r="N138" s="279" t="s">
        <v>1088</v>
      </c>
      <c r="O138" s="268" t="s">
        <v>1088</v>
      </c>
      <c r="P138" s="268">
        <v>0</v>
      </c>
      <c r="Q138" s="277" t="s">
        <v>1089</v>
      </c>
      <c r="R138" s="267">
        <v>0</v>
      </c>
      <c r="S138" s="267">
        <v>0</v>
      </c>
      <c r="T138" s="276" t="s">
        <v>1089</v>
      </c>
    </row>
    <row r="139" spans="1:20" x14ac:dyDescent="0.25">
      <c r="A139" s="272" t="s">
        <v>361</v>
      </c>
      <c r="B139" s="275" t="s">
        <v>360</v>
      </c>
      <c r="C139" s="265">
        <v>0.4</v>
      </c>
      <c r="D139" s="273" t="s">
        <v>863</v>
      </c>
      <c r="E139" s="274" t="s">
        <v>862</v>
      </c>
      <c r="F139" s="265">
        <v>0.09</v>
      </c>
      <c r="G139" s="273" t="s">
        <v>861</v>
      </c>
      <c r="H139" s="272" t="s">
        <v>860</v>
      </c>
      <c r="I139" s="265">
        <v>0.01</v>
      </c>
      <c r="J139" s="271">
        <f t="shared" si="2"/>
        <v>0.5</v>
      </c>
      <c r="K139" s="270"/>
      <c r="L139" s="279" t="s">
        <v>1089</v>
      </c>
      <c r="M139" s="279" t="s">
        <v>1108</v>
      </c>
      <c r="N139" s="279" t="s">
        <v>1088</v>
      </c>
      <c r="O139" s="268" t="s">
        <v>1089</v>
      </c>
      <c r="P139" s="268">
        <v>405333</v>
      </c>
      <c r="Q139" s="277" t="s">
        <v>1088</v>
      </c>
      <c r="R139" s="267">
        <v>636801</v>
      </c>
      <c r="S139" s="267">
        <v>0</v>
      </c>
      <c r="T139" s="276" t="s">
        <v>1088</v>
      </c>
    </row>
    <row r="140" spans="1:20" ht="15.75" customHeight="1" x14ac:dyDescent="0.25">
      <c r="A140" s="272" t="s">
        <v>363</v>
      </c>
      <c r="B140" s="275" t="s">
        <v>362</v>
      </c>
      <c r="C140" s="265">
        <v>0.4</v>
      </c>
      <c r="D140" s="273" t="s">
        <v>758</v>
      </c>
      <c r="E140" s="274" t="s">
        <v>757</v>
      </c>
      <c r="F140" s="265">
        <v>0.09</v>
      </c>
      <c r="G140" s="273" t="s">
        <v>756</v>
      </c>
      <c r="H140" s="272" t="s">
        <v>755</v>
      </c>
      <c r="I140" s="265">
        <v>0.01</v>
      </c>
      <c r="J140" s="271">
        <f t="shared" si="2"/>
        <v>0.5</v>
      </c>
      <c r="K140" s="270"/>
      <c r="L140" s="279" t="s">
        <v>1088</v>
      </c>
      <c r="M140" s="279" t="s">
        <v>1088</v>
      </c>
      <c r="N140" s="279" t="s">
        <v>1088</v>
      </c>
      <c r="O140" s="268" t="s">
        <v>1088</v>
      </c>
      <c r="P140" s="268">
        <v>0</v>
      </c>
      <c r="Q140" s="277" t="s">
        <v>1088</v>
      </c>
      <c r="R140" s="267">
        <v>0</v>
      </c>
      <c r="S140" s="267">
        <v>0</v>
      </c>
      <c r="T140" s="276" t="s">
        <v>1088</v>
      </c>
    </row>
    <row r="141" spans="1:20" ht="15.75" customHeight="1" x14ac:dyDescent="0.25">
      <c r="A141" s="272" t="s">
        <v>365</v>
      </c>
      <c r="B141" s="275" t="s">
        <v>364</v>
      </c>
      <c r="C141" s="265">
        <v>0.4</v>
      </c>
      <c r="D141" s="273" t="s">
        <v>812</v>
      </c>
      <c r="E141" s="274" t="s">
        <v>811</v>
      </c>
      <c r="F141" s="265">
        <v>0.1</v>
      </c>
      <c r="G141" s="273" t="s">
        <v>749</v>
      </c>
      <c r="H141" s="272" t="s">
        <v>763</v>
      </c>
      <c r="I141" s="265">
        <v>0</v>
      </c>
      <c r="J141" s="271">
        <f t="shared" si="2"/>
        <v>0.5</v>
      </c>
      <c r="K141" s="270"/>
      <c r="L141" s="279" t="s">
        <v>1088</v>
      </c>
      <c r="M141" s="279" t="s">
        <v>1088</v>
      </c>
      <c r="N141" s="279" t="s">
        <v>1088</v>
      </c>
      <c r="O141" s="268" t="s">
        <v>1088</v>
      </c>
      <c r="P141" s="268">
        <v>0</v>
      </c>
      <c r="Q141" s="277" t="s">
        <v>1088</v>
      </c>
      <c r="R141" s="267">
        <v>0</v>
      </c>
      <c r="S141" s="267">
        <v>0</v>
      </c>
      <c r="T141" s="276" t="s">
        <v>1088</v>
      </c>
    </row>
    <row r="142" spans="1:20" ht="15.75" customHeight="1" x14ac:dyDescent="0.25">
      <c r="A142" s="272" t="s">
        <v>367</v>
      </c>
      <c r="B142" s="281" t="s">
        <v>906</v>
      </c>
      <c r="C142" s="265">
        <v>0.5</v>
      </c>
      <c r="D142" s="273" t="s">
        <v>749</v>
      </c>
      <c r="E142" s="274" t="s">
        <v>748</v>
      </c>
      <c r="F142" s="265">
        <v>0</v>
      </c>
      <c r="G142" s="273" t="s">
        <v>749</v>
      </c>
      <c r="H142" s="272" t="s">
        <v>763</v>
      </c>
      <c r="I142" s="265">
        <v>0</v>
      </c>
      <c r="J142" s="271">
        <f t="shared" si="2"/>
        <v>0.5</v>
      </c>
      <c r="K142" s="270"/>
      <c r="L142" s="279" t="s">
        <v>1088</v>
      </c>
      <c r="M142" s="279" t="s">
        <v>1088</v>
      </c>
      <c r="N142" s="279" t="s">
        <v>1088</v>
      </c>
      <c r="O142" s="268" t="s">
        <v>1088</v>
      </c>
      <c r="P142" s="268">
        <v>0</v>
      </c>
      <c r="Q142" s="277" t="s">
        <v>1089</v>
      </c>
      <c r="R142" s="267">
        <v>0</v>
      </c>
      <c r="S142" s="267">
        <v>0</v>
      </c>
      <c r="T142" s="276" t="s">
        <v>1089</v>
      </c>
    </row>
    <row r="143" spans="1:20" ht="15.75" customHeight="1" x14ac:dyDescent="0.25">
      <c r="A143" s="272" t="s">
        <v>369</v>
      </c>
      <c r="B143" s="275" t="s">
        <v>368</v>
      </c>
      <c r="C143" s="265">
        <v>0.5</v>
      </c>
      <c r="D143" s="273" t="s">
        <v>749</v>
      </c>
      <c r="E143" s="274" t="s">
        <v>748</v>
      </c>
      <c r="F143" s="265">
        <v>0</v>
      </c>
      <c r="G143" s="273" t="s">
        <v>749</v>
      </c>
      <c r="H143" s="272" t="s">
        <v>763</v>
      </c>
      <c r="I143" s="265">
        <v>0</v>
      </c>
      <c r="J143" s="271">
        <f t="shared" si="2"/>
        <v>0.5</v>
      </c>
      <c r="K143" s="270"/>
      <c r="L143" s="279" t="s">
        <v>1088</v>
      </c>
      <c r="M143" s="279" t="s">
        <v>1088</v>
      </c>
      <c r="N143" s="279" t="s">
        <v>1088</v>
      </c>
      <c r="O143" s="268" t="s">
        <v>1088</v>
      </c>
      <c r="P143" s="268">
        <v>0</v>
      </c>
      <c r="Q143" s="277" t="s">
        <v>1089</v>
      </c>
      <c r="R143" s="267">
        <v>0</v>
      </c>
      <c r="S143" s="267">
        <v>0</v>
      </c>
      <c r="T143" s="276" t="s">
        <v>1089</v>
      </c>
    </row>
    <row r="144" spans="1:20" ht="15.75" customHeight="1" x14ac:dyDescent="0.25">
      <c r="A144" s="272" t="s">
        <v>371</v>
      </c>
      <c r="B144" s="275" t="s">
        <v>370</v>
      </c>
      <c r="C144" s="265">
        <v>0.3</v>
      </c>
      <c r="D144" s="273" t="s">
        <v>791</v>
      </c>
      <c r="E144" s="274" t="s">
        <v>790</v>
      </c>
      <c r="F144" s="265">
        <v>0.2</v>
      </c>
      <c r="G144" s="273" t="s">
        <v>749</v>
      </c>
      <c r="H144" s="274" t="s">
        <v>749</v>
      </c>
      <c r="I144" s="265">
        <v>0</v>
      </c>
      <c r="J144" s="271">
        <f t="shared" si="2"/>
        <v>0.5</v>
      </c>
      <c r="K144" s="270"/>
      <c r="L144" s="279" t="s">
        <v>1088</v>
      </c>
      <c r="M144" s="279" t="s">
        <v>1088</v>
      </c>
      <c r="N144" s="279" t="s">
        <v>1088</v>
      </c>
      <c r="O144" s="268" t="s">
        <v>1088</v>
      </c>
      <c r="P144" s="268">
        <v>0</v>
      </c>
      <c r="Q144" s="277" t="s">
        <v>1089</v>
      </c>
      <c r="R144" s="267">
        <v>0</v>
      </c>
      <c r="S144" s="267">
        <v>0</v>
      </c>
      <c r="T144" s="276" t="s">
        <v>1089</v>
      </c>
    </row>
    <row r="145" spans="1:20" ht="15.75" customHeight="1" x14ac:dyDescent="0.25">
      <c r="A145" s="272" t="s">
        <v>373</v>
      </c>
      <c r="B145" s="275" t="s">
        <v>905</v>
      </c>
      <c r="C145" s="265">
        <v>0.3</v>
      </c>
      <c r="D145" s="273" t="s">
        <v>791</v>
      </c>
      <c r="E145" s="274" t="s">
        <v>790</v>
      </c>
      <c r="F145" s="265">
        <v>0.2</v>
      </c>
      <c r="G145" s="273" t="s">
        <v>749</v>
      </c>
      <c r="H145" s="274" t="s">
        <v>749</v>
      </c>
      <c r="I145" s="265">
        <v>0</v>
      </c>
      <c r="J145" s="271">
        <f t="shared" si="2"/>
        <v>0.5</v>
      </c>
      <c r="K145" s="270"/>
      <c r="L145" s="279" t="s">
        <v>1088</v>
      </c>
      <c r="M145" s="279" t="s">
        <v>1088</v>
      </c>
      <c r="N145" s="279" t="s">
        <v>1088</v>
      </c>
      <c r="O145" s="268" t="s">
        <v>1088</v>
      </c>
      <c r="P145" s="268">
        <v>0</v>
      </c>
      <c r="Q145" s="277" t="s">
        <v>1089</v>
      </c>
      <c r="R145" s="267">
        <v>0</v>
      </c>
      <c r="S145" s="267">
        <v>0</v>
      </c>
      <c r="T145" s="276" t="s">
        <v>1089</v>
      </c>
    </row>
    <row r="146" spans="1:20" ht="15.75" customHeight="1" x14ac:dyDescent="0.25">
      <c r="A146" s="272" t="s">
        <v>375</v>
      </c>
      <c r="B146" s="275" t="s">
        <v>374</v>
      </c>
      <c r="C146" s="265">
        <v>0.4</v>
      </c>
      <c r="D146" s="273" t="s">
        <v>806</v>
      </c>
      <c r="E146" s="274" t="s">
        <v>805</v>
      </c>
      <c r="F146" s="265">
        <v>0.1</v>
      </c>
      <c r="G146" s="273" t="s">
        <v>749</v>
      </c>
      <c r="H146" s="272" t="s">
        <v>763</v>
      </c>
      <c r="I146" s="265">
        <v>0</v>
      </c>
      <c r="J146" s="271">
        <f t="shared" si="2"/>
        <v>0.5</v>
      </c>
      <c r="K146" s="270"/>
      <c r="L146" s="279" t="s">
        <v>1088</v>
      </c>
      <c r="M146" s="279" t="s">
        <v>1088</v>
      </c>
      <c r="N146" s="279" t="s">
        <v>1088</v>
      </c>
      <c r="O146" s="268" t="s">
        <v>1088</v>
      </c>
      <c r="P146" s="268">
        <v>0</v>
      </c>
      <c r="Q146" s="277" t="s">
        <v>1088</v>
      </c>
      <c r="R146" s="267">
        <v>0</v>
      </c>
      <c r="S146" s="267">
        <v>0</v>
      </c>
      <c r="T146" s="276" t="s">
        <v>1088</v>
      </c>
    </row>
    <row r="147" spans="1:20" ht="15.75" customHeight="1" x14ac:dyDescent="0.25">
      <c r="A147" s="272" t="s">
        <v>377</v>
      </c>
      <c r="B147" s="275" t="s">
        <v>904</v>
      </c>
      <c r="C147" s="265">
        <v>0.4</v>
      </c>
      <c r="D147" s="273" t="s">
        <v>850</v>
      </c>
      <c r="E147" s="274" t="s">
        <v>849</v>
      </c>
      <c r="F147" s="265">
        <v>0.1</v>
      </c>
      <c r="G147" s="273" t="s">
        <v>749</v>
      </c>
      <c r="H147" s="272" t="s">
        <v>763</v>
      </c>
      <c r="I147" s="265">
        <v>0</v>
      </c>
      <c r="J147" s="271">
        <f t="shared" si="2"/>
        <v>0.5</v>
      </c>
      <c r="L147" s="279" t="s">
        <v>1088</v>
      </c>
      <c r="M147" s="279" t="s">
        <v>1088</v>
      </c>
      <c r="N147" s="279" t="s">
        <v>1088</v>
      </c>
      <c r="O147" s="268" t="s">
        <v>1088</v>
      </c>
      <c r="P147" s="268">
        <v>0</v>
      </c>
      <c r="Q147" s="277" t="s">
        <v>1088</v>
      </c>
      <c r="R147" s="267">
        <v>0</v>
      </c>
      <c r="S147" s="267">
        <v>0</v>
      </c>
      <c r="T147" s="276" t="s">
        <v>1088</v>
      </c>
    </row>
    <row r="148" spans="1:20" x14ac:dyDescent="0.25">
      <c r="A148" s="272" t="s">
        <v>379</v>
      </c>
      <c r="B148" s="281" t="s">
        <v>903</v>
      </c>
      <c r="C148" s="265">
        <v>0.49</v>
      </c>
      <c r="D148" s="273" t="s">
        <v>749</v>
      </c>
      <c r="E148" s="274" t="s">
        <v>748</v>
      </c>
      <c r="F148" s="265">
        <v>0</v>
      </c>
      <c r="G148" s="273" t="s">
        <v>891</v>
      </c>
      <c r="H148" s="272" t="s">
        <v>890</v>
      </c>
      <c r="I148" s="265">
        <v>0.01</v>
      </c>
      <c r="J148" s="271">
        <f t="shared" si="2"/>
        <v>0.5</v>
      </c>
      <c r="K148" s="270"/>
      <c r="L148" s="279" t="s">
        <v>1089</v>
      </c>
      <c r="M148" s="279" t="s">
        <v>1098</v>
      </c>
      <c r="N148" s="279" t="s">
        <v>1099</v>
      </c>
      <c r="O148" s="268" t="s">
        <v>1088</v>
      </c>
      <c r="P148" s="268">
        <v>0</v>
      </c>
      <c r="Q148" s="277" t="s">
        <v>1089</v>
      </c>
      <c r="R148" s="267">
        <v>0</v>
      </c>
      <c r="S148" s="267">
        <v>160494</v>
      </c>
      <c r="T148" s="276" t="s">
        <v>1089</v>
      </c>
    </row>
    <row r="149" spans="1:20" ht="15.75" customHeight="1" x14ac:dyDescent="0.25">
      <c r="A149" s="272" t="s">
        <v>381</v>
      </c>
      <c r="B149" s="281" t="s">
        <v>902</v>
      </c>
      <c r="C149" s="265">
        <v>0.3</v>
      </c>
      <c r="D149" s="273" t="s">
        <v>791</v>
      </c>
      <c r="E149" s="274" t="s">
        <v>790</v>
      </c>
      <c r="F149" s="265">
        <v>0.2</v>
      </c>
      <c r="G149" s="273" t="s">
        <v>749</v>
      </c>
      <c r="H149" s="274" t="s">
        <v>749</v>
      </c>
      <c r="I149" s="265">
        <v>0</v>
      </c>
      <c r="J149" s="271">
        <f t="shared" si="2"/>
        <v>0.5</v>
      </c>
      <c r="K149" s="270"/>
      <c r="L149" s="279" t="s">
        <v>1088</v>
      </c>
      <c r="M149" s="279" t="s">
        <v>1088</v>
      </c>
      <c r="N149" s="279" t="s">
        <v>1088</v>
      </c>
      <c r="O149" s="268" t="s">
        <v>1088</v>
      </c>
      <c r="P149" s="268">
        <v>0</v>
      </c>
      <c r="Q149" s="277" t="s">
        <v>1089</v>
      </c>
      <c r="R149" s="267">
        <v>0</v>
      </c>
      <c r="S149" s="267">
        <v>0</v>
      </c>
      <c r="T149" s="276" t="s">
        <v>1089</v>
      </c>
    </row>
    <row r="150" spans="1:20" ht="15.75" customHeight="1" x14ac:dyDescent="0.25">
      <c r="A150" s="272" t="s">
        <v>383</v>
      </c>
      <c r="B150" s="275" t="s">
        <v>382</v>
      </c>
      <c r="C150" s="265">
        <v>0.49</v>
      </c>
      <c r="D150" s="273" t="s">
        <v>749</v>
      </c>
      <c r="E150" s="274" t="s">
        <v>768</v>
      </c>
      <c r="F150" s="265">
        <v>0</v>
      </c>
      <c r="G150" s="273" t="s">
        <v>819</v>
      </c>
      <c r="H150" s="272" t="s">
        <v>818</v>
      </c>
      <c r="I150" s="265">
        <v>0.01</v>
      </c>
      <c r="J150" s="271">
        <f t="shared" si="2"/>
        <v>0.5</v>
      </c>
      <c r="K150" s="270"/>
      <c r="L150" s="279" t="s">
        <v>1088</v>
      </c>
      <c r="M150" s="279" t="s">
        <v>1088</v>
      </c>
      <c r="N150" s="279" t="s">
        <v>1088</v>
      </c>
      <c r="O150" s="268" t="s">
        <v>1088</v>
      </c>
      <c r="P150" s="268">
        <v>0</v>
      </c>
      <c r="Q150" s="277" t="s">
        <v>1089</v>
      </c>
      <c r="R150" s="267">
        <v>0</v>
      </c>
      <c r="S150" s="267">
        <v>0</v>
      </c>
      <c r="T150" s="276" t="s">
        <v>1089</v>
      </c>
    </row>
    <row r="151" spans="1:20" ht="15.75" customHeight="1" x14ac:dyDescent="0.25">
      <c r="A151" s="272" t="s">
        <v>385</v>
      </c>
      <c r="B151" s="275" t="s">
        <v>384</v>
      </c>
      <c r="C151" s="265">
        <v>0.49</v>
      </c>
      <c r="D151" s="273" t="s">
        <v>749</v>
      </c>
      <c r="E151" s="274" t="s">
        <v>768</v>
      </c>
      <c r="F151" s="265">
        <v>0</v>
      </c>
      <c r="G151" s="273" t="s">
        <v>775</v>
      </c>
      <c r="H151" s="272" t="s">
        <v>774</v>
      </c>
      <c r="I151" s="265">
        <v>0.01</v>
      </c>
      <c r="J151" s="271">
        <f t="shared" si="2"/>
        <v>0.5</v>
      </c>
      <c r="K151" s="270"/>
      <c r="L151" s="279" t="s">
        <v>1088</v>
      </c>
      <c r="M151" s="279" t="s">
        <v>1088</v>
      </c>
      <c r="N151" s="279" t="s">
        <v>1088</v>
      </c>
      <c r="O151" s="268" t="s">
        <v>1088</v>
      </c>
      <c r="P151" s="268">
        <v>0</v>
      </c>
      <c r="Q151" s="277" t="s">
        <v>1089</v>
      </c>
      <c r="R151" s="267">
        <v>0</v>
      </c>
      <c r="S151" s="267">
        <v>0</v>
      </c>
      <c r="T151" s="276" t="s">
        <v>1089</v>
      </c>
    </row>
    <row r="152" spans="1:20" ht="15.75" customHeight="1" x14ac:dyDescent="0.25">
      <c r="A152" s="272" t="s">
        <v>387</v>
      </c>
      <c r="B152" s="275" t="s">
        <v>386</v>
      </c>
      <c r="C152" s="265">
        <v>0.3</v>
      </c>
      <c r="D152" s="273" t="s">
        <v>791</v>
      </c>
      <c r="E152" s="274" t="s">
        <v>790</v>
      </c>
      <c r="F152" s="265">
        <v>0.2</v>
      </c>
      <c r="G152" s="273" t="s">
        <v>749</v>
      </c>
      <c r="H152" s="274" t="s">
        <v>749</v>
      </c>
      <c r="I152" s="265">
        <v>0</v>
      </c>
      <c r="J152" s="271">
        <f t="shared" si="2"/>
        <v>0.5</v>
      </c>
      <c r="K152" s="270"/>
      <c r="L152" s="279" t="s">
        <v>1088</v>
      </c>
      <c r="M152" s="279" t="s">
        <v>1088</v>
      </c>
      <c r="N152" s="279" t="s">
        <v>1088</v>
      </c>
      <c r="O152" s="268" t="s">
        <v>1088</v>
      </c>
      <c r="P152" s="268">
        <v>0</v>
      </c>
      <c r="Q152" s="277" t="s">
        <v>1089</v>
      </c>
      <c r="R152" s="267">
        <v>0</v>
      </c>
      <c r="S152" s="267">
        <v>0</v>
      </c>
      <c r="T152" s="276" t="s">
        <v>1089</v>
      </c>
    </row>
    <row r="153" spans="1:20" ht="15.75" customHeight="1" x14ac:dyDescent="0.25">
      <c r="A153" s="272" t="s">
        <v>389</v>
      </c>
      <c r="B153" s="275" t="s">
        <v>388</v>
      </c>
      <c r="C153" s="265">
        <v>0.4</v>
      </c>
      <c r="D153" s="273" t="s">
        <v>758</v>
      </c>
      <c r="E153" s="274" t="s">
        <v>757</v>
      </c>
      <c r="F153" s="265">
        <v>0.09</v>
      </c>
      <c r="G153" s="273" t="s">
        <v>756</v>
      </c>
      <c r="H153" s="272" t="s">
        <v>755</v>
      </c>
      <c r="I153" s="265">
        <v>0.01</v>
      </c>
      <c r="J153" s="271">
        <f t="shared" si="2"/>
        <v>0.5</v>
      </c>
      <c r="K153" s="270"/>
      <c r="L153" s="279" t="s">
        <v>1088</v>
      </c>
      <c r="M153" s="279" t="s">
        <v>1088</v>
      </c>
      <c r="N153" s="279" t="s">
        <v>1088</v>
      </c>
      <c r="O153" s="268" t="s">
        <v>1088</v>
      </c>
      <c r="P153" s="268">
        <v>0</v>
      </c>
      <c r="Q153" s="277" t="s">
        <v>1088</v>
      </c>
      <c r="R153" s="267">
        <v>0</v>
      </c>
      <c r="S153" s="267">
        <v>0</v>
      </c>
      <c r="T153" s="276" t="s">
        <v>1088</v>
      </c>
    </row>
    <row r="154" spans="1:20" x14ac:dyDescent="0.25">
      <c r="A154" s="272" t="s">
        <v>391</v>
      </c>
      <c r="B154" s="275" t="s">
        <v>390</v>
      </c>
      <c r="C154" s="265">
        <v>0.49</v>
      </c>
      <c r="D154" s="273" t="s">
        <v>749</v>
      </c>
      <c r="E154" s="274" t="s">
        <v>768</v>
      </c>
      <c r="F154" s="265">
        <v>0</v>
      </c>
      <c r="G154" s="273" t="s">
        <v>819</v>
      </c>
      <c r="H154" s="272" t="s">
        <v>818</v>
      </c>
      <c r="I154" s="265">
        <v>0.01</v>
      </c>
      <c r="J154" s="271">
        <f t="shared" si="2"/>
        <v>0.5</v>
      </c>
      <c r="K154" s="270"/>
      <c r="L154" s="279" t="s">
        <v>1089</v>
      </c>
      <c r="M154" s="279" t="s">
        <v>1109</v>
      </c>
      <c r="N154" s="279" t="s">
        <v>1109</v>
      </c>
      <c r="O154" s="268" t="s">
        <v>1089</v>
      </c>
      <c r="P154" s="268">
        <v>10332781</v>
      </c>
      <c r="Q154" s="277" t="s">
        <v>1089</v>
      </c>
      <c r="R154" s="267">
        <v>940240</v>
      </c>
      <c r="S154" s="267">
        <v>0</v>
      </c>
      <c r="T154" s="276" t="s">
        <v>1089</v>
      </c>
    </row>
    <row r="155" spans="1:20" ht="15.75" customHeight="1" x14ac:dyDescent="0.25">
      <c r="A155" s="272" t="s">
        <v>393</v>
      </c>
      <c r="B155" s="281" t="s">
        <v>901</v>
      </c>
      <c r="C155" s="265">
        <v>0.49</v>
      </c>
      <c r="D155" s="273" t="s">
        <v>749</v>
      </c>
      <c r="E155" s="274" t="s">
        <v>748</v>
      </c>
      <c r="F155" s="265">
        <v>0</v>
      </c>
      <c r="G155" s="273" t="s">
        <v>870</v>
      </c>
      <c r="H155" s="272" t="s">
        <v>869</v>
      </c>
      <c r="I155" s="265">
        <v>0.01</v>
      </c>
      <c r="J155" s="271">
        <f t="shared" si="2"/>
        <v>0.5</v>
      </c>
      <c r="K155" s="270"/>
      <c r="L155" s="279" t="s">
        <v>1088</v>
      </c>
      <c r="M155" s="279" t="s">
        <v>1088</v>
      </c>
      <c r="N155" s="279" t="s">
        <v>1088</v>
      </c>
      <c r="O155" s="268" t="s">
        <v>1088</v>
      </c>
      <c r="P155" s="268">
        <v>0</v>
      </c>
      <c r="Q155" s="277" t="s">
        <v>1089</v>
      </c>
      <c r="R155" s="267">
        <v>0</v>
      </c>
      <c r="S155" s="267">
        <v>0</v>
      </c>
      <c r="T155" s="276" t="s">
        <v>1089</v>
      </c>
    </row>
    <row r="156" spans="1:20" ht="15.75" customHeight="1" x14ac:dyDescent="0.25">
      <c r="A156" s="272" t="s">
        <v>395</v>
      </c>
      <c r="B156" s="275" t="s">
        <v>394</v>
      </c>
      <c r="C156" s="265">
        <v>0.4</v>
      </c>
      <c r="D156" s="273" t="s">
        <v>810</v>
      </c>
      <c r="E156" s="274" t="s">
        <v>809</v>
      </c>
      <c r="F156" s="265">
        <v>0.09</v>
      </c>
      <c r="G156" s="273" t="s">
        <v>808</v>
      </c>
      <c r="H156" s="272" t="s">
        <v>807</v>
      </c>
      <c r="I156" s="265">
        <v>0.01</v>
      </c>
      <c r="J156" s="271">
        <f t="shared" si="2"/>
        <v>0.5</v>
      </c>
      <c r="K156" s="270"/>
      <c r="L156" s="279" t="s">
        <v>1088</v>
      </c>
      <c r="M156" s="279" t="s">
        <v>1088</v>
      </c>
      <c r="N156" s="279" t="s">
        <v>1088</v>
      </c>
      <c r="O156" s="268" t="s">
        <v>1088</v>
      </c>
      <c r="P156" s="268">
        <v>0</v>
      </c>
      <c r="Q156" s="277" t="s">
        <v>1088</v>
      </c>
      <c r="R156" s="267">
        <v>0</v>
      </c>
      <c r="S156" s="267">
        <v>0</v>
      </c>
      <c r="T156" s="276" t="s">
        <v>1088</v>
      </c>
    </row>
    <row r="157" spans="1:20" ht="15.75" customHeight="1" x14ac:dyDescent="0.25">
      <c r="A157" s="272" t="s">
        <v>397</v>
      </c>
      <c r="B157" s="275" t="s">
        <v>396</v>
      </c>
      <c r="C157" s="265">
        <v>0.3</v>
      </c>
      <c r="D157" s="273" t="s">
        <v>791</v>
      </c>
      <c r="E157" s="274" t="s">
        <v>790</v>
      </c>
      <c r="F157" s="265">
        <v>0.2</v>
      </c>
      <c r="G157" s="273" t="s">
        <v>749</v>
      </c>
      <c r="H157" s="274" t="s">
        <v>749</v>
      </c>
      <c r="I157" s="265">
        <v>0</v>
      </c>
      <c r="J157" s="271">
        <f t="shared" si="2"/>
        <v>0.5</v>
      </c>
      <c r="K157" s="270"/>
      <c r="L157" s="279" t="s">
        <v>1088</v>
      </c>
      <c r="M157" s="279" t="s">
        <v>1088</v>
      </c>
      <c r="N157" s="279" t="s">
        <v>1088</v>
      </c>
      <c r="O157" s="268" t="s">
        <v>1088</v>
      </c>
      <c r="P157" s="268">
        <v>0</v>
      </c>
      <c r="Q157" s="277" t="s">
        <v>1089</v>
      </c>
      <c r="R157" s="267">
        <v>0</v>
      </c>
      <c r="S157" s="267">
        <v>0</v>
      </c>
      <c r="T157" s="276" t="s">
        <v>1089</v>
      </c>
    </row>
    <row r="158" spans="1:20" ht="15.75" customHeight="1" x14ac:dyDescent="0.25">
      <c r="A158" s="272" t="s">
        <v>399</v>
      </c>
      <c r="B158" s="275" t="s">
        <v>398</v>
      </c>
      <c r="C158" s="265">
        <v>0.4</v>
      </c>
      <c r="D158" s="273" t="s">
        <v>839</v>
      </c>
      <c r="E158" s="274" t="s">
        <v>838</v>
      </c>
      <c r="F158" s="265">
        <v>0.09</v>
      </c>
      <c r="G158" s="273" t="s">
        <v>837</v>
      </c>
      <c r="H158" s="272" t="s">
        <v>836</v>
      </c>
      <c r="I158" s="265">
        <v>0.01</v>
      </c>
      <c r="J158" s="271">
        <f t="shared" si="2"/>
        <v>0.5</v>
      </c>
      <c r="K158" s="270"/>
      <c r="L158" s="279" t="s">
        <v>1088</v>
      </c>
      <c r="M158" s="279" t="s">
        <v>1088</v>
      </c>
      <c r="N158" s="279" t="s">
        <v>1088</v>
      </c>
      <c r="O158" s="268" t="s">
        <v>1088</v>
      </c>
      <c r="P158" s="268">
        <v>0</v>
      </c>
      <c r="Q158" s="277" t="s">
        <v>1088</v>
      </c>
      <c r="R158" s="267">
        <v>0</v>
      </c>
      <c r="S158" s="267">
        <v>0</v>
      </c>
      <c r="T158" s="276" t="s">
        <v>1088</v>
      </c>
    </row>
    <row r="159" spans="1:20" ht="15.75" customHeight="1" x14ac:dyDescent="0.25">
      <c r="A159" s="272" t="s">
        <v>401</v>
      </c>
      <c r="B159" s="275" t="s">
        <v>400</v>
      </c>
      <c r="C159" s="265">
        <v>0.4</v>
      </c>
      <c r="D159" s="273" t="s">
        <v>799</v>
      </c>
      <c r="E159" s="274" t="s">
        <v>798</v>
      </c>
      <c r="F159" s="265">
        <v>0.1</v>
      </c>
      <c r="G159" s="273" t="s">
        <v>749</v>
      </c>
      <c r="H159" s="272" t="s">
        <v>763</v>
      </c>
      <c r="I159" s="265">
        <v>0</v>
      </c>
      <c r="J159" s="271">
        <f t="shared" si="2"/>
        <v>0.5</v>
      </c>
      <c r="K159" s="270"/>
      <c r="L159" s="279" t="s">
        <v>1088</v>
      </c>
      <c r="M159" s="279" t="s">
        <v>1088</v>
      </c>
      <c r="N159" s="279" t="s">
        <v>1088</v>
      </c>
      <c r="O159" s="268" t="s">
        <v>1089</v>
      </c>
      <c r="P159" s="268">
        <v>1600877</v>
      </c>
      <c r="Q159" s="277" t="s">
        <v>1088</v>
      </c>
      <c r="R159" s="267">
        <v>0</v>
      </c>
      <c r="S159" s="267">
        <v>0</v>
      </c>
      <c r="T159" s="276" t="s">
        <v>1088</v>
      </c>
    </row>
    <row r="160" spans="1:20" x14ac:dyDescent="0.25">
      <c r="A160" s="272" t="s">
        <v>403</v>
      </c>
      <c r="B160" s="275" t="s">
        <v>402</v>
      </c>
      <c r="C160" s="265">
        <v>0.49</v>
      </c>
      <c r="D160" s="273" t="s">
        <v>749</v>
      </c>
      <c r="E160" s="274" t="s">
        <v>768</v>
      </c>
      <c r="F160" s="265">
        <v>0</v>
      </c>
      <c r="G160" s="273" t="s">
        <v>775</v>
      </c>
      <c r="H160" s="272" t="s">
        <v>774</v>
      </c>
      <c r="I160" s="265">
        <v>0.01</v>
      </c>
      <c r="J160" s="271">
        <f t="shared" si="2"/>
        <v>0.5</v>
      </c>
      <c r="K160" s="270"/>
      <c r="L160" s="279" t="s">
        <v>1089</v>
      </c>
      <c r="M160" s="279" t="s">
        <v>1110</v>
      </c>
      <c r="N160" s="279" t="s">
        <v>1111</v>
      </c>
      <c r="O160" s="268" t="s">
        <v>1089</v>
      </c>
      <c r="P160" s="268">
        <v>5722293</v>
      </c>
      <c r="Q160" s="277" t="s">
        <v>1089</v>
      </c>
      <c r="R160" s="267">
        <v>3663356</v>
      </c>
      <c r="S160" s="267">
        <v>31386449</v>
      </c>
      <c r="T160" s="276" t="s">
        <v>1089</v>
      </c>
    </row>
    <row r="161" spans="1:20" ht="15.75" customHeight="1" x14ac:dyDescent="0.25">
      <c r="A161" s="272" t="s">
        <v>405</v>
      </c>
      <c r="B161" s="275" t="s">
        <v>900</v>
      </c>
      <c r="C161" s="265">
        <v>0.49</v>
      </c>
      <c r="D161" s="273" t="s">
        <v>749</v>
      </c>
      <c r="E161" s="274" t="s">
        <v>748</v>
      </c>
      <c r="F161" s="265">
        <v>0</v>
      </c>
      <c r="G161" s="273" t="s">
        <v>899</v>
      </c>
      <c r="H161" s="272" t="s">
        <v>898</v>
      </c>
      <c r="I161" s="265">
        <v>0.01</v>
      </c>
      <c r="J161" s="271">
        <f t="shared" si="2"/>
        <v>0.5</v>
      </c>
      <c r="K161" s="270"/>
      <c r="L161" s="279" t="s">
        <v>1088</v>
      </c>
      <c r="M161" s="279" t="s">
        <v>1088</v>
      </c>
      <c r="N161" s="279" t="s">
        <v>1088</v>
      </c>
      <c r="O161" s="268" t="s">
        <v>1088</v>
      </c>
      <c r="P161" s="268">
        <v>0</v>
      </c>
      <c r="Q161" s="277" t="s">
        <v>1089</v>
      </c>
      <c r="R161" s="267">
        <v>0</v>
      </c>
      <c r="S161" s="267">
        <v>0</v>
      </c>
      <c r="T161" s="276" t="s">
        <v>1089</v>
      </c>
    </row>
    <row r="162" spans="1:20" ht="15.75" customHeight="1" x14ac:dyDescent="0.25">
      <c r="A162" s="272" t="s">
        <v>407</v>
      </c>
      <c r="B162" s="275" t="s">
        <v>406</v>
      </c>
      <c r="C162" s="265">
        <v>0.4</v>
      </c>
      <c r="D162" s="273" t="s">
        <v>827</v>
      </c>
      <c r="E162" s="274" t="s">
        <v>826</v>
      </c>
      <c r="F162" s="265">
        <v>0.09</v>
      </c>
      <c r="G162" s="273" t="s">
        <v>825</v>
      </c>
      <c r="H162" s="272" t="s">
        <v>824</v>
      </c>
      <c r="I162" s="265">
        <v>0.01</v>
      </c>
      <c r="J162" s="271">
        <f t="shared" si="2"/>
        <v>0.5</v>
      </c>
      <c r="K162" s="270"/>
      <c r="L162" s="279" t="s">
        <v>1088</v>
      </c>
      <c r="M162" s="279" t="s">
        <v>1088</v>
      </c>
      <c r="N162" s="279" t="s">
        <v>1088</v>
      </c>
      <c r="O162" s="268" t="s">
        <v>1089</v>
      </c>
      <c r="P162" s="268">
        <v>2206273</v>
      </c>
      <c r="Q162" s="277" t="s">
        <v>1088</v>
      </c>
      <c r="R162" s="267">
        <v>0</v>
      </c>
      <c r="S162" s="267">
        <v>0</v>
      </c>
      <c r="T162" s="276" t="s">
        <v>1088</v>
      </c>
    </row>
    <row r="163" spans="1:20" ht="15.75" customHeight="1" x14ac:dyDescent="0.25">
      <c r="A163" s="272" t="s">
        <v>409</v>
      </c>
      <c r="B163" s="275" t="s">
        <v>408</v>
      </c>
      <c r="C163" s="265">
        <v>0.4</v>
      </c>
      <c r="D163" s="273" t="s">
        <v>823</v>
      </c>
      <c r="E163" s="274" t="s">
        <v>822</v>
      </c>
      <c r="F163" s="265">
        <v>0.09</v>
      </c>
      <c r="G163" s="273" t="s">
        <v>821</v>
      </c>
      <c r="H163" s="272" t="s">
        <v>820</v>
      </c>
      <c r="I163" s="265">
        <v>0.01</v>
      </c>
      <c r="J163" s="271">
        <f t="shared" si="2"/>
        <v>0.5</v>
      </c>
      <c r="K163" s="270"/>
      <c r="L163" s="279" t="s">
        <v>1088</v>
      </c>
      <c r="M163" s="279" t="s">
        <v>1088</v>
      </c>
      <c r="N163" s="279" t="s">
        <v>1088</v>
      </c>
      <c r="O163" s="268" t="s">
        <v>1088</v>
      </c>
      <c r="P163" s="268">
        <v>0</v>
      </c>
      <c r="Q163" s="277" t="s">
        <v>1088</v>
      </c>
      <c r="R163" s="267">
        <v>0</v>
      </c>
      <c r="S163" s="267">
        <v>0</v>
      </c>
      <c r="T163" s="276" t="s">
        <v>1088</v>
      </c>
    </row>
    <row r="164" spans="1:20" ht="15.75" customHeight="1" x14ac:dyDescent="0.25">
      <c r="A164" s="272" t="s">
        <v>411</v>
      </c>
      <c r="B164" s="275" t="s">
        <v>410</v>
      </c>
      <c r="C164" s="265">
        <v>0.4</v>
      </c>
      <c r="D164" s="273" t="s">
        <v>754</v>
      </c>
      <c r="E164" s="274" t="s">
        <v>753</v>
      </c>
      <c r="F164" s="265">
        <v>0.09</v>
      </c>
      <c r="G164" s="273" t="s">
        <v>752</v>
      </c>
      <c r="H164" s="272" t="s">
        <v>751</v>
      </c>
      <c r="I164" s="265">
        <v>0.01</v>
      </c>
      <c r="J164" s="271">
        <f t="shared" si="2"/>
        <v>0.5</v>
      </c>
      <c r="K164" s="270"/>
      <c r="L164" s="279" t="s">
        <v>1088</v>
      </c>
      <c r="M164" s="279" t="s">
        <v>1088</v>
      </c>
      <c r="N164" s="279" t="s">
        <v>1088</v>
      </c>
      <c r="O164" s="268" t="s">
        <v>1089</v>
      </c>
      <c r="P164" s="268">
        <v>183715</v>
      </c>
      <c r="Q164" s="277" t="s">
        <v>1088</v>
      </c>
      <c r="R164" s="267">
        <v>0</v>
      </c>
      <c r="S164" s="267">
        <v>0</v>
      </c>
      <c r="T164" s="276" t="s">
        <v>1088</v>
      </c>
    </row>
    <row r="165" spans="1:20" x14ac:dyDescent="0.25">
      <c r="A165" s="272" t="s">
        <v>413</v>
      </c>
      <c r="B165" s="275" t="s">
        <v>412</v>
      </c>
      <c r="C165" s="265">
        <v>0.49</v>
      </c>
      <c r="D165" s="273" t="s">
        <v>749</v>
      </c>
      <c r="E165" s="274" t="s">
        <v>768</v>
      </c>
      <c r="F165" s="265">
        <v>0</v>
      </c>
      <c r="G165" s="273" t="s">
        <v>784</v>
      </c>
      <c r="H165" s="272" t="s">
        <v>783</v>
      </c>
      <c r="I165" s="265">
        <v>0.01</v>
      </c>
      <c r="J165" s="271">
        <f t="shared" si="2"/>
        <v>0.5</v>
      </c>
      <c r="K165" s="270"/>
      <c r="L165" s="279" t="s">
        <v>1089</v>
      </c>
      <c r="M165" s="279" t="s">
        <v>1112</v>
      </c>
      <c r="N165" s="279" t="s">
        <v>1088</v>
      </c>
      <c r="O165" s="268" t="s">
        <v>1088</v>
      </c>
      <c r="P165" s="268">
        <v>0</v>
      </c>
      <c r="Q165" s="277" t="s">
        <v>1089</v>
      </c>
      <c r="R165" s="267">
        <v>6035290</v>
      </c>
      <c r="S165" s="267">
        <v>0</v>
      </c>
      <c r="T165" s="276" t="s">
        <v>1089</v>
      </c>
    </row>
    <row r="166" spans="1:20" ht="15.75" customHeight="1" x14ac:dyDescent="0.25">
      <c r="A166" s="272" t="s">
        <v>415</v>
      </c>
      <c r="B166" s="275" t="s">
        <v>414</v>
      </c>
      <c r="C166" s="265">
        <v>0.4</v>
      </c>
      <c r="D166" s="273" t="s">
        <v>875</v>
      </c>
      <c r="E166" s="274" t="s">
        <v>874</v>
      </c>
      <c r="F166" s="265">
        <v>0.09</v>
      </c>
      <c r="G166" s="273" t="s">
        <v>873</v>
      </c>
      <c r="H166" s="272" t="s">
        <v>872</v>
      </c>
      <c r="I166" s="265">
        <v>0.01</v>
      </c>
      <c r="J166" s="271">
        <f t="shared" si="2"/>
        <v>0.5</v>
      </c>
      <c r="K166" s="270"/>
      <c r="L166" s="279" t="s">
        <v>1088</v>
      </c>
      <c r="M166" s="279" t="s">
        <v>1088</v>
      </c>
      <c r="N166" s="279" t="s">
        <v>1088</v>
      </c>
      <c r="O166" s="268" t="s">
        <v>1089</v>
      </c>
      <c r="P166" s="268">
        <v>229848</v>
      </c>
      <c r="Q166" s="277" t="s">
        <v>1088</v>
      </c>
      <c r="R166" s="267">
        <v>0</v>
      </c>
      <c r="S166" s="267">
        <v>0</v>
      </c>
      <c r="T166" s="276" t="s">
        <v>1088</v>
      </c>
    </row>
    <row r="167" spans="1:20" ht="15.75" customHeight="1" x14ac:dyDescent="0.25">
      <c r="A167" s="272" t="s">
        <v>417</v>
      </c>
      <c r="B167" s="275" t="s">
        <v>897</v>
      </c>
      <c r="C167" s="265">
        <v>0.49</v>
      </c>
      <c r="D167" s="273" t="s">
        <v>749</v>
      </c>
      <c r="E167" s="274" t="s">
        <v>748</v>
      </c>
      <c r="F167" s="265">
        <v>0</v>
      </c>
      <c r="G167" s="273" t="s">
        <v>825</v>
      </c>
      <c r="H167" s="272" t="s">
        <v>824</v>
      </c>
      <c r="I167" s="265">
        <v>0.01</v>
      </c>
      <c r="J167" s="271">
        <f t="shared" si="2"/>
        <v>0.5</v>
      </c>
      <c r="K167" s="270"/>
      <c r="L167" s="279" t="s">
        <v>1088</v>
      </c>
      <c r="M167" s="279" t="s">
        <v>1088</v>
      </c>
      <c r="N167" s="279" t="s">
        <v>1088</v>
      </c>
      <c r="O167" s="268" t="s">
        <v>1089</v>
      </c>
      <c r="P167" s="268">
        <v>3242641</v>
      </c>
      <c r="Q167" s="277" t="s">
        <v>1089</v>
      </c>
      <c r="R167" s="267">
        <v>0</v>
      </c>
      <c r="S167" s="267">
        <v>0</v>
      </c>
      <c r="T167" s="276" t="s">
        <v>1089</v>
      </c>
    </row>
    <row r="168" spans="1:20" ht="15.75" customHeight="1" x14ac:dyDescent="0.25">
      <c r="A168" s="272" t="s">
        <v>419</v>
      </c>
      <c r="B168" s="275" t="s">
        <v>418</v>
      </c>
      <c r="C168" s="265">
        <v>0.4</v>
      </c>
      <c r="D168" s="273" t="s">
        <v>885</v>
      </c>
      <c r="E168" s="274" t="s">
        <v>884</v>
      </c>
      <c r="F168" s="265">
        <v>0.09</v>
      </c>
      <c r="G168" s="273" t="s">
        <v>870</v>
      </c>
      <c r="H168" s="272" t="s">
        <v>869</v>
      </c>
      <c r="I168" s="265">
        <v>0.01</v>
      </c>
      <c r="J168" s="271">
        <f t="shared" si="2"/>
        <v>0.5</v>
      </c>
      <c r="L168" s="279" t="s">
        <v>1088</v>
      </c>
      <c r="M168" s="279" t="s">
        <v>1088</v>
      </c>
      <c r="N168" s="279" t="s">
        <v>1088</v>
      </c>
      <c r="O168" s="268" t="s">
        <v>1088</v>
      </c>
      <c r="P168" s="268">
        <v>0</v>
      </c>
      <c r="Q168" s="277" t="s">
        <v>1088</v>
      </c>
      <c r="R168" s="267">
        <v>0</v>
      </c>
      <c r="S168" s="267">
        <v>0</v>
      </c>
      <c r="T168" s="276" t="s">
        <v>1088</v>
      </c>
    </row>
    <row r="169" spans="1:20" ht="15.75" customHeight="1" x14ac:dyDescent="0.25">
      <c r="A169" s="272" t="s">
        <v>421</v>
      </c>
      <c r="B169" s="275" t="s">
        <v>420</v>
      </c>
      <c r="C169" s="265">
        <v>0.4</v>
      </c>
      <c r="D169" s="273" t="s">
        <v>795</v>
      </c>
      <c r="E169" s="274" t="s">
        <v>794</v>
      </c>
      <c r="F169" s="265">
        <v>0.09</v>
      </c>
      <c r="G169" s="273" t="s">
        <v>793</v>
      </c>
      <c r="H169" s="272" t="s">
        <v>792</v>
      </c>
      <c r="I169" s="265">
        <v>0.01</v>
      </c>
      <c r="J169" s="271">
        <f t="shared" si="2"/>
        <v>0.5</v>
      </c>
      <c r="K169" s="270"/>
      <c r="L169" s="279" t="s">
        <v>1088</v>
      </c>
      <c r="M169" s="279" t="s">
        <v>1088</v>
      </c>
      <c r="N169" s="279" t="s">
        <v>1088</v>
      </c>
      <c r="O169" s="268" t="s">
        <v>1088</v>
      </c>
      <c r="P169" s="268">
        <v>0</v>
      </c>
      <c r="Q169" s="277" t="s">
        <v>1088</v>
      </c>
      <c r="R169" s="267">
        <v>0</v>
      </c>
      <c r="S169" s="267">
        <v>0</v>
      </c>
      <c r="T169" s="276" t="s">
        <v>1088</v>
      </c>
    </row>
    <row r="170" spans="1:20" ht="15.75" customHeight="1" x14ac:dyDescent="0.25">
      <c r="A170" s="272" t="s">
        <v>423</v>
      </c>
      <c r="B170" s="275" t="s">
        <v>422</v>
      </c>
      <c r="C170" s="265">
        <v>0.3</v>
      </c>
      <c r="D170" s="273" t="s">
        <v>791</v>
      </c>
      <c r="E170" s="274" t="s">
        <v>790</v>
      </c>
      <c r="F170" s="265">
        <v>0.2</v>
      </c>
      <c r="G170" s="273" t="s">
        <v>749</v>
      </c>
      <c r="H170" s="274" t="s">
        <v>749</v>
      </c>
      <c r="I170" s="265">
        <v>0</v>
      </c>
      <c r="J170" s="271">
        <f t="shared" si="2"/>
        <v>0.5</v>
      </c>
      <c r="K170" s="270"/>
      <c r="L170" s="279" t="s">
        <v>1088</v>
      </c>
      <c r="M170" s="279" t="s">
        <v>1088</v>
      </c>
      <c r="N170" s="279" t="s">
        <v>1088</v>
      </c>
      <c r="O170" s="268" t="s">
        <v>1088</v>
      </c>
      <c r="P170" s="268">
        <v>0</v>
      </c>
      <c r="Q170" s="277" t="s">
        <v>1089</v>
      </c>
      <c r="R170" s="267">
        <v>0</v>
      </c>
      <c r="S170" s="267">
        <v>0</v>
      </c>
      <c r="T170" s="276" t="s">
        <v>1089</v>
      </c>
    </row>
    <row r="171" spans="1:20" ht="15.75" customHeight="1" x14ac:dyDescent="0.25">
      <c r="A171" s="272" t="s">
        <v>425</v>
      </c>
      <c r="B171" s="275" t="s">
        <v>424</v>
      </c>
      <c r="C171" s="265">
        <v>0.4</v>
      </c>
      <c r="D171" s="273" t="s">
        <v>801</v>
      </c>
      <c r="E171" s="274" t="s">
        <v>800</v>
      </c>
      <c r="F171" s="265">
        <v>0.09</v>
      </c>
      <c r="G171" s="273" t="s">
        <v>793</v>
      </c>
      <c r="H171" s="272" t="s">
        <v>792</v>
      </c>
      <c r="I171" s="265">
        <v>0.01</v>
      </c>
      <c r="J171" s="271">
        <f t="shared" si="2"/>
        <v>0.5</v>
      </c>
      <c r="K171" s="270"/>
      <c r="L171" s="279" t="s">
        <v>1088</v>
      </c>
      <c r="M171" s="279" t="s">
        <v>1088</v>
      </c>
      <c r="N171" s="279" t="s">
        <v>1088</v>
      </c>
      <c r="O171" s="268" t="s">
        <v>1088</v>
      </c>
      <c r="P171" s="268">
        <v>0</v>
      </c>
      <c r="Q171" s="277" t="s">
        <v>1088</v>
      </c>
      <c r="R171" s="267">
        <v>0</v>
      </c>
      <c r="S171" s="267">
        <v>0</v>
      </c>
      <c r="T171" s="276" t="s">
        <v>1088</v>
      </c>
    </row>
    <row r="172" spans="1:20" ht="15.75" customHeight="1" x14ac:dyDescent="0.25">
      <c r="A172" s="272" t="s">
        <v>427</v>
      </c>
      <c r="B172" s="275" t="s">
        <v>426</v>
      </c>
      <c r="C172" s="265">
        <v>0.4</v>
      </c>
      <c r="D172" s="273" t="s">
        <v>812</v>
      </c>
      <c r="E172" s="274" t="s">
        <v>811</v>
      </c>
      <c r="F172" s="265">
        <v>0.1</v>
      </c>
      <c r="G172" s="273" t="s">
        <v>749</v>
      </c>
      <c r="H172" s="272" t="s">
        <v>763</v>
      </c>
      <c r="I172" s="265">
        <v>0</v>
      </c>
      <c r="J172" s="271">
        <f t="shared" si="2"/>
        <v>0.5</v>
      </c>
      <c r="K172" s="270"/>
      <c r="L172" s="279" t="s">
        <v>1088</v>
      </c>
      <c r="M172" s="279" t="s">
        <v>1088</v>
      </c>
      <c r="N172" s="279" t="s">
        <v>1088</v>
      </c>
      <c r="O172" s="268" t="s">
        <v>1088</v>
      </c>
      <c r="P172" s="268">
        <v>0</v>
      </c>
      <c r="Q172" s="277" t="s">
        <v>1088</v>
      </c>
      <c r="R172" s="267">
        <v>0</v>
      </c>
      <c r="S172" s="267">
        <v>0</v>
      </c>
      <c r="T172" s="276" t="s">
        <v>1088</v>
      </c>
    </row>
    <row r="173" spans="1:20" ht="15.75" customHeight="1" x14ac:dyDescent="0.25">
      <c r="A173" s="272" t="s">
        <v>429</v>
      </c>
      <c r="B173" s="275" t="s">
        <v>428</v>
      </c>
      <c r="C173" s="265">
        <v>0.4</v>
      </c>
      <c r="D173" s="273" t="s">
        <v>765</v>
      </c>
      <c r="E173" s="274" t="s">
        <v>764</v>
      </c>
      <c r="F173" s="265">
        <v>0.1</v>
      </c>
      <c r="G173" s="273" t="s">
        <v>749</v>
      </c>
      <c r="H173" s="272" t="s">
        <v>763</v>
      </c>
      <c r="I173" s="265">
        <v>0</v>
      </c>
      <c r="J173" s="271">
        <f t="shared" si="2"/>
        <v>0.5</v>
      </c>
      <c r="K173" s="270"/>
      <c r="L173" s="279" t="s">
        <v>1088</v>
      </c>
      <c r="M173" s="279" t="s">
        <v>1088</v>
      </c>
      <c r="N173" s="279" t="s">
        <v>1088</v>
      </c>
      <c r="O173" s="268" t="s">
        <v>1088</v>
      </c>
      <c r="P173" s="268">
        <v>0</v>
      </c>
      <c r="Q173" s="277" t="s">
        <v>1088</v>
      </c>
      <c r="R173" s="267">
        <v>0</v>
      </c>
      <c r="S173" s="267">
        <v>0</v>
      </c>
      <c r="T173" s="276" t="s">
        <v>1088</v>
      </c>
    </row>
    <row r="174" spans="1:20" x14ac:dyDescent="0.25">
      <c r="A174" s="272" t="s">
        <v>431</v>
      </c>
      <c r="B174" s="275" t="s">
        <v>896</v>
      </c>
      <c r="C174" s="265">
        <v>0.49</v>
      </c>
      <c r="D174" s="273" t="s">
        <v>749</v>
      </c>
      <c r="E174" s="274" t="s">
        <v>748</v>
      </c>
      <c r="F174" s="265">
        <v>0</v>
      </c>
      <c r="G174" s="273" t="s">
        <v>845</v>
      </c>
      <c r="H174" s="272" t="s">
        <v>844</v>
      </c>
      <c r="I174" s="265">
        <v>0.01</v>
      </c>
      <c r="J174" s="271">
        <f t="shared" si="2"/>
        <v>0.5</v>
      </c>
      <c r="K174" s="270"/>
      <c r="L174" s="279" t="s">
        <v>1089</v>
      </c>
      <c r="M174" s="279" t="s">
        <v>1105</v>
      </c>
      <c r="N174" s="279" t="s">
        <v>1088</v>
      </c>
      <c r="O174" s="268" t="s">
        <v>1088</v>
      </c>
      <c r="P174" s="268">
        <v>0</v>
      </c>
      <c r="Q174" s="277" t="s">
        <v>1089</v>
      </c>
      <c r="R174" s="267">
        <v>0</v>
      </c>
      <c r="S174" s="267">
        <v>0</v>
      </c>
      <c r="T174" s="276" t="s">
        <v>1089</v>
      </c>
    </row>
    <row r="175" spans="1:20" ht="15.75" customHeight="1" x14ac:dyDescent="0.25">
      <c r="A175" s="272" t="s">
        <v>433</v>
      </c>
      <c r="B175" s="275" t="s">
        <v>895</v>
      </c>
      <c r="C175" s="265">
        <v>0.49</v>
      </c>
      <c r="D175" s="273" t="s">
        <v>749</v>
      </c>
      <c r="E175" s="274" t="s">
        <v>748</v>
      </c>
      <c r="F175" s="265">
        <v>0</v>
      </c>
      <c r="G175" s="273" t="s">
        <v>760</v>
      </c>
      <c r="H175" s="272" t="s">
        <v>759</v>
      </c>
      <c r="I175" s="265">
        <v>0.01</v>
      </c>
      <c r="J175" s="271">
        <f t="shared" si="2"/>
        <v>0.5</v>
      </c>
      <c r="K175" s="270"/>
      <c r="L175" s="279" t="s">
        <v>1088</v>
      </c>
      <c r="M175" s="279" t="s">
        <v>1088</v>
      </c>
      <c r="N175" s="279" t="s">
        <v>1088</v>
      </c>
      <c r="O175" s="268" t="s">
        <v>1088</v>
      </c>
      <c r="P175" s="268">
        <v>0</v>
      </c>
      <c r="Q175" s="277" t="s">
        <v>1089</v>
      </c>
      <c r="R175" s="267">
        <v>0</v>
      </c>
      <c r="S175" s="267">
        <v>0</v>
      </c>
      <c r="T175" s="276" t="s">
        <v>1089</v>
      </c>
    </row>
    <row r="176" spans="1:20" ht="15.75" customHeight="1" x14ac:dyDescent="0.25">
      <c r="A176" s="272" t="s">
        <v>435</v>
      </c>
      <c r="B176" s="275" t="s">
        <v>434</v>
      </c>
      <c r="C176" s="265">
        <v>0.4</v>
      </c>
      <c r="D176" s="273" t="s">
        <v>773</v>
      </c>
      <c r="E176" s="274" t="s">
        <v>772</v>
      </c>
      <c r="F176" s="265">
        <v>0.1</v>
      </c>
      <c r="G176" s="273" t="s">
        <v>749</v>
      </c>
      <c r="H176" s="272" t="s">
        <v>763</v>
      </c>
      <c r="I176" s="265">
        <v>0</v>
      </c>
      <c r="J176" s="271">
        <f t="shared" si="2"/>
        <v>0.5</v>
      </c>
      <c r="K176" s="270"/>
      <c r="L176" s="279" t="s">
        <v>1088</v>
      </c>
      <c r="M176" s="279" t="s">
        <v>1088</v>
      </c>
      <c r="N176" s="279" t="s">
        <v>1088</v>
      </c>
      <c r="O176" s="268" t="s">
        <v>1088</v>
      </c>
      <c r="P176" s="268">
        <v>0</v>
      </c>
      <c r="Q176" s="277" t="s">
        <v>1088</v>
      </c>
      <c r="R176" s="267">
        <v>0</v>
      </c>
      <c r="S176" s="267">
        <v>0</v>
      </c>
      <c r="T176" s="276" t="s">
        <v>1088</v>
      </c>
    </row>
    <row r="177" spans="1:20" ht="15.75" customHeight="1" x14ac:dyDescent="0.25">
      <c r="A177" s="272" t="s">
        <v>437</v>
      </c>
      <c r="B177" s="275" t="s">
        <v>436</v>
      </c>
      <c r="C177" s="265">
        <v>0.4</v>
      </c>
      <c r="D177" s="273" t="s">
        <v>780</v>
      </c>
      <c r="E177" s="274" t="s">
        <v>779</v>
      </c>
      <c r="F177" s="265">
        <v>0.09</v>
      </c>
      <c r="G177" s="273" t="s">
        <v>778</v>
      </c>
      <c r="H177" s="272" t="s">
        <v>777</v>
      </c>
      <c r="I177" s="265">
        <v>0.01</v>
      </c>
      <c r="J177" s="271">
        <f t="shared" si="2"/>
        <v>0.5</v>
      </c>
      <c r="K177" s="270"/>
      <c r="L177" s="279" t="s">
        <v>1088</v>
      </c>
      <c r="M177" s="279" t="s">
        <v>1088</v>
      </c>
      <c r="N177" s="279" t="s">
        <v>1088</v>
      </c>
      <c r="O177" s="268" t="s">
        <v>1088</v>
      </c>
      <c r="P177" s="268">
        <v>0</v>
      </c>
      <c r="Q177" s="277" t="s">
        <v>1088</v>
      </c>
      <c r="R177" s="267">
        <v>0</v>
      </c>
      <c r="S177" s="267">
        <v>0</v>
      </c>
      <c r="T177" s="276" t="s">
        <v>1088</v>
      </c>
    </row>
    <row r="178" spans="1:20" ht="15.75" customHeight="1" x14ac:dyDescent="0.25">
      <c r="A178" s="272" t="s">
        <v>439</v>
      </c>
      <c r="B178" s="275" t="s">
        <v>894</v>
      </c>
      <c r="C178" s="265">
        <v>0.4</v>
      </c>
      <c r="D178" s="273" t="s">
        <v>875</v>
      </c>
      <c r="E178" s="274" t="s">
        <v>874</v>
      </c>
      <c r="F178" s="265">
        <v>0.09</v>
      </c>
      <c r="G178" s="273" t="s">
        <v>873</v>
      </c>
      <c r="H178" s="272" t="s">
        <v>872</v>
      </c>
      <c r="I178" s="265">
        <v>0.01</v>
      </c>
      <c r="J178" s="271">
        <f t="shared" si="2"/>
        <v>0.5</v>
      </c>
      <c r="K178" s="270"/>
      <c r="L178" s="279" t="s">
        <v>1088</v>
      </c>
      <c r="M178" s="279" t="s">
        <v>1088</v>
      </c>
      <c r="N178" s="279" t="s">
        <v>1088</v>
      </c>
      <c r="O178" s="268" t="s">
        <v>1088</v>
      </c>
      <c r="P178" s="268">
        <v>0</v>
      </c>
      <c r="Q178" s="277" t="s">
        <v>1088</v>
      </c>
      <c r="R178" s="267">
        <v>0</v>
      </c>
      <c r="S178" s="267">
        <v>0</v>
      </c>
      <c r="T178" s="276" t="s">
        <v>1088</v>
      </c>
    </row>
    <row r="179" spans="1:20" ht="15.75" customHeight="1" x14ac:dyDescent="0.25">
      <c r="A179" s="272" t="s">
        <v>443</v>
      </c>
      <c r="B179" s="275" t="s">
        <v>442</v>
      </c>
      <c r="C179" s="265">
        <v>0.4</v>
      </c>
      <c r="D179" s="273" t="s">
        <v>839</v>
      </c>
      <c r="E179" s="274" t="s">
        <v>838</v>
      </c>
      <c r="F179" s="265">
        <v>0.09</v>
      </c>
      <c r="G179" s="273" t="s">
        <v>837</v>
      </c>
      <c r="H179" s="272" t="s">
        <v>836</v>
      </c>
      <c r="I179" s="265">
        <v>0.01</v>
      </c>
      <c r="J179" s="271">
        <f t="shared" si="2"/>
        <v>0.5</v>
      </c>
      <c r="K179" s="270"/>
      <c r="L179" s="279" t="s">
        <v>1088</v>
      </c>
      <c r="M179" s="279" t="s">
        <v>1088</v>
      </c>
      <c r="N179" s="279" t="s">
        <v>1088</v>
      </c>
      <c r="O179" s="268" t="s">
        <v>1088</v>
      </c>
      <c r="P179" s="268">
        <v>0</v>
      </c>
      <c r="Q179" s="277" t="s">
        <v>1088</v>
      </c>
      <c r="R179" s="267">
        <v>0</v>
      </c>
      <c r="S179" s="267">
        <v>0</v>
      </c>
      <c r="T179" s="276" t="s">
        <v>1088</v>
      </c>
    </row>
    <row r="180" spans="1:20" x14ac:dyDescent="0.25">
      <c r="A180" s="272" t="s">
        <v>441</v>
      </c>
      <c r="B180" s="281" t="s">
        <v>440</v>
      </c>
      <c r="C180" s="265">
        <v>0.49</v>
      </c>
      <c r="D180" s="273" t="s">
        <v>749</v>
      </c>
      <c r="E180" s="274" t="s">
        <v>768</v>
      </c>
      <c r="F180" s="265">
        <v>0</v>
      </c>
      <c r="G180" s="273" t="s">
        <v>842</v>
      </c>
      <c r="H180" s="272" t="s">
        <v>841</v>
      </c>
      <c r="I180" s="265">
        <v>0.01</v>
      </c>
      <c r="J180" s="271">
        <f t="shared" si="2"/>
        <v>0.5</v>
      </c>
      <c r="K180" s="270"/>
      <c r="L180" s="279" t="s">
        <v>1089</v>
      </c>
      <c r="M180" s="279" t="s">
        <v>1113</v>
      </c>
      <c r="N180" s="279" t="s">
        <v>1102</v>
      </c>
      <c r="O180" s="268" t="s">
        <v>1089</v>
      </c>
      <c r="P180" s="268">
        <v>5614357</v>
      </c>
      <c r="Q180" s="277" t="s">
        <v>1089</v>
      </c>
      <c r="R180" s="267">
        <v>69165</v>
      </c>
      <c r="S180" s="267">
        <v>5971988</v>
      </c>
      <c r="T180" s="276" t="s">
        <v>1089</v>
      </c>
    </row>
    <row r="181" spans="1:20" x14ac:dyDescent="0.25">
      <c r="A181" s="272" t="s">
        <v>445</v>
      </c>
      <c r="B181" s="275" t="s">
        <v>444</v>
      </c>
      <c r="C181" s="265">
        <v>0.3</v>
      </c>
      <c r="D181" s="273" t="s">
        <v>791</v>
      </c>
      <c r="E181" s="274" t="s">
        <v>790</v>
      </c>
      <c r="F181" s="265">
        <v>0.2</v>
      </c>
      <c r="G181" s="273" t="s">
        <v>749</v>
      </c>
      <c r="H181" s="274" t="s">
        <v>749</v>
      </c>
      <c r="I181" s="265">
        <v>0</v>
      </c>
      <c r="J181" s="271">
        <f t="shared" si="2"/>
        <v>0.5</v>
      </c>
      <c r="K181" s="270"/>
      <c r="L181" s="279" t="s">
        <v>1089</v>
      </c>
      <c r="M181" s="279" t="s">
        <v>1114</v>
      </c>
      <c r="N181" s="279" t="s">
        <v>1088</v>
      </c>
      <c r="O181" s="268" t="s">
        <v>1088</v>
      </c>
      <c r="P181" s="268">
        <v>0</v>
      </c>
      <c r="Q181" s="277" t="s">
        <v>1089</v>
      </c>
      <c r="R181" s="267">
        <v>239751</v>
      </c>
      <c r="S181" s="267">
        <v>0</v>
      </c>
      <c r="T181" s="276" t="s">
        <v>1089</v>
      </c>
    </row>
    <row r="182" spans="1:20" ht="15.75" customHeight="1" x14ac:dyDescent="0.25">
      <c r="A182" s="272" t="s">
        <v>447</v>
      </c>
      <c r="B182" s="275" t="s">
        <v>446</v>
      </c>
      <c r="C182" s="265">
        <v>0.4</v>
      </c>
      <c r="D182" s="273" t="s">
        <v>801</v>
      </c>
      <c r="E182" s="274" t="s">
        <v>800</v>
      </c>
      <c r="F182" s="265">
        <v>0.09</v>
      </c>
      <c r="G182" s="273" t="s">
        <v>793</v>
      </c>
      <c r="H182" s="272" t="s">
        <v>792</v>
      </c>
      <c r="I182" s="265">
        <v>0.01</v>
      </c>
      <c r="J182" s="271">
        <f t="shared" si="2"/>
        <v>0.5</v>
      </c>
      <c r="K182" s="270"/>
      <c r="L182" s="279" t="s">
        <v>1088</v>
      </c>
      <c r="M182" s="279" t="s">
        <v>1088</v>
      </c>
      <c r="N182" s="279" t="s">
        <v>1088</v>
      </c>
      <c r="O182" s="268" t="s">
        <v>1088</v>
      </c>
      <c r="P182" s="268">
        <v>0</v>
      </c>
      <c r="Q182" s="277" t="s">
        <v>1088</v>
      </c>
      <c r="R182" s="267">
        <v>0</v>
      </c>
      <c r="S182" s="267">
        <v>0</v>
      </c>
      <c r="T182" s="276" t="s">
        <v>1088</v>
      </c>
    </row>
    <row r="183" spans="1:20" ht="15.75" customHeight="1" x14ac:dyDescent="0.25">
      <c r="A183" s="272" t="s">
        <v>449</v>
      </c>
      <c r="B183" s="275" t="s">
        <v>448</v>
      </c>
      <c r="C183" s="265">
        <v>0.4</v>
      </c>
      <c r="D183" s="273" t="s">
        <v>788</v>
      </c>
      <c r="E183" s="274" t="s">
        <v>787</v>
      </c>
      <c r="F183" s="265">
        <v>0.09</v>
      </c>
      <c r="G183" s="273" t="s">
        <v>786</v>
      </c>
      <c r="H183" s="272" t="s">
        <v>785</v>
      </c>
      <c r="I183" s="265">
        <v>0.01</v>
      </c>
      <c r="J183" s="271">
        <f t="shared" si="2"/>
        <v>0.5</v>
      </c>
      <c r="K183" s="270"/>
      <c r="L183" s="279" t="s">
        <v>1088</v>
      </c>
      <c r="M183" s="279" t="s">
        <v>1088</v>
      </c>
      <c r="N183" s="279" t="s">
        <v>1088</v>
      </c>
      <c r="O183" s="268" t="s">
        <v>1088</v>
      </c>
      <c r="P183" s="268">
        <v>0</v>
      </c>
      <c r="Q183" s="277" t="s">
        <v>1088</v>
      </c>
      <c r="R183" s="267">
        <v>0</v>
      </c>
      <c r="S183" s="267">
        <v>0</v>
      </c>
      <c r="T183" s="276" t="s">
        <v>1088</v>
      </c>
    </row>
    <row r="184" spans="1:20" ht="15.75" customHeight="1" x14ac:dyDescent="0.25">
      <c r="A184" s="272" t="s">
        <v>451</v>
      </c>
      <c r="B184" s="275" t="s">
        <v>450</v>
      </c>
      <c r="C184" s="265">
        <v>0.4</v>
      </c>
      <c r="D184" s="273" t="s">
        <v>859</v>
      </c>
      <c r="E184" s="274" t="s">
        <v>858</v>
      </c>
      <c r="F184" s="265">
        <v>0.09</v>
      </c>
      <c r="G184" s="273" t="s">
        <v>857</v>
      </c>
      <c r="H184" s="272" t="s">
        <v>856</v>
      </c>
      <c r="I184" s="265">
        <v>0.01</v>
      </c>
      <c r="J184" s="271">
        <f t="shared" si="2"/>
        <v>0.5</v>
      </c>
      <c r="K184" s="270"/>
      <c r="L184" s="279" t="s">
        <v>1088</v>
      </c>
      <c r="M184" s="279" t="s">
        <v>1088</v>
      </c>
      <c r="N184" s="279" t="s">
        <v>1088</v>
      </c>
      <c r="O184" s="268" t="s">
        <v>1088</v>
      </c>
      <c r="P184" s="268">
        <v>0</v>
      </c>
      <c r="Q184" s="277" t="s">
        <v>1088</v>
      </c>
      <c r="R184" s="267">
        <v>0</v>
      </c>
      <c r="S184" s="267">
        <v>0</v>
      </c>
      <c r="T184" s="276" t="s">
        <v>1088</v>
      </c>
    </row>
    <row r="185" spans="1:20" x14ac:dyDescent="0.25">
      <c r="A185" s="272" t="s">
        <v>453</v>
      </c>
      <c r="B185" s="275" t="s">
        <v>893</v>
      </c>
      <c r="C185" s="265">
        <v>0.49</v>
      </c>
      <c r="D185" s="273" t="s">
        <v>749</v>
      </c>
      <c r="E185" s="274" t="s">
        <v>748</v>
      </c>
      <c r="F185" s="265">
        <v>0</v>
      </c>
      <c r="G185" s="273" t="s">
        <v>891</v>
      </c>
      <c r="H185" s="272" t="s">
        <v>890</v>
      </c>
      <c r="I185" s="265">
        <v>0.01</v>
      </c>
      <c r="J185" s="271">
        <f t="shared" si="2"/>
        <v>0.5</v>
      </c>
      <c r="K185" s="270"/>
      <c r="L185" s="279" t="s">
        <v>1089</v>
      </c>
      <c r="M185" s="279" t="s">
        <v>1098</v>
      </c>
      <c r="N185" s="279" t="s">
        <v>1099</v>
      </c>
      <c r="O185" s="268" t="s">
        <v>1089</v>
      </c>
      <c r="P185" s="268">
        <v>1748269</v>
      </c>
      <c r="Q185" s="277" t="s">
        <v>1089</v>
      </c>
      <c r="R185" s="267">
        <v>0</v>
      </c>
      <c r="S185" s="267">
        <v>0</v>
      </c>
      <c r="T185" s="276" t="s">
        <v>1089</v>
      </c>
    </row>
    <row r="186" spans="1:20" ht="15.75" customHeight="1" x14ac:dyDescent="0.25">
      <c r="A186" s="272" t="s">
        <v>455</v>
      </c>
      <c r="B186" s="275" t="s">
        <v>454</v>
      </c>
      <c r="C186" s="265">
        <v>0.4</v>
      </c>
      <c r="D186" s="273" t="s">
        <v>804</v>
      </c>
      <c r="E186" s="274" t="s">
        <v>803</v>
      </c>
      <c r="F186" s="265">
        <v>0.1</v>
      </c>
      <c r="G186" s="273" t="s">
        <v>749</v>
      </c>
      <c r="H186" s="272" t="s">
        <v>763</v>
      </c>
      <c r="I186" s="265">
        <v>0</v>
      </c>
      <c r="J186" s="271">
        <f t="shared" si="2"/>
        <v>0.5</v>
      </c>
      <c r="K186" s="270"/>
      <c r="L186" s="279" t="s">
        <v>1088</v>
      </c>
      <c r="M186" s="279" t="s">
        <v>1088</v>
      </c>
      <c r="N186" s="279" t="s">
        <v>1088</v>
      </c>
      <c r="O186" s="268" t="s">
        <v>1088</v>
      </c>
      <c r="P186" s="268">
        <v>0</v>
      </c>
      <c r="Q186" s="277" t="s">
        <v>1088</v>
      </c>
      <c r="R186" s="267">
        <v>0</v>
      </c>
      <c r="S186" s="267">
        <v>0</v>
      </c>
      <c r="T186" s="276" t="s">
        <v>1088</v>
      </c>
    </row>
    <row r="187" spans="1:20" ht="15.75" customHeight="1" x14ac:dyDescent="0.25">
      <c r="A187" s="272" t="s">
        <v>457</v>
      </c>
      <c r="B187" s="275" t="s">
        <v>456</v>
      </c>
      <c r="C187" s="265">
        <v>0.4</v>
      </c>
      <c r="D187" s="273" t="s">
        <v>799</v>
      </c>
      <c r="E187" s="274" t="s">
        <v>798</v>
      </c>
      <c r="F187" s="265">
        <v>0.1</v>
      </c>
      <c r="G187" s="273" t="s">
        <v>749</v>
      </c>
      <c r="H187" s="272" t="s">
        <v>763</v>
      </c>
      <c r="I187" s="265">
        <v>0</v>
      </c>
      <c r="J187" s="271">
        <f t="shared" si="2"/>
        <v>0.5</v>
      </c>
      <c r="K187" s="270"/>
      <c r="L187" s="279" t="s">
        <v>1088</v>
      </c>
      <c r="M187" s="279" t="s">
        <v>1088</v>
      </c>
      <c r="N187" s="279" t="s">
        <v>1088</v>
      </c>
      <c r="O187" s="268" t="s">
        <v>1088</v>
      </c>
      <c r="P187" s="268">
        <v>0</v>
      </c>
      <c r="Q187" s="277" t="s">
        <v>1088</v>
      </c>
      <c r="R187" s="267">
        <v>0</v>
      </c>
      <c r="S187" s="267">
        <v>0</v>
      </c>
      <c r="T187" s="276" t="s">
        <v>1088</v>
      </c>
    </row>
    <row r="188" spans="1:20" x14ac:dyDescent="0.25">
      <c r="A188" s="272" t="s">
        <v>459</v>
      </c>
      <c r="B188" s="275" t="s">
        <v>892</v>
      </c>
      <c r="C188" s="265">
        <v>0.49</v>
      </c>
      <c r="D188" s="273" t="s">
        <v>749</v>
      </c>
      <c r="E188" s="274" t="s">
        <v>748</v>
      </c>
      <c r="F188" s="265">
        <v>0</v>
      </c>
      <c r="G188" s="273" t="s">
        <v>891</v>
      </c>
      <c r="H188" s="272" t="s">
        <v>890</v>
      </c>
      <c r="I188" s="265">
        <v>0.01</v>
      </c>
      <c r="J188" s="271">
        <f t="shared" si="2"/>
        <v>0.5</v>
      </c>
      <c r="K188" s="270"/>
      <c r="L188" s="279" t="s">
        <v>1089</v>
      </c>
      <c r="M188" s="279" t="s">
        <v>1099</v>
      </c>
      <c r="N188" s="279" t="s">
        <v>1088</v>
      </c>
      <c r="O188" s="268" t="s">
        <v>1088</v>
      </c>
      <c r="P188" s="268">
        <v>0</v>
      </c>
      <c r="Q188" s="277" t="s">
        <v>1089</v>
      </c>
      <c r="R188" s="267">
        <v>975331</v>
      </c>
      <c r="S188" s="267">
        <v>0</v>
      </c>
      <c r="T188" s="276" t="s">
        <v>1089</v>
      </c>
    </row>
    <row r="189" spans="1:20" ht="15.75" customHeight="1" x14ac:dyDescent="0.25">
      <c r="A189" s="272" t="s">
        <v>461</v>
      </c>
      <c r="B189" s="275" t="s">
        <v>460</v>
      </c>
      <c r="C189" s="265">
        <v>0.4</v>
      </c>
      <c r="D189" s="273" t="s">
        <v>850</v>
      </c>
      <c r="E189" s="274" t="s">
        <v>849</v>
      </c>
      <c r="F189" s="265">
        <v>0.1</v>
      </c>
      <c r="G189" s="273" t="s">
        <v>749</v>
      </c>
      <c r="H189" s="272" t="s">
        <v>763</v>
      </c>
      <c r="I189" s="265">
        <v>0</v>
      </c>
      <c r="J189" s="271">
        <f t="shared" si="2"/>
        <v>0.5</v>
      </c>
      <c r="K189" s="270"/>
      <c r="L189" s="279" t="s">
        <v>1088</v>
      </c>
      <c r="M189" s="279" t="s">
        <v>1088</v>
      </c>
      <c r="N189" s="279" t="s">
        <v>1088</v>
      </c>
      <c r="O189" s="268" t="s">
        <v>1088</v>
      </c>
      <c r="P189" s="268">
        <v>0</v>
      </c>
      <c r="Q189" s="277" t="s">
        <v>1088</v>
      </c>
      <c r="R189" s="267">
        <v>0</v>
      </c>
      <c r="S189" s="267">
        <v>0</v>
      </c>
      <c r="T189" s="276" t="s">
        <v>1088</v>
      </c>
    </row>
    <row r="190" spans="1:20" x14ac:dyDescent="0.25">
      <c r="A190" s="272" t="s">
        <v>463</v>
      </c>
      <c r="B190" s="275" t="s">
        <v>889</v>
      </c>
      <c r="C190" s="265">
        <v>0.49</v>
      </c>
      <c r="D190" s="273" t="s">
        <v>749</v>
      </c>
      <c r="E190" s="274" t="s">
        <v>748</v>
      </c>
      <c r="F190" s="265">
        <v>0</v>
      </c>
      <c r="G190" s="273" t="s">
        <v>854</v>
      </c>
      <c r="H190" s="272" t="s">
        <v>853</v>
      </c>
      <c r="I190" s="265">
        <v>0.01</v>
      </c>
      <c r="J190" s="271">
        <f t="shared" si="2"/>
        <v>0.5</v>
      </c>
      <c r="K190" s="270"/>
      <c r="L190" s="279" t="s">
        <v>1089</v>
      </c>
      <c r="M190" s="279" t="s">
        <v>1091</v>
      </c>
      <c r="N190" s="279" t="s">
        <v>1088</v>
      </c>
      <c r="O190" s="268" t="s">
        <v>1088</v>
      </c>
      <c r="P190" s="268">
        <v>0</v>
      </c>
      <c r="Q190" s="277" t="s">
        <v>1089</v>
      </c>
      <c r="R190" s="267">
        <v>198698</v>
      </c>
      <c r="S190" s="267">
        <v>0</v>
      </c>
      <c r="T190" s="276" t="s">
        <v>1089</v>
      </c>
    </row>
    <row r="191" spans="1:20" x14ac:dyDescent="0.25">
      <c r="A191" s="272" t="s">
        <v>465</v>
      </c>
      <c r="B191" s="275" t="s">
        <v>464</v>
      </c>
      <c r="C191" s="265">
        <v>0.49</v>
      </c>
      <c r="D191" s="273" t="s">
        <v>749</v>
      </c>
      <c r="E191" s="274" t="s">
        <v>768</v>
      </c>
      <c r="F191" s="265">
        <v>0</v>
      </c>
      <c r="G191" s="273" t="s">
        <v>842</v>
      </c>
      <c r="H191" s="272" t="s">
        <v>841</v>
      </c>
      <c r="I191" s="265">
        <v>0.01</v>
      </c>
      <c r="J191" s="271">
        <f t="shared" si="2"/>
        <v>0.5</v>
      </c>
      <c r="K191" s="270"/>
      <c r="L191" s="279" t="s">
        <v>1089</v>
      </c>
      <c r="M191" s="279" t="s">
        <v>1115</v>
      </c>
      <c r="N191" s="279" t="s">
        <v>1088</v>
      </c>
      <c r="O191" s="268" t="s">
        <v>1088</v>
      </c>
      <c r="P191" s="268">
        <v>0</v>
      </c>
      <c r="Q191" s="277" t="s">
        <v>1089</v>
      </c>
      <c r="R191" s="267">
        <v>550844</v>
      </c>
      <c r="S191" s="267">
        <v>0</v>
      </c>
      <c r="T191" s="276" t="s">
        <v>1089</v>
      </c>
    </row>
    <row r="192" spans="1:20" ht="15.75" customHeight="1" x14ac:dyDescent="0.25">
      <c r="A192" s="272" t="s">
        <v>467</v>
      </c>
      <c r="B192" s="275" t="s">
        <v>466</v>
      </c>
      <c r="C192" s="265">
        <v>0.4</v>
      </c>
      <c r="D192" s="273" t="s">
        <v>814</v>
      </c>
      <c r="E192" s="274" t="s">
        <v>813</v>
      </c>
      <c r="F192" s="265">
        <v>0.1</v>
      </c>
      <c r="G192" s="273" t="s">
        <v>749</v>
      </c>
      <c r="H192" s="272" t="s">
        <v>763</v>
      </c>
      <c r="I192" s="265">
        <v>0</v>
      </c>
      <c r="J192" s="271">
        <f t="shared" si="2"/>
        <v>0.5</v>
      </c>
      <c r="K192" s="270"/>
      <c r="L192" s="279" t="s">
        <v>1088</v>
      </c>
      <c r="M192" s="279" t="s">
        <v>1088</v>
      </c>
      <c r="N192" s="279" t="s">
        <v>1088</v>
      </c>
      <c r="O192" s="268" t="s">
        <v>1088</v>
      </c>
      <c r="P192" s="268">
        <v>0</v>
      </c>
      <c r="Q192" s="277" t="s">
        <v>1088</v>
      </c>
      <c r="R192" s="267">
        <v>0</v>
      </c>
      <c r="S192" s="267">
        <v>0</v>
      </c>
      <c r="T192" s="276" t="s">
        <v>1088</v>
      </c>
    </row>
    <row r="193" spans="1:20" ht="15.75" customHeight="1" x14ac:dyDescent="0.25">
      <c r="A193" s="272" t="s">
        <v>469</v>
      </c>
      <c r="B193" s="275" t="s">
        <v>468</v>
      </c>
      <c r="C193" s="265">
        <v>0.4</v>
      </c>
      <c r="D193" s="273" t="s">
        <v>885</v>
      </c>
      <c r="E193" s="274" t="s">
        <v>884</v>
      </c>
      <c r="F193" s="265">
        <v>0.09</v>
      </c>
      <c r="G193" s="273" t="s">
        <v>870</v>
      </c>
      <c r="H193" s="272" t="s">
        <v>869</v>
      </c>
      <c r="I193" s="265">
        <v>0.01</v>
      </c>
      <c r="J193" s="271">
        <f t="shared" si="2"/>
        <v>0.5</v>
      </c>
      <c r="K193" s="270"/>
      <c r="L193" s="279" t="s">
        <v>1088</v>
      </c>
      <c r="M193" s="279" t="s">
        <v>1088</v>
      </c>
      <c r="N193" s="279" t="s">
        <v>1088</v>
      </c>
      <c r="O193" s="268" t="s">
        <v>1088</v>
      </c>
      <c r="P193" s="268">
        <v>0</v>
      </c>
      <c r="Q193" s="277" t="s">
        <v>1088</v>
      </c>
      <c r="R193" s="267">
        <v>0</v>
      </c>
      <c r="S193" s="267">
        <v>0</v>
      </c>
      <c r="T193" s="276" t="s">
        <v>1088</v>
      </c>
    </row>
    <row r="194" spans="1:20" x14ac:dyDescent="0.25">
      <c r="A194" s="272" t="s">
        <v>471</v>
      </c>
      <c r="B194" s="275" t="s">
        <v>470</v>
      </c>
      <c r="C194" s="265">
        <v>0.4</v>
      </c>
      <c r="D194" s="273" t="s">
        <v>806</v>
      </c>
      <c r="E194" s="274" t="s">
        <v>805</v>
      </c>
      <c r="F194" s="265">
        <v>0.1</v>
      </c>
      <c r="G194" s="273" t="s">
        <v>749</v>
      </c>
      <c r="H194" s="272" t="s">
        <v>763</v>
      </c>
      <c r="I194" s="265">
        <v>0</v>
      </c>
      <c r="J194" s="271">
        <f t="shared" si="2"/>
        <v>0.5</v>
      </c>
      <c r="K194" s="270"/>
      <c r="L194" s="279" t="s">
        <v>1089</v>
      </c>
      <c r="M194" s="279" t="s">
        <v>1116</v>
      </c>
      <c r="N194" s="279" t="s">
        <v>1088</v>
      </c>
      <c r="O194" s="268" t="s">
        <v>1089</v>
      </c>
      <c r="P194" s="268">
        <v>152000</v>
      </c>
      <c r="Q194" s="277" t="s">
        <v>1088</v>
      </c>
      <c r="R194" s="267">
        <v>3407447</v>
      </c>
      <c r="S194" s="267">
        <v>0</v>
      </c>
      <c r="T194" s="276" t="s">
        <v>1088</v>
      </c>
    </row>
    <row r="195" spans="1:20" x14ac:dyDescent="0.25">
      <c r="A195" s="272" t="s">
        <v>473</v>
      </c>
      <c r="B195" s="275" t="s">
        <v>472</v>
      </c>
      <c r="C195" s="265">
        <v>0.5</v>
      </c>
      <c r="D195" s="273" t="s">
        <v>749</v>
      </c>
      <c r="E195" s="274" t="s">
        <v>748</v>
      </c>
      <c r="F195" s="265">
        <v>0</v>
      </c>
      <c r="G195" s="273" t="s">
        <v>749</v>
      </c>
      <c r="H195" s="272" t="s">
        <v>763</v>
      </c>
      <c r="I195" s="265">
        <v>0</v>
      </c>
      <c r="J195" s="271">
        <f t="shared" si="2"/>
        <v>0.5</v>
      </c>
      <c r="K195" s="270"/>
      <c r="L195" s="279" t="s">
        <v>1089</v>
      </c>
      <c r="M195" s="279" t="s">
        <v>1117</v>
      </c>
      <c r="N195" s="279" t="s">
        <v>1088</v>
      </c>
      <c r="O195" s="268" t="s">
        <v>1088</v>
      </c>
      <c r="P195" s="268">
        <v>0</v>
      </c>
      <c r="Q195" s="277" t="s">
        <v>1089</v>
      </c>
      <c r="R195" s="267">
        <v>11846</v>
      </c>
      <c r="S195" s="267">
        <v>0</v>
      </c>
      <c r="T195" s="276" t="s">
        <v>1089</v>
      </c>
    </row>
    <row r="196" spans="1:20" ht="15.75" customHeight="1" x14ac:dyDescent="0.25">
      <c r="A196" s="272" t="s">
        <v>475</v>
      </c>
      <c r="B196" s="275" t="s">
        <v>474</v>
      </c>
      <c r="C196" s="265">
        <v>0.4</v>
      </c>
      <c r="D196" s="273" t="s">
        <v>850</v>
      </c>
      <c r="E196" s="274" t="s">
        <v>849</v>
      </c>
      <c r="F196" s="265">
        <v>0.1</v>
      </c>
      <c r="G196" s="273" t="s">
        <v>749</v>
      </c>
      <c r="H196" s="272" t="s">
        <v>763</v>
      </c>
      <c r="I196" s="265">
        <v>0</v>
      </c>
      <c r="J196" s="271">
        <f t="shared" si="2"/>
        <v>0.5</v>
      </c>
      <c r="K196" s="270"/>
      <c r="L196" s="279" t="s">
        <v>1088</v>
      </c>
      <c r="M196" s="279" t="s">
        <v>1088</v>
      </c>
      <c r="N196" s="279" t="s">
        <v>1088</v>
      </c>
      <c r="O196" s="268" t="s">
        <v>1088</v>
      </c>
      <c r="P196" s="268">
        <v>0</v>
      </c>
      <c r="Q196" s="277" t="s">
        <v>1088</v>
      </c>
      <c r="R196" s="267">
        <v>0</v>
      </c>
      <c r="S196" s="267">
        <v>0</v>
      </c>
      <c r="T196" s="276" t="s">
        <v>1088</v>
      </c>
    </row>
    <row r="197" spans="1:20" x14ac:dyDescent="0.25">
      <c r="A197" s="272" t="s">
        <v>477</v>
      </c>
      <c r="B197" s="275" t="s">
        <v>888</v>
      </c>
      <c r="C197" s="265">
        <v>0.49</v>
      </c>
      <c r="D197" s="273" t="s">
        <v>749</v>
      </c>
      <c r="E197" s="274" t="s">
        <v>748</v>
      </c>
      <c r="F197" s="265">
        <v>0</v>
      </c>
      <c r="G197" s="273" t="s">
        <v>873</v>
      </c>
      <c r="H197" s="272" t="s">
        <v>872</v>
      </c>
      <c r="I197" s="265">
        <v>0.01</v>
      </c>
      <c r="J197" s="271">
        <f t="shared" si="2"/>
        <v>0.5</v>
      </c>
      <c r="K197" s="270"/>
      <c r="L197" s="279" t="s">
        <v>1089</v>
      </c>
      <c r="M197" s="279" t="s">
        <v>1118</v>
      </c>
      <c r="N197" s="279" t="s">
        <v>1119</v>
      </c>
      <c r="O197" s="268" t="s">
        <v>1088</v>
      </c>
      <c r="P197" s="268">
        <v>0</v>
      </c>
      <c r="Q197" s="277" t="s">
        <v>1089</v>
      </c>
      <c r="R197" s="267">
        <v>4103539</v>
      </c>
      <c r="S197" s="267">
        <v>5855936</v>
      </c>
      <c r="T197" s="276" t="s">
        <v>1089</v>
      </c>
    </row>
    <row r="198" spans="1:20" ht="15.75" customHeight="1" x14ac:dyDescent="0.25">
      <c r="A198" s="272" t="s">
        <v>479</v>
      </c>
      <c r="B198" s="275" t="s">
        <v>887</v>
      </c>
      <c r="C198" s="265">
        <v>0.4</v>
      </c>
      <c r="D198" s="273" t="s">
        <v>814</v>
      </c>
      <c r="E198" s="274" t="s">
        <v>813</v>
      </c>
      <c r="F198" s="265">
        <v>0.1</v>
      </c>
      <c r="G198" s="273" t="s">
        <v>749</v>
      </c>
      <c r="H198" s="272" t="s">
        <v>763</v>
      </c>
      <c r="I198" s="265">
        <v>0</v>
      </c>
      <c r="J198" s="271">
        <f t="shared" ref="J198:J261" si="3">+C198+F198+I198</f>
        <v>0.5</v>
      </c>
      <c r="K198" s="270"/>
      <c r="L198" s="279" t="s">
        <v>1088</v>
      </c>
      <c r="M198" s="279" t="s">
        <v>1088</v>
      </c>
      <c r="N198" s="279" t="s">
        <v>1088</v>
      </c>
      <c r="O198" s="268" t="s">
        <v>1088</v>
      </c>
      <c r="P198" s="268">
        <v>0</v>
      </c>
      <c r="Q198" s="277" t="s">
        <v>1088</v>
      </c>
      <c r="R198" s="267">
        <v>0</v>
      </c>
      <c r="S198" s="267">
        <v>0</v>
      </c>
      <c r="T198" s="276" t="s">
        <v>1088</v>
      </c>
    </row>
    <row r="199" spans="1:20" ht="15.75" customHeight="1" x14ac:dyDescent="0.25">
      <c r="A199" s="272" t="s">
        <v>481</v>
      </c>
      <c r="B199" s="275" t="s">
        <v>886</v>
      </c>
      <c r="C199" s="265">
        <v>0.4</v>
      </c>
      <c r="D199" s="273" t="s">
        <v>885</v>
      </c>
      <c r="E199" s="274" t="s">
        <v>884</v>
      </c>
      <c r="F199" s="265">
        <v>0.09</v>
      </c>
      <c r="G199" s="273" t="s">
        <v>870</v>
      </c>
      <c r="H199" s="272" t="s">
        <v>869</v>
      </c>
      <c r="I199" s="265">
        <v>0.01</v>
      </c>
      <c r="J199" s="271">
        <f t="shared" si="3"/>
        <v>0.5</v>
      </c>
      <c r="K199" s="270"/>
      <c r="L199" s="279" t="s">
        <v>1088</v>
      </c>
      <c r="M199" s="279" t="s">
        <v>1088</v>
      </c>
      <c r="N199" s="279" t="s">
        <v>1088</v>
      </c>
      <c r="O199" s="268" t="s">
        <v>1088</v>
      </c>
      <c r="P199" s="268">
        <v>0</v>
      </c>
      <c r="Q199" s="277" t="s">
        <v>1088</v>
      </c>
      <c r="R199" s="267">
        <v>0</v>
      </c>
      <c r="S199" s="267">
        <v>0</v>
      </c>
      <c r="T199" s="276" t="s">
        <v>1088</v>
      </c>
    </row>
    <row r="200" spans="1:20" ht="15.75" customHeight="1" x14ac:dyDescent="0.25">
      <c r="A200" s="272" t="s">
        <v>483</v>
      </c>
      <c r="B200" s="275" t="s">
        <v>482</v>
      </c>
      <c r="C200" s="265">
        <v>0.49</v>
      </c>
      <c r="D200" s="273" t="s">
        <v>749</v>
      </c>
      <c r="E200" s="274" t="s">
        <v>768</v>
      </c>
      <c r="F200" s="265">
        <v>0</v>
      </c>
      <c r="G200" s="273" t="s">
        <v>784</v>
      </c>
      <c r="H200" s="272" t="s">
        <v>783</v>
      </c>
      <c r="I200" s="265">
        <v>0.01</v>
      </c>
      <c r="J200" s="271">
        <f t="shared" si="3"/>
        <v>0.5</v>
      </c>
      <c r="L200" s="279" t="s">
        <v>1088</v>
      </c>
      <c r="M200" s="279" t="s">
        <v>1088</v>
      </c>
      <c r="N200" s="279" t="s">
        <v>1088</v>
      </c>
      <c r="O200" s="268" t="s">
        <v>1088</v>
      </c>
      <c r="P200" s="268">
        <v>0</v>
      </c>
      <c r="Q200" s="277" t="s">
        <v>1089</v>
      </c>
      <c r="R200" s="267">
        <v>0</v>
      </c>
      <c r="S200" s="267">
        <v>0</v>
      </c>
      <c r="T200" s="276" t="s">
        <v>1089</v>
      </c>
    </row>
    <row r="201" spans="1:20" ht="15.75" customHeight="1" x14ac:dyDescent="0.25">
      <c r="A201" s="272" t="s">
        <v>485</v>
      </c>
      <c r="B201" s="275" t="s">
        <v>484</v>
      </c>
      <c r="C201" s="265">
        <v>0.4</v>
      </c>
      <c r="D201" s="273" t="s">
        <v>797</v>
      </c>
      <c r="E201" s="274" t="s">
        <v>796</v>
      </c>
      <c r="F201" s="265">
        <v>0.1</v>
      </c>
      <c r="G201" s="273" t="s">
        <v>749</v>
      </c>
      <c r="H201" s="272" t="s">
        <v>763</v>
      </c>
      <c r="I201" s="265">
        <v>0</v>
      </c>
      <c r="J201" s="271">
        <f t="shared" si="3"/>
        <v>0.5</v>
      </c>
      <c r="K201" s="270"/>
      <c r="L201" s="279" t="s">
        <v>1088</v>
      </c>
      <c r="M201" s="279" t="s">
        <v>1088</v>
      </c>
      <c r="N201" s="279" t="s">
        <v>1088</v>
      </c>
      <c r="O201" s="268" t="s">
        <v>1088</v>
      </c>
      <c r="P201" s="268">
        <v>0</v>
      </c>
      <c r="Q201" s="277" t="s">
        <v>1088</v>
      </c>
      <c r="R201" s="267">
        <v>0</v>
      </c>
      <c r="S201" s="267">
        <v>0</v>
      </c>
      <c r="T201" s="276" t="s">
        <v>1088</v>
      </c>
    </row>
    <row r="202" spans="1:20" ht="15.75" customHeight="1" x14ac:dyDescent="0.25">
      <c r="A202" s="272" t="s">
        <v>487</v>
      </c>
      <c r="B202" s="275" t="s">
        <v>486</v>
      </c>
      <c r="C202" s="265">
        <v>0.4</v>
      </c>
      <c r="D202" s="273" t="s">
        <v>758</v>
      </c>
      <c r="E202" s="274" t="s">
        <v>757</v>
      </c>
      <c r="F202" s="265">
        <v>0.09</v>
      </c>
      <c r="G202" s="273" t="s">
        <v>756</v>
      </c>
      <c r="H202" s="272" t="s">
        <v>755</v>
      </c>
      <c r="I202" s="265">
        <v>0.01</v>
      </c>
      <c r="J202" s="271">
        <f t="shared" si="3"/>
        <v>0.5</v>
      </c>
      <c r="K202" s="270"/>
      <c r="L202" s="279" t="s">
        <v>1088</v>
      </c>
      <c r="M202" s="279" t="s">
        <v>1088</v>
      </c>
      <c r="N202" s="279" t="s">
        <v>1088</v>
      </c>
      <c r="O202" s="268" t="s">
        <v>1088</v>
      </c>
      <c r="P202" s="268">
        <v>0</v>
      </c>
      <c r="Q202" s="277" t="s">
        <v>1088</v>
      </c>
      <c r="R202" s="267">
        <v>0</v>
      </c>
      <c r="S202" s="267">
        <v>0</v>
      </c>
      <c r="T202" s="276" t="s">
        <v>1088</v>
      </c>
    </row>
    <row r="203" spans="1:20" ht="15.75" customHeight="1" x14ac:dyDescent="0.25">
      <c r="A203" s="272" t="s">
        <v>489</v>
      </c>
      <c r="B203" s="275" t="s">
        <v>883</v>
      </c>
      <c r="C203" s="265">
        <v>0.49</v>
      </c>
      <c r="D203" s="273" t="s">
        <v>749</v>
      </c>
      <c r="E203" s="274" t="s">
        <v>748</v>
      </c>
      <c r="F203" s="265">
        <v>0</v>
      </c>
      <c r="G203" s="273" t="s">
        <v>861</v>
      </c>
      <c r="H203" s="272" t="s">
        <v>860</v>
      </c>
      <c r="I203" s="265">
        <v>0.01</v>
      </c>
      <c r="J203" s="271">
        <f t="shared" si="3"/>
        <v>0.5</v>
      </c>
      <c r="K203" s="270"/>
      <c r="L203" s="279" t="s">
        <v>1088</v>
      </c>
      <c r="M203" s="279" t="s">
        <v>1088</v>
      </c>
      <c r="N203" s="279" t="s">
        <v>1088</v>
      </c>
      <c r="O203" s="268" t="s">
        <v>1089</v>
      </c>
      <c r="P203" s="268">
        <v>3309376</v>
      </c>
      <c r="Q203" s="277" t="s">
        <v>1089</v>
      </c>
      <c r="R203" s="267">
        <v>0</v>
      </c>
      <c r="S203" s="267">
        <v>0</v>
      </c>
      <c r="T203" s="276" t="s">
        <v>1089</v>
      </c>
    </row>
    <row r="204" spans="1:20" ht="15.75" customHeight="1" x14ac:dyDescent="0.25">
      <c r="A204" s="272" t="s">
        <v>491</v>
      </c>
      <c r="B204" s="275" t="s">
        <v>882</v>
      </c>
      <c r="C204" s="265">
        <v>0.49</v>
      </c>
      <c r="D204" s="273" t="s">
        <v>749</v>
      </c>
      <c r="E204" s="274" t="s">
        <v>748</v>
      </c>
      <c r="F204" s="265">
        <v>0</v>
      </c>
      <c r="G204" s="273" t="s">
        <v>793</v>
      </c>
      <c r="H204" s="272" t="s">
        <v>792</v>
      </c>
      <c r="I204" s="265">
        <v>0.01</v>
      </c>
      <c r="J204" s="271">
        <f t="shared" si="3"/>
        <v>0.5</v>
      </c>
      <c r="K204" s="270"/>
      <c r="L204" s="279" t="s">
        <v>1088</v>
      </c>
      <c r="M204" s="279" t="s">
        <v>1088</v>
      </c>
      <c r="N204" s="279" t="s">
        <v>1088</v>
      </c>
      <c r="O204" s="268" t="s">
        <v>1088</v>
      </c>
      <c r="P204" s="268">
        <v>0</v>
      </c>
      <c r="Q204" s="277" t="s">
        <v>1089</v>
      </c>
      <c r="R204" s="267">
        <v>0</v>
      </c>
      <c r="S204" s="267">
        <v>0</v>
      </c>
      <c r="T204" s="276" t="s">
        <v>1089</v>
      </c>
    </row>
    <row r="205" spans="1:20" ht="15.75" customHeight="1" x14ac:dyDescent="0.25">
      <c r="A205" s="272" t="s">
        <v>493</v>
      </c>
      <c r="B205" s="275" t="s">
        <v>881</v>
      </c>
      <c r="C205" s="265">
        <v>0.49</v>
      </c>
      <c r="D205" s="273" t="s">
        <v>749</v>
      </c>
      <c r="E205" s="274" t="s">
        <v>748</v>
      </c>
      <c r="F205" s="265">
        <v>0</v>
      </c>
      <c r="G205" s="273" t="s">
        <v>786</v>
      </c>
      <c r="H205" s="272" t="s">
        <v>785</v>
      </c>
      <c r="I205" s="265">
        <v>0.01</v>
      </c>
      <c r="J205" s="271">
        <f t="shared" si="3"/>
        <v>0.5</v>
      </c>
      <c r="K205" s="270"/>
      <c r="L205" s="279" t="s">
        <v>1088</v>
      </c>
      <c r="M205" s="279" t="s">
        <v>1088</v>
      </c>
      <c r="N205" s="279" t="s">
        <v>1088</v>
      </c>
      <c r="O205" s="268" t="s">
        <v>1089</v>
      </c>
      <c r="P205" s="268">
        <v>995191</v>
      </c>
      <c r="Q205" s="277" t="s">
        <v>1089</v>
      </c>
      <c r="R205" s="267">
        <v>0</v>
      </c>
      <c r="S205" s="267">
        <v>0</v>
      </c>
      <c r="T205" s="276" t="s">
        <v>1089</v>
      </c>
    </row>
    <row r="206" spans="1:20" ht="15.75" customHeight="1" x14ac:dyDescent="0.25">
      <c r="A206" s="272" t="s">
        <v>495</v>
      </c>
      <c r="B206" s="275" t="s">
        <v>880</v>
      </c>
      <c r="C206" s="265">
        <v>0.49</v>
      </c>
      <c r="D206" s="273" t="s">
        <v>749</v>
      </c>
      <c r="E206" s="274" t="s">
        <v>748</v>
      </c>
      <c r="F206" s="265">
        <v>0</v>
      </c>
      <c r="G206" s="273" t="s">
        <v>778</v>
      </c>
      <c r="H206" s="272" t="s">
        <v>777</v>
      </c>
      <c r="I206" s="265">
        <v>0.01</v>
      </c>
      <c r="J206" s="271">
        <f t="shared" si="3"/>
        <v>0.5</v>
      </c>
      <c r="K206" s="270"/>
      <c r="L206" s="279" t="s">
        <v>1088</v>
      </c>
      <c r="M206" s="279" t="s">
        <v>1088</v>
      </c>
      <c r="N206" s="279" t="s">
        <v>1088</v>
      </c>
      <c r="O206" s="268" t="s">
        <v>1088</v>
      </c>
      <c r="P206" s="268">
        <v>0</v>
      </c>
      <c r="Q206" s="277" t="s">
        <v>1089</v>
      </c>
      <c r="R206" s="267">
        <v>0</v>
      </c>
      <c r="S206" s="267">
        <v>0</v>
      </c>
      <c r="T206" s="276" t="s">
        <v>1089</v>
      </c>
    </row>
    <row r="207" spans="1:20" ht="15.75" customHeight="1" x14ac:dyDescent="0.25">
      <c r="A207" s="272" t="s">
        <v>497</v>
      </c>
      <c r="B207" s="275" t="s">
        <v>496</v>
      </c>
      <c r="C207" s="265">
        <v>0.4</v>
      </c>
      <c r="D207" s="273" t="s">
        <v>758</v>
      </c>
      <c r="E207" s="274" t="s">
        <v>757</v>
      </c>
      <c r="F207" s="265">
        <v>0.09</v>
      </c>
      <c r="G207" s="273" t="s">
        <v>756</v>
      </c>
      <c r="H207" s="272" t="s">
        <v>755</v>
      </c>
      <c r="I207" s="265">
        <v>0.01</v>
      </c>
      <c r="J207" s="271">
        <f t="shared" si="3"/>
        <v>0.5</v>
      </c>
      <c r="K207" s="270"/>
      <c r="L207" s="279" t="s">
        <v>1088</v>
      </c>
      <c r="M207" s="279" t="s">
        <v>1088</v>
      </c>
      <c r="N207" s="279" t="s">
        <v>1088</v>
      </c>
      <c r="O207" s="268" t="s">
        <v>1088</v>
      </c>
      <c r="P207" s="268">
        <v>0</v>
      </c>
      <c r="Q207" s="277" t="s">
        <v>1088</v>
      </c>
      <c r="R207" s="267">
        <v>0</v>
      </c>
      <c r="S207" s="267">
        <v>0</v>
      </c>
      <c r="T207" s="276" t="s">
        <v>1088</v>
      </c>
    </row>
    <row r="208" spans="1:20" ht="15.75" customHeight="1" x14ac:dyDescent="0.25">
      <c r="A208" s="272" t="s">
        <v>499</v>
      </c>
      <c r="B208" s="275" t="s">
        <v>498</v>
      </c>
      <c r="C208" s="265">
        <v>0.4</v>
      </c>
      <c r="D208" s="273" t="s">
        <v>788</v>
      </c>
      <c r="E208" s="274" t="s">
        <v>787</v>
      </c>
      <c r="F208" s="265">
        <v>0.09</v>
      </c>
      <c r="G208" s="273" t="s">
        <v>786</v>
      </c>
      <c r="H208" s="272" t="s">
        <v>785</v>
      </c>
      <c r="I208" s="265">
        <v>0.01</v>
      </c>
      <c r="J208" s="271">
        <f t="shared" si="3"/>
        <v>0.5</v>
      </c>
      <c r="K208" s="270"/>
      <c r="L208" s="279" t="s">
        <v>1088</v>
      </c>
      <c r="M208" s="279" t="s">
        <v>1088</v>
      </c>
      <c r="N208" s="279" t="s">
        <v>1088</v>
      </c>
      <c r="O208" s="268" t="s">
        <v>1088</v>
      </c>
      <c r="P208" s="268">
        <v>0</v>
      </c>
      <c r="Q208" s="277" t="s">
        <v>1088</v>
      </c>
      <c r="R208" s="267">
        <v>0</v>
      </c>
      <c r="S208" s="267">
        <v>0</v>
      </c>
      <c r="T208" s="276" t="s">
        <v>1088</v>
      </c>
    </row>
    <row r="209" spans="1:20" ht="15.75" customHeight="1" x14ac:dyDescent="0.25">
      <c r="A209" s="272" t="s">
        <v>501</v>
      </c>
      <c r="B209" s="275" t="s">
        <v>879</v>
      </c>
      <c r="C209" s="265">
        <v>0.49</v>
      </c>
      <c r="D209" s="273" t="s">
        <v>749</v>
      </c>
      <c r="E209" s="274" t="s">
        <v>748</v>
      </c>
      <c r="F209" s="265">
        <v>0</v>
      </c>
      <c r="G209" s="273" t="s">
        <v>770</v>
      </c>
      <c r="H209" s="272" t="s">
        <v>769</v>
      </c>
      <c r="I209" s="265">
        <v>0.01</v>
      </c>
      <c r="J209" s="271">
        <f t="shared" si="3"/>
        <v>0.5</v>
      </c>
      <c r="K209" s="270"/>
      <c r="L209" s="279" t="s">
        <v>1088</v>
      </c>
      <c r="M209" s="279" t="s">
        <v>1088</v>
      </c>
      <c r="N209" s="279" t="s">
        <v>1088</v>
      </c>
      <c r="O209" s="268" t="s">
        <v>1089</v>
      </c>
      <c r="P209" s="268">
        <v>5400000</v>
      </c>
      <c r="Q209" s="277" t="s">
        <v>1089</v>
      </c>
      <c r="R209" s="267">
        <v>0</v>
      </c>
      <c r="S209" s="267">
        <v>0</v>
      </c>
      <c r="T209" s="276" t="s">
        <v>1089</v>
      </c>
    </row>
    <row r="210" spans="1:20" ht="15.75" customHeight="1" x14ac:dyDescent="0.25">
      <c r="A210" s="272" t="s">
        <v>503</v>
      </c>
      <c r="B210" s="275" t="s">
        <v>502</v>
      </c>
      <c r="C210" s="265">
        <v>0.3</v>
      </c>
      <c r="D210" s="273" t="s">
        <v>791</v>
      </c>
      <c r="E210" s="274" t="s">
        <v>790</v>
      </c>
      <c r="F210" s="265">
        <v>0.2</v>
      </c>
      <c r="G210" s="273" t="s">
        <v>749</v>
      </c>
      <c r="H210" s="274" t="s">
        <v>749</v>
      </c>
      <c r="I210" s="265">
        <v>0</v>
      </c>
      <c r="J210" s="271">
        <f t="shared" si="3"/>
        <v>0.5</v>
      </c>
      <c r="K210" s="270"/>
      <c r="L210" s="279" t="s">
        <v>1088</v>
      </c>
      <c r="M210" s="279" t="s">
        <v>1088</v>
      </c>
      <c r="N210" s="279" t="s">
        <v>1088</v>
      </c>
      <c r="O210" s="268" t="s">
        <v>1088</v>
      </c>
      <c r="P210" s="268">
        <v>0</v>
      </c>
      <c r="Q210" s="277" t="s">
        <v>1089</v>
      </c>
      <c r="R210" s="267">
        <v>0</v>
      </c>
      <c r="S210" s="267">
        <v>0</v>
      </c>
      <c r="T210" s="276" t="s">
        <v>1089</v>
      </c>
    </row>
    <row r="211" spans="1:20" x14ac:dyDescent="0.25">
      <c r="A211" s="272" t="s">
        <v>505</v>
      </c>
      <c r="B211" s="275" t="s">
        <v>878</v>
      </c>
      <c r="C211" s="265">
        <v>0.49</v>
      </c>
      <c r="D211" s="273" t="s">
        <v>749</v>
      </c>
      <c r="E211" s="274" t="s">
        <v>748</v>
      </c>
      <c r="F211" s="265">
        <v>0</v>
      </c>
      <c r="G211" s="273" t="s">
        <v>845</v>
      </c>
      <c r="H211" s="272" t="s">
        <v>844</v>
      </c>
      <c r="I211" s="265">
        <v>0.01</v>
      </c>
      <c r="J211" s="271">
        <f t="shared" si="3"/>
        <v>0.5</v>
      </c>
      <c r="K211" s="270"/>
      <c r="L211" s="279" t="s">
        <v>1089</v>
      </c>
      <c r="M211" s="279" t="s">
        <v>1105</v>
      </c>
      <c r="N211" s="279" t="s">
        <v>1088</v>
      </c>
      <c r="O211" s="268" t="s">
        <v>1089</v>
      </c>
      <c r="P211" s="268">
        <v>560819</v>
      </c>
      <c r="Q211" s="277" t="s">
        <v>1089</v>
      </c>
      <c r="R211" s="267">
        <v>0</v>
      </c>
      <c r="S211" s="267">
        <v>0</v>
      </c>
      <c r="T211" s="276" t="s">
        <v>1089</v>
      </c>
    </row>
    <row r="212" spans="1:20" ht="15.75" customHeight="1" x14ac:dyDescent="0.25">
      <c r="A212" s="272" t="s">
        <v>507</v>
      </c>
      <c r="B212" s="275" t="s">
        <v>506</v>
      </c>
      <c r="C212" s="265">
        <v>0.4</v>
      </c>
      <c r="D212" s="273" t="s">
        <v>754</v>
      </c>
      <c r="E212" s="274" t="s">
        <v>753</v>
      </c>
      <c r="F212" s="265">
        <v>0.09</v>
      </c>
      <c r="G212" s="273" t="s">
        <v>752</v>
      </c>
      <c r="H212" s="272" t="s">
        <v>751</v>
      </c>
      <c r="I212" s="265">
        <v>0.01</v>
      </c>
      <c r="J212" s="271">
        <f t="shared" si="3"/>
        <v>0.5</v>
      </c>
      <c r="K212" s="270"/>
      <c r="L212" s="279" t="s">
        <v>1088</v>
      </c>
      <c r="M212" s="279" t="s">
        <v>1088</v>
      </c>
      <c r="N212" s="279" t="s">
        <v>1088</v>
      </c>
      <c r="O212" s="268" t="s">
        <v>1089</v>
      </c>
      <c r="P212" s="268">
        <v>972807</v>
      </c>
      <c r="Q212" s="277" t="s">
        <v>1088</v>
      </c>
      <c r="R212" s="267">
        <v>0</v>
      </c>
      <c r="S212" s="267">
        <v>0</v>
      </c>
      <c r="T212" s="276" t="s">
        <v>1088</v>
      </c>
    </row>
    <row r="213" spans="1:20" ht="15.75" customHeight="1" x14ac:dyDescent="0.25">
      <c r="A213" s="272" t="s">
        <v>509</v>
      </c>
      <c r="B213" s="275" t="s">
        <v>877</v>
      </c>
      <c r="C213" s="265">
        <v>0.4</v>
      </c>
      <c r="D213" s="273" t="s">
        <v>773</v>
      </c>
      <c r="E213" s="274" t="s">
        <v>772</v>
      </c>
      <c r="F213" s="265">
        <v>0.1</v>
      </c>
      <c r="G213" s="273" t="s">
        <v>749</v>
      </c>
      <c r="H213" s="272" t="s">
        <v>763</v>
      </c>
      <c r="I213" s="265">
        <v>0</v>
      </c>
      <c r="J213" s="271">
        <f t="shared" si="3"/>
        <v>0.5</v>
      </c>
      <c r="K213" s="270"/>
      <c r="L213" s="279" t="s">
        <v>1088</v>
      </c>
      <c r="M213" s="279" t="s">
        <v>1088</v>
      </c>
      <c r="N213" s="279" t="s">
        <v>1088</v>
      </c>
      <c r="O213" s="268" t="s">
        <v>1088</v>
      </c>
      <c r="P213" s="268">
        <v>0</v>
      </c>
      <c r="Q213" s="277" t="s">
        <v>1088</v>
      </c>
      <c r="R213" s="267">
        <v>0</v>
      </c>
      <c r="S213" s="267">
        <v>0</v>
      </c>
      <c r="T213" s="276" t="s">
        <v>1088</v>
      </c>
    </row>
    <row r="214" spans="1:20" x14ac:dyDescent="0.25">
      <c r="A214" s="272" t="s">
        <v>511</v>
      </c>
      <c r="B214" s="275" t="s">
        <v>510</v>
      </c>
      <c r="C214" s="265">
        <v>0.4</v>
      </c>
      <c r="D214" s="273" t="s">
        <v>758</v>
      </c>
      <c r="E214" s="274" t="s">
        <v>757</v>
      </c>
      <c r="F214" s="265">
        <v>0.09</v>
      </c>
      <c r="G214" s="273" t="s">
        <v>756</v>
      </c>
      <c r="H214" s="272" t="s">
        <v>755</v>
      </c>
      <c r="I214" s="265">
        <v>0.01</v>
      </c>
      <c r="J214" s="271">
        <f t="shared" si="3"/>
        <v>0.5</v>
      </c>
      <c r="K214" s="270"/>
      <c r="L214" s="279" t="s">
        <v>1089</v>
      </c>
      <c r="M214" s="279" t="s">
        <v>1101</v>
      </c>
      <c r="N214" s="279" t="s">
        <v>1088</v>
      </c>
      <c r="O214" s="268" t="s">
        <v>1088</v>
      </c>
      <c r="P214" s="268">
        <v>0</v>
      </c>
      <c r="Q214" s="277" t="s">
        <v>1088</v>
      </c>
      <c r="R214" s="267">
        <v>1861312</v>
      </c>
      <c r="S214" s="267">
        <v>0</v>
      </c>
      <c r="T214" s="276" t="s">
        <v>1088</v>
      </c>
    </row>
    <row r="215" spans="1:20" ht="15.75" customHeight="1" x14ac:dyDescent="0.25">
      <c r="A215" s="272" t="s">
        <v>515</v>
      </c>
      <c r="B215" s="275" t="s">
        <v>514</v>
      </c>
      <c r="C215" s="265">
        <v>0.4</v>
      </c>
      <c r="D215" s="273" t="s">
        <v>868</v>
      </c>
      <c r="E215" s="274" t="s">
        <v>867</v>
      </c>
      <c r="F215" s="265">
        <v>0.09</v>
      </c>
      <c r="G215" s="273" t="s">
        <v>747</v>
      </c>
      <c r="H215" s="272" t="s">
        <v>746</v>
      </c>
      <c r="I215" s="265">
        <v>0.01</v>
      </c>
      <c r="J215" s="271">
        <f t="shared" si="3"/>
        <v>0.5</v>
      </c>
      <c r="K215" s="270"/>
      <c r="L215" s="279" t="s">
        <v>1088</v>
      </c>
      <c r="M215" s="279" t="s">
        <v>1088</v>
      </c>
      <c r="N215" s="279" t="s">
        <v>1088</v>
      </c>
      <c r="O215" s="268" t="s">
        <v>1088</v>
      </c>
      <c r="P215" s="268">
        <v>0</v>
      </c>
      <c r="Q215" s="277" t="s">
        <v>1088</v>
      </c>
      <c r="R215" s="267">
        <v>0</v>
      </c>
      <c r="S215" s="267">
        <v>0</v>
      </c>
      <c r="T215" s="276" t="s">
        <v>1088</v>
      </c>
    </row>
    <row r="216" spans="1:20" ht="15.75" customHeight="1" x14ac:dyDescent="0.25">
      <c r="A216" s="272" t="s">
        <v>513</v>
      </c>
      <c r="B216" s="281" t="s">
        <v>876</v>
      </c>
      <c r="C216" s="265">
        <v>0.3</v>
      </c>
      <c r="D216" s="273" t="s">
        <v>791</v>
      </c>
      <c r="E216" s="274" t="s">
        <v>790</v>
      </c>
      <c r="F216" s="265">
        <v>0.2</v>
      </c>
      <c r="G216" s="273" t="s">
        <v>749</v>
      </c>
      <c r="H216" s="274" t="s">
        <v>749</v>
      </c>
      <c r="I216" s="265">
        <v>0</v>
      </c>
      <c r="J216" s="271">
        <f t="shared" si="3"/>
        <v>0.5</v>
      </c>
      <c r="K216" s="270"/>
      <c r="L216" s="279" t="s">
        <v>1088</v>
      </c>
      <c r="M216" s="279" t="s">
        <v>1088</v>
      </c>
      <c r="N216" s="279" t="s">
        <v>1088</v>
      </c>
      <c r="O216" s="268" t="s">
        <v>1088</v>
      </c>
      <c r="P216" s="268">
        <v>0</v>
      </c>
      <c r="Q216" s="277" t="s">
        <v>1089</v>
      </c>
      <c r="R216" s="267">
        <v>0</v>
      </c>
      <c r="S216" s="267">
        <v>0</v>
      </c>
      <c r="T216" s="276" t="s">
        <v>1089</v>
      </c>
    </row>
    <row r="217" spans="1:20" ht="15.75" customHeight="1" x14ac:dyDescent="0.25">
      <c r="A217" s="272" t="s">
        <v>517</v>
      </c>
      <c r="B217" s="275" t="s">
        <v>516</v>
      </c>
      <c r="C217" s="265">
        <v>0.49</v>
      </c>
      <c r="D217" s="273" t="s">
        <v>749</v>
      </c>
      <c r="E217" s="274" t="s">
        <v>768</v>
      </c>
      <c r="F217" s="265">
        <v>0</v>
      </c>
      <c r="G217" s="273" t="s">
        <v>784</v>
      </c>
      <c r="H217" s="272" t="s">
        <v>783</v>
      </c>
      <c r="I217" s="265">
        <v>0.01</v>
      </c>
      <c r="J217" s="271">
        <f t="shared" si="3"/>
        <v>0.5</v>
      </c>
      <c r="K217" s="270"/>
      <c r="L217" s="279" t="s">
        <v>1088</v>
      </c>
      <c r="M217" s="279" t="s">
        <v>1088</v>
      </c>
      <c r="N217" s="279" t="s">
        <v>1088</v>
      </c>
      <c r="O217" s="268" t="s">
        <v>1088</v>
      </c>
      <c r="P217" s="268">
        <v>0</v>
      </c>
      <c r="Q217" s="277" t="s">
        <v>1089</v>
      </c>
      <c r="R217" s="267">
        <v>0</v>
      </c>
      <c r="S217" s="267">
        <v>0</v>
      </c>
      <c r="T217" s="276" t="s">
        <v>1089</v>
      </c>
    </row>
    <row r="218" spans="1:20" ht="15.75" customHeight="1" x14ac:dyDescent="0.25">
      <c r="A218" s="272" t="s">
        <v>519</v>
      </c>
      <c r="B218" s="275" t="s">
        <v>518</v>
      </c>
      <c r="C218" s="265">
        <v>0.4</v>
      </c>
      <c r="D218" s="273" t="s">
        <v>823</v>
      </c>
      <c r="E218" s="274" t="s">
        <v>822</v>
      </c>
      <c r="F218" s="265">
        <v>0.09</v>
      </c>
      <c r="G218" s="273" t="s">
        <v>821</v>
      </c>
      <c r="H218" s="272" t="s">
        <v>820</v>
      </c>
      <c r="I218" s="265">
        <v>0.01</v>
      </c>
      <c r="J218" s="271">
        <f t="shared" si="3"/>
        <v>0.5</v>
      </c>
      <c r="K218" s="270"/>
      <c r="L218" s="279" t="s">
        <v>1088</v>
      </c>
      <c r="M218" s="279" t="s">
        <v>1088</v>
      </c>
      <c r="N218" s="279" t="s">
        <v>1088</v>
      </c>
      <c r="O218" s="268" t="s">
        <v>1088</v>
      </c>
      <c r="P218" s="268">
        <v>0</v>
      </c>
      <c r="Q218" s="277" t="s">
        <v>1088</v>
      </c>
      <c r="R218" s="267">
        <v>0</v>
      </c>
      <c r="S218" s="267">
        <v>0</v>
      </c>
      <c r="T218" s="276" t="s">
        <v>1088</v>
      </c>
    </row>
    <row r="219" spans="1:20" ht="15.75" customHeight="1" x14ac:dyDescent="0.25">
      <c r="A219" s="272" t="s">
        <v>521</v>
      </c>
      <c r="B219" s="275" t="s">
        <v>520</v>
      </c>
      <c r="C219" s="265">
        <v>0.4</v>
      </c>
      <c r="D219" s="273" t="s">
        <v>758</v>
      </c>
      <c r="E219" s="274" t="s">
        <v>757</v>
      </c>
      <c r="F219" s="265">
        <v>0.09</v>
      </c>
      <c r="G219" s="273" t="s">
        <v>756</v>
      </c>
      <c r="H219" s="272" t="s">
        <v>755</v>
      </c>
      <c r="I219" s="265">
        <v>0.01</v>
      </c>
      <c r="J219" s="271">
        <f t="shared" si="3"/>
        <v>0.5</v>
      </c>
      <c r="K219" s="270"/>
      <c r="L219" s="279" t="s">
        <v>1088</v>
      </c>
      <c r="M219" s="279" t="s">
        <v>1101</v>
      </c>
      <c r="N219" s="279" t="s">
        <v>1088</v>
      </c>
      <c r="O219" s="268" t="s">
        <v>1088</v>
      </c>
      <c r="P219" s="268">
        <v>0</v>
      </c>
      <c r="Q219" s="277" t="s">
        <v>1088</v>
      </c>
      <c r="R219" s="267">
        <v>0</v>
      </c>
      <c r="S219" s="267">
        <v>0</v>
      </c>
      <c r="T219" s="276" t="s">
        <v>1088</v>
      </c>
    </row>
    <row r="220" spans="1:20" ht="15.75" customHeight="1" x14ac:dyDescent="0.25">
      <c r="A220" s="272" t="s">
        <v>523</v>
      </c>
      <c r="B220" s="275" t="s">
        <v>522</v>
      </c>
      <c r="C220" s="265">
        <v>0.4</v>
      </c>
      <c r="D220" s="273" t="s">
        <v>810</v>
      </c>
      <c r="E220" s="274" t="s">
        <v>809</v>
      </c>
      <c r="F220" s="265">
        <v>0.09</v>
      </c>
      <c r="G220" s="273" t="s">
        <v>808</v>
      </c>
      <c r="H220" s="272" t="s">
        <v>807</v>
      </c>
      <c r="I220" s="265">
        <v>0.01</v>
      </c>
      <c r="J220" s="271">
        <f t="shared" si="3"/>
        <v>0.5</v>
      </c>
      <c r="K220" s="270"/>
      <c r="L220" s="279" t="s">
        <v>1088</v>
      </c>
      <c r="M220" s="279" t="s">
        <v>1088</v>
      </c>
      <c r="N220" s="279" t="s">
        <v>1088</v>
      </c>
      <c r="O220" s="268" t="s">
        <v>1088</v>
      </c>
      <c r="P220" s="268">
        <v>0</v>
      </c>
      <c r="Q220" s="277" t="s">
        <v>1088</v>
      </c>
      <c r="R220" s="267">
        <v>0</v>
      </c>
      <c r="S220" s="267">
        <v>0</v>
      </c>
      <c r="T220" s="276" t="s">
        <v>1088</v>
      </c>
    </row>
    <row r="221" spans="1:20" x14ac:dyDescent="0.25">
      <c r="A221" s="272" t="s">
        <v>525</v>
      </c>
      <c r="B221" s="275" t="s">
        <v>524</v>
      </c>
      <c r="C221" s="265">
        <v>0.49</v>
      </c>
      <c r="D221" s="273" t="s">
        <v>749</v>
      </c>
      <c r="E221" s="274" t="s">
        <v>768</v>
      </c>
      <c r="F221" s="265">
        <v>0</v>
      </c>
      <c r="G221" s="273" t="s">
        <v>866</v>
      </c>
      <c r="H221" s="272" t="s">
        <v>865</v>
      </c>
      <c r="I221" s="265">
        <v>0.01</v>
      </c>
      <c r="J221" s="271">
        <f t="shared" si="3"/>
        <v>0.5</v>
      </c>
      <c r="K221" s="270"/>
      <c r="L221" s="279" t="s">
        <v>1089</v>
      </c>
      <c r="M221" s="279" t="s">
        <v>1095</v>
      </c>
      <c r="N221" s="279" t="s">
        <v>1088</v>
      </c>
      <c r="O221" s="268" t="s">
        <v>1088</v>
      </c>
      <c r="P221" s="268">
        <v>0</v>
      </c>
      <c r="Q221" s="277" t="s">
        <v>1089</v>
      </c>
      <c r="R221" s="267">
        <v>336819</v>
      </c>
      <c r="S221" s="267">
        <v>0</v>
      </c>
      <c r="T221" s="276" t="s">
        <v>1089</v>
      </c>
    </row>
    <row r="222" spans="1:20" ht="15.75" customHeight="1" x14ac:dyDescent="0.25">
      <c r="A222" s="272" t="s">
        <v>527</v>
      </c>
      <c r="B222" s="275" t="s">
        <v>526</v>
      </c>
      <c r="C222" s="265">
        <v>0.4</v>
      </c>
      <c r="D222" s="273" t="s">
        <v>814</v>
      </c>
      <c r="E222" s="274" t="s">
        <v>813</v>
      </c>
      <c r="F222" s="265">
        <v>0.1</v>
      </c>
      <c r="G222" s="273" t="s">
        <v>749</v>
      </c>
      <c r="H222" s="272" t="s">
        <v>763</v>
      </c>
      <c r="I222" s="265">
        <v>0</v>
      </c>
      <c r="J222" s="271">
        <f t="shared" si="3"/>
        <v>0.5</v>
      </c>
      <c r="K222" s="270"/>
      <c r="L222" s="279" t="s">
        <v>1088</v>
      </c>
      <c r="M222" s="279" t="s">
        <v>1088</v>
      </c>
      <c r="N222" s="279" t="s">
        <v>1088</v>
      </c>
      <c r="O222" s="268" t="s">
        <v>1088</v>
      </c>
      <c r="P222" s="268">
        <v>0</v>
      </c>
      <c r="Q222" s="277" t="s">
        <v>1088</v>
      </c>
      <c r="R222" s="267">
        <v>0</v>
      </c>
      <c r="S222" s="267">
        <v>0</v>
      </c>
      <c r="T222" s="276" t="s">
        <v>1088</v>
      </c>
    </row>
    <row r="223" spans="1:20" ht="15.75" customHeight="1" x14ac:dyDescent="0.25">
      <c r="A223" s="272" t="s">
        <v>529</v>
      </c>
      <c r="B223" s="275" t="s">
        <v>528</v>
      </c>
      <c r="C223" s="265">
        <v>0.4</v>
      </c>
      <c r="D223" s="273" t="s">
        <v>773</v>
      </c>
      <c r="E223" s="274" t="s">
        <v>772</v>
      </c>
      <c r="F223" s="265">
        <v>0.1</v>
      </c>
      <c r="G223" s="273" t="s">
        <v>749</v>
      </c>
      <c r="H223" s="272" t="s">
        <v>763</v>
      </c>
      <c r="I223" s="265">
        <v>0</v>
      </c>
      <c r="J223" s="271">
        <f t="shared" si="3"/>
        <v>0.5</v>
      </c>
      <c r="K223" s="270"/>
      <c r="L223" s="279" t="s">
        <v>1088</v>
      </c>
      <c r="M223" s="279" t="s">
        <v>1088</v>
      </c>
      <c r="N223" s="279" t="s">
        <v>1088</v>
      </c>
      <c r="O223" s="268" t="s">
        <v>1088</v>
      </c>
      <c r="P223" s="268">
        <v>0</v>
      </c>
      <c r="Q223" s="277" t="s">
        <v>1088</v>
      </c>
      <c r="R223" s="267">
        <v>0</v>
      </c>
      <c r="S223" s="267">
        <v>0</v>
      </c>
      <c r="T223" s="276" t="s">
        <v>1088</v>
      </c>
    </row>
    <row r="224" spans="1:20" ht="15.75" customHeight="1" x14ac:dyDescent="0.25">
      <c r="A224" s="272" t="s">
        <v>531</v>
      </c>
      <c r="B224" s="275" t="s">
        <v>530</v>
      </c>
      <c r="C224" s="265">
        <v>0.4</v>
      </c>
      <c r="D224" s="273" t="s">
        <v>875</v>
      </c>
      <c r="E224" s="274" t="s">
        <v>874</v>
      </c>
      <c r="F224" s="265">
        <v>0.09</v>
      </c>
      <c r="G224" s="273" t="s">
        <v>873</v>
      </c>
      <c r="H224" s="272" t="s">
        <v>872</v>
      </c>
      <c r="I224" s="265">
        <v>0.01</v>
      </c>
      <c r="J224" s="271">
        <f t="shared" si="3"/>
        <v>0.5</v>
      </c>
      <c r="K224" s="270"/>
      <c r="L224" s="279" t="s">
        <v>1088</v>
      </c>
      <c r="M224" s="279" t="s">
        <v>1088</v>
      </c>
      <c r="N224" s="279" t="s">
        <v>1088</v>
      </c>
      <c r="O224" s="268" t="s">
        <v>1089</v>
      </c>
      <c r="P224" s="268">
        <v>392000</v>
      </c>
      <c r="Q224" s="277" t="s">
        <v>1088</v>
      </c>
      <c r="R224" s="267">
        <v>0</v>
      </c>
      <c r="S224" s="267">
        <v>0</v>
      </c>
      <c r="T224" s="276" t="s">
        <v>1088</v>
      </c>
    </row>
    <row r="225" spans="1:20" ht="15.75" customHeight="1" x14ac:dyDescent="0.25">
      <c r="A225" s="272" t="s">
        <v>533</v>
      </c>
      <c r="B225" s="275" t="s">
        <v>532</v>
      </c>
      <c r="C225" s="265">
        <v>0.4</v>
      </c>
      <c r="D225" s="273" t="s">
        <v>780</v>
      </c>
      <c r="E225" s="274" t="s">
        <v>779</v>
      </c>
      <c r="F225" s="265">
        <v>0.09</v>
      </c>
      <c r="G225" s="273" t="s">
        <v>778</v>
      </c>
      <c r="H225" s="272" t="s">
        <v>777</v>
      </c>
      <c r="I225" s="265">
        <v>0.01</v>
      </c>
      <c r="J225" s="271">
        <f t="shared" si="3"/>
        <v>0.5</v>
      </c>
      <c r="K225" s="270"/>
      <c r="L225" s="279" t="s">
        <v>1088</v>
      </c>
      <c r="M225" s="279" t="s">
        <v>1088</v>
      </c>
      <c r="N225" s="279" t="s">
        <v>1088</v>
      </c>
      <c r="O225" s="268" t="s">
        <v>1088</v>
      </c>
      <c r="P225" s="268">
        <v>0</v>
      </c>
      <c r="Q225" s="277" t="s">
        <v>1088</v>
      </c>
      <c r="R225" s="267">
        <v>0</v>
      </c>
      <c r="S225" s="267">
        <v>0</v>
      </c>
      <c r="T225" s="276" t="s">
        <v>1088</v>
      </c>
    </row>
    <row r="226" spans="1:20" ht="15.75" customHeight="1" x14ac:dyDescent="0.25">
      <c r="A226" s="272" t="s">
        <v>535</v>
      </c>
      <c r="B226" s="275" t="s">
        <v>871</v>
      </c>
      <c r="C226" s="265">
        <v>0.49</v>
      </c>
      <c r="D226" s="273" t="s">
        <v>749</v>
      </c>
      <c r="E226" s="274" t="s">
        <v>748</v>
      </c>
      <c r="F226" s="265">
        <v>0</v>
      </c>
      <c r="G226" s="273" t="s">
        <v>870</v>
      </c>
      <c r="H226" s="272" t="s">
        <v>869</v>
      </c>
      <c r="I226" s="265">
        <v>0.01</v>
      </c>
      <c r="J226" s="271">
        <f t="shared" si="3"/>
        <v>0.5</v>
      </c>
      <c r="K226" s="270"/>
      <c r="L226" s="279" t="s">
        <v>1088</v>
      </c>
      <c r="M226" s="279" t="s">
        <v>1088</v>
      </c>
      <c r="N226" s="279" t="s">
        <v>1088</v>
      </c>
      <c r="O226" s="268" t="s">
        <v>1088</v>
      </c>
      <c r="P226" s="268">
        <v>0</v>
      </c>
      <c r="Q226" s="277" t="s">
        <v>1089</v>
      </c>
      <c r="R226" s="267">
        <v>0</v>
      </c>
      <c r="S226" s="267">
        <v>0</v>
      </c>
      <c r="T226" s="276" t="s">
        <v>1089</v>
      </c>
    </row>
    <row r="227" spans="1:20" ht="15.75" customHeight="1" x14ac:dyDescent="0.25">
      <c r="A227" s="272" t="s">
        <v>537</v>
      </c>
      <c r="B227" s="275" t="s">
        <v>536</v>
      </c>
      <c r="C227" s="265">
        <v>0.4</v>
      </c>
      <c r="D227" s="273" t="s">
        <v>868</v>
      </c>
      <c r="E227" s="274" t="s">
        <v>867</v>
      </c>
      <c r="F227" s="265">
        <v>0.09</v>
      </c>
      <c r="G227" s="273" t="s">
        <v>747</v>
      </c>
      <c r="H227" s="272" t="s">
        <v>746</v>
      </c>
      <c r="I227" s="265">
        <v>0.01</v>
      </c>
      <c r="J227" s="271">
        <f t="shared" si="3"/>
        <v>0.5</v>
      </c>
      <c r="K227" s="270"/>
      <c r="L227" s="279" t="s">
        <v>1088</v>
      </c>
      <c r="M227" s="279" t="s">
        <v>1088</v>
      </c>
      <c r="N227" s="279" t="s">
        <v>1088</v>
      </c>
      <c r="O227" s="268" t="s">
        <v>1088</v>
      </c>
      <c r="P227" s="268">
        <v>0</v>
      </c>
      <c r="Q227" s="277" t="s">
        <v>1088</v>
      </c>
      <c r="R227" s="267">
        <v>0</v>
      </c>
      <c r="S227" s="267">
        <v>0</v>
      </c>
      <c r="T227" s="276" t="s">
        <v>1088</v>
      </c>
    </row>
    <row r="228" spans="1:20" ht="15.75" customHeight="1" x14ac:dyDescent="0.25">
      <c r="A228" s="272" t="s">
        <v>539</v>
      </c>
      <c r="B228" s="275" t="s">
        <v>538</v>
      </c>
      <c r="C228" s="265">
        <v>0.49</v>
      </c>
      <c r="D228" s="273" t="s">
        <v>749</v>
      </c>
      <c r="E228" s="274" t="s">
        <v>768</v>
      </c>
      <c r="F228" s="265">
        <v>0</v>
      </c>
      <c r="G228" s="273" t="s">
        <v>784</v>
      </c>
      <c r="H228" s="272" t="s">
        <v>783</v>
      </c>
      <c r="I228" s="265">
        <v>0.01</v>
      </c>
      <c r="J228" s="271">
        <f t="shared" si="3"/>
        <v>0.5</v>
      </c>
      <c r="K228" s="270"/>
      <c r="L228" s="279" t="s">
        <v>1088</v>
      </c>
      <c r="M228" s="279" t="s">
        <v>1088</v>
      </c>
      <c r="N228" s="279" t="s">
        <v>1088</v>
      </c>
      <c r="O228" s="268" t="s">
        <v>1088</v>
      </c>
      <c r="P228" s="268">
        <v>0</v>
      </c>
      <c r="Q228" s="277" t="s">
        <v>1089</v>
      </c>
      <c r="R228" s="267">
        <v>0</v>
      </c>
      <c r="S228" s="267">
        <v>0</v>
      </c>
      <c r="T228" s="276" t="s">
        <v>1089</v>
      </c>
    </row>
    <row r="229" spans="1:20" ht="15.75" customHeight="1" x14ac:dyDescent="0.25">
      <c r="A229" s="272" t="s">
        <v>541</v>
      </c>
      <c r="B229" s="275" t="s">
        <v>540</v>
      </c>
      <c r="C229" s="265">
        <v>0.49</v>
      </c>
      <c r="D229" s="273" t="s">
        <v>749</v>
      </c>
      <c r="E229" s="274" t="s">
        <v>768</v>
      </c>
      <c r="F229" s="265">
        <v>0</v>
      </c>
      <c r="G229" s="273" t="s">
        <v>767</v>
      </c>
      <c r="H229" s="272" t="s">
        <v>766</v>
      </c>
      <c r="I229" s="265">
        <v>0.01</v>
      </c>
      <c r="J229" s="271">
        <f t="shared" si="3"/>
        <v>0.5</v>
      </c>
      <c r="K229" s="270"/>
      <c r="L229" s="279" t="s">
        <v>1088</v>
      </c>
      <c r="M229" s="279" t="s">
        <v>1088</v>
      </c>
      <c r="N229" s="279" t="s">
        <v>1088</v>
      </c>
      <c r="O229" s="268" t="s">
        <v>1088</v>
      </c>
      <c r="P229" s="268">
        <v>0</v>
      </c>
      <c r="Q229" s="277" t="s">
        <v>1089</v>
      </c>
      <c r="R229" s="267">
        <v>0</v>
      </c>
      <c r="S229" s="267">
        <v>0</v>
      </c>
      <c r="T229" s="276" t="s">
        <v>1089</v>
      </c>
    </row>
    <row r="230" spans="1:20" ht="15.75" customHeight="1" x14ac:dyDescent="0.25">
      <c r="A230" s="272" t="s">
        <v>543</v>
      </c>
      <c r="B230" s="275" t="s">
        <v>542</v>
      </c>
      <c r="C230" s="265">
        <v>0.4</v>
      </c>
      <c r="D230" s="273" t="s">
        <v>868</v>
      </c>
      <c r="E230" s="274" t="s">
        <v>867</v>
      </c>
      <c r="F230" s="265">
        <v>0.09</v>
      </c>
      <c r="G230" s="273" t="s">
        <v>747</v>
      </c>
      <c r="H230" s="272" t="s">
        <v>746</v>
      </c>
      <c r="I230" s="265">
        <v>0.01</v>
      </c>
      <c r="J230" s="271">
        <f t="shared" si="3"/>
        <v>0.5</v>
      </c>
      <c r="K230" s="270"/>
      <c r="L230" s="279" t="s">
        <v>1088</v>
      </c>
      <c r="M230" s="279" t="s">
        <v>1088</v>
      </c>
      <c r="N230" s="279" t="s">
        <v>1088</v>
      </c>
      <c r="O230" s="268" t="s">
        <v>1088</v>
      </c>
      <c r="P230" s="268">
        <v>0</v>
      </c>
      <c r="Q230" s="277" t="s">
        <v>1088</v>
      </c>
      <c r="R230" s="267">
        <v>0</v>
      </c>
      <c r="S230" s="267">
        <v>0</v>
      </c>
      <c r="T230" s="276" t="s">
        <v>1088</v>
      </c>
    </row>
    <row r="231" spans="1:20" ht="15.75" customHeight="1" x14ac:dyDescent="0.25">
      <c r="A231" s="272" t="s">
        <v>545</v>
      </c>
      <c r="B231" s="275" t="s">
        <v>544</v>
      </c>
      <c r="C231" s="265">
        <v>0.4</v>
      </c>
      <c r="D231" s="273" t="s">
        <v>795</v>
      </c>
      <c r="E231" s="274" t="s">
        <v>794</v>
      </c>
      <c r="F231" s="265">
        <v>0.09</v>
      </c>
      <c r="G231" s="273" t="s">
        <v>793</v>
      </c>
      <c r="H231" s="272" t="s">
        <v>792</v>
      </c>
      <c r="I231" s="265">
        <v>0.01</v>
      </c>
      <c r="J231" s="271">
        <f t="shared" si="3"/>
        <v>0.5</v>
      </c>
      <c r="K231" s="270"/>
      <c r="L231" s="279" t="s">
        <v>1088</v>
      </c>
      <c r="M231" s="279" t="s">
        <v>1088</v>
      </c>
      <c r="N231" s="279" t="s">
        <v>1088</v>
      </c>
      <c r="O231" s="268" t="s">
        <v>1088</v>
      </c>
      <c r="P231" s="268">
        <v>0</v>
      </c>
      <c r="Q231" s="277" t="s">
        <v>1088</v>
      </c>
      <c r="R231" s="267">
        <v>0</v>
      </c>
      <c r="S231" s="267">
        <v>0</v>
      </c>
      <c r="T231" s="276" t="s">
        <v>1088</v>
      </c>
    </row>
    <row r="232" spans="1:20" ht="15.75" customHeight="1" x14ac:dyDescent="0.25">
      <c r="A232" s="272" t="s">
        <v>547</v>
      </c>
      <c r="B232" s="275" t="s">
        <v>546</v>
      </c>
      <c r="C232" s="265">
        <v>0.49</v>
      </c>
      <c r="D232" s="273" t="s">
        <v>749</v>
      </c>
      <c r="E232" s="274" t="s">
        <v>768</v>
      </c>
      <c r="F232" s="265">
        <v>0</v>
      </c>
      <c r="G232" s="273" t="s">
        <v>775</v>
      </c>
      <c r="H232" s="272" t="s">
        <v>774</v>
      </c>
      <c r="I232" s="265">
        <v>0.01</v>
      </c>
      <c r="J232" s="271">
        <f t="shared" si="3"/>
        <v>0.5</v>
      </c>
      <c r="K232" s="270"/>
      <c r="L232" s="279" t="s">
        <v>1088</v>
      </c>
      <c r="M232" s="279" t="s">
        <v>1088</v>
      </c>
      <c r="N232" s="279" t="s">
        <v>1088</v>
      </c>
      <c r="O232" s="268" t="s">
        <v>1089</v>
      </c>
      <c r="P232" s="268">
        <v>1323200</v>
      </c>
      <c r="Q232" s="277" t="s">
        <v>1089</v>
      </c>
      <c r="R232" s="267">
        <v>0</v>
      </c>
      <c r="S232" s="267">
        <v>0</v>
      </c>
      <c r="T232" s="276" t="s">
        <v>1089</v>
      </c>
    </row>
    <row r="233" spans="1:20" ht="15.75" customHeight="1" x14ac:dyDescent="0.25">
      <c r="A233" s="272" t="s">
        <v>549</v>
      </c>
      <c r="B233" s="275" t="s">
        <v>548</v>
      </c>
      <c r="C233" s="265">
        <v>0.4</v>
      </c>
      <c r="D233" s="273" t="s">
        <v>868</v>
      </c>
      <c r="E233" s="274" t="s">
        <v>867</v>
      </c>
      <c r="F233" s="265">
        <v>0.09</v>
      </c>
      <c r="G233" s="273" t="s">
        <v>747</v>
      </c>
      <c r="H233" s="272" t="s">
        <v>746</v>
      </c>
      <c r="I233" s="265">
        <v>0.01</v>
      </c>
      <c r="J233" s="271">
        <f t="shared" si="3"/>
        <v>0.5</v>
      </c>
      <c r="K233" s="270"/>
      <c r="L233" s="279" t="s">
        <v>1088</v>
      </c>
      <c r="M233" s="279" t="s">
        <v>1088</v>
      </c>
      <c r="N233" s="279" t="s">
        <v>1088</v>
      </c>
      <c r="O233" s="268" t="s">
        <v>1088</v>
      </c>
      <c r="P233" s="268">
        <v>0</v>
      </c>
      <c r="Q233" s="277" t="s">
        <v>1088</v>
      </c>
      <c r="R233" s="267">
        <v>0</v>
      </c>
      <c r="S233" s="267">
        <v>0</v>
      </c>
      <c r="T233" s="276" t="s">
        <v>1088</v>
      </c>
    </row>
    <row r="234" spans="1:20" ht="15.75" customHeight="1" x14ac:dyDescent="0.25">
      <c r="A234" s="272" t="s">
        <v>551</v>
      </c>
      <c r="B234" s="275" t="s">
        <v>550</v>
      </c>
      <c r="C234" s="265">
        <v>0.4</v>
      </c>
      <c r="D234" s="273" t="s">
        <v>827</v>
      </c>
      <c r="E234" s="274" t="s">
        <v>826</v>
      </c>
      <c r="F234" s="265">
        <v>0.09</v>
      </c>
      <c r="G234" s="273" t="s">
        <v>825</v>
      </c>
      <c r="H234" s="272" t="s">
        <v>824</v>
      </c>
      <c r="I234" s="265">
        <v>0.01</v>
      </c>
      <c r="J234" s="271">
        <f t="shared" si="3"/>
        <v>0.5</v>
      </c>
      <c r="K234" s="270"/>
      <c r="L234" s="279" t="s">
        <v>1088</v>
      </c>
      <c r="M234" s="279" t="s">
        <v>1088</v>
      </c>
      <c r="N234" s="279" t="s">
        <v>1088</v>
      </c>
      <c r="O234" s="268" t="s">
        <v>1088</v>
      </c>
      <c r="P234" s="268">
        <v>0</v>
      </c>
      <c r="Q234" s="277" t="s">
        <v>1088</v>
      </c>
      <c r="R234" s="267">
        <v>0</v>
      </c>
      <c r="S234" s="267">
        <v>0</v>
      </c>
      <c r="T234" s="276" t="s">
        <v>1088</v>
      </c>
    </row>
    <row r="235" spans="1:20" x14ac:dyDescent="0.25">
      <c r="A235" s="272" t="s">
        <v>553</v>
      </c>
      <c r="B235" s="275" t="s">
        <v>552</v>
      </c>
      <c r="C235" s="265">
        <v>0.49</v>
      </c>
      <c r="D235" s="273" t="s">
        <v>749</v>
      </c>
      <c r="E235" s="274" t="s">
        <v>768</v>
      </c>
      <c r="F235" s="265">
        <v>0</v>
      </c>
      <c r="G235" s="273" t="s">
        <v>866</v>
      </c>
      <c r="H235" s="272" t="s">
        <v>865</v>
      </c>
      <c r="I235" s="265">
        <v>0.01</v>
      </c>
      <c r="J235" s="271">
        <f t="shared" si="3"/>
        <v>0.5</v>
      </c>
      <c r="K235" s="270"/>
      <c r="L235" s="279" t="s">
        <v>1089</v>
      </c>
      <c r="M235" s="279" t="s">
        <v>1095</v>
      </c>
      <c r="N235" s="279" t="s">
        <v>1102</v>
      </c>
      <c r="O235" s="268" t="s">
        <v>1088</v>
      </c>
      <c r="P235" s="268">
        <v>0</v>
      </c>
      <c r="Q235" s="277" t="s">
        <v>1089</v>
      </c>
      <c r="R235" s="267">
        <v>1681289</v>
      </c>
      <c r="S235" s="267">
        <v>1529012</v>
      </c>
      <c r="T235" s="276" t="s">
        <v>1089</v>
      </c>
    </row>
    <row r="236" spans="1:20" ht="15.75" customHeight="1" x14ac:dyDescent="0.25">
      <c r="A236" s="272" t="s">
        <v>555</v>
      </c>
      <c r="B236" s="275" t="s">
        <v>554</v>
      </c>
      <c r="C236" s="265">
        <v>0.4</v>
      </c>
      <c r="D236" s="273" t="s">
        <v>827</v>
      </c>
      <c r="E236" s="274" t="s">
        <v>826</v>
      </c>
      <c r="F236" s="265">
        <v>0.09</v>
      </c>
      <c r="G236" s="273" t="s">
        <v>825</v>
      </c>
      <c r="H236" s="272" t="s">
        <v>824</v>
      </c>
      <c r="I236" s="265">
        <v>0.01</v>
      </c>
      <c r="J236" s="271">
        <f t="shared" si="3"/>
        <v>0.5</v>
      </c>
      <c r="K236" s="270"/>
      <c r="L236" s="279" t="s">
        <v>1088</v>
      </c>
      <c r="M236" s="279" t="s">
        <v>1088</v>
      </c>
      <c r="N236" s="279" t="s">
        <v>1088</v>
      </c>
      <c r="O236" s="268" t="s">
        <v>1088</v>
      </c>
      <c r="P236" s="268">
        <v>0</v>
      </c>
      <c r="Q236" s="277" t="s">
        <v>1088</v>
      </c>
      <c r="R236" s="267">
        <v>0</v>
      </c>
      <c r="S236" s="267">
        <v>0</v>
      </c>
      <c r="T236" s="276" t="s">
        <v>1088</v>
      </c>
    </row>
    <row r="237" spans="1:20" ht="15.75" customHeight="1" x14ac:dyDescent="0.25">
      <c r="A237" s="272" t="s">
        <v>557</v>
      </c>
      <c r="B237" s="275" t="s">
        <v>556</v>
      </c>
      <c r="C237" s="265">
        <v>0.49</v>
      </c>
      <c r="D237" s="273" t="s">
        <v>749</v>
      </c>
      <c r="E237" s="274" t="s">
        <v>748</v>
      </c>
      <c r="F237" s="265">
        <v>0</v>
      </c>
      <c r="G237" s="273" t="s">
        <v>834</v>
      </c>
      <c r="H237" s="272" t="s">
        <v>833</v>
      </c>
      <c r="I237" s="265">
        <v>0.01</v>
      </c>
      <c r="J237" s="271">
        <f t="shared" si="3"/>
        <v>0.5</v>
      </c>
      <c r="K237" s="270"/>
      <c r="L237" s="279" t="s">
        <v>1088</v>
      </c>
      <c r="M237" s="279" t="s">
        <v>1088</v>
      </c>
      <c r="N237" s="279" t="s">
        <v>1088</v>
      </c>
      <c r="O237" s="268" t="s">
        <v>1088</v>
      </c>
      <c r="P237" s="268">
        <v>0</v>
      </c>
      <c r="Q237" s="277" t="s">
        <v>1089</v>
      </c>
      <c r="R237" s="267">
        <v>0</v>
      </c>
      <c r="S237" s="267">
        <v>0</v>
      </c>
      <c r="T237" s="276" t="s">
        <v>1089</v>
      </c>
    </row>
    <row r="238" spans="1:20" ht="15.75" customHeight="1" x14ac:dyDescent="0.25">
      <c r="A238" s="272" t="s">
        <v>559</v>
      </c>
      <c r="B238" s="275" t="s">
        <v>864</v>
      </c>
      <c r="C238" s="265">
        <v>0.49</v>
      </c>
      <c r="D238" s="273" t="s">
        <v>749</v>
      </c>
      <c r="E238" s="274" t="s">
        <v>748</v>
      </c>
      <c r="F238" s="265">
        <v>0</v>
      </c>
      <c r="G238" s="273" t="s">
        <v>770</v>
      </c>
      <c r="H238" s="272" t="s">
        <v>769</v>
      </c>
      <c r="I238" s="265">
        <v>0.01</v>
      </c>
      <c r="J238" s="271">
        <f t="shared" si="3"/>
        <v>0.5</v>
      </c>
      <c r="K238" s="270"/>
      <c r="L238" s="279" t="s">
        <v>1088</v>
      </c>
      <c r="M238" s="279" t="s">
        <v>1088</v>
      </c>
      <c r="N238" s="279" t="s">
        <v>1088</v>
      </c>
      <c r="O238" s="268" t="s">
        <v>1088</v>
      </c>
      <c r="P238" s="268">
        <v>0</v>
      </c>
      <c r="Q238" s="277" t="s">
        <v>1089</v>
      </c>
      <c r="R238" s="267">
        <v>0</v>
      </c>
      <c r="S238" s="267">
        <v>0</v>
      </c>
      <c r="T238" s="276" t="s">
        <v>1089</v>
      </c>
    </row>
    <row r="239" spans="1:20" ht="15.75" customHeight="1" x14ac:dyDescent="0.25">
      <c r="A239" s="272" t="s">
        <v>561</v>
      </c>
      <c r="B239" s="275" t="s">
        <v>560</v>
      </c>
      <c r="C239" s="265">
        <v>0.49</v>
      </c>
      <c r="D239" s="273" t="s">
        <v>749</v>
      </c>
      <c r="E239" s="274" t="s">
        <v>768</v>
      </c>
      <c r="F239" s="265">
        <v>0</v>
      </c>
      <c r="G239" s="273" t="s">
        <v>767</v>
      </c>
      <c r="H239" s="272" t="s">
        <v>766</v>
      </c>
      <c r="I239" s="265">
        <v>0.01</v>
      </c>
      <c r="J239" s="271">
        <f t="shared" si="3"/>
        <v>0.5</v>
      </c>
      <c r="K239" s="270"/>
      <c r="L239" s="279" t="s">
        <v>1088</v>
      </c>
      <c r="M239" s="279" t="s">
        <v>1088</v>
      </c>
      <c r="N239" s="279" t="s">
        <v>1088</v>
      </c>
      <c r="O239" s="268" t="s">
        <v>1089</v>
      </c>
      <c r="P239" s="268">
        <v>2576679</v>
      </c>
      <c r="Q239" s="277" t="s">
        <v>1089</v>
      </c>
      <c r="R239" s="267">
        <v>0</v>
      </c>
      <c r="S239" s="267">
        <v>0</v>
      </c>
      <c r="T239" s="276" t="s">
        <v>1089</v>
      </c>
    </row>
    <row r="240" spans="1:20" ht="15.75" customHeight="1" x14ac:dyDescent="0.25">
      <c r="A240" s="272" t="s">
        <v>563</v>
      </c>
      <c r="B240" s="275" t="s">
        <v>562</v>
      </c>
      <c r="C240" s="265">
        <v>0.4</v>
      </c>
      <c r="D240" s="273" t="s">
        <v>762</v>
      </c>
      <c r="E240" s="274" t="s">
        <v>761</v>
      </c>
      <c r="F240" s="265">
        <v>0.09</v>
      </c>
      <c r="G240" s="273" t="s">
        <v>760</v>
      </c>
      <c r="H240" s="272" t="s">
        <v>759</v>
      </c>
      <c r="I240" s="265">
        <v>0.01</v>
      </c>
      <c r="J240" s="271">
        <f t="shared" si="3"/>
        <v>0.5</v>
      </c>
      <c r="K240" s="270"/>
      <c r="L240" s="279" t="s">
        <v>1088</v>
      </c>
      <c r="M240" s="279" t="s">
        <v>1088</v>
      </c>
      <c r="N240" s="279" t="s">
        <v>1088</v>
      </c>
      <c r="O240" s="268" t="s">
        <v>1088</v>
      </c>
      <c r="P240" s="268">
        <v>0</v>
      </c>
      <c r="Q240" s="277" t="s">
        <v>1088</v>
      </c>
      <c r="R240" s="267">
        <v>0</v>
      </c>
      <c r="S240" s="267">
        <v>0</v>
      </c>
      <c r="T240" s="276" t="s">
        <v>1088</v>
      </c>
    </row>
    <row r="241" spans="1:20" ht="15.75" customHeight="1" x14ac:dyDescent="0.25">
      <c r="A241" s="272" t="s">
        <v>565</v>
      </c>
      <c r="B241" s="275" t="s">
        <v>564</v>
      </c>
      <c r="C241" s="265">
        <v>0.4</v>
      </c>
      <c r="D241" s="273" t="s">
        <v>863</v>
      </c>
      <c r="E241" s="274" t="s">
        <v>862</v>
      </c>
      <c r="F241" s="265">
        <v>0.09</v>
      </c>
      <c r="G241" s="273" t="s">
        <v>861</v>
      </c>
      <c r="H241" s="272" t="s">
        <v>860</v>
      </c>
      <c r="I241" s="265">
        <v>0.01</v>
      </c>
      <c r="J241" s="271">
        <f t="shared" si="3"/>
        <v>0.5</v>
      </c>
      <c r="K241" s="270"/>
      <c r="L241" s="279" t="s">
        <v>1088</v>
      </c>
      <c r="M241" s="279" t="s">
        <v>1088</v>
      </c>
      <c r="N241" s="279" t="s">
        <v>1088</v>
      </c>
      <c r="O241" s="268" t="s">
        <v>1088</v>
      </c>
      <c r="P241" s="268">
        <v>0</v>
      </c>
      <c r="Q241" s="277" t="s">
        <v>1088</v>
      </c>
      <c r="R241" s="267">
        <v>0</v>
      </c>
      <c r="S241" s="267">
        <v>0</v>
      </c>
      <c r="T241" s="276" t="s">
        <v>1088</v>
      </c>
    </row>
    <row r="242" spans="1:20" ht="15.75" customHeight="1" x14ac:dyDescent="0.25">
      <c r="A242" s="272" t="s">
        <v>567</v>
      </c>
      <c r="B242" s="275" t="s">
        <v>566</v>
      </c>
      <c r="C242" s="265">
        <v>0.4</v>
      </c>
      <c r="D242" s="273" t="s">
        <v>859</v>
      </c>
      <c r="E242" s="274" t="s">
        <v>858</v>
      </c>
      <c r="F242" s="265">
        <v>0.09</v>
      </c>
      <c r="G242" s="273" t="s">
        <v>857</v>
      </c>
      <c r="H242" s="272" t="s">
        <v>856</v>
      </c>
      <c r="I242" s="265">
        <v>0.01</v>
      </c>
      <c r="J242" s="271">
        <f t="shared" si="3"/>
        <v>0.5</v>
      </c>
      <c r="K242" s="270"/>
      <c r="L242" s="279" t="s">
        <v>1088</v>
      </c>
      <c r="M242" s="279" t="s">
        <v>1088</v>
      </c>
      <c r="N242" s="279" t="s">
        <v>1088</v>
      </c>
      <c r="O242" s="268" t="s">
        <v>1088</v>
      </c>
      <c r="P242" s="268">
        <v>0</v>
      </c>
      <c r="Q242" s="277" t="s">
        <v>1088</v>
      </c>
      <c r="R242" s="267">
        <v>0</v>
      </c>
      <c r="S242" s="267">
        <v>0</v>
      </c>
      <c r="T242" s="276" t="s">
        <v>1088</v>
      </c>
    </row>
    <row r="243" spans="1:20" x14ac:dyDescent="0.25">
      <c r="A243" s="272" t="s">
        <v>569</v>
      </c>
      <c r="B243" s="275" t="s">
        <v>855</v>
      </c>
      <c r="C243" s="265">
        <v>0.49</v>
      </c>
      <c r="D243" s="273" t="s">
        <v>749</v>
      </c>
      <c r="E243" s="274" t="s">
        <v>748</v>
      </c>
      <c r="F243" s="265">
        <v>0</v>
      </c>
      <c r="G243" s="273" t="s">
        <v>854</v>
      </c>
      <c r="H243" s="272" t="s">
        <v>853</v>
      </c>
      <c r="I243" s="265">
        <v>0.01</v>
      </c>
      <c r="J243" s="271">
        <f t="shared" si="3"/>
        <v>0.5</v>
      </c>
      <c r="K243" s="270"/>
      <c r="L243" s="279" t="s">
        <v>1089</v>
      </c>
      <c r="M243" s="279" t="s">
        <v>1091</v>
      </c>
      <c r="N243" s="279" t="s">
        <v>1088</v>
      </c>
      <c r="O243" s="268" t="s">
        <v>1088</v>
      </c>
      <c r="P243" s="268">
        <v>0</v>
      </c>
      <c r="Q243" s="277" t="s">
        <v>1089</v>
      </c>
      <c r="R243" s="267">
        <v>640636</v>
      </c>
      <c r="S243" s="267">
        <v>0</v>
      </c>
      <c r="T243" s="276" t="s">
        <v>1089</v>
      </c>
    </row>
    <row r="244" spans="1:20" ht="15.75" customHeight="1" x14ac:dyDescent="0.25">
      <c r="A244" s="272" t="s">
        <v>571</v>
      </c>
      <c r="B244" s="275" t="s">
        <v>570</v>
      </c>
      <c r="C244" s="265">
        <v>0.4</v>
      </c>
      <c r="D244" s="273" t="s">
        <v>801</v>
      </c>
      <c r="E244" s="274" t="s">
        <v>800</v>
      </c>
      <c r="F244" s="265">
        <v>0.09</v>
      </c>
      <c r="G244" s="273" t="s">
        <v>793</v>
      </c>
      <c r="H244" s="272" t="s">
        <v>792</v>
      </c>
      <c r="I244" s="265">
        <v>0.01</v>
      </c>
      <c r="J244" s="271">
        <f t="shared" si="3"/>
        <v>0.5</v>
      </c>
      <c r="K244" s="270"/>
      <c r="L244" s="279" t="s">
        <v>1088</v>
      </c>
      <c r="M244" s="279" t="s">
        <v>1088</v>
      </c>
      <c r="N244" s="279" t="s">
        <v>1088</v>
      </c>
      <c r="O244" s="268" t="s">
        <v>1088</v>
      </c>
      <c r="P244" s="268">
        <v>0</v>
      </c>
      <c r="Q244" s="277" t="s">
        <v>1088</v>
      </c>
      <c r="R244" s="267">
        <v>0</v>
      </c>
      <c r="S244" s="267">
        <v>0</v>
      </c>
      <c r="T244" s="276" t="s">
        <v>1088</v>
      </c>
    </row>
    <row r="245" spans="1:20" ht="15.75" customHeight="1" x14ac:dyDescent="0.25">
      <c r="A245" s="272" t="s">
        <v>573</v>
      </c>
      <c r="B245" s="275" t="s">
        <v>572</v>
      </c>
      <c r="C245" s="265">
        <v>0.4</v>
      </c>
      <c r="D245" s="273" t="s">
        <v>799</v>
      </c>
      <c r="E245" s="274" t="s">
        <v>798</v>
      </c>
      <c r="F245" s="265">
        <v>0.1</v>
      </c>
      <c r="G245" s="273" t="s">
        <v>749</v>
      </c>
      <c r="H245" s="272" t="s">
        <v>763</v>
      </c>
      <c r="I245" s="265">
        <v>0</v>
      </c>
      <c r="J245" s="271">
        <f t="shared" si="3"/>
        <v>0.5</v>
      </c>
      <c r="K245" s="270"/>
      <c r="L245" s="279" t="s">
        <v>1088</v>
      </c>
      <c r="M245" s="279" t="s">
        <v>1088</v>
      </c>
      <c r="N245" s="279" t="s">
        <v>1088</v>
      </c>
      <c r="O245" s="268" t="s">
        <v>1088</v>
      </c>
      <c r="P245" s="268">
        <v>0</v>
      </c>
      <c r="Q245" s="277" t="s">
        <v>1088</v>
      </c>
      <c r="R245" s="267">
        <v>0</v>
      </c>
      <c r="S245" s="267">
        <v>0</v>
      </c>
      <c r="T245" s="276" t="s">
        <v>1088</v>
      </c>
    </row>
    <row r="246" spans="1:20" ht="15.75" customHeight="1" x14ac:dyDescent="0.25">
      <c r="A246" s="272" t="s">
        <v>575</v>
      </c>
      <c r="B246" s="275" t="s">
        <v>574</v>
      </c>
      <c r="C246" s="265">
        <v>0.4</v>
      </c>
      <c r="D246" s="273" t="s">
        <v>799</v>
      </c>
      <c r="E246" s="274" t="s">
        <v>798</v>
      </c>
      <c r="F246" s="265">
        <v>0.1</v>
      </c>
      <c r="G246" s="273" t="s">
        <v>749</v>
      </c>
      <c r="H246" s="272" t="s">
        <v>763</v>
      </c>
      <c r="I246" s="265">
        <v>0</v>
      </c>
      <c r="J246" s="271">
        <f t="shared" si="3"/>
        <v>0.5</v>
      </c>
      <c r="K246" s="270"/>
      <c r="L246" s="279" t="s">
        <v>1088</v>
      </c>
      <c r="M246" s="279" t="s">
        <v>1088</v>
      </c>
      <c r="N246" s="279" t="s">
        <v>1088</v>
      </c>
      <c r="O246" s="268" t="s">
        <v>1088</v>
      </c>
      <c r="P246" s="268">
        <v>0</v>
      </c>
      <c r="Q246" s="277" t="s">
        <v>1088</v>
      </c>
      <c r="R246" s="267">
        <v>0</v>
      </c>
      <c r="S246" s="267">
        <v>0</v>
      </c>
      <c r="T246" s="276" t="s">
        <v>1088</v>
      </c>
    </row>
    <row r="247" spans="1:20" ht="15.75" customHeight="1" x14ac:dyDescent="0.25">
      <c r="A247" s="272" t="s">
        <v>577</v>
      </c>
      <c r="B247" s="275" t="s">
        <v>576</v>
      </c>
      <c r="C247" s="265">
        <v>0.4</v>
      </c>
      <c r="D247" s="273" t="s">
        <v>852</v>
      </c>
      <c r="E247" s="274" t="s">
        <v>851</v>
      </c>
      <c r="F247" s="265">
        <v>0.1</v>
      </c>
      <c r="G247" s="273" t="s">
        <v>749</v>
      </c>
      <c r="H247" s="272" t="s">
        <v>763</v>
      </c>
      <c r="I247" s="265">
        <v>0</v>
      </c>
      <c r="J247" s="271">
        <f t="shared" si="3"/>
        <v>0.5</v>
      </c>
      <c r="K247" s="270"/>
      <c r="L247" s="279" t="s">
        <v>1088</v>
      </c>
      <c r="M247" s="279" t="s">
        <v>1088</v>
      </c>
      <c r="N247" s="279" t="s">
        <v>1088</v>
      </c>
      <c r="O247" s="268" t="s">
        <v>1088</v>
      </c>
      <c r="P247" s="268">
        <v>0</v>
      </c>
      <c r="Q247" s="277" t="s">
        <v>1088</v>
      </c>
      <c r="R247" s="267">
        <v>0</v>
      </c>
      <c r="S247" s="267">
        <v>0</v>
      </c>
      <c r="T247" s="276" t="s">
        <v>1088</v>
      </c>
    </row>
    <row r="248" spans="1:20" ht="15.75" customHeight="1" x14ac:dyDescent="0.25">
      <c r="A248" s="272" t="s">
        <v>579</v>
      </c>
      <c r="B248" s="275" t="s">
        <v>578</v>
      </c>
      <c r="C248" s="265">
        <v>0.4</v>
      </c>
      <c r="D248" s="273" t="s">
        <v>850</v>
      </c>
      <c r="E248" s="274" t="s">
        <v>849</v>
      </c>
      <c r="F248" s="265">
        <v>0.1</v>
      </c>
      <c r="G248" s="273" t="s">
        <v>749</v>
      </c>
      <c r="H248" s="272" t="s">
        <v>763</v>
      </c>
      <c r="I248" s="265">
        <v>0</v>
      </c>
      <c r="J248" s="271">
        <f t="shared" si="3"/>
        <v>0.5</v>
      </c>
      <c r="K248" s="270"/>
      <c r="L248" s="279" t="s">
        <v>1088</v>
      </c>
      <c r="M248" s="279" t="s">
        <v>1088</v>
      </c>
      <c r="N248" s="279" t="s">
        <v>1088</v>
      </c>
      <c r="O248" s="268" t="s">
        <v>1088</v>
      </c>
      <c r="P248" s="268">
        <v>0</v>
      </c>
      <c r="Q248" s="277" t="s">
        <v>1088</v>
      </c>
      <c r="R248" s="267">
        <v>0</v>
      </c>
      <c r="S248" s="267">
        <v>0</v>
      </c>
      <c r="T248" s="276" t="s">
        <v>1088</v>
      </c>
    </row>
    <row r="249" spans="1:20" ht="15.75" customHeight="1" x14ac:dyDescent="0.25">
      <c r="A249" s="272" t="s">
        <v>581</v>
      </c>
      <c r="B249" s="275" t="s">
        <v>580</v>
      </c>
      <c r="C249" s="265">
        <v>0.4</v>
      </c>
      <c r="D249" s="273" t="s">
        <v>806</v>
      </c>
      <c r="E249" s="274" t="s">
        <v>805</v>
      </c>
      <c r="F249" s="265">
        <v>0.1</v>
      </c>
      <c r="G249" s="273" t="s">
        <v>749</v>
      </c>
      <c r="H249" s="272" t="s">
        <v>763</v>
      </c>
      <c r="I249" s="265">
        <v>0</v>
      </c>
      <c r="J249" s="271">
        <f t="shared" si="3"/>
        <v>0.5</v>
      </c>
      <c r="L249" s="279" t="s">
        <v>1088</v>
      </c>
      <c r="M249" s="279" t="s">
        <v>1088</v>
      </c>
      <c r="N249" s="279" t="s">
        <v>1088</v>
      </c>
      <c r="O249" s="268" t="s">
        <v>1088</v>
      </c>
      <c r="P249" s="268">
        <v>0</v>
      </c>
      <c r="Q249" s="277" t="s">
        <v>1088</v>
      </c>
      <c r="R249" s="267">
        <v>0</v>
      </c>
      <c r="S249" s="267">
        <v>0</v>
      </c>
      <c r="T249" s="276" t="s">
        <v>1088</v>
      </c>
    </row>
    <row r="250" spans="1:20" ht="15.75" customHeight="1" x14ac:dyDescent="0.25">
      <c r="A250" s="272" t="s">
        <v>583</v>
      </c>
      <c r="B250" s="275" t="s">
        <v>582</v>
      </c>
      <c r="C250" s="265">
        <v>0.4</v>
      </c>
      <c r="D250" s="273" t="s">
        <v>797</v>
      </c>
      <c r="E250" s="274" t="s">
        <v>796</v>
      </c>
      <c r="F250" s="265">
        <v>0.1</v>
      </c>
      <c r="G250" s="273" t="s">
        <v>749</v>
      </c>
      <c r="H250" s="272" t="s">
        <v>763</v>
      </c>
      <c r="I250" s="265">
        <v>0</v>
      </c>
      <c r="J250" s="271">
        <f t="shared" si="3"/>
        <v>0.5</v>
      </c>
      <c r="K250" s="270"/>
      <c r="L250" s="279" t="s">
        <v>1088</v>
      </c>
      <c r="M250" s="279" t="s">
        <v>1088</v>
      </c>
      <c r="N250" s="279" t="s">
        <v>1088</v>
      </c>
      <c r="O250" s="268" t="s">
        <v>1088</v>
      </c>
      <c r="P250" s="268">
        <v>0</v>
      </c>
      <c r="Q250" s="277" t="s">
        <v>1088</v>
      </c>
      <c r="R250" s="267">
        <v>0</v>
      </c>
      <c r="S250" s="267">
        <v>0</v>
      </c>
      <c r="T250" s="276" t="s">
        <v>1088</v>
      </c>
    </row>
    <row r="251" spans="1:20" ht="15.75" customHeight="1" x14ac:dyDescent="0.25">
      <c r="A251" s="272" t="s">
        <v>585</v>
      </c>
      <c r="B251" s="275" t="s">
        <v>584</v>
      </c>
      <c r="C251" s="265">
        <v>0.4</v>
      </c>
      <c r="D251" s="273" t="s">
        <v>758</v>
      </c>
      <c r="E251" s="274" t="s">
        <v>757</v>
      </c>
      <c r="F251" s="265">
        <v>0.09</v>
      </c>
      <c r="G251" s="273" t="s">
        <v>756</v>
      </c>
      <c r="H251" s="272" t="s">
        <v>755</v>
      </c>
      <c r="I251" s="265">
        <v>0.01</v>
      </c>
      <c r="J251" s="271">
        <f t="shared" si="3"/>
        <v>0.5</v>
      </c>
      <c r="K251" s="270"/>
      <c r="L251" s="279" t="s">
        <v>1088</v>
      </c>
      <c r="M251" s="279" t="s">
        <v>1088</v>
      </c>
      <c r="N251" s="279" t="s">
        <v>1088</v>
      </c>
      <c r="O251" s="268" t="s">
        <v>1088</v>
      </c>
      <c r="P251" s="268">
        <v>0</v>
      </c>
      <c r="Q251" s="277" t="s">
        <v>1088</v>
      </c>
      <c r="R251" s="267">
        <v>0</v>
      </c>
      <c r="S251" s="267">
        <v>0</v>
      </c>
      <c r="T251" s="276" t="s">
        <v>1088</v>
      </c>
    </row>
    <row r="252" spans="1:20" ht="15.75" customHeight="1" x14ac:dyDescent="0.25">
      <c r="A252" s="272" t="s">
        <v>587</v>
      </c>
      <c r="B252" s="275" t="s">
        <v>586</v>
      </c>
      <c r="C252" s="265">
        <v>0.4</v>
      </c>
      <c r="D252" s="273" t="s">
        <v>795</v>
      </c>
      <c r="E252" s="274" t="s">
        <v>794</v>
      </c>
      <c r="F252" s="265">
        <v>0.09</v>
      </c>
      <c r="G252" s="273" t="s">
        <v>793</v>
      </c>
      <c r="H252" s="272" t="s">
        <v>792</v>
      </c>
      <c r="I252" s="265">
        <v>0.01</v>
      </c>
      <c r="J252" s="271">
        <f t="shared" si="3"/>
        <v>0.5</v>
      </c>
      <c r="K252" s="270"/>
      <c r="L252" s="279" t="s">
        <v>1088</v>
      </c>
      <c r="M252" s="279" t="s">
        <v>1088</v>
      </c>
      <c r="N252" s="279" t="s">
        <v>1088</v>
      </c>
      <c r="O252" s="268" t="s">
        <v>1088</v>
      </c>
      <c r="P252" s="268">
        <v>0</v>
      </c>
      <c r="Q252" s="277" t="s">
        <v>1088</v>
      </c>
      <c r="R252" s="267">
        <v>0</v>
      </c>
      <c r="S252" s="267">
        <v>0</v>
      </c>
      <c r="T252" s="276" t="s">
        <v>1088</v>
      </c>
    </row>
    <row r="253" spans="1:20" x14ac:dyDescent="0.25">
      <c r="A253" s="272" t="s">
        <v>589</v>
      </c>
      <c r="B253" s="275" t="s">
        <v>588</v>
      </c>
      <c r="C253" s="265">
        <v>0.4</v>
      </c>
      <c r="D253" s="273" t="s">
        <v>839</v>
      </c>
      <c r="E253" s="274" t="s">
        <v>838</v>
      </c>
      <c r="F253" s="265">
        <v>0.09</v>
      </c>
      <c r="G253" s="273" t="s">
        <v>837</v>
      </c>
      <c r="H253" s="272" t="s">
        <v>836</v>
      </c>
      <c r="I253" s="265">
        <v>0.01</v>
      </c>
      <c r="J253" s="271">
        <f t="shared" si="3"/>
        <v>0.5</v>
      </c>
      <c r="K253" s="270"/>
      <c r="L253" s="279" t="s">
        <v>1089</v>
      </c>
      <c r="M253" s="279" t="s">
        <v>1120</v>
      </c>
      <c r="N253" s="279" t="s">
        <v>1088</v>
      </c>
      <c r="O253" s="268" t="s">
        <v>1088</v>
      </c>
      <c r="P253" s="268">
        <v>0</v>
      </c>
      <c r="Q253" s="277" t="s">
        <v>1088</v>
      </c>
      <c r="R253" s="267">
        <v>0</v>
      </c>
      <c r="S253" s="267">
        <v>0</v>
      </c>
      <c r="T253" s="276" t="s">
        <v>1088</v>
      </c>
    </row>
    <row r="254" spans="1:20" ht="15.75" customHeight="1" x14ac:dyDescent="0.25">
      <c r="A254" s="272" t="s">
        <v>591</v>
      </c>
      <c r="B254" s="275" t="s">
        <v>590</v>
      </c>
      <c r="C254" s="265">
        <v>0.49</v>
      </c>
      <c r="D254" s="273" t="s">
        <v>749</v>
      </c>
      <c r="E254" s="274" t="s">
        <v>768</v>
      </c>
      <c r="F254" s="265">
        <v>0</v>
      </c>
      <c r="G254" s="273" t="s">
        <v>842</v>
      </c>
      <c r="H254" s="272" t="s">
        <v>841</v>
      </c>
      <c r="I254" s="265">
        <v>0.01</v>
      </c>
      <c r="J254" s="271">
        <f t="shared" si="3"/>
        <v>0.5</v>
      </c>
      <c r="L254" s="279" t="s">
        <v>1088</v>
      </c>
      <c r="M254" s="279" t="s">
        <v>1088</v>
      </c>
      <c r="N254" s="279" t="s">
        <v>1088</v>
      </c>
      <c r="O254" s="268" t="s">
        <v>1089</v>
      </c>
      <c r="P254" s="268">
        <v>600000</v>
      </c>
      <c r="Q254" s="277" t="s">
        <v>1089</v>
      </c>
      <c r="R254" s="267">
        <v>0</v>
      </c>
      <c r="S254" s="267">
        <v>0</v>
      </c>
      <c r="T254" s="276" t="s">
        <v>1089</v>
      </c>
    </row>
    <row r="255" spans="1:20" ht="15.75" customHeight="1" x14ac:dyDescent="0.25">
      <c r="A255" s="272" t="s">
        <v>593</v>
      </c>
      <c r="B255" s="275" t="s">
        <v>848</v>
      </c>
      <c r="C255" s="265">
        <v>0.49</v>
      </c>
      <c r="D255" s="273" t="s">
        <v>749</v>
      </c>
      <c r="E255" s="274" t="s">
        <v>748</v>
      </c>
      <c r="F255" s="265">
        <v>0</v>
      </c>
      <c r="G255" s="273" t="s">
        <v>778</v>
      </c>
      <c r="H255" s="272" t="s">
        <v>777</v>
      </c>
      <c r="I255" s="265">
        <v>0.01</v>
      </c>
      <c r="J255" s="271">
        <f t="shared" si="3"/>
        <v>0.5</v>
      </c>
      <c r="K255" s="270"/>
      <c r="L255" s="279" t="s">
        <v>1088</v>
      </c>
      <c r="M255" s="279" t="s">
        <v>1088</v>
      </c>
      <c r="N255" s="279" t="s">
        <v>1088</v>
      </c>
      <c r="O255" s="268" t="s">
        <v>1088</v>
      </c>
      <c r="P255" s="268">
        <v>0</v>
      </c>
      <c r="Q255" s="277" t="s">
        <v>1089</v>
      </c>
      <c r="R255" s="267">
        <v>0</v>
      </c>
      <c r="S255" s="267">
        <v>0</v>
      </c>
      <c r="T255" s="276" t="s">
        <v>1089</v>
      </c>
    </row>
    <row r="256" spans="1:20" ht="15.75" customHeight="1" x14ac:dyDescent="0.25">
      <c r="A256" s="272" t="s">
        <v>595</v>
      </c>
      <c r="B256" s="275" t="s">
        <v>847</v>
      </c>
      <c r="C256" s="265">
        <v>0.49</v>
      </c>
      <c r="D256" s="273" t="s">
        <v>749</v>
      </c>
      <c r="E256" s="274" t="s">
        <v>748</v>
      </c>
      <c r="F256" s="265">
        <v>0</v>
      </c>
      <c r="G256" s="273" t="s">
        <v>821</v>
      </c>
      <c r="H256" s="272" t="s">
        <v>820</v>
      </c>
      <c r="I256" s="265">
        <v>0.01</v>
      </c>
      <c r="J256" s="271">
        <f t="shared" si="3"/>
        <v>0.5</v>
      </c>
      <c r="K256" s="270"/>
      <c r="L256" s="279" t="s">
        <v>1088</v>
      </c>
      <c r="M256" s="279" t="s">
        <v>1088</v>
      </c>
      <c r="N256" s="279" t="s">
        <v>1088</v>
      </c>
      <c r="O256" s="268" t="s">
        <v>1088</v>
      </c>
      <c r="P256" s="268">
        <v>0</v>
      </c>
      <c r="Q256" s="277" t="s">
        <v>1089</v>
      </c>
      <c r="R256" s="267">
        <v>0</v>
      </c>
      <c r="S256" s="267">
        <v>0</v>
      </c>
      <c r="T256" s="276" t="s">
        <v>1089</v>
      </c>
    </row>
    <row r="257" spans="1:20" ht="15.75" customHeight="1" x14ac:dyDescent="0.25">
      <c r="A257" s="272" t="s">
        <v>597</v>
      </c>
      <c r="B257" s="275" t="s">
        <v>596</v>
      </c>
      <c r="C257" s="265">
        <v>0.3</v>
      </c>
      <c r="D257" s="273" t="s">
        <v>791</v>
      </c>
      <c r="E257" s="274" t="s">
        <v>790</v>
      </c>
      <c r="F257" s="265">
        <v>0.2</v>
      </c>
      <c r="G257" s="273" t="s">
        <v>749</v>
      </c>
      <c r="H257" s="274" t="s">
        <v>749</v>
      </c>
      <c r="I257" s="265">
        <v>0</v>
      </c>
      <c r="J257" s="271">
        <f t="shared" si="3"/>
        <v>0.5</v>
      </c>
      <c r="K257" s="270"/>
      <c r="L257" s="279" t="s">
        <v>1088</v>
      </c>
      <c r="M257" s="279" t="s">
        <v>1088</v>
      </c>
      <c r="N257" s="279" t="s">
        <v>1088</v>
      </c>
      <c r="O257" s="268" t="s">
        <v>1089</v>
      </c>
      <c r="P257" s="268">
        <v>9042013</v>
      </c>
      <c r="Q257" s="277" t="s">
        <v>1089</v>
      </c>
      <c r="R257" s="267">
        <v>0</v>
      </c>
      <c r="S257" s="267">
        <v>0</v>
      </c>
      <c r="T257" s="276" t="s">
        <v>1089</v>
      </c>
    </row>
    <row r="258" spans="1:20" ht="15.75" customHeight="1" x14ac:dyDescent="0.25">
      <c r="A258" s="272" t="s">
        <v>599</v>
      </c>
      <c r="B258" s="275" t="s">
        <v>598</v>
      </c>
      <c r="C258" s="265">
        <v>0.4</v>
      </c>
      <c r="D258" s="273" t="s">
        <v>773</v>
      </c>
      <c r="E258" s="274" t="s">
        <v>772</v>
      </c>
      <c r="F258" s="265">
        <v>0.1</v>
      </c>
      <c r="G258" s="273" t="s">
        <v>749</v>
      </c>
      <c r="H258" s="272" t="s">
        <v>763</v>
      </c>
      <c r="I258" s="265">
        <v>0</v>
      </c>
      <c r="J258" s="271">
        <f t="shared" si="3"/>
        <v>0.5</v>
      </c>
      <c r="K258" s="270"/>
      <c r="L258" s="279" t="s">
        <v>1088</v>
      </c>
      <c r="M258" s="279" t="s">
        <v>1088</v>
      </c>
      <c r="N258" s="279" t="s">
        <v>1088</v>
      </c>
      <c r="O258" s="268" t="s">
        <v>1088</v>
      </c>
      <c r="P258" s="268">
        <v>0</v>
      </c>
      <c r="Q258" s="277" t="s">
        <v>1088</v>
      </c>
      <c r="R258" s="267">
        <v>0</v>
      </c>
      <c r="S258" s="267">
        <v>0</v>
      </c>
      <c r="T258" s="276" t="s">
        <v>1088</v>
      </c>
    </row>
    <row r="259" spans="1:20" ht="15.75" customHeight="1" x14ac:dyDescent="0.25">
      <c r="A259" s="272" t="s">
        <v>601</v>
      </c>
      <c r="B259" s="275" t="s">
        <v>600</v>
      </c>
      <c r="C259" s="265">
        <v>0.4</v>
      </c>
      <c r="D259" s="273" t="s">
        <v>804</v>
      </c>
      <c r="E259" s="274" t="s">
        <v>803</v>
      </c>
      <c r="F259" s="265">
        <v>0.1</v>
      </c>
      <c r="G259" s="273" t="s">
        <v>749</v>
      </c>
      <c r="H259" s="272" t="s">
        <v>763</v>
      </c>
      <c r="I259" s="265">
        <v>0</v>
      </c>
      <c r="J259" s="271">
        <f t="shared" si="3"/>
        <v>0.5</v>
      </c>
      <c r="K259" s="270"/>
      <c r="L259" s="279" t="s">
        <v>1088</v>
      </c>
      <c r="M259" s="279" t="s">
        <v>1088</v>
      </c>
      <c r="N259" s="279" t="s">
        <v>1088</v>
      </c>
      <c r="O259" s="268" t="s">
        <v>1088</v>
      </c>
      <c r="P259" s="268">
        <v>0</v>
      </c>
      <c r="Q259" s="277" t="s">
        <v>1088</v>
      </c>
      <c r="R259" s="267">
        <v>0</v>
      </c>
      <c r="S259" s="267">
        <v>0</v>
      </c>
      <c r="T259" s="276" t="s">
        <v>1088</v>
      </c>
    </row>
    <row r="260" spans="1:20" ht="15.75" customHeight="1" x14ac:dyDescent="0.25">
      <c r="A260" s="272" t="s">
        <v>603</v>
      </c>
      <c r="B260" s="275" t="s">
        <v>602</v>
      </c>
      <c r="C260" s="265">
        <v>0.4</v>
      </c>
      <c r="D260" s="273" t="s">
        <v>812</v>
      </c>
      <c r="E260" s="274" t="s">
        <v>811</v>
      </c>
      <c r="F260" s="265">
        <v>0.1</v>
      </c>
      <c r="G260" s="273" t="s">
        <v>749</v>
      </c>
      <c r="H260" s="272" t="s">
        <v>763</v>
      </c>
      <c r="I260" s="265">
        <v>0</v>
      </c>
      <c r="J260" s="271">
        <f t="shared" si="3"/>
        <v>0.5</v>
      </c>
      <c r="K260" s="270"/>
      <c r="L260" s="279" t="s">
        <v>1088</v>
      </c>
      <c r="M260" s="279" t="s">
        <v>1088</v>
      </c>
      <c r="N260" s="279" t="s">
        <v>1088</v>
      </c>
      <c r="O260" s="268" t="s">
        <v>1088</v>
      </c>
      <c r="P260" s="268">
        <v>0</v>
      </c>
      <c r="Q260" s="277" t="s">
        <v>1088</v>
      </c>
      <c r="R260" s="267">
        <v>0</v>
      </c>
      <c r="S260" s="267">
        <v>0</v>
      </c>
      <c r="T260" s="276" t="s">
        <v>1088</v>
      </c>
    </row>
    <row r="261" spans="1:20" ht="15.75" customHeight="1" x14ac:dyDescent="0.25">
      <c r="A261" s="272" t="s">
        <v>605</v>
      </c>
      <c r="B261" s="275" t="s">
        <v>604</v>
      </c>
      <c r="C261" s="265">
        <v>0.49</v>
      </c>
      <c r="D261" s="273" t="s">
        <v>749</v>
      </c>
      <c r="E261" s="274" t="s">
        <v>768</v>
      </c>
      <c r="F261" s="265">
        <v>0</v>
      </c>
      <c r="G261" s="273" t="s">
        <v>775</v>
      </c>
      <c r="H261" s="272" t="s">
        <v>774</v>
      </c>
      <c r="I261" s="265">
        <v>0.01</v>
      </c>
      <c r="J261" s="271">
        <f t="shared" si="3"/>
        <v>0.5</v>
      </c>
      <c r="L261" s="279" t="s">
        <v>1088</v>
      </c>
      <c r="M261" s="279" t="s">
        <v>1088</v>
      </c>
      <c r="N261" s="279" t="s">
        <v>1088</v>
      </c>
      <c r="O261" s="268" t="s">
        <v>1088</v>
      </c>
      <c r="P261" s="268">
        <v>0</v>
      </c>
      <c r="Q261" s="277" t="s">
        <v>1089</v>
      </c>
      <c r="R261" s="267">
        <v>0</v>
      </c>
      <c r="S261" s="267">
        <v>0</v>
      </c>
      <c r="T261" s="276" t="s">
        <v>1089</v>
      </c>
    </row>
    <row r="262" spans="1:20" ht="15.75" customHeight="1" x14ac:dyDescent="0.25">
      <c r="A262" s="272" t="s">
        <v>607</v>
      </c>
      <c r="B262" s="275" t="s">
        <v>606</v>
      </c>
      <c r="C262" s="265">
        <v>0.4</v>
      </c>
      <c r="D262" s="273" t="s">
        <v>839</v>
      </c>
      <c r="E262" s="274" t="s">
        <v>838</v>
      </c>
      <c r="F262" s="265">
        <v>0.09</v>
      </c>
      <c r="G262" s="273" t="s">
        <v>837</v>
      </c>
      <c r="H262" s="272" t="s">
        <v>836</v>
      </c>
      <c r="I262" s="265">
        <v>0.01</v>
      </c>
      <c r="J262" s="271">
        <f t="shared" ref="J262:J325" si="4">+C262+F262+I262</f>
        <v>0.5</v>
      </c>
      <c r="L262" s="279" t="s">
        <v>1088</v>
      </c>
      <c r="M262" s="279" t="s">
        <v>1088</v>
      </c>
      <c r="N262" s="279" t="s">
        <v>1088</v>
      </c>
      <c r="O262" s="268" t="s">
        <v>1088</v>
      </c>
      <c r="P262" s="268">
        <v>0</v>
      </c>
      <c r="Q262" s="277" t="s">
        <v>1088</v>
      </c>
      <c r="R262" s="267">
        <v>0</v>
      </c>
      <c r="S262" s="267">
        <v>0</v>
      </c>
      <c r="T262" s="276" t="s">
        <v>1088</v>
      </c>
    </row>
    <row r="263" spans="1:20" ht="15.75" customHeight="1" x14ac:dyDescent="0.25">
      <c r="A263" s="272" t="s">
        <v>609</v>
      </c>
      <c r="B263" s="275" t="s">
        <v>608</v>
      </c>
      <c r="C263" s="265">
        <v>0.4</v>
      </c>
      <c r="D263" s="273" t="s">
        <v>839</v>
      </c>
      <c r="E263" s="274" t="s">
        <v>838</v>
      </c>
      <c r="F263" s="265">
        <v>0.09</v>
      </c>
      <c r="G263" s="273" t="s">
        <v>837</v>
      </c>
      <c r="H263" s="272" t="s">
        <v>836</v>
      </c>
      <c r="I263" s="265">
        <v>0.01</v>
      </c>
      <c r="J263" s="271">
        <f t="shared" si="4"/>
        <v>0.5</v>
      </c>
      <c r="K263" s="270"/>
      <c r="L263" s="279" t="s">
        <v>1088</v>
      </c>
      <c r="M263" s="279" t="s">
        <v>1088</v>
      </c>
      <c r="N263" s="279" t="s">
        <v>1088</v>
      </c>
      <c r="O263" s="268" t="s">
        <v>1088</v>
      </c>
      <c r="P263" s="268">
        <v>0</v>
      </c>
      <c r="Q263" s="277" t="s">
        <v>1088</v>
      </c>
      <c r="R263" s="267">
        <v>0</v>
      </c>
      <c r="S263" s="267">
        <v>0</v>
      </c>
      <c r="T263" s="276" t="s">
        <v>1088</v>
      </c>
    </row>
    <row r="264" spans="1:20" ht="15.75" customHeight="1" x14ac:dyDescent="0.25">
      <c r="A264" s="272" t="s">
        <v>611</v>
      </c>
      <c r="B264" s="275" t="s">
        <v>610</v>
      </c>
      <c r="C264" s="265">
        <v>0.4</v>
      </c>
      <c r="D264" s="273" t="s">
        <v>804</v>
      </c>
      <c r="E264" s="274" t="s">
        <v>803</v>
      </c>
      <c r="F264" s="265">
        <v>0.1</v>
      </c>
      <c r="G264" s="273" t="s">
        <v>749</v>
      </c>
      <c r="H264" s="272" t="s">
        <v>763</v>
      </c>
      <c r="I264" s="265">
        <v>0</v>
      </c>
      <c r="J264" s="271">
        <f t="shared" si="4"/>
        <v>0.5</v>
      </c>
      <c r="K264" s="270"/>
      <c r="L264" s="279" t="s">
        <v>1088</v>
      </c>
      <c r="M264" s="279" t="s">
        <v>1088</v>
      </c>
      <c r="N264" s="279" t="s">
        <v>1088</v>
      </c>
      <c r="O264" s="268" t="s">
        <v>1088</v>
      </c>
      <c r="P264" s="268">
        <v>0</v>
      </c>
      <c r="Q264" s="277" t="s">
        <v>1088</v>
      </c>
      <c r="R264" s="267">
        <v>0</v>
      </c>
      <c r="S264" s="267">
        <v>0</v>
      </c>
      <c r="T264" s="276" t="s">
        <v>1088</v>
      </c>
    </row>
    <row r="265" spans="1:20" x14ac:dyDescent="0.25">
      <c r="A265" s="272" t="s">
        <v>613</v>
      </c>
      <c r="B265" s="275" t="s">
        <v>612</v>
      </c>
      <c r="C265" s="265">
        <v>0.49</v>
      </c>
      <c r="D265" s="273" t="s">
        <v>749</v>
      </c>
      <c r="E265" s="274" t="s">
        <v>768</v>
      </c>
      <c r="F265" s="265">
        <v>0</v>
      </c>
      <c r="G265" s="273" t="s">
        <v>784</v>
      </c>
      <c r="H265" s="272" t="s">
        <v>783</v>
      </c>
      <c r="I265" s="265">
        <v>0.01</v>
      </c>
      <c r="J265" s="271">
        <f t="shared" si="4"/>
        <v>0.5</v>
      </c>
      <c r="K265" s="270"/>
      <c r="L265" s="279" t="s">
        <v>1089</v>
      </c>
      <c r="M265" s="279" t="s">
        <v>1121</v>
      </c>
      <c r="N265" s="279" t="s">
        <v>1088</v>
      </c>
      <c r="O265" s="268" t="s">
        <v>1088</v>
      </c>
      <c r="P265" s="268">
        <v>0</v>
      </c>
      <c r="Q265" s="277" t="s">
        <v>1089</v>
      </c>
      <c r="R265" s="267">
        <v>6035290</v>
      </c>
      <c r="S265" s="267">
        <v>0</v>
      </c>
      <c r="T265" s="276" t="s">
        <v>1089</v>
      </c>
    </row>
    <row r="266" spans="1:20" x14ac:dyDescent="0.25">
      <c r="A266" s="272" t="s">
        <v>615</v>
      </c>
      <c r="B266" s="275" t="s">
        <v>846</v>
      </c>
      <c r="C266" s="265">
        <v>0.49</v>
      </c>
      <c r="D266" s="273" t="s">
        <v>749</v>
      </c>
      <c r="E266" s="274" t="s">
        <v>748</v>
      </c>
      <c r="F266" s="265">
        <v>0</v>
      </c>
      <c r="G266" s="273" t="s">
        <v>845</v>
      </c>
      <c r="H266" s="272" t="s">
        <v>844</v>
      </c>
      <c r="I266" s="265">
        <v>0.01</v>
      </c>
      <c r="J266" s="271">
        <f t="shared" si="4"/>
        <v>0.5</v>
      </c>
      <c r="K266" s="270"/>
      <c r="L266" s="279" t="s">
        <v>1089</v>
      </c>
      <c r="M266" s="279" t="s">
        <v>1105</v>
      </c>
      <c r="N266" s="279" t="s">
        <v>1088</v>
      </c>
      <c r="O266" s="268" t="s">
        <v>1088</v>
      </c>
      <c r="P266" s="268">
        <v>0</v>
      </c>
      <c r="Q266" s="277" t="s">
        <v>1089</v>
      </c>
      <c r="R266" s="267">
        <v>0</v>
      </c>
      <c r="S266" s="267">
        <v>0</v>
      </c>
      <c r="T266" s="276" t="s">
        <v>1089</v>
      </c>
    </row>
    <row r="267" spans="1:20" ht="15.75" customHeight="1" x14ac:dyDescent="0.25">
      <c r="A267" s="272" t="s">
        <v>617</v>
      </c>
      <c r="B267" s="275" t="s">
        <v>843</v>
      </c>
      <c r="C267" s="265">
        <v>0.49</v>
      </c>
      <c r="D267" s="273" t="s">
        <v>749</v>
      </c>
      <c r="E267" s="274" t="s">
        <v>748</v>
      </c>
      <c r="F267" s="265">
        <v>0</v>
      </c>
      <c r="G267" s="273" t="s">
        <v>837</v>
      </c>
      <c r="H267" s="272" t="s">
        <v>836</v>
      </c>
      <c r="I267" s="265">
        <v>0.01</v>
      </c>
      <c r="J267" s="271">
        <f t="shared" si="4"/>
        <v>0.5</v>
      </c>
      <c r="K267" s="270"/>
      <c r="L267" s="279" t="s">
        <v>1088</v>
      </c>
      <c r="M267" s="279" t="s">
        <v>1088</v>
      </c>
      <c r="N267" s="279" t="s">
        <v>1088</v>
      </c>
      <c r="O267" s="268" t="s">
        <v>1088</v>
      </c>
      <c r="P267" s="268">
        <v>0</v>
      </c>
      <c r="Q267" s="277" t="s">
        <v>1089</v>
      </c>
      <c r="R267" s="267">
        <v>0</v>
      </c>
      <c r="S267" s="267">
        <v>0</v>
      </c>
      <c r="T267" s="276" t="s">
        <v>1089</v>
      </c>
    </row>
    <row r="268" spans="1:20" ht="15.75" customHeight="1" x14ac:dyDescent="0.25">
      <c r="A268" s="272" t="s">
        <v>619</v>
      </c>
      <c r="B268" s="275" t="s">
        <v>618</v>
      </c>
      <c r="C268" s="265">
        <v>0.4</v>
      </c>
      <c r="D268" s="273" t="s">
        <v>814</v>
      </c>
      <c r="E268" s="274" t="s">
        <v>813</v>
      </c>
      <c r="F268" s="265">
        <v>0.1</v>
      </c>
      <c r="G268" s="273" t="s">
        <v>749</v>
      </c>
      <c r="H268" s="272" t="s">
        <v>763</v>
      </c>
      <c r="I268" s="265">
        <v>0</v>
      </c>
      <c r="J268" s="271">
        <f t="shared" si="4"/>
        <v>0.5</v>
      </c>
      <c r="K268" s="270"/>
      <c r="L268" s="279" t="s">
        <v>1088</v>
      </c>
      <c r="M268" s="279" t="s">
        <v>1088</v>
      </c>
      <c r="N268" s="279" t="s">
        <v>1088</v>
      </c>
      <c r="O268" s="268" t="s">
        <v>1088</v>
      </c>
      <c r="P268" s="268">
        <v>0</v>
      </c>
      <c r="Q268" s="277" t="s">
        <v>1088</v>
      </c>
      <c r="R268" s="267">
        <v>0</v>
      </c>
      <c r="S268" s="267">
        <v>0</v>
      </c>
      <c r="T268" s="276" t="s">
        <v>1088</v>
      </c>
    </row>
    <row r="269" spans="1:20" ht="15.75" customHeight="1" x14ac:dyDescent="0.25">
      <c r="A269" s="272" t="s">
        <v>621</v>
      </c>
      <c r="B269" s="275" t="s">
        <v>620</v>
      </c>
      <c r="C269" s="265">
        <v>0.4</v>
      </c>
      <c r="D269" s="273" t="s">
        <v>832</v>
      </c>
      <c r="E269" s="274" t="s">
        <v>831</v>
      </c>
      <c r="F269" s="265">
        <v>0.1</v>
      </c>
      <c r="G269" s="273" t="s">
        <v>749</v>
      </c>
      <c r="H269" s="272" t="s">
        <v>763</v>
      </c>
      <c r="I269" s="265">
        <v>0</v>
      </c>
      <c r="J269" s="271">
        <f t="shared" si="4"/>
        <v>0.5</v>
      </c>
      <c r="K269" s="270"/>
      <c r="L269" s="279" t="s">
        <v>1088</v>
      </c>
      <c r="M269" s="279" t="s">
        <v>1088</v>
      </c>
      <c r="N269" s="279" t="s">
        <v>1088</v>
      </c>
      <c r="O269" s="268" t="s">
        <v>1088</v>
      </c>
      <c r="P269" s="268">
        <v>0</v>
      </c>
      <c r="Q269" s="277" t="s">
        <v>1088</v>
      </c>
      <c r="R269" s="267">
        <v>0</v>
      </c>
      <c r="S269" s="267">
        <v>0</v>
      </c>
      <c r="T269" s="276" t="s">
        <v>1088</v>
      </c>
    </row>
    <row r="270" spans="1:20" ht="15.75" customHeight="1" x14ac:dyDescent="0.25">
      <c r="A270" s="272" t="s">
        <v>623</v>
      </c>
      <c r="B270" s="275" t="s">
        <v>622</v>
      </c>
      <c r="C270" s="265">
        <v>0.4</v>
      </c>
      <c r="D270" s="273" t="s">
        <v>812</v>
      </c>
      <c r="E270" s="274" t="s">
        <v>811</v>
      </c>
      <c r="F270" s="265">
        <v>0.1</v>
      </c>
      <c r="G270" s="273" t="s">
        <v>749</v>
      </c>
      <c r="H270" s="272" t="s">
        <v>763</v>
      </c>
      <c r="I270" s="265">
        <v>0</v>
      </c>
      <c r="J270" s="271">
        <f t="shared" si="4"/>
        <v>0.5</v>
      </c>
      <c r="K270" s="270"/>
      <c r="L270" s="279" t="s">
        <v>1088</v>
      </c>
      <c r="M270" s="279" t="s">
        <v>1088</v>
      </c>
      <c r="N270" s="279" t="s">
        <v>1088</v>
      </c>
      <c r="O270" s="268" t="s">
        <v>1088</v>
      </c>
      <c r="P270" s="268">
        <v>0</v>
      </c>
      <c r="Q270" s="277" t="s">
        <v>1088</v>
      </c>
      <c r="R270" s="267">
        <v>0</v>
      </c>
      <c r="S270" s="267">
        <v>0</v>
      </c>
      <c r="T270" s="276" t="s">
        <v>1088</v>
      </c>
    </row>
    <row r="271" spans="1:20" x14ac:dyDescent="0.25">
      <c r="A271" s="272" t="s">
        <v>625</v>
      </c>
      <c r="B271" s="275" t="s">
        <v>624</v>
      </c>
      <c r="C271" s="265">
        <v>0.49</v>
      </c>
      <c r="D271" s="273" t="s">
        <v>749</v>
      </c>
      <c r="E271" s="274" t="s">
        <v>768</v>
      </c>
      <c r="F271" s="265">
        <v>0</v>
      </c>
      <c r="G271" s="273" t="s">
        <v>842</v>
      </c>
      <c r="H271" s="272" t="s">
        <v>841</v>
      </c>
      <c r="I271" s="265">
        <v>0.01</v>
      </c>
      <c r="J271" s="271">
        <f t="shared" si="4"/>
        <v>0.5</v>
      </c>
      <c r="K271" s="270"/>
      <c r="L271" s="279" t="s">
        <v>1089</v>
      </c>
      <c r="M271" s="279" t="s">
        <v>1117</v>
      </c>
      <c r="N271" s="279" t="s">
        <v>1088</v>
      </c>
      <c r="O271" s="268" t="s">
        <v>1088</v>
      </c>
      <c r="P271" s="268">
        <v>0</v>
      </c>
      <c r="Q271" s="277" t="s">
        <v>1089</v>
      </c>
      <c r="R271" s="267">
        <v>142652</v>
      </c>
      <c r="S271" s="267">
        <v>0</v>
      </c>
      <c r="T271" s="276" t="s">
        <v>1089</v>
      </c>
    </row>
    <row r="272" spans="1:20" ht="15.75" customHeight="1" x14ac:dyDescent="0.25">
      <c r="A272" s="272" t="s">
        <v>627</v>
      </c>
      <c r="B272" s="275" t="s">
        <v>626</v>
      </c>
      <c r="C272" s="265">
        <v>0.4</v>
      </c>
      <c r="D272" s="273" t="s">
        <v>773</v>
      </c>
      <c r="E272" s="274" t="s">
        <v>772</v>
      </c>
      <c r="F272" s="265">
        <v>0.1</v>
      </c>
      <c r="G272" s="273" t="s">
        <v>749</v>
      </c>
      <c r="H272" s="272" t="s">
        <v>763</v>
      </c>
      <c r="I272" s="265">
        <v>0</v>
      </c>
      <c r="J272" s="271">
        <f t="shared" si="4"/>
        <v>0.5</v>
      </c>
      <c r="K272" s="270"/>
      <c r="L272" s="279" t="s">
        <v>1088</v>
      </c>
      <c r="M272" s="279" t="s">
        <v>1088</v>
      </c>
      <c r="N272" s="279" t="s">
        <v>1088</v>
      </c>
      <c r="O272" s="268" t="s">
        <v>1088</v>
      </c>
      <c r="P272" s="268">
        <v>0</v>
      </c>
      <c r="Q272" s="277" t="s">
        <v>1088</v>
      </c>
      <c r="R272" s="267">
        <v>0</v>
      </c>
      <c r="S272" s="267">
        <v>0</v>
      </c>
      <c r="T272" s="276" t="s">
        <v>1088</v>
      </c>
    </row>
    <row r="273" spans="1:20" ht="15.75" customHeight="1" x14ac:dyDescent="0.25">
      <c r="A273" s="272" t="s">
        <v>629</v>
      </c>
      <c r="B273" s="275" t="s">
        <v>628</v>
      </c>
      <c r="C273" s="265">
        <v>0.3</v>
      </c>
      <c r="D273" s="273" t="s">
        <v>791</v>
      </c>
      <c r="E273" s="274" t="s">
        <v>790</v>
      </c>
      <c r="F273" s="265">
        <v>0.2</v>
      </c>
      <c r="G273" s="273" t="s">
        <v>749</v>
      </c>
      <c r="H273" s="274" t="s">
        <v>749</v>
      </c>
      <c r="I273" s="265">
        <v>0</v>
      </c>
      <c r="J273" s="271">
        <f t="shared" si="4"/>
        <v>0.5</v>
      </c>
      <c r="K273" s="270"/>
      <c r="L273" s="279" t="s">
        <v>1088</v>
      </c>
      <c r="M273" s="279" t="s">
        <v>1088</v>
      </c>
      <c r="N273" s="279" t="s">
        <v>1088</v>
      </c>
      <c r="O273" s="268" t="s">
        <v>1088</v>
      </c>
      <c r="P273" s="268">
        <v>0</v>
      </c>
      <c r="Q273" s="277" t="s">
        <v>1089</v>
      </c>
      <c r="R273" s="267">
        <v>0</v>
      </c>
      <c r="S273" s="267">
        <v>0</v>
      </c>
      <c r="T273" s="276" t="s">
        <v>1089</v>
      </c>
    </row>
    <row r="274" spans="1:20" ht="15.75" customHeight="1" x14ac:dyDescent="0.25">
      <c r="A274" s="272" t="s">
        <v>631</v>
      </c>
      <c r="B274" s="275" t="s">
        <v>630</v>
      </c>
      <c r="C274" s="265">
        <v>0.4</v>
      </c>
      <c r="D274" s="273" t="s">
        <v>827</v>
      </c>
      <c r="E274" s="274" t="s">
        <v>826</v>
      </c>
      <c r="F274" s="265">
        <v>0.09</v>
      </c>
      <c r="G274" s="273" t="s">
        <v>825</v>
      </c>
      <c r="H274" s="272" t="s">
        <v>824</v>
      </c>
      <c r="I274" s="265">
        <v>0.01</v>
      </c>
      <c r="J274" s="271">
        <f t="shared" si="4"/>
        <v>0.5</v>
      </c>
      <c r="K274" s="270"/>
      <c r="L274" s="279" t="s">
        <v>1088</v>
      </c>
      <c r="M274" s="279" t="s">
        <v>1088</v>
      </c>
      <c r="N274" s="279" t="s">
        <v>1088</v>
      </c>
      <c r="O274" s="268" t="s">
        <v>1088</v>
      </c>
      <c r="P274" s="268">
        <v>0</v>
      </c>
      <c r="Q274" s="277" t="s">
        <v>1088</v>
      </c>
      <c r="R274" s="267">
        <v>0</v>
      </c>
      <c r="S274" s="267">
        <v>0</v>
      </c>
      <c r="T274" s="276" t="s">
        <v>1088</v>
      </c>
    </row>
    <row r="275" spans="1:20" ht="15.75" customHeight="1" x14ac:dyDescent="0.25">
      <c r="A275" s="272" t="s">
        <v>633</v>
      </c>
      <c r="B275" s="275" t="s">
        <v>840</v>
      </c>
      <c r="C275" s="265">
        <v>0.49</v>
      </c>
      <c r="D275" s="273" t="s">
        <v>749</v>
      </c>
      <c r="E275" s="274" t="s">
        <v>748</v>
      </c>
      <c r="F275" s="265">
        <v>0</v>
      </c>
      <c r="G275" s="273" t="s">
        <v>782</v>
      </c>
      <c r="H275" s="272" t="s">
        <v>781</v>
      </c>
      <c r="I275" s="265">
        <v>0.01</v>
      </c>
      <c r="J275" s="271">
        <f t="shared" si="4"/>
        <v>0.5</v>
      </c>
      <c r="K275" s="270"/>
      <c r="L275" s="279" t="s">
        <v>1088</v>
      </c>
      <c r="M275" s="279" t="s">
        <v>1088</v>
      </c>
      <c r="N275" s="279" t="s">
        <v>1088</v>
      </c>
      <c r="O275" s="268" t="s">
        <v>1088</v>
      </c>
      <c r="P275" s="268">
        <v>0</v>
      </c>
      <c r="Q275" s="277" t="s">
        <v>1089</v>
      </c>
      <c r="R275" s="267">
        <v>0</v>
      </c>
      <c r="S275" s="267">
        <v>0</v>
      </c>
      <c r="T275" s="276" t="s">
        <v>1089</v>
      </c>
    </row>
    <row r="276" spans="1:20" ht="15.75" customHeight="1" x14ac:dyDescent="0.25">
      <c r="A276" s="272" t="s">
        <v>635</v>
      </c>
      <c r="B276" s="275" t="s">
        <v>634</v>
      </c>
      <c r="C276" s="265">
        <v>0.49</v>
      </c>
      <c r="D276" s="273" t="s">
        <v>749</v>
      </c>
      <c r="E276" s="274" t="s">
        <v>768</v>
      </c>
      <c r="F276" s="265">
        <v>0</v>
      </c>
      <c r="G276" s="273" t="s">
        <v>784</v>
      </c>
      <c r="H276" s="272" t="s">
        <v>783</v>
      </c>
      <c r="I276" s="265">
        <v>0.01</v>
      </c>
      <c r="J276" s="271">
        <f t="shared" si="4"/>
        <v>0.5</v>
      </c>
      <c r="K276" s="270"/>
      <c r="L276" s="279" t="s">
        <v>1088</v>
      </c>
      <c r="M276" s="279" t="s">
        <v>1088</v>
      </c>
      <c r="N276" s="279" t="s">
        <v>1088</v>
      </c>
      <c r="O276" s="268" t="s">
        <v>1088</v>
      </c>
      <c r="P276" s="268">
        <v>0</v>
      </c>
      <c r="Q276" s="277" t="s">
        <v>1089</v>
      </c>
      <c r="R276" s="267">
        <v>0</v>
      </c>
      <c r="S276" s="267">
        <v>0</v>
      </c>
      <c r="T276" s="276" t="s">
        <v>1089</v>
      </c>
    </row>
    <row r="277" spans="1:20" ht="15.75" customHeight="1" x14ac:dyDescent="0.25">
      <c r="A277" s="272" t="s">
        <v>637</v>
      </c>
      <c r="B277" s="275" t="s">
        <v>636</v>
      </c>
      <c r="C277" s="265">
        <v>0.4</v>
      </c>
      <c r="D277" s="273" t="s">
        <v>839</v>
      </c>
      <c r="E277" s="274" t="s">
        <v>838</v>
      </c>
      <c r="F277" s="265">
        <v>0.09</v>
      </c>
      <c r="G277" s="273" t="s">
        <v>837</v>
      </c>
      <c r="H277" s="272" t="s">
        <v>836</v>
      </c>
      <c r="I277" s="265">
        <v>0.01</v>
      </c>
      <c r="J277" s="271">
        <f t="shared" si="4"/>
        <v>0.5</v>
      </c>
      <c r="K277" s="270"/>
      <c r="L277" s="279" t="s">
        <v>1088</v>
      </c>
      <c r="M277" s="279" t="s">
        <v>1088</v>
      </c>
      <c r="N277" s="279" t="s">
        <v>1088</v>
      </c>
      <c r="O277" s="268" t="s">
        <v>1088</v>
      </c>
      <c r="P277" s="268">
        <v>0</v>
      </c>
      <c r="Q277" s="277" t="s">
        <v>1088</v>
      </c>
      <c r="R277" s="267">
        <v>0</v>
      </c>
      <c r="S277" s="267">
        <v>0</v>
      </c>
      <c r="T277" s="276" t="s">
        <v>1088</v>
      </c>
    </row>
    <row r="278" spans="1:20" ht="15.75" customHeight="1" x14ac:dyDescent="0.25">
      <c r="A278" s="272" t="s">
        <v>639</v>
      </c>
      <c r="B278" s="275" t="s">
        <v>638</v>
      </c>
      <c r="C278" s="265">
        <v>0.4</v>
      </c>
      <c r="D278" s="273" t="s">
        <v>773</v>
      </c>
      <c r="E278" s="274" t="s">
        <v>772</v>
      </c>
      <c r="F278" s="265">
        <v>0.1</v>
      </c>
      <c r="G278" s="273" t="s">
        <v>749</v>
      </c>
      <c r="H278" s="272" t="s">
        <v>763</v>
      </c>
      <c r="I278" s="265">
        <v>0</v>
      </c>
      <c r="J278" s="271">
        <f t="shared" si="4"/>
        <v>0.5</v>
      </c>
      <c r="K278" s="270"/>
      <c r="L278" s="279" t="s">
        <v>1088</v>
      </c>
      <c r="M278" s="279" t="s">
        <v>1088</v>
      </c>
      <c r="N278" s="279" t="s">
        <v>1088</v>
      </c>
      <c r="O278" s="268" t="s">
        <v>1088</v>
      </c>
      <c r="P278" s="268">
        <v>0</v>
      </c>
      <c r="Q278" s="277" t="s">
        <v>1088</v>
      </c>
      <c r="R278" s="267">
        <v>0</v>
      </c>
      <c r="S278" s="267">
        <v>0</v>
      </c>
      <c r="T278" s="276" t="s">
        <v>1088</v>
      </c>
    </row>
    <row r="279" spans="1:20" ht="15.75" customHeight="1" x14ac:dyDescent="0.25">
      <c r="A279" s="272" t="s">
        <v>641</v>
      </c>
      <c r="B279" s="275" t="s">
        <v>640</v>
      </c>
      <c r="C279" s="265">
        <v>0.4</v>
      </c>
      <c r="D279" s="273" t="s">
        <v>795</v>
      </c>
      <c r="E279" s="274" t="s">
        <v>794</v>
      </c>
      <c r="F279" s="265">
        <v>0.09</v>
      </c>
      <c r="G279" s="273" t="s">
        <v>793</v>
      </c>
      <c r="H279" s="272" t="s">
        <v>792</v>
      </c>
      <c r="I279" s="265">
        <v>0.01</v>
      </c>
      <c r="J279" s="271">
        <f t="shared" si="4"/>
        <v>0.5</v>
      </c>
      <c r="K279" s="270"/>
      <c r="L279" s="279" t="s">
        <v>1088</v>
      </c>
      <c r="M279" s="279" t="s">
        <v>1088</v>
      </c>
      <c r="N279" s="279" t="s">
        <v>1088</v>
      </c>
      <c r="O279" s="268" t="s">
        <v>1088</v>
      </c>
      <c r="P279" s="268">
        <v>0</v>
      </c>
      <c r="Q279" s="277" t="s">
        <v>1088</v>
      </c>
      <c r="R279" s="267">
        <v>0</v>
      </c>
      <c r="S279" s="267">
        <v>0</v>
      </c>
      <c r="T279" s="276" t="s">
        <v>1088</v>
      </c>
    </row>
    <row r="280" spans="1:20" ht="15.75" customHeight="1" x14ac:dyDescent="0.25">
      <c r="A280" s="272" t="s">
        <v>643</v>
      </c>
      <c r="B280" s="275" t="s">
        <v>642</v>
      </c>
      <c r="C280" s="265">
        <v>0.4</v>
      </c>
      <c r="D280" s="273" t="s">
        <v>801</v>
      </c>
      <c r="E280" s="274" t="s">
        <v>800</v>
      </c>
      <c r="F280" s="265">
        <v>0.09</v>
      </c>
      <c r="G280" s="273" t="s">
        <v>793</v>
      </c>
      <c r="H280" s="272" t="s">
        <v>792</v>
      </c>
      <c r="I280" s="265">
        <v>0.01</v>
      </c>
      <c r="J280" s="271">
        <f t="shared" si="4"/>
        <v>0.5</v>
      </c>
      <c r="K280" s="270"/>
      <c r="L280" s="279" t="s">
        <v>1088</v>
      </c>
      <c r="M280" s="279" t="s">
        <v>1088</v>
      </c>
      <c r="N280" s="279" t="s">
        <v>1088</v>
      </c>
      <c r="O280" s="268" t="s">
        <v>1089</v>
      </c>
      <c r="P280" s="268">
        <v>94378</v>
      </c>
      <c r="Q280" s="277" t="s">
        <v>1088</v>
      </c>
      <c r="R280" s="267">
        <v>0</v>
      </c>
      <c r="S280" s="267">
        <v>0</v>
      </c>
      <c r="T280" s="276" t="s">
        <v>1088</v>
      </c>
    </row>
    <row r="281" spans="1:20" ht="15.75" customHeight="1" x14ac:dyDescent="0.25">
      <c r="A281" s="272" t="s">
        <v>645</v>
      </c>
      <c r="B281" s="281" t="s">
        <v>835</v>
      </c>
      <c r="C281" s="265">
        <v>0.49</v>
      </c>
      <c r="D281" s="273" t="s">
        <v>749</v>
      </c>
      <c r="E281" s="274" t="s">
        <v>748</v>
      </c>
      <c r="F281" s="265">
        <v>0</v>
      </c>
      <c r="G281" s="273" t="s">
        <v>834</v>
      </c>
      <c r="H281" s="272" t="s">
        <v>833</v>
      </c>
      <c r="I281" s="265">
        <v>0.01</v>
      </c>
      <c r="J281" s="271">
        <f t="shared" si="4"/>
        <v>0.5</v>
      </c>
      <c r="K281" s="270"/>
      <c r="L281" s="279" t="s">
        <v>1088</v>
      </c>
      <c r="M281" s="279" t="s">
        <v>1088</v>
      </c>
      <c r="N281" s="279" t="s">
        <v>1088</v>
      </c>
      <c r="O281" s="268" t="s">
        <v>1088</v>
      </c>
      <c r="P281" s="268">
        <v>0</v>
      </c>
      <c r="Q281" s="277" t="s">
        <v>1089</v>
      </c>
      <c r="R281" s="267">
        <v>0</v>
      </c>
      <c r="S281" s="267">
        <v>0</v>
      </c>
      <c r="T281" s="276" t="s">
        <v>1089</v>
      </c>
    </row>
    <row r="282" spans="1:20" ht="15.75" customHeight="1" x14ac:dyDescent="0.25">
      <c r="A282" s="272" t="s">
        <v>647</v>
      </c>
      <c r="B282" s="275" t="s">
        <v>646</v>
      </c>
      <c r="C282" s="265">
        <v>0.4</v>
      </c>
      <c r="D282" s="273" t="s">
        <v>823</v>
      </c>
      <c r="E282" s="274" t="s">
        <v>822</v>
      </c>
      <c r="F282" s="265">
        <v>0.09</v>
      </c>
      <c r="G282" s="273" t="s">
        <v>821</v>
      </c>
      <c r="H282" s="272" t="s">
        <v>820</v>
      </c>
      <c r="I282" s="265">
        <v>0.01</v>
      </c>
      <c r="J282" s="271">
        <f t="shared" si="4"/>
        <v>0.5</v>
      </c>
      <c r="K282" s="270"/>
      <c r="L282" s="279" t="s">
        <v>1088</v>
      </c>
      <c r="M282" s="279" t="s">
        <v>1088</v>
      </c>
      <c r="N282" s="279" t="s">
        <v>1088</v>
      </c>
      <c r="O282" s="268" t="s">
        <v>1088</v>
      </c>
      <c r="P282" s="268">
        <v>0</v>
      </c>
      <c r="Q282" s="277" t="s">
        <v>1088</v>
      </c>
      <c r="R282" s="267">
        <v>0</v>
      </c>
      <c r="S282" s="267">
        <v>0</v>
      </c>
      <c r="T282" s="276" t="s">
        <v>1088</v>
      </c>
    </row>
    <row r="283" spans="1:20" ht="15.75" customHeight="1" x14ac:dyDescent="0.25">
      <c r="A283" s="272" t="s">
        <v>649</v>
      </c>
      <c r="B283" s="275" t="s">
        <v>648</v>
      </c>
      <c r="C283" s="265">
        <v>0.4</v>
      </c>
      <c r="D283" s="273" t="s">
        <v>780</v>
      </c>
      <c r="E283" s="274" t="s">
        <v>779</v>
      </c>
      <c r="F283" s="265">
        <v>0.09</v>
      </c>
      <c r="G283" s="273" t="s">
        <v>778</v>
      </c>
      <c r="H283" s="272" t="s">
        <v>777</v>
      </c>
      <c r="I283" s="265">
        <v>0.01</v>
      </c>
      <c r="J283" s="271">
        <f t="shared" si="4"/>
        <v>0.5</v>
      </c>
      <c r="K283" s="270"/>
      <c r="L283" s="279" t="s">
        <v>1088</v>
      </c>
      <c r="M283" s="279" t="s">
        <v>1088</v>
      </c>
      <c r="N283" s="279" t="s">
        <v>1088</v>
      </c>
      <c r="O283" s="268" t="s">
        <v>1088</v>
      </c>
      <c r="P283" s="268">
        <v>0</v>
      </c>
      <c r="Q283" s="277" t="s">
        <v>1088</v>
      </c>
      <c r="R283" s="267">
        <v>0</v>
      </c>
      <c r="S283" s="267">
        <v>0</v>
      </c>
      <c r="T283" s="276" t="s">
        <v>1088</v>
      </c>
    </row>
    <row r="284" spans="1:20" ht="15.75" customHeight="1" x14ac:dyDescent="0.25">
      <c r="A284" s="272" t="s">
        <v>651</v>
      </c>
      <c r="B284" s="275" t="s">
        <v>650</v>
      </c>
      <c r="C284" s="265">
        <v>0.4</v>
      </c>
      <c r="D284" s="273" t="s">
        <v>832</v>
      </c>
      <c r="E284" s="274" t="s">
        <v>831</v>
      </c>
      <c r="F284" s="265">
        <v>0.1</v>
      </c>
      <c r="G284" s="273" t="s">
        <v>749</v>
      </c>
      <c r="H284" s="272" t="s">
        <v>763</v>
      </c>
      <c r="I284" s="265">
        <v>0</v>
      </c>
      <c r="J284" s="271">
        <f t="shared" si="4"/>
        <v>0.5</v>
      </c>
      <c r="K284" s="270"/>
      <c r="L284" s="279" t="s">
        <v>1088</v>
      </c>
      <c r="M284" s="279" t="s">
        <v>1088</v>
      </c>
      <c r="N284" s="279" t="s">
        <v>1088</v>
      </c>
      <c r="O284" s="268" t="s">
        <v>1089</v>
      </c>
      <c r="P284" s="268">
        <v>1725823</v>
      </c>
      <c r="Q284" s="277" t="s">
        <v>1088</v>
      </c>
      <c r="R284" s="267">
        <v>0</v>
      </c>
      <c r="S284" s="267">
        <v>0</v>
      </c>
      <c r="T284" s="276" t="s">
        <v>1088</v>
      </c>
    </row>
    <row r="285" spans="1:20" ht="15.75" customHeight="1" x14ac:dyDescent="0.25">
      <c r="A285" s="272" t="s">
        <v>653</v>
      </c>
      <c r="B285" s="275" t="s">
        <v>652</v>
      </c>
      <c r="C285" s="265">
        <v>0.4</v>
      </c>
      <c r="D285" s="273" t="s">
        <v>827</v>
      </c>
      <c r="E285" s="274" t="s">
        <v>826</v>
      </c>
      <c r="F285" s="265">
        <v>0.09</v>
      </c>
      <c r="G285" s="273" t="s">
        <v>825</v>
      </c>
      <c r="H285" s="272" t="s">
        <v>824</v>
      </c>
      <c r="I285" s="265">
        <v>0.01</v>
      </c>
      <c r="J285" s="271">
        <f t="shared" si="4"/>
        <v>0.5</v>
      </c>
      <c r="K285" s="270"/>
      <c r="L285" s="279" t="s">
        <v>1088</v>
      </c>
      <c r="M285" s="279" t="s">
        <v>1088</v>
      </c>
      <c r="N285" s="279" t="s">
        <v>1088</v>
      </c>
      <c r="O285" s="268" t="s">
        <v>1088</v>
      </c>
      <c r="P285" s="268">
        <v>0</v>
      </c>
      <c r="Q285" s="277" t="s">
        <v>1088</v>
      </c>
      <c r="R285" s="267">
        <v>0</v>
      </c>
      <c r="S285" s="267">
        <v>0</v>
      </c>
      <c r="T285" s="276" t="s">
        <v>1088</v>
      </c>
    </row>
    <row r="286" spans="1:20" ht="15.75" customHeight="1" x14ac:dyDescent="0.25">
      <c r="A286" s="272" t="s">
        <v>655</v>
      </c>
      <c r="B286" s="275" t="s">
        <v>654</v>
      </c>
      <c r="C286" s="265">
        <v>0.4</v>
      </c>
      <c r="D286" s="273" t="s">
        <v>804</v>
      </c>
      <c r="E286" s="274" t="s">
        <v>803</v>
      </c>
      <c r="F286" s="265">
        <v>0.1</v>
      </c>
      <c r="G286" s="273" t="s">
        <v>749</v>
      </c>
      <c r="H286" s="272" t="s">
        <v>763</v>
      </c>
      <c r="I286" s="265">
        <v>0</v>
      </c>
      <c r="J286" s="271">
        <f t="shared" si="4"/>
        <v>0.5</v>
      </c>
      <c r="K286" s="270"/>
      <c r="L286" s="279" t="s">
        <v>1088</v>
      </c>
      <c r="M286" s="279" t="s">
        <v>1088</v>
      </c>
      <c r="N286" s="279" t="s">
        <v>1088</v>
      </c>
      <c r="O286" s="268" t="s">
        <v>1088</v>
      </c>
      <c r="P286" s="268">
        <v>0</v>
      </c>
      <c r="Q286" s="277" t="s">
        <v>1088</v>
      </c>
      <c r="R286" s="267">
        <v>0</v>
      </c>
      <c r="S286" s="267">
        <v>0</v>
      </c>
      <c r="T286" s="276" t="s">
        <v>1088</v>
      </c>
    </row>
    <row r="287" spans="1:20" ht="15.75" customHeight="1" x14ac:dyDescent="0.25">
      <c r="A287" s="272" t="s">
        <v>657</v>
      </c>
      <c r="B287" s="275" t="s">
        <v>830</v>
      </c>
      <c r="C287" s="265">
        <v>0.49</v>
      </c>
      <c r="D287" s="273" t="s">
        <v>749</v>
      </c>
      <c r="E287" s="274" t="s">
        <v>748</v>
      </c>
      <c r="F287" s="265">
        <v>0</v>
      </c>
      <c r="G287" s="273" t="s">
        <v>821</v>
      </c>
      <c r="H287" s="272" t="s">
        <v>820</v>
      </c>
      <c r="I287" s="265">
        <v>0.01</v>
      </c>
      <c r="J287" s="271">
        <f t="shared" si="4"/>
        <v>0.5</v>
      </c>
      <c r="K287" s="270"/>
      <c r="L287" s="279" t="s">
        <v>1088</v>
      </c>
      <c r="M287" s="279" t="s">
        <v>1088</v>
      </c>
      <c r="N287" s="279" t="s">
        <v>1088</v>
      </c>
      <c r="O287" s="268" t="s">
        <v>1088</v>
      </c>
      <c r="P287" s="268">
        <v>0</v>
      </c>
      <c r="Q287" s="277" t="s">
        <v>1089</v>
      </c>
      <c r="R287" s="267">
        <v>0</v>
      </c>
      <c r="S287" s="267">
        <v>0</v>
      </c>
      <c r="T287" s="276" t="s">
        <v>1089</v>
      </c>
    </row>
    <row r="288" spans="1:20" ht="15.75" customHeight="1" x14ac:dyDescent="0.25">
      <c r="A288" s="272" t="s">
        <v>659</v>
      </c>
      <c r="B288" s="275" t="s">
        <v>829</v>
      </c>
      <c r="C288" s="265">
        <v>0.4</v>
      </c>
      <c r="D288" s="273" t="s">
        <v>827</v>
      </c>
      <c r="E288" s="274" t="s">
        <v>826</v>
      </c>
      <c r="F288" s="265">
        <v>0.09</v>
      </c>
      <c r="G288" s="273" t="s">
        <v>825</v>
      </c>
      <c r="H288" s="272" t="s">
        <v>824</v>
      </c>
      <c r="I288" s="265">
        <v>0.01</v>
      </c>
      <c r="J288" s="271">
        <f t="shared" si="4"/>
        <v>0.5</v>
      </c>
      <c r="K288" s="270"/>
      <c r="L288" s="279" t="s">
        <v>1088</v>
      </c>
      <c r="M288" s="279" t="s">
        <v>1088</v>
      </c>
      <c r="N288" s="279" t="s">
        <v>1088</v>
      </c>
      <c r="O288" s="268" t="s">
        <v>1089</v>
      </c>
      <c r="P288" s="268">
        <v>612000</v>
      </c>
      <c r="Q288" s="277" t="s">
        <v>1088</v>
      </c>
      <c r="R288" s="267">
        <v>0</v>
      </c>
      <c r="S288" s="267">
        <v>0</v>
      </c>
      <c r="T288" s="276" t="s">
        <v>1088</v>
      </c>
    </row>
    <row r="289" spans="1:20" ht="15.75" customHeight="1" x14ac:dyDescent="0.25">
      <c r="A289" s="272" t="s">
        <v>661</v>
      </c>
      <c r="B289" s="275" t="s">
        <v>828</v>
      </c>
      <c r="C289" s="265">
        <v>0.49</v>
      </c>
      <c r="D289" s="273" t="s">
        <v>749</v>
      </c>
      <c r="E289" s="274" t="s">
        <v>748</v>
      </c>
      <c r="F289" s="265">
        <v>0</v>
      </c>
      <c r="G289" s="273" t="s">
        <v>793</v>
      </c>
      <c r="H289" s="272" t="s">
        <v>792</v>
      </c>
      <c r="I289" s="265">
        <v>0.01</v>
      </c>
      <c r="J289" s="271">
        <f t="shared" si="4"/>
        <v>0.5</v>
      </c>
      <c r="K289" s="270"/>
      <c r="L289" s="279" t="s">
        <v>1088</v>
      </c>
      <c r="M289" s="279" t="s">
        <v>1088</v>
      </c>
      <c r="N289" s="279" t="s">
        <v>1088</v>
      </c>
      <c r="O289" s="268" t="s">
        <v>1088</v>
      </c>
      <c r="P289" s="268">
        <v>0</v>
      </c>
      <c r="Q289" s="277" t="s">
        <v>1089</v>
      </c>
      <c r="R289" s="267">
        <v>0</v>
      </c>
      <c r="S289" s="267">
        <v>0</v>
      </c>
      <c r="T289" s="276" t="s">
        <v>1089</v>
      </c>
    </row>
    <row r="290" spans="1:20" ht="15.75" customHeight="1" x14ac:dyDescent="0.25">
      <c r="A290" s="272" t="s">
        <v>663</v>
      </c>
      <c r="B290" s="275" t="s">
        <v>662</v>
      </c>
      <c r="C290" s="265">
        <v>0.4</v>
      </c>
      <c r="D290" s="273" t="s">
        <v>801</v>
      </c>
      <c r="E290" s="274" t="s">
        <v>800</v>
      </c>
      <c r="F290" s="265">
        <v>0.09</v>
      </c>
      <c r="G290" s="273" t="s">
        <v>793</v>
      </c>
      <c r="H290" s="272" t="s">
        <v>792</v>
      </c>
      <c r="I290" s="265">
        <v>0.01</v>
      </c>
      <c r="J290" s="271">
        <f t="shared" si="4"/>
        <v>0.5</v>
      </c>
      <c r="K290" s="270"/>
      <c r="L290" s="279" t="s">
        <v>1088</v>
      </c>
      <c r="M290" s="279" t="s">
        <v>1088</v>
      </c>
      <c r="N290" s="279" t="s">
        <v>1088</v>
      </c>
      <c r="O290" s="268" t="s">
        <v>1088</v>
      </c>
      <c r="P290" s="268">
        <v>0</v>
      </c>
      <c r="Q290" s="277" t="s">
        <v>1088</v>
      </c>
      <c r="R290" s="267">
        <v>0</v>
      </c>
      <c r="S290" s="267">
        <v>0</v>
      </c>
      <c r="T290" s="276" t="s">
        <v>1088</v>
      </c>
    </row>
    <row r="291" spans="1:20" ht="15.75" customHeight="1" x14ac:dyDescent="0.25">
      <c r="A291" s="272" t="s">
        <v>665</v>
      </c>
      <c r="B291" s="275" t="s">
        <v>664</v>
      </c>
      <c r="C291" s="265">
        <v>0.3</v>
      </c>
      <c r="D291" s="273" t="s">
        <v>791</v>
      </c>
      <c r="E291" s="274" t="s">
        <v>790</v>
      </c>
      <c r="F291" s="265">
        <v>0.2</v>
      </c>
      <c r="G291" s="273" t="s">
        <v>749</v>
      </c>
      <c r="H291" s="274" t="s">
        <v>749</v>
      </c>
      <c r="I291" s="265">
        <v>0</v>
      </c>
      <c r="J291" s="271">
        <f t="shared" si="4"/>
        <v>0.5</v>
      </c>
      <c r="K291" s="270"/>
      <c r="L291" s="279" t="s">
        <v>1088</v>
      </c>
      <c r="M291" s="279" t="s">
        <v>1088</v>
      </c>
      <c r="N291" s="279" t="s">
        <v>1088</v>
      </c>
      <c r="O291" s="268" t="s">
        <v>1088</v>
      </c>
      <c r="P291" s="268">
        <v>0</v>
      </c>
      <c r="Q291" s="277" t="s">
        <v>1089</v>
      </c>
      <c r="R291" s="267">
        <v>0</v>
      </c>
      <c r="S291" s="267">
        <v>0</v>
      </c>
      <c r="T291" s="276" t="s">
        <v>1089</v>
      </c>
    </row>
    <row r="292" spans="1:20" ht="15.75" customHeight="1" x14ac:dyDescent="0.25">
      <c r="A292" s="272" t="s">
        <v>667</v>
      </c>
      <c r="B292" s="275" t="s">
        <v>666</v>
      </c>
      <c r="C292" s="265">
        <v>0.49</v>
      </c>
      <c r="D292" s="273" t="s">
        <v>749</v>
      </c>
      <c r="E292" s="274" t="s">
        <v>768</v>
      </c>
      <c r="F292" s="265">
        <v>0</v>
      </c>
      <c r="G292" s="273" t="s">
        <v>784</v>
      </c>
      <c r="H292" s="272" t="s">
        <v>783</v>
      </c>
      <c r="I292" s="265">
        <v>0.01</v>
      </c>
      <c r="J292" s="271">
        <f t="shared" si="4"/>
        <v>0.5</v>
      </c>
      <c r="K292" s="270"/>
      <c r="L292" s="279" t="s">
        <v>1088</v>
      </c>
      <c r="M292" s="279" t="s">
        <v>1088</v>
      </c>
      <c r="N292" s="279" t="s">
        <v>1088</v>
      </c>
      <c r="O292" s="268" t="s">
        <v>1088</v>
      </c>
      <c r="P292" s="268">
        <v>0</v>
      </c>
      <c r="Q292" s="277" t="s">
        <v>1089</v>
      </c>
      <c r="R292" s="267">
        <v>0</v>
      </c>
      <c r="S292" s="267">
        <v>0</v>
      </c>
      <c r="T292" s="276" t="s">
        <v>1089</v>
      </c>
    </row>
    <row r="293" spans="1:20" ht="15.75" customHeight="1" x14ac:dyDescent="0.25">
      <c r="A293" s="272" t="s">
        <v>669</v>
      </c>
      <c r="B293" s="275" t="s">
        <v>668</v>
      </c>
      <c r="C293" s="265">
        <v>0.4</v>
      </c>
      <c r="D293" s="273" t="s">
        <v>827</v>
      </c>
      <c r="E293" s="274" t="s">
        <v>826</v>
      </c>
      <c r="F293" s="265">
        <v>0.09</v>
      </c>
      <c r="G293" s="273" t="s">
        <v>825</v>
      </c>
      <c r="H293" s="272" t="s">
        <v>824</v>
      </c>
      <c r="I293" s="265">
        <v>0.01</v>
      </c>
      <c r="J293" s="271">
        <f t="shared" si="4"/>
        <v>0.5</v>
      </c>
      <c r="K293" s="270"/>
      <c r="L293" s="279" t="s">
        <v>1088</v>
      </c>
      <c r="M293" s="279" t="s">
        <v>1088</v>
      </c>
      <c r="N293" s="279" t="s">
        <v>1088</v>
      </c>
      <c r="O293" s="268" t="s">
        <v>1088</v>
      </c>
      <c r="P293" s="268">
        <v>0</v>
      </c>
      <c r="Q293" s="277" t="s">
        <v>1088</v>
      </c>
      <c r="R293" s="267">
        <v>0</v>
      </c>
      <c r="S293" s="267">
        <v>0</v>
      </c>
      <c r="T293" s="276" t="s">
        <v>1088</v>
      </c>
    </row>
    <row r="294" spans="1:20" ht="15.75" customHeight="1" x14ac:dyDescent="0.25">
      <c r="A294" s="272" t="s">
        <v>671</v>
      </c>
      <c r="B294" s="275" t="s">
        <v>670</v>
      </c>
      <c r="C294" s="265">
        <v>0.4</v>
      </c>
      <c r="D294" s="273" t="s">
        <v>823</v>
      </c>
      <c r="E294" s="274" t="s">
        <v>822</v>
      </c>
      <c r="F294" s="265">
        <v>0.09</v>
      </c>
      <c r="G294" s="273" t="s">
        <v>821</v>
      </c>
      <c r="H294" s="272" t="s">
        <v>820</v>
      </c>
      <c r="I294" s="265">
        <v>0.01</v>
      </c>
      <c r="J294" s="271">
        <f t="shared" si="4"/>
        <v>0.5</v>
      </c>
      <c r="K294" s="270"/>
      <c r="L294" s="279" t="s">
        <v>1088</v>
      </c>
      <c r="M294" s="279" t="s">
        <v>1088</v>
      </c>
      <c r="N294" s="279" t="s">
        <v>1088</v>
      </c>
      <c r="O294" s="268" t="s">
        <v>1088</v>
      </c>
      <c r="P294" s="268">
        <v>0</v>
      </c>
      <c r="Q294" s="277" t="s">
        <v>1088</v>
      </c>
      <c r="R294" s="267">
        <v>0</v>
      </c>
      <c r="S294" s="267">
        <v>0</v>
      </c>
      <c r="T294" s="276" t="s">
        <v>1088</v>
      </c>
    </row>
    <row r="295" spans="1:20" x14ac:dyDescent="0.25">
      <c r="A295" s="272" t="s">
        <v>673</v>
      </c>
      <c r="B295" s="275" t="s">
        <v>672</v>
      </c>
      <c r="C295" s="265">
        <v>0.4</v>
      </c>
      <c r="D295" s="273" t="s">
        <v>797</v>
      </c>
      <c r="E295" s="274" t="s">
        <v>796</v>
      </c>
      <c r="F295" s="265">
        <v>0.1</v>
      </c>
      <c r="G295" s="273" t="s">
        <v>749</v>
      </c>
      <c r="H295" s="272" t="s">
        <v>763</v>
      </c>
      <c r="I295" s="265">
        <v>0</v>
      </c>
      <c r="J295" s="271">
        <f t="shared" si="4"/>
        <v>0.5</v>
      </c>
      <c r="K295" s="270"/>
      <c r="L295" s="279" t="s">
        <v>1089</v>
      </c>
      <c r="M295" s="279" t="s">
        <v>1122</v>
      </c>
      <c r="N295" s="279" t="s">
        <v>1088</v>
      </c>
      <c r="O295" s="268" t="s">
        <v>1088</v>
      </c>
      <c r="P295" s="268">
        <v>0</v>
      </c>
      <c r="Q295" s="277" t="s">
        <v>1088</v>
      </c>
      <c r="R295" s="267">
        <v>1208592</v>
      </c>
      <c r="S295" s="267">
        <v>0</v>
      </c>
      <c r="T295" s="276" t="s">
        <v>1088</v>
      </c>
    </row>
    <row r="296" spans="1:20" ht="15.75" customHeight="1" x14ac:dyDescent="0.25">
      <c r="A296" s="272" t="s">
        <v>675</v>
      </c>
      <c r="B296" s="275" t="s">
        <v>674</v>
      </c>
      <c r="C296" s="265">
        <v>0.49</v>
      </c>
      <c r="D296" s="273" t="s">
        <v>749</v>
      </c>
      <c r="E296" s="274" t="s">
        <v>768</v>
      </c>
      <c r="F296" s="265">
        <v>0</v>
      </c>
      <c r="G296" s="273" t="s">
        <v>819</v>
      </c>
      <c r="H296" s="272" t="s">
        <v>818</v>
      </c>
      <c r="I296" s="265">
        <v>0.01</v>
      </c>
      <c r="J296" s="271">
        <f t="shared" si="4"/>
        <v>0.5</v>
      </c>
      <c r="L296" s="279" t="s">
        <v>1088</v>
      </c>
      <c r="M296" s="279" t="s">
        <v>1088</v>
      </c>
      <c r="N296" s="279" t="s">
        <v>1088</v>
      </c>
      <c r="O296" s="268" t="s">
        <v>1088</v>
      </c>
      <c r="P296" s="268">
        <v>0</v>
      </c>
      <c r="Q296" s="277" t="s">
        <v>1089</v>
      </c>
      <c r="R296" s="267">
        <v>0</v>
      </c>
      <c r="S296" s="267">
        <v>0</v>
      </c>
      <c r="T296" s="276" t="s">
        <v>1089</v>
      </c>
    </row>
    <row r="297" spans="1:20" x14ac:dyDescent="0.25">
      <c r="A297" s="272" t="s">
        <v>677</v>
      </c>
      <c r="B297" s="275" t="s">
        <v>676</v>
      </c>
      <c r="C297" s="265">
        <v>0.49</v>
      </c>
      <c r="D297" s="273" t="s">
        <v>749</v>
      </c>
      <c r="E297" s="274" t="s">
        <v>768</v>
      </c>
      <c r="F297" s="265">
        <v>0</v>
      </c>
      <c r="G297" s="273" t="s">
        <v>767</v>
      </c>
      <c r="H297" s="272" t="s">
        <v>766</v>
      </c>
      <c r="I297" s="265">
        <v>0.01</v>
      </c>
      <c r="J297" s="271">
        <f t="shared" si="4"/>
        <v>0.5</v>
      </c>
      <c r="K297" s="270"/>
      <c r="L297" s="279" t="s">
        <v>1089</v>
      </c>
      <c r="M297" s="279" t="s">
        <v>1120</v>
      </c>
      <c r="N297" s="279" t="s">
        <v>1088</v>
      </c>
      <c r="O297" s="268" t="s">
        <v>1089</v>
      </c>
      <c r="P297" s="268">
        <v>1652273</v>
      </c>
      <c r="Q297" s="277" t="s">
        <v>1089</v>
      </c>
      <c r="R297" s="267">
        <v>175838</v>
      </c>
      <c r="S297" s="267">
        <v>0</v>
      </c>
      <c r="T297" s="276" t="s">
        <v>1089</v>
      </c>
    </row>
    <row r="298" spans="1:20" ht="15.75" customHeight="1" x14ac:dyDescent="0.25">
      <c r="A298" s="272" t="s">
        <v>679</v>
      </c>
      <c r="B298" s="275" t="s">
        <v>678</v>
      </c>
      <c r="C298" s="265">
        <v>0.3</v>
      </c>
      <c r="D298" s="273" t="s">
        <v>791</v>
      </c>
      <c r="E298" s="274" t="s">
        <v>790</v>
      </c>
      <c r="F298" s="265">
        <v>0.2</v>
      </c>
      <c r="G298" s="273" t="s">
        <v>749</v>
      </c>
      <c r="H298" s="274" t="s">
        <v>749</v>
      </c>
      <c r="I298" s="265">
        <v>0</v>
      </c>
      <c r="J298" s="271">
        <f t="shared" si="4"/>
        <v>0.5</v>
      </c>
      <c r="K298" s="270"/>
      <c r="L298" s="279" t="s">
        <v>1088</v>
      </c>
      <c r="M298" s="279" t="s">
        <v>1088</v>
      </c>
      <c r="N298" s="279" t="s">
        <v>1088</v>
      </c>
      <c r="O298" s="268" t="s">
        <v>1088</v>
      </c>
      <c r="P298" s="268">
        <v>0</v>
      </c>
      <c r="Q298" s="277" t="s">
        <v>1088</v>
      </c>
      <c r="R298" s="267">
        <v>0</v>
      </c>
      <c r="S298" s="267">
        <v>0</v>
      </c>
      <c r="T298" s="276" t="s">
        <v>1089</v>
      </c>
    </row>
    <row r="299" spans="1:20" ht="15.75" customHeight="1" x14ac:dyDescent="0.25">
      <c r="A299" s="272" t="s">
        <v>681</v>
      </c>
      <c r="B299" s="275" t="s">
        <v>680</v>
      </c>
      <c r="C299" s="265">
        <v>0.3</v>
      </c>
      <c r="D299" s="273" t="s">
        <v>791</v>
      </c>
      <c r="E299" s="274" t="s">
        <v>790</v>
      </c>
      <c r="F299" s="265">
        <v>0.2</v>
      </c>
      <c r="G299" s="273" t="s">
        <v>749</v>
      </c>
      <c r="H299" s="274" t="s">
        <v>749</v>
      </c>
      <c r="I299" s="265">
        <v>0</v>
      </c>
      <c r="J299" s="271">
        <f t="shared" si="4"/>
        <v>0.5</v>
      </c>
      <c r="K299" s="270"/>
      <c r="L299" s="279" t="s">
        <v>1088</v>
      </c>
      <c r="M299" s="279" t="s">
        <v>1088</v>
      </c>
      <c r="N299" s="279" t="s">
        <v>1088</v>
      </c>
      <c r="O299" s="268" t="s">
        <v>1089</v>
      </c>
      <c r="P299" s="268">
        <v>2507139</v>
      </c>
      <c r="Q299" s="277" t="s">
        <v>1089</v>
      </c>
      <c r="R299" s="267">
        <v>0</v>
      </c>
      <c r="S299" s="267">
        <v>0</v>
      </c>
      <c r="T299" s="276" t="s">
        <v>1089</v>
      </c>
    </row>
    <row r="300" spans="1:20" ht="15.75" customHeight="1" x14ac:dyDescent="0.25">
      <c r="A300" s="272" t="s">
        <v>683</v>
      </c>
      <c r="B300" s="275" t="s">
        <v>817</v>
      </c>
      <c r="C300" s="265">
        <v>0.49</v>
      </c>
      <c r="D300" s="273" t="s">
        <v>749</v>
      </c>
      <c r="E300" s="274" t="s">
        <v>748</v>
      </c>
      <c r="F300" s="265">
        <v>0</v>
      </c>
      <c r="G300" s="273" t="s">
        <v>816</v>
      </c>
      <c r="H300" s="272" t="s">
        <v>815</v>
      </c>
      <c r="I300" s="265">
        <v>0.01</v>
      </c>
      <c r="J300" s="271">
        <f t="shared" si="4"/>
        <v>0.5</v>
      </c>
      <c r="K300" s="270"/>
      <c r="L300" s="279" t="s">
        <v>1088</v>
      </c>
      <c r="M300" s="279" t="s">
        <v>1088</v>
      </c>
      <c r="N300" s="279" t="s">
        <v>1088</v>
      </c>
      <c r="O300" s="268" t="s">
        <v>1089</v>
      </c>
      <c r="P300" s="268">
        <v>1526757</v>
      </c>
      <c r="Q300" s="277" t="s">
        <v>1089</v>
      </c>
      <c r="R300" s="267">
        <v>0</v>
      </c>
      <c r="S300" s="267">
        <v>0</v>
      </c>
      <c r="T300" s="276" t="s">
        <v>1089</v>
      </c>
    </row>
    <row r="301" spans="1:20" ht="15.75" customHeight="1" x14ac:dyDescent="0.25">
      <c r="A301" s="272" t="s">
        <v>685</v>
      </c>
      <c r="B301" s="275" t="s">
        <v>684</v>
      </c>
      <c r="C301" s="265">
        <v>0.4</v>
      </c>
      <c r="D301" s="273" t="s">
        <v>814</v>
      </c>
      <c r="E301" s="274" t="s">
        <v>813</v>
      </c>
      <c r="F301" s="265">
        <v>0.1</v>
      </c>
      <c r="G301" s="273" t="s">
        <v>749</v>
      </c>
      <c r="H301" s="272" t="s">
        <v>763</v>
      </c>
      <c r="I301" s="265">
        <v>0</v>
      </c>
      <c r="J301" s="271">
        <f t="shared" si="4"/>
        <v>0.5</v>
      </c>
      <c r="K301" s="270"/>
      <c r="L301" s="279" t="s">
        <v>1088</v>
      </c>
      <c r="M301" s="279" t="s">
        <v>1088</v>
      </c>
      <c r="N301" s="279" t="s">
        <v>1088</v>
      </c>
      <c r="O301" s="268" t="s">
        <v>1088</v>
      </c>
      <c r="P301" s="268">
        <v>0</v>
      </c>
      <c r="Q301" s="277" t="s">
        <v>1088</v>
      </c>
      <c r="R301" s="267">
        <v>0</v>
      </c>
      <c r="S301" s="267">
        <v>0</v>
      </c>
      <c r="T301" s="276" t="s">
        <v>1088</v>
      </c>
    </row>
    <row r="302" spans="1:20" ht="15.75" customHeight="1" x14ac:dyDescent="0.25">
      <c r="A302" s="272" t="s">
        <v>687</v>
      </c>
      <c r="B302" s="275" t="s">
        <v>686</v>
      </c>
      <c r="C302" s="265">
        <v>0.4</v>
      </c>
      <c r="D302" s="273" t="s">
        <v>804</v>
      </c>
      <c r="E302" s="274" t="s">
        <v>803</v>
      </c>
      <c r="F302" s="265">
        <v>0.1</v>
      </c>
      <c r="G302" s="273" t="s">
        <v>749</v>
      </c>
      <c r="H302" s="272" t="s">
        <v>763</v>
      </c>
      <c r="I302" s="265">
        <v>0</v>
      </c>
      <c r="J302" s="271">
        <f t="shared" si="4"/>
        <v>0.5</v>
      </c>
      <c r="K302" s="270"/>
      <c r="L302" s="279" t="s">
        <v>1088</v>
      </c>
      <c r="M302" s="279" t="s">
        <v>1088</v>
      </c>
      <c r="N302" s="279" t="s">
        <v>1088</v>
      </c>
      <c r="O302" s="268" t="s">
        <v>1088</v>
      </c>
      <c r="P302" s="268">
        <v>0</v>
      </c>
      <c r="Q302" s="277" t="s">
        <v>1088</v>
      </c>
      <c r="R302" s="267">
        <v>0</v>
      </c>
      <c r="S302" s="267">
        <v>0</v>
      </c>
      <c r="T302" s="276" t="s">
        <v>1088</v>
      </c>
    </row>
    <row r="303" spans="1:20" x14ac:dyDescent="0.25">
      <c r="A303" s="272" t="s">
        <v>689</v>
      </c>
      <c r="B303" s="275" t="s">
        <v>688</v>
      </c>
      <c r="C303" s="265">
        <v>0.4</v>
      </c>
      <c r="D303" s="273" t="s">
        <v>812</v>
      </c>
      <c r="E303" s="274" t="s">
        <v>811</v>
      </c>
      <c r="F303" s="265">
        <v>0.1</v>
      </c>
      <c r="G303" s="273" t="s">
        <v>749</v>
      </c>
      <c r="H303" s="272" t="s">
        <v>763</v>
      </c>
      <c r="I303" s="265">
        <v>0</v>
      </c>
      <c r="J303" s="271">
        <f t="shared" si="4"/>
        <v>0.5</v>
      </c>
      <c r="K303" s="270"/>
      <c r="L303" s="279" t="s">
        <v>1089</v>
      </c>
      <c r="M303" s="279" t="s">
        <v>1103</v>
      </c>
      <c r="N303" s="279" t="s">
        <v>1088</v>
      </c>
      <c r="O303" s="268" t="s">
        <v>1088</v>
      </c>
      <c r="P303" s="268">
        <v>0</v>
      </c>
      <c r="Q303" s="277" t="s">
        <v>1088</v>
      </c>
      <c r="R303" s="267">
        <v>0</v>
      </c>
      <c r="S303" s="267">
        <v>0</v>
      </c>
      <c r="T303" s="276" t="s">
        <v>1088</v>
      </c>
    </row>
    <row r="304" spans="1:20" ht="15.75" customHeight="1" x14ac:dyDescent="0.25">
      <c r="A304" s="272" t="s">
        <v>691</v>
      </c>
      <c r="B304" s="275" t="s">
        <v>690</v>
      </c>
      <c r="C304" s="265">
        <v>0.4</v>
      </c>
      <c r="D304" s="273" t="s">
        <v>773</v>
      </c>
      <c r="E304" s="274" t="s">
        <v>772</v>
      </c>
      <c r="F304" s="265">
        <v>0.1</v>
      </c>
      <c r="G304" s="273" t="s">
        <v>749</v>
      </c>
      <c r="H304" s="272" t="s">
        <v>763</v>
      </c>
      <c r="I304" s="265">
        <v>0</v>
      </c>
      <c r="J304" s="271">
        <f t="shared" si="4"/>
        <v>0.5</v>
      </c>
      <c r="K304" s="270"/>
      <c r="L304" s="279" t="s">
        <v>1088</v>
      </c>
      <c r="M304" s="279" t="s">
        <v>1088</v>
      </c>
      <c r="N304" s="279" t="s">
        <v>1088</v>
      </c>
      <c r="O304" s="268" t="s">
        <v>1088</v>
      </c>
      <c r="P304" s="268">
        <v>0</v>
      </c>
      <c r="Q304" s="277" t="s">
        <v>1088</v>
      </c>
      <c r="R304" s="267">
        <v>0</v>
      </c>
      <c r="S304" s="267">
        <v>0</v>
      </c>
      <c r="T304" s="276" t="s">
        <v>1088</v>
      </c>
    </row>
    <row r="305" spans="1:20" ht="15.75" customHeight="1" x14ac:dyDescent="0.25">
      <c r="A305" s="272" t="s">
        <v>693</v>
      </c>
      <c r="B305" s="275" t="s">
        <v>692</v>
      </c>
      <c r="C305" s="265">
        <v>0.4</v>
      </c>
      <c r="D305" s="273" t="s">
        <v>810</v>
      </c>
      <c r="E305" s="274" t="s">
        <v>809</v>
      </c>
      <c r="F305" s="265">
        <v>0.09</v>
      </c>
      <c r="G305" s="273" t="s">
        <v>808</v>
      </c>
      <c r="H305" s="272" t="s">
        <v>807</v>
      </c>
      <c r="I305" s="265">
        <v>0.01</v>
      </c>
      <c r="J305" s="271">
        <f t="shared" si="4"/>
        <v>0.5</v>
      </c>
      <c r="K305" s="270"/>
      <c r="L305" s="279" t="s">
        <v>1088</v>
      </c>
      <c r="M305" s="279" t="s">
        <v>1088</v>
      </c>
      <c r="N305" s="279" t="s">
        <v>1088</v>
      </c>
      <c r="O305" s="268" t="s">
        <v>1088</v>
      </c>
      <c r="P305" s="268">
        <v>0</v>
      </c>
      <c r="Q305" s="277" t="s">
        <v>1088</v>
      </c>
      <c r="R305" s="267">
        <v>0</v>
      </c>
      <c r="S305" s="267">
        <v>0</v>
      </c>
      <c r="T305" s="276" t="s">
        <v>1088</v>
      </c>
    </row>
    <row r="306" spans="1:20" ht="15.75" customHeight="1" x14ac:dyDescent="0.25">
      <c r="A306" s="272" t="s">
        <v>695</v>
      </c>
      <c r="B306" s="275" t="s">
        <v>694</v>
      </c>
      <c r="C306" s="265">
        <v>0.4</v>
      </c>
      <c r="D306" s="273" t="s">
        <v>806</v>
      </c>
      <c r="E306" s="274" t="s">
        <v>805</v>
      </c>
      <c r="F306" s="265">
        <v>0.1</v>
      </c>
      <c r="G306" s="273" t="s">
        <v>749</v>
      </c>
      <c r="H306" s="272" t="s">
        <v>763</v>
      </c>
      <c r="I306" s="265">
        <v>0</v>
      </c>
      <c r="J306" s="271">
        <f t="shared" si="4"/>
        <v>0.5</v>
      </c>
      <c r="K306" s="270"/>
      <c r="L306" s="279" t="s">
        <v>1088</v>
      </c>
      <c r="M306" s="279" t="s">
        <v>1088</v>
      </c>
      <c r="N306" s="279" t="s">
        <v>1088</v>
      </c>
      <c r="O306" s="268" t="s">
        <v>1088</v>
      </c>
      <c r="P306" s="268">
        <v>0</v>
      </c>
      <c r="Q306" s="277" t="s">
        <v>1088</v>
      </c>
      <c r="R306" s="267">
        <v>0</v>
      </c>
      <c r="S306" s="267">
        <v>0</v>
      </c>
      <c r="T306" s="276" t="s">
        <v>1088</v>
      </c>
    </row>
    <row r="307" spans="1:20" ht="15.75" customHeight="1" x14ac:dyDescent="0.25">
      <c r="A307" s="272" t="s">
        <v>697</v>
      </c>
      <c r="B307" s="275" t="s">
        <v>696</v>
      </c>
      <c r="C307" s="265">
        <v>0.4</v>
      </c>
      <c r="D307" s="273" t="s">
        <v>804</v>
      </c>
      <c r="E307" s="274" t="s">
        <v>803</v>
      </c>
      <c r="F307" s="265">
        <v>0.1</v>
      </c>
      <c r="G307" s="273" t="s">
        <v>749</v>
      </c>
      <c r="H307" s="272" t="s">
        <v>763</v>
      </c>
      <c r="I307" s="265">
        <v>0</v>
      </c>
      <c r="J307" s="271">
        <f t="shared" si="4"/>
        <v>0.5</v>
      </c>
      <c r="K307" s="270"/>
      <c r="L307" s="279" t="s">
        <v>1088</v>
      </c>
      <c r="M307" s="279" t="s">
        <v>1088</v>
      </c>
      <c r="N307" s="279" t="s">
        <v>1088</v>
      </c>
      <c r="O307" s="268" t="s">
        <v>1088</v>
      </c>
      <c r="P307" s="268">
        <v>0</v>
      </c>
      <c r="Q307" s="277" t="s">
        <v>1088</v>
      </c>
      <c r="R307" s="267">
        <v>0</v>
      </c>
      <c r="S307" s="267">
        <v>0</v>
      </c>
      <c r="T307" s="276" t="s">
        <v>1088</v>
      </c>
    </row>
    <row r="308" spans="1:20" ht="15.75" customHeight="1" x14ac:dyDescent="0.25">
      <c r="A308" s="272" t="s">
        <v>699</v>
      </c>
      <c r="B308" s="275" t="s">
        <v>802</v>
      </c>
      <c r="C308" s="265">
        <v>0.49</v>
      </c>
      <c r="D308" s="273" t="s">
        <v>749</v>
      </c>
      <c r="E308" s="274" t="s">
        <v>748</v>
      </c>
      <c r="F308" s="265">
        <v>0</v>
      </c>
      <c r="G308" s="273" t="s">
        <v>770</v>
      </c>
      <c r="H308" s="272" t="s">
        <v>769</v>
      </c>
      <c r="I308" s="265">
        <v>0.01</v>
      </c>
      <c r="J308" s="271">
        <f t="shared" si="4"/>
        <v>0.5</v>
      </c>
      <c r="K308" s="270"/>
      <c r="L308" s="279" t="s">
        <v>1088</v>
      </c>
      <c r="M308" s="279" t="s">
        <v>1088</v>
      </c>
      <c r="N308" s="279" t="s">
        <v>1088</v>
      </c>
      <c r="O308" s="268" t="s">
        <v>1088</v>
      </c>
      <c r="P308" s="268">
        <v>0</v>
      </c>
      <c r="Q308" s="277" t="s">
        <v>1089</v>
      </c>
      <c r="R308" s="267">
        <v>0</v>
      </c>
      <c r="S308" s="267">
        <v>0</v>
      </c>
      <c r="T308" s="276" t="s">
        <v>1089</v>
      </c>
    </row>
    <row r="309" spans="1:20" ht="15.75" customHeight="1" x14ac:dyDescent="0.25">
      <c r="A309" s="272" t="s">
        <v>701</v>
      </c>
      <c r="B309" s="275" t="s">
        <v>700</v>
      </c>
      <c r="C309" s="265">
        <v>0.4</v>
      </c>
      <c r="D309" s="273" t="s">
        <v>801</v>
      </c>
      <c r="E309" s="274" t="s">
        <v>800</v>
      </c>
      <c r="F309" s="265">
        <v>0.09</v>
      </c>
      <c r="G309" s="273" t="s">
        <v>793</v>
      </c>
      <c r="H309" s="272" t="s">
        <v>792</v>
      </c>
      <c r="I309" s="265">
        <v>0.01</v>
      </c>
      <c r="J309" s="271">
        <f t="shared" si="4"/>
        <v>0.5</v>
      </c>
      <c r="K309" s="270"/>
      <c r="L309" s="279" t="s">
        <v>1088</v>
      </c>
      <c r="M309" s="279" t="s">
        <v>1088</v>
      </c>
      <c r="N309" s="279" t="s">
        <v>1088</v>
      </c>
      <c r="O309" s="268" t="s">
        <v>1088</v>
      </c>
      <c r="P309" s="268">
        <v>0</v>
      </c>
      <c r="Q309" s="277" t="s">
        <v>1088</v>
      </c>
      <c r="R309" s="267">
        <v>0</v>
      </c>
      <c r="S309" s="267">
        <v>0</v>
      </c>
      <c r="T309" s="276" t="s">
        <v>1088</v>
      </c>
    </row>
    <row r="310" spans="1:20" ht="15.75" customHeight="1" x14ac:dyDescent="0.25">
      <c r="A310" s="272" t="s">
        <v>703</v>
      </c>
      <c r="B310" s="275" t="s">
        <v>702</v>
      </c>
      <c r="C310" s="265">
        <v>0.4</v>
      </c>
      <c r="D310" s="273" t="s">
        <v>788</v>
      </c>
      <c r="E310" s="274" t="s">
        <v>787</v>
      </c>
      <c r="F310" s="265">
        <v>0.09</v>
      </c>
      <c r="G310" s="273" t="s">
        <v>786</v>
      </c>
      <c r="H310" s="272" t="s">
        <v>785</v>
      </c>
      <c r="I310" s="265">
        <v>0.01</v>
      </c>
      <c r="J310" s="271">
        <f t="shared" si="4"/>
        <v>0.5</v>
      </c>
      <c r="K310" s="270"/>
      <c r="L310" s="279" t="s">
        <v>1088</v>
      </c>
      <c r="M310" s="279" t="s">
        <v>1088</v>
      </c>
      <c r="N310" s="279" t="s">
        <v>1088</v>
      </c>
      <c r="O310" s="268" t="s">
        <v>1088</v>
      </c>
      <c r="P310" s="268">
        <v>0</v>
      </c>
      <c r="Q310" s="277" t="s">
        <v>1088</v>
      </c>
      <c r="R310" s="267">
        <v>0</v>
      </c>
      <c r="S310" s="267">
        <v>0</v>
      </c>
      <c r="T310" s="276" t="s">
        <v>1088</v>
      </c>
    </row>
    <row r="311" spans="1:20" ht="15.75" customHeight="1" x14ac:dyDescent="0.25">
      <c r="A311" s="272" t="s">
        <v>705</v>
      </c>
      <c r="B311" s="275" t="s">
        <v>704</v>
      </c>
      <c r="C311" s="265">
        <v>0.4</v>
      </c>
      <c r="D311" s="273" t="s">
        <v>758</v>
      </c>
      <c r="E311" s="274" t="s">
        <v>757</v>
      </c>
      <c r="F311" s="265">
        <v>0.09</v>
      </c>
      <c r="G311" s="273" t="s">
        <v>756</v>
      </c>
      <c r="H311" s="272" t="s">
        <v>755</v>
      </c>
      <c r="I311" s="265">
        <v>0.01</v>
      </c>
      <c r="J311" s="271">
        <f t="shared" si="4"/>
        <v>0.5</v>
      </c>
      <c r="K311" s="270"/>
      <c r="L311" s="279" t="s">
        <v>1088</v>
      </c>
      <c r="M311" s="279" t="s">
        <v>1088</v>
      </c>
      <c r="N311" s="279" t="s">
        <v>1088</v>
      </c>
      <c r="O311" s="268" t="s">
        <v>1088</v>
      </c>
      <c r="P311" s="268">
        <v>0</v>
      </c>
      <c r="Q311" s="277" t="s">
        <v>1088</v>
      </c>
      <c r="R311" s="267">
        <v>0</v>
      </c>
      <c r="S311" s="267">
        <v>0</v>
      </c>
      <c r="T311" s="276" t="s">
        <v>1088</v>
      </c>
    </row>
    <row r="312" spans="1:20" ht="15.75" customHeight="1" x14ac:dyDescent="0.25">
      <c r="A312" s="272" t="s">
        <v>707</v>
      </c>
      <c r="B312" s="275" t="s">
        <v>706</v>
      </c>
      <c r="C312" s="265">
        <v>0.4</v>
      </c>
      <c r="D312" s="273" t="s">
        <v>799</v>
      </c>
      <c r="E312" s="274" t="s">
        <v>798</v>
      </c>
      <c r="F312" s="265">
        <v>0.1</v>
      </c>
      <c r="G312" s="273" t="s">
        <v>749</v>
      </c>
      <c r="H312" s="272" t="s">
        <v>763</v>
      </c>
      <c r="I312" s="265">
        <v>0</v>
      </c>
      <c r="J312" s="271">
        <f t="shared" si="4"/>
        <v>0.5</v>
      </c>
      <c r="K312" s="270"/>
      <c r="L312" s="279" t="s">
        <v>1088</v>
      </c>
      <c r="M312" s="279" t="s">
        <v>1088</v>
      </c>
      <c r="N312" s="279" t="s">
        <v>1088</v>
      </c>
      <c r="O312" s="268" t="s">
        <v>1088</v>
      </c>
      <c r="P312" s="268">
        <v>0</v>
      </c>
      <c r="Q312" s="277" t="s">
        <v>1088</v>
      </c>
      <c r="R312" s="267">
        <v>0</v>
      </c>
      <c r="S312" s="267">
        <v>0</v>
      </c>
      <c r="T312" s="276" t="s">
        <v>1088</v>
      </c>
    </row>
    <row r="313" spans="1:20" ht="15.75" customHeight="1" x14ac:dyDescent="0.25">
      <c r="A313" s="272" t="s">
        <v>709</v>
      </c>
      <c r="B313" s="275" t="s">
        <v>708</v>
      </c>
      <c r="C313" s="265">
        <v>0.4</v>
      </c>
      <c r="D313" s="273" t="s">
        <v>797</v>
      </c>
      <c r="E313" s="274" t="s">
        <v>796</v>
      </c>
      <c r="F313" s="265">
        <v>0.1</v>
      </c>
      <c r="G313" s="273" t="s">
        <v>749</v>
      </c>
      <c r="H313" s="272" t="s">
        <v>763</v>
      </c>
      <c r="I313" s="265">
        <v>0</v>
      </c>
      <c r="J313" s="271">
        <f t="shared" si="4"/>
        <v>0.5</v>
      </c>
      <c r="L313" s="279" t="s">
        <v>1088</v>
      </c>
      <c r="M313" s="279" t="s">
        <v>1088</v>
      </c>
      <c r="N313" s="279" t="s">
        <v>1088</v>
      </c>
      <c r="O313" s="268" t="s">
        <v>1088</v>
      </c>
      <c r="P313" s="268">
        <v>0</v>
      </c>
      <c r="Q313" s="277" t="s">
        <v>1088</v>
      </c>
      <c r="R313" s="267">
        <v>0</v>
      </c>
      <c r="S313" s="267">
        <v>0</v>
      </c>
      <c r="T313" s="276" t="s">
        <v>1088</v>
      </c>
    </row>
    <row r="314" spans="1:20" ht="15.75" customHeight="1" x14ac:dyDescent="0.25">
      <c r="A314" s="272" t="s">
        <v>711</v>
      </c>
      <c r="B314" s="275" t="s">
        <v>710</v>
      </c>
      <c r="C314" s="265">
        <v>0.4</v>
      </c>
      <c r="D314" s="273" t="s">
        <v>795</v>
      </c>
      <c r="E314" s="274" t="s">
        <v>794</v>
      </c>
      <c r="F314" s="265">
        <v>0.09</v>
      </c>
      <c r="G314" s="273" t="s">
        <v>793</v>
      </c>
      <c r="H314" s="272" t="s">
        <v>792</v>
      </c>
      <c r="I314" s="265">
        <v>0.01</v>
      </c>
      <c r="J314" s="271">
        <f t="shared" si="4"/>
        <v>0.5</v>
      </c>
      <c r="K314" s="270"/>
      <c r="L314" s="279" t="s">
        <v>1088</v>
      </c>
      <c r="M314" s="279" t="s">
        <v>1088</v>
      </c>
      <c r="N314" s="279" t="s">
        <v>1088</v>
      </c>
      <c r="O314" s="268" t="s">
        <v>1088</v>
      </c>
      <c r="P314" s="268">
        <v>0</v>
      </c>
      <c r="Q314" s="277" t="s">
        <v>1088</v>
      </c>
      <c r="R314" s="267">
        <v>0</v>
      </c>
      <c r="S314" s="267">
        <v>0</v>
      </c>
      <c r="T314" s="276" t="s">
        <v>1088</v>
      </c>
    </row>
    <row r="315" spans="1:20" ht="15.75" customHeight="1" x14ac:dyDescent="0.25">
      <c r="A315" s="272" t="s">
        <v>713</v>
      </c>
      <c r="B315" s="275" t="s">
        <v>712</v>
      </c>
      <c r="C315" s="265">
        <v>0.3</v>
      </c>
      <c r="D315" s="273" t="s">
        <v>791</v>
      </c>
      <c r="E315" s="274" t="s">
        <v>790</v>
      </c>
      <c r="F315" s="265">
        <v>0.2</v>
      </c>
      <c r="G315" s="273" t="s">
        <v>749</v>
      </c>
      <c r="H315" s="274" t="s">
        <v>749</v>
      </c>
      <c r="I315" s="265">
        <v>0</v>
      </c>
      <c r="J315" s="271">
        <f t="shared" si="4"/>
        <v>0.5</v>
      </c>
      <c r="K315" s="270"/>
      <c r="L315" s="279" t="s">
        <v>1088</v>
      </c>
      <c r="M315" s="279" t="s">
        <v>1088</v>
      </c>
      <c r="N315" s="279" t="s">
        <v>1088</v>
      </c>
      <c r="O315" s="268" t="s">
        <v>1088</v>
      </c>
      <c r="P315" s="268">
        <v>0</v>
      </c>
      <c r="Q315" s="277" t="s">
        <v>1089</v>
      </c>
      <c r="R315" s="267">
        <v>0</v>
      </c>
      <c r="S315" s="267">
        <v>0</v>
      </c>
      <c r="T315" s="276" t="s">
        <v>1089</v>
      </c>
    </row>
    <row r="316" spans="1:20" ht="15.75" customHeight="1" x14ac:dyDescent="0.25">
      <c r="A316" s="272" t="s">
        <v>715</v>
      </c>
      <c r="B316" s="275" t="s">
        <v>789</v>
      </c>
      <c r="C316" s="265">
        <v>0.4</v>
      </c>
      <c r="D316" s="273" t="s">
        <v>788</v>
      </c>
      <c r="E316" s="274" t="s">
        <v>787</v>
      </c>
      <c r="F316" s="265">
        <v>0.09</v>
      </c>
      <c r="G316" s="273" t="s">
        <v>786</v>
      </c>
      <c r="H316" s="272" t="s">
        <v>785</v>
      </c>
      <c r="I316" s="265">
        <v>0.01</v>
      </c>
      <c r="J316" s="271">
        <f t="shared" si="4"/>
        <v>0.5</v>
      </c>
      <c r="K316" s="270"/>
      <c r="L316" s="279" t="s">
        <v>1088</v>
      </c>
      <c r="M316" s="279" t="s">
        <v>1088</v>
      </c>
      <c r="N316" s="279" t="s">
        <v>1088</v>
      </c>
      <c r="O316" s="268" t="s">
        <v>1088</v>
      </c>
      <c r="P316" s="268">
        <v>0</v>
      </c>
      <c r="Q316" s="277" t="s">
        <v>1088</v>
      </c>
      <c r="R316" s="267">
        <v>0</v>
      </c>
      <c r="S316" s="267">
        <v>0</v>
      </c>
      <c r="T316" s="276" t="s">
        <v>1088</v>
      </c>
    </row>
    <row r="317" spans="1:20" ht="15.75" customHeight="1" x14ac:dyDescent="0.25">
      <c r="A317" s="272" t="s">
        <v>717</v>
      </c>
      <c r="B317" s="275" t="s">
        <v>716</v>
      </c>
      <c r="C317" s="265">
        <v>0.49</v>
      </c>
      <c r="D317" s="273" t="s">
        <v>749</v>
      </c>
      <c r="E317" s="274" t="s">
        <v>768</v>
      </c>
      <c r="F317" s="265">
        <v>0</v>
      </c>
      <c r="G317" s="273" t="s">
        <v>784</v>
      </c>
      <c r="H317" s="272" t="s">
        <v>783</v>
      </c>
      <c r="I317" s="265">
        <v>0.01</v>
      </c>
      <c r="J317" s="271">
        <f t="shared" si="4"/>
        <v>0.5</v>
      </c>
      <c r="K317" s="270"/>
      <c r="L317" s="279" t="s">
        <v>1088</v>
      </c>
      <c r="M317" s="279" t="s">
        <v>1088</v>
      </c>
      <c r="N317" s="279" t="s">
        <v>1088</v>
      </c>
      <c r="O317" s="268" t="s">
        <v>1088</v>
      </c>
      <c r="P317" s="268">
        <v>0</v>
      </c>
      <c r="Q317" s="277" t="s">
        <v>1089</v>
      </c>
      <c r="R317" s="267">
        <v>0</v>
      </c>
      <c r="S317" s="267">
        <v>0</v>
      </c>
      <c r="T317" s="276" t="s">
        <v>1089</v>
      </c>
    </row>
    <row r="318" spans="1:20" ht="15.75" customHeight="1" x14ac:dyDescent="0.25">
      <c r="A318" s="272" t="s">
        <v>719</v>
      </c>
      <c r="B318" s="275" t="s">
        <v>718</v>
      </c>
      <c r="C318" s="265">
        <v>0.49</v>
      </c>
      <c r="D318" s="273" t="s">
        <v>749</v>
      </c>
      <c r="E318" s="274" t="s">
        <v>748</v>
      </c>
      <c r="F318" s="265">
        <v>0</v>
      </c>
      <c r="G318" s="273" t="s">
        <v>782</v>
      </c>
      <c r="H318" s="272" t="s">
        <v>781</v>
      </c>
      <c r="I318" s="265">
        <v>0.01</v>
      </c>
      <c r="J318" s="271">
        <f t="shared" si="4"/>
        <v>0.5</v>
      </c>
      <c r="K318" s="270"/>
      <c r="L318" s="279" t="s">
        <v>1088</v>
      </c>
      <c r="M318" s="279" t="s">
        <v>1088</v>
      </c>
      <c r="N318" s="279" t="s">
        <v>1088</v>
      </c>
      <c r="O318" s="268" t="s">
        <v>1088</v>
      </c>
      <c r="P318" s="268">
        <v>0</v>
      </c>
      <c r="Q318" s="277" t="s">
        <v>1089</v>
      </c>
      <c r="R318" s="267">
        <v>0</v>
      </c>
      <c r="S318" s="267">
        <v>0</v>
      </c>
      <c r="T318" s="276" t="s">
        <v>1089</v>
      </c>
    </row>
    <row r="319" spans="1:20" ht="15.75" customHeight="1" x14ac:dyDescent="0.25">
      <c r="A319" s="272" t="s">
        <v>721</v>
      </c>
      <c r="B319" s="275" t="s">
        <v>720</v>
      </c>
      <c r="C319" s="265">
        <v>0.4</v>
      </c>
      <c r="D319" s="273" t="s">
        <v>780</v>
      </c>
      <c r="E319" s="274" t="s">
        <v>779</v>
      </c>
      <c r="F319" s="265">
        <v>0.09</v>
      </c>
      <c r="G319" s="273" t="s">
        <v>778</v>
      </c>
      <c r="H319" s="272" t="s">
        <v>777</v>
      </c>
      <c r="I319" s="265">
        <v>0.01</v>
      </c>
      <c r="J319" s="271">
        <f t="shared" si="4"/>
        <v>0.5</v>
      </c>
      <c r="K319" s="270"/>
      <c r="L319" s="279" t="s">
        <v>1088</v>
      </c>
      <c r="M319" s="279" t="s">
        <v>1088</v>
      </c>
      <c r="N319" s="279" t="s">
        <v>1088</v>
      </c>
      <c r="O319" s="268" t="s">
        <v>1088</v>
      </c>
      <c r="P319" s="268">
        <v>0</v>
      </c>
      <c r="Q319" s="277" t="s">
        <v>1088</v>
      </c>
      <c r="R319" s="267">
        <v>0</v>
      </c>
      <c r="S319" s="267">
        <v>0</v>
      </c>
      <c r="T319" s="276" t="s">
        <v>1088</v>
      </c>
    </row>
    <row r="320" spans="1:20" ht="15.75" customHeight="1" x14ac:dyDescent="0.25">
      <c r="A320" s="272" t="s">
        <v>723</v>
      </c>
      <c r="B320" s="275" t="s">
        <v>776</v>
      </c>
      <c r="C320" s="265">
        <v>0.49</v>
      </c>
      <c r="D320" s="273" t="s">
        <v>749</v>
      </c>
      <c r="E320" s="274" t="s">
        <v>748</v>
      </c>
      <c r="F320" s="265">
        <v>0</v>
      </c>
      <c r="G320" s="273" t="s">
        <v>770</v>
      </c>
      <c r="H320" s="272" t="s">
        <v>769</v>
      </c>
      <c r="I320" s="265">
        <v>0.01</v>
      </c>
      <c r="J320" s="271">
        <f t="shared" si="4"/>
        <v>0.5</v>
      </c>
      <c r="K320" s="270"/>
      <c r="L320" s="279" t="s">
        <v>1088</v>
      </c>
      <c r="M320" s="279" t="s">
        <v>1088</v>
      </c>
      <c r="N320" s="279" t="s">
        <v>1088</v>
      </c>
      <c r="O320" s="268" t="s">
        <v>1089</v>
      </c>
      <c r="P320" s="268">
        <v>1000000</v>
      </c>
      <c r="Q320" s="277" t="s">
        <v>1089</v>
      </c>
      <c r="R320" s="267">
        <v>0</v>
      </c>
      <c r="S320" s="267">
        <v>0</v>
      </c>
      <c r="T320" s="276" t="s">
        <v>1089</v>
      </c>
    </row>
    <row r="321" spans="1:22" x14ac:dyDescent="0.25">
      <c r="A321" s="272" t="s">
        <v>725</v>
      </c>
      <c r="B321" s="275" t="s">
        <v>724</v>
      </c>
      <c r="C321" s="265">
        <v>0.49</v>
      </c>
      <c r="D321" s="273" t="s">
        <v>749</v>
      </c>
      <c r="E321" s="274" t="s">
        <v>768</v>
      </c>
      <c r="F321" s="265">
        <v>0</v>
      </c>
      <c r="G321" s="273" t="s">
        <v>775</v>
      </c>
      <c r="H321" s="272" t="s">
        <v>774</v>
      </c>
      <c r="I321" s="265">
        <v>0.01</v>
      </c>
      <c r="J321" s="271">
        <f t="shared" si="4"/>
        <v>0.5</v>
      </c>
      <c r="K321" s="270"/>
      <c r="L321" s="279" t="s">
        <v>1089</v>
      </c>
      <c r="M321" s="279" t="s">
        <v>1110</v>
      </c>
      <c r="N321" s="279" t="s">
        <v>1088</v>
      </c>
      <c r="O321" s="268" t="s">
        <v>1088</v>
      </c>
      <c r="P321" s="268">
        <v>0</v>
      </c>
      <c r="Q321" s="277" t="s">
        <v>1089</v>
      </c>
      <c r="R321" s="267">
        <v>2915</v>
      </c>
      <c r="S321" s="267">
        <v>0</v>
      </c>
      <c r="T321" s="276" t="s">
        <v>1089</v>
      </c>
    </row>
    <row r="322" spans="1:22" ht="15.75" customHeight="1" x14ac:dyDescent="0.25">
      <c r="A322" s="272" t="s">
        <v>727</v>
      </c>
      <c r="B322" s="275" t="s">
        <v>726</v>
      </c>
      <c r="C322" s="265">
        <v>0.4</v>
      </c>
      <c r="D322" s="273" t="s">
        <v>773</v>
      </c>
      <c r="E322" s="274" t="s">
        <v>772</v>
      </c>
      <c r="F322" s="265">
        <v>0.1</v>
      </c>
      <c r="G322" s="273" t="s">
        <v>749</v>
      </c>
      <c r="H322" s="272" t="s">
        <v>763</v>
      </c>
      <c r="I322" s="265">
        <v>0</v>
      </c>
      <c r="J322" s="271">
        <f t="shared" si="4"/>
        <v>0.5</v>
      </c>
      <c r="K322" s="270"/>
      <c r="L322" s="279" t="s">
        <v>1088</v>
      </c>
      <c r="M322" s="279" t="s">
        <v>1088</v>
      </c>
      <c r="N322" s="279" t="s">
        <v>1088</v>
      </c>
      <c r="O322" s="268" t="s">
        <v>1088</v>
      </c>
      <c r="P322" s="268">
        <v>0</v>
      </c>
      <c r="Q322" s="277" t="s">
        <v>1088</v>
      </c>
      <c r="R322" s="267">
        <v>0</v>
      </c>
      <c r="S322" s="267">
        <v>0</v>
      </c>
      <c r="T322" s="276" t="s">
        <v>1088</v>
      </c>
    </row>
    <row r="323" spans="1:22" ht="15.75" customHeight="1" x14ac:dyDescent="0.25">
      <c r="A323" s="272" t="s">
        <v>729</v>
      </c>
      <c r="B323" s="275" t="s">
        <v>771</v>
      </c>
      <c r="C323" s="265">
        <v>0.49</v>
      </c>
      <c r="D323" s="273" t="s">
        <v>749</v>
      </c>
      <c r="E323" s="274" t="s">
        <v>748</v>
      </c>
      <c r="F323" s="265">
        <v>0</v>
      </c>
      <c r="G323" s="273" t="s">
        <v>770</v>
      </c>
      <c r="H323" s="272" t="s">
        <v>769</v>
      </c>
      <c r="I323" s="265">
        <v>0.01</v>
      </c>
      <c r="J323" s="271">
        <f t="shared" si="4"/>
        <v>0.5</v>
      </c>
      <c r="K323" s="270"/>
      <c r="L323" s="279" t="s">
        <v>1088</v>
      </c>
      <c r="M323" s="279" t="s">
        <v>1088</v>
      </c>
      <c r="N323" s="279" t="s">
        <v>1088</v>
      </c>
      <c r="O323" s="268" t="s">
        <v>1088</v>
      </c>
      <c r="P323" s="268">
        <v>0</v>
      </c>
      <c r="Q323" s="277" t="s">
        <v>1089</v>
      </c>
      <c r="R323" s="267">
        <v>0</v>
      </c>
      <c r="S323" s="267">
        <v>0</v>
      </c>
      <c r="T323" s="276" t="s">
        <v>1089</v>
      </c>
    </row>
    <row r="324" spans="1:22" x14ac:dyDescent="0.25">
      <c r="A324" s="272" t="s">
        <v>731</v>
      </c>
      <c r="B324" s="275" t="s">
        <v>730</v>
      </c>
      <c r="C324" s="265">
        <v>0.49</v>
      </c>
      <c r="D324" s="273" t="s">
        <v>749</v>
      </c>
      <c r="E324" s="274" t="s">
        <v>768</v>
      </c>
      <c r="F324" s="265">
        <v>0</v>
      </c>
      <c r="G324" s="273" t="s">
        <v>767</v>
      </c>
      <c r="H324" s="272" t="s">
        <v>766</v>
      </c>
      <c r="I324" s="265">
        <v>0.01</v>
      </c>
      <c r="J324" s="271">
        <f t="shared" si="4"/>
        <v>0.5</v>
      </c>
      <c r="K324" s="270"/>
      <c r="L324" s="279" t="s">
        <v>1089</v>
      </c>
      <c r="M324" s="279" t="s">
        <v>1120</v>
      </c>
      <c r="N324" s="279" t="s">
        <v>1088</v>
      </c>
      <c r="O324" s="268" t="s">
        <v>1088</v>
      </c>
      <c r="P324" s="268">
        <v>0</v>
      </c>
      <c r="Q324" s="277" t="s">
        <v>1089</v>
      </c>
      <c r="R324" s="267">
        <v>88549</v>
      </c>
      <c r="S324" s="267">
        <v>0</v>
      </c>
      <c r="T324" s="276" t="s">
        <v>1089</v>
      </c>
    </row>
    <row r="325" spans="1:22" ht="15.75" customHeight="1" x14ac:dyDescent="0.25">
      <c r="A325" s="272" t="s">
        <v>733</v>
      </c>
      <c r="B325" s="275" t="s">
        <v>732</v>
      </c>
      <c r="C325" s="265">
        <v>0.4</v>
      </c>
      <c r="D325" s="273" t="s">
        <v>754</v>
      </c>
      <c r="E325" s="274" t="s">
        <v>753</v>
      </c>
      <c r="F325" s="265">
        <v>0.09</v>
      </c>
      <c r="G325" s="273" t="s">
        <v>752</v>
      </c>
      <c r="H325" s="272" t="s">
        <v>751</v>
      </c>
      <c r="I325" s="265">
        <v>0.01</v>
      </c>
      <c r="J325" s="271">
        <f t="shared" si="4"/>
        <v>0.5</v>
      </c>
      <c r="K325" s="270"/>
      <c r="L325" s="279" t="s">
        <v>1088</v>
      </c>
      <c r="M325" s="279" t="s">
        <v>1088</v>
      </c>
      <c r="N325" s="279" t="s">
        <v>1088</v>
      </c>
      <c r="O325" s="268" t="s">
        <v>1089</v>
      </c>
      <c r="P325" s="268">
        <v>621010</v>
      </c>
      <c r="Q325" s="277" t="s">
        <v>1088</v>
      </c>
      <c r="R325" s="267">
        <v>0</v>
      </c>
      <c r="S325" s="267">
        <v>0</v>
      </c>
      <c r="T325" s="276" t="s">
        <v>1088</v>
      </c>
    </row>
    <row r="326" spans="1:22" ht="15.75" customHeight="1" x14ac:dyDescent="0.25">
      <c r="A326" s="272" t="s">
        <v>735</v>
      </c>
      <c r="B326" s="275" t="s">
        <v>734</v>
      </c>
      <c r="C326" s="265">
        <v>0.4</v>
      </c>
      <c r="D326" s="273" t="s">
        <v>765</v>
      </c>
      <c r="E326" s="274" t="s">
        <v>764</v>
      </c>
      <c r="F326" s="265">
        <v>0.1</v>
      </c>
      <c r="G326" s="273" t="s">
        <v>749</v>
      </c>
      <c r="H326" s="272" t="s">
        <v>763</v>
      </c>
      <c r="I326" s="265">
        <v>0</v>
      </c>
      <c r="J326" s="271">
        <f t="shared" ref="J326:J331" si="5">+C326+F326+I326</f>
        <v>0.5</v>
      </c>
      <c r="K326" s="270"/>
      <c r="L326" s="279" t="s">
        <v>1088</v>
      </c>
      <c r="M326" s="279" t="s">
        <v>1088</v>
      </c>
      <c r="N326" s="279" t="s">
        <v>1088</v>
      </c>
      <c r="O326" s="268" t="s">
        <v>1088</v>
      </c>
      <c r="P326" s="268">
        <v>0</v>
      </c>
      <c r="Q326" s="277" t="s">
        <v>1088</v>
      </c>
      <c r="R326" s="267">
        <v>0</v>
      </c>
      <c r="S326" s="267">
        <v>0</v>
      </c>
      <c r="T326" s="276" t="s">
        <v>1088</v>
      </c>
    </row>
    <row r="327" spans="1:22" ht="15.75" customHeight="1" x14ac:dyDescent="0.25">
      <c r="A327" s="272" t="s">
        <v>737</v>
      </c>
      <c r="B327" s="275" t="s">
        <v>736</v>
      </c>
      <c r="C327" s="265">
        <v>0.4</v>
      </c>
      <c r="D327" s="273" t="s">
        <v>754</v>
      </c>
      <c r="E327" s="274" t="s">
        <v>753</v>
      </c>
      <c r="F327" s="265">
        <v>0.09</v>
      </c>
      <c r="G327" s="273" t="s">
        <v>752</v>
      </c>
      <c r="H327" s="272" t="s">
        <v>751</v>
      </c>
      <c r="I327" s="265">
        <v>0.01</v>
      </c>
      <c r="J327" s="271">
        <f t="shared" si="5"/>
        <v>0.5</v>
      </c>
      <c r="K327" s="270"/>
      <c r="L327" s="279" t="s">
        <v>1088</v>
      </c>
      <c r="M327" s="279" t="s">
        <v>1088</v>
      </c>
      <c r="N327" s="279" t="s">
        <v>1088</v>
      </c>
      <c r="O327" s="268" t="s">
        <v>1089</v>
      </c>
      <c r="P327" s="268">
        <v>550506</v>
      </c>
      <c r="Q327" s="277" t="s">
        <v>1088</v>
      </c>
      <c r="R327" s="267">
        <v>0</v>
      </c>
      <c r="S327" s="267">
        <v>0</v>
      </c>
      <c r="T327" s="276" t="s">
        <v>1088</v>
      </c>
    </row>
    <row r="328" spans="1:22" ht="15.75" customHeight="1" x14ac:dyDescent="0.25">
      <c r="A328" s="272" t="s">
        <v>739</v>
      </c>
      <c r="B328" s="275" t="s">
        <v>738</v>
      </c>
      <c r="C328" s="265">
        <v>0.4</v>
      </c>
      <c r="D328" s="273" t="s">
        <v>762</v>
      </c>
      <c r="E328" s="274" t="s">
        <v>761</v>
      </c>
      <c r="F328" s="265">
        <v>0.09</v>
      </c>
      <c r="G328" s="273" t="s">
        <v>760</v>
      </c>
      <c r="H328" s="272" t="s">
        <v>759</v>
      </c>
      <c r="I328" s="265">
        <v>0.01</v>
      </c>
      <c r="J328" s="271">
        <f t="shared" si="5"/>
        <v>0.5</v>
      </c>
      <c r="K328" s="270"/>
      <c r="L328" s="279" t="s">
        <v>1088</v>
      </c>
      <c r="M328" s="279" t="s">
        <v>1088</v>
      </c>
      <c r="N328" s="279" t="s">
        <v>1088</v>
      </c>
      <c r="O328" s="268" t="s">
        <v>1088</v>
      </c>
      <c r="P328" s="268">
        <v>0</v>
      </c>
      <c r="Q328" s="277" t="s">
        <v>1088</v>
      </c>
      <c r="R328" s="267">
        <v>0</v>
      </c>
      <c r="S328" s="267">
        <v>0</v>
      </c>
      <c r="T328" s="276" t="s">
        <v>1088</v>
      </c>
    </row>
    <row r="329" spans="1:22" ht="15.75" customHeight="1" x14ac:dyDescent="0.25">
      <c r="A329" s="272" t="s">
        <v>741</v>
      </c>
      <c r="B329" s="275" t="s">
        <v>740</v>
      </c>
      <c r="C329" s="265">
        <v>0.4</v>
      </c>
      <c r="D329" s="273" t="s">
        <v>758</v>
      </c>
      <c r="E329" s="274" t="s">
        <v>757</v>
      </c>
      <c r="F329" s="265">
        <v>0.09</v>
      </c>
      <c r="G329" s="273" t="s">
        <v>756</v>
      </c>
      <c r="H329" s="272" t="s">
        <v>755</v>
      </c>
      <c r="I329" s="265">
        <v>0.01</v>
      </c>
      <c r="J329" s="271">
        <f t="shared" si="5"/>
        <v>0.5</v>
      </c>
      <c r="K329" s="270"/>
      <c r="L329" s="279" t="s">
        <v>1088</v>
      </c>
      <c r="M329" s="279" t="s">
        <v>1088</v>
      </c>
      <c r="N329" s="279" t="s">
        <v>1088</v>
      </c>
      <c r="O329" s="268" t="s">
        <v>1088</v>
      </c>
      <c r="P329" s="268">
        <v>0</v>
      </c>
      <c r="Q329" s="277" t="s">
        <v>1088</v>
      </c>
      <c r="R329" s="267">
        <v>0</v>
      </c>
      <c r="S329" s="267">
        <v>0</v>
      </c>
      <c r="T329" s="276" t="s">
        <v>1088</v>
      </c>
    </row>
    <row r="330" spans="1:22" ht="15.75" customHeight="1" x14ac:dyDescent="0.25">
      <c r="A330" s="272" t="s">
        <v>743</v>
      </c>
      <c r="B330" s="275" t="s">
        <v>742</v>
      </c>
      <c r="C330" s="265">
        <v>0.4</v>
      </c>
      <c r="D330" s="273" t="s">
        <v>754</v>
      </c>
      <c r="E330" s="274" t="s">
        <v>753</v>
      </c>
      <c r="F330" s="265">
        <v>0.09</v>
      </c>
      <c r="G330" s="273" t="s">
        <v>752</v>
      </c>
      <c r="H330" s="272" t="s">
        <v>751</v>
      </c>
      <c r="I330" s="265">
        <v>0.01</v>
      </c>
      <c r="J330" s="271">
        <f t="shared" si="5"/>
        <v>0.5</v>
      </c>
      <c r="K330" s="270"/>
      <c r="L330" s="279" t="s">
        <v>1088</v>
      </c>
      <c r="M330" s="279" t="s">
        <v>1088</v>
      </c>
      <c r="N330" s="279" t="s">
        <v>1088</v>
      </c>
      <c r="O330" s="268" t="s">
        <v>1088</v>
      </c>
      <c r="P330" s="268">
        <v>0</v>
      </c>
      <c r="Q330" s="277" t="s">
        <v>1088</v>
      </c>
      <c r="R330" s="267">
        <v>0</v>
      </c>
      <c r="S330" s="267">
        <v>0</v>
      </c>
      <c r="T330" s="276" t="s">
        <v>1088</v>
      </c>
    </row>
    <row r="331" spans="1:22" x14ac:dyDescent="0.25">
      <c r="A331" s="272" t="s">
        <v>745</v>
      </c>
      <c r="B331" s="275" t="s">
        <v>750</v>
      </c>
      <c r="C331" s="265">
        <v>0.49</v>
      </c>
      <c r="D331" s="273" t="s">
        <v>749</v>
      </c>
      <c r="E331" s="274" t="s">
        <v>748</v>
      </c>
      <c r="F331" s="265">
        <v>0</v>
      </c>
      <c r="G331" s="273" t="s">
        <v>747</v>
      </c>
      <c r="H331" s="272" t="s">
        <v>746</v>
      </c>
      <c r="I331" s="265">
        <v>0.01</v>
      </c>
      <c r="J331" s="271">
        <f t="shared" si="5"/>
        <v>0.5</v>
      </c>
      <c r="K331" s="270"/>
      <c r="L331" s="279" t="s">
        <v>1088</v>
      </c>
      <c r="M331" s="279" t="s">
        <v>1088</v>
      </c>
      <c r="N331" s="279" t="s">
        <v>1088</v>
      </c>
      <c r="O331" s="268" t="s">
        <v>1089</v>
      </c>
      <c r="P331" s="268">
        <v>5368000</v>
      </c>
      <c r="Q331" s="277" t="s">
        <v>1089</v>
      </c>
      <c r="R331" s="267">
        <v>0</v>
      </c>
      <c r="S331" s="267">
        <v>0</v>
      </c>
      <c r="T331" s="276" t="s">
        <v>1089</v>
      </c>
    </row>
    <row r="332" spans="1:22" ht="16.5" thickBot="1" x14ac:dyDescent="0.3">
      <c r="A332" s="264"/>
      <c r="B332" s="264"/>
      <c r="C332" s="266"/>
      <c r="D332" s="266"/>
      <c r="E332" s="264"/>
      <c r="F332" s="266"/>
      <c r="G332" s="266"/>
      <c r="H332" s="264"/>
      <c r="I332" s="265"/>
      <c r="J332" s="264"/>
      <c r="M332" s="261"/>
      <c r="N332" s="261"/>
      <c r="P332" s="263"/>
      <c r="Q332" s="254"/>
      <c r="R332" s="254"/>
      <c r="S332" s="254"/>
    </row>
    <row r="333" spans="1:22" x14ac:dyDescent="0.25">
      <c r="M333" s="261"/>
      <c r="N333" s="261"/>
      <c r="R333" s="254"/>
      <c r="S333" s="254"/>
    </row>
    <row r="334" spans="1:22" x14ac:dyDescent="0.25">
      <c r="J334" s="262"/>
      <c r="M334" s="261"/>
      <c r="N334" s="261"/>
      <c r="R334" s="428"/>
      <c r="S334" s="428"/>
      <c r="T334" s="428"/>
      <c r="U334" s="428"/>
      <c r="V334" s="428"/>
    </row>
    <row r="335" spans="1:22" x14ac:dyDescent="0.25">
      <c r="R335" s="428"/>
      <c r="S335" s="428"/>
    </row>
  </sheetData>
  <sheetProtection sheet="1" objects="1" scenarios="1"/>
  <autoFilter ref="E5:R332"/>
  <mergeCells count="3">
    <mergeCell ref="M4:N4"/>
    <mergeCell ref="R4:S4"/>
    <mergeCell ref="A1:J1"/>
  </mergeCells>
  <conditionalFormatting sqref="C6:C331 F6:F331 I6:I331">
    <cfRule type="cellIs" dxfId="1" priority="2" stopIfTrue="1" operator="lessThan">
      <formula>0</formula>
    </cfRule>
  </conditionalFormatting>
  <conditionalFormatting sqref="I332">
    <cfRule type="cellIs" dxfId="0" priority="1" stopIfTrue="1" operator="lessThan">
      <formula>0</formula>
    </cfRule>
  </conditionalFormatting>
  <dataValidations count="1">
    <dataValidation type="custom" allowBlank="1" showInputMessage="1" showErrorMessage="1" sqref="A1:T331">
      <formula1>$CZ$1="UNLOCK"</formula1>
    </dataValidation>
  </dataValidations>
  <pageMargins left="0.75" right="0.75" top="1" bottom="1" header="0.5" footer="0.5"/>
  <pageSetup paperSize="9" scale="44"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3"/>
  <sheetViews>
    <sheetView workbookViewId="0"/>
  </sheetViews>
  <sheetFormatPr defaultRowHeight="12.75" x14ac:dyDescent="0.2"/>
  <cols>
    <col min="1" max="1" width="4.140625" style="214" customWidth="1"/>
    <col min="2" max="2" width="9.140625" style="214"/>
    <col min="3" max="3" width="31.5703125" style="214" customWidth="1"/>
    <col min="4" max="4" width="12.42578125" style="633" customWidth="1"/>
    <col min="5" max="5" width="13.5703125" style="633" customWidth="1"/>
    <col min="6" max="6" width="13.7109375" style="633" customWidth="1"/>
    <col min="7" max="7" width="11.85546875" style="633" customWidth="1"/>
    <col min="8" max="8" width="13.28515625" style="633" customWidth="1"/>
    <col min="9" max="9" width="13.42578125" style="633" customWidth="1"/>
    <col min="10" max="10" width="11" style="633" customWidth="1"/>
    <col min="11" max="11" width="12.28515625" style="633" customWidth="1"/>
    <col min="12" max="12" width="11.28515625" style="633" customWidth="1"/>
    <col min="13" max="13" width="16.140625" style="633" customWidth="1"/>
    <col min="14" max="14" width="15.85546875" style="633" customWidth="1"/>
    <col min="15" max="15" width="14" style="633" customWidth="1"/>
    <col min="16" max="16" width="14.28515625" style="214" customWidth="1"/>
    <col min="17" max="17" width="18.5703125" style="214" customWidth="1"/>
    <col min="18" max="18" width="30.85546875" style="214" customWidth="1"/>
    <col min="19" max="30" width="9.140625" style="214"/>
  </cols>
  <sheetData>
    <row r="1" spans="2:19" s="214" customFormat="1" x14ac:dyDescent="0.2">
      <c r="B1" s="634"/>
      <c r="C1" s="250"/>
      <c r="D1" s="636">
        <v>3</v>
      </c>
      <c r="E1" s="637">
        <v>4</v>
      </c>
      <c r="F1" s="637">
        <v>5</v>
      </c>
      <c r="G1" s="637">
        <v>6</v>
      </c>
      <c r="H1" s="637">
        <v>7</v>
      </c>
      <c r="I1" s="637">
        <v>8</v>
      </c>
      <c r="J1" s="637">
        <v>9</v>
      </c>
      <c r="K1" s="637">
        <v>10</v>
      </c>
      <c r="L1" s="637">
        <v>11</v>
      </c>
      <c r="M1" s="637">
        <v>12</v>
      </c>
      <c r="N1" s="637">
        <v>13</v>
      </c>
      <c r="O1" s="637">
        <v>14</v>
      </c>
    </row>
    <row r="2" spans="2:19" s="635" customFormat="1" ht="100.5" customHeight="1" x14ac:dyDescent="0.2">
      <c r="C2" s="614"/>
      <c r="D2" s="615" t="s">
        <v>1129</v>
      </c>
      <c r="E2" s="615" t="s">
        <v>1130</v>
      </c>
      <c r="F2" s="615" t="s">
        <v>1131</v>
      </c>
      <c r="G2" s="615" t="s">
        <v>1132</v>
      </c>
      <c r="H2" s="615" t="s">
        <v>1133</v>
      </c>
      <c r="I2" s="615" t="s">
        <v>1134</v>
      </c>
      <c r="J2" s="615" t="s">
        <v>1135</v>
      </c>
      <c r="K2" s="615" t="s">
        <v>1136</v>
      </c>
      <c r="L2" s="615" t="s">
        <v>1137</v>
      </c>
      <c r="M2" s="615" t="s">
        <v>1138</v>
      </c>
      <c r="N2" s="615" t="s">
        <v>1139</v>
      </c>
      <c r="O2" s="615" t="s">
        <v>1140</v>
      </c>
      <c r="P2" s="638"/>
    </row>
    <row r="3" spans="2:19" x14ac:dyDescent="0.2">
      <c r="C3" s="215" t="s">
        <v>1292</v>
      </c>
      <c r="D3" s="633">
        <v>1</v>
      </c>
      <c r="E3" s="633">
        <v>2</v>
      </c>
      <c r="F3" s="633">
        <v>3</v>
      </c>
      <c r="G3" s="633">
        <v>4</v>
      </c>
      <c r="H3" s="633">
        <v>5</v>
      </c>
      <c r="I3" s="633">
        <v>6</v>
      </c>
      <c r="J3" s="633">
        <v>7</v>
      </c>
      <c r="K3" s="633">
        <v>8</v>
      </c>
      <c r="L3" s="633">
        <v>9</v>
      </c>
      <c r="M3" s="633">
        <v>10</v>
      </c>
      <c r="N3" s="633">
        <v>11</v>
      </c>
      <c r="O3" s="633">
        <v>12</v>
      </c>
    </row>
    <row r="4" spans="2:19" x14ac:dyDescent="0.2">
      <c r="C4" s="214" t="s">
        <v>1141</v>
      </c>
      <c r="D4" s="633">
        <v>1</v>
      </c>
      <c r="E4" s="633">
        <v>1</v>
      </c>
      <c r="F4" s="633">
        <v>1</v>
      </c>
      <c r="G4" s="633">
        <v>1</v>
      </c>
      <c r="H4" s="633">
        <v>1</v>
      </c>
      <c r="I4" s="633">
        <v>1</v>
      </c>
      <c r="J4" s="633">
        <v>1</v>
      </c>
      <c r="K4" s="633">
        <v>1</v>
      </c>
      <c r="L4" s="633">
        <v>1</v>
      </c>
      <c r="M4" s="633">
        <v>1</v>
      </c>
      <c r="N4" s="633">
        <v>1</v>
      </c>
      <c r="O4" s="633">
        <v>1</v>
      </c>
      <c r="P4" s="215"/>
      <c r="Q4" s="215"/>
      <c r="R4" s="215"/>
      <c r="S4" s="215"/>
    </row>
    <row r="5" spans="2:19" x14ac:dyDescent="0.2">
      <c r="B5" s="639" t="s">
        <v>1142</v>
      </c>
      <c r="C5" s="639" t="s">
        <v>90</v>
      </c>
      <c r="P5" s="635" t="s">
        <v>21</v>
      </c>
      <c r="Q5" s="635" t="s">
        <v>1280</v>
      </c>
      <c r="R5" s="635" t="s">
        <v>1281</v>
      </c>
      <c r="S5" s="215" t="s">
        <v>1293</v>
      </c>
    </row>
    <row r="6" spans="2:19" x14ac:dyDescent="0.2">
      <c r="B6" s="250" t="s">
        <v>95</v>
      </c>
      <c r="C6" s="250" t="s">
        <v>94</v>
      </c>
      <c r="D6" s="239">
        <v>18341747</v>
      </c>
      <c r="E6" s="239">
        <v>47172</v>
      </c>
      <c r="F6" s="239">
        <v>0</v>
      </c>
      <c r="G6" s="239">
        <v>85284</v>
      </c>
      <c r="H6" s="239">
        <v>0</v>
      </c>
      <c r="I6" s="239">
        <v>85284</v>
      </c>
      <c r="J6" s="239">
        <v>0</v>
      </c>
      <c r="K6" s="239">
        <v>0</v>
      </c>
      <c r="L6" s="239">
        <v>0</v>
      </c>
      <c r="M6" s="239">
        <v>0</v>
      </c>
      <c r="N6" s="239">
        <v>0</v>
      </c>
      <c r="O6" s="239">
        <v>18303635</v>
      </c>
      <c r="P6" s="214" t="s">
        <v>94</v>
      </c>
      <c r="Q6" s="214" t="s">
        <v>764</v>
      </c>
      <c r="R6" s="214" t="s">
        <v>763</v>
      </c>
      <c r="S6" s="214" t="s">
        <v>1294</v>
      </c>
    </row>
    <row r="7" spans="2:19" x14ac:dyDescent="0.2">
      <c r="B7" s="250" t="s">
        <v>97</v>
      </c>
      <c r="C7" s="250" t="s">
        <v>96</v>
      </c>
      <c r="D7" s="239">
        <v>26252844</v>
      </c>
      <c r="E7" s="239">
        <v>0</v>
      </c>
      <c r="F7" s="239">
        <v>333878</v>
      </c>
      <c r="G7" s="239">
        <v>182667</v>
      </c>
      <c r="H7" s="239">
        <v>0</v>
      </c>
      <c r="I7" s="239">
        <v>182667</v>
      </c>
      <c r="J7" s="239">
        <v>0</v>
      </c>
      <c r="K7" s="239">
        <v>0</v>
      </c>
      <c r="L7" s="239">
        <v>420937</v>
      </c>
      <c r="M7" s="239">
        <v>420937</v>
      </c>
      <c r="N7" s="239">
        <v>0</v>
      </c>
      <c r="O7" s="239">
        <v>25315362</v>
      </c>
      <c r="P7" s="214" t="s">
        <v>96</v>
      </c>
      <c r="Q7" s="214" t="s">
        <v>851</v>
      </c>
      <c r="R7" s="214" t="s">
        <v>763</v>
      </c>
      <c r="S7" s="214" t="s">
        <v>1294</v>
      </c>
    </row>
    <row r="8" spans="2:19" x14ac:dyDescent="0.2">
      <c r="B8" s="250" t="s">
        <v>99</v>
      </c>
      <c r="C8" s="250" t="s">
        <v>98</v>
      </c>
      <c r="D8" s="239">
        <v>30713057</v>
      </c>
      <c r="E8" s="239">
        <v>53519</v>
      </c>
      <c r="F8" s="239">
        <v>0</v>
      </c>
      <c r="G8" s="239">
        <v>152618</v>
      </c>
      <c r="H8" s="239">
        <v>0</v>
      </c>
      <c r="I8" s="239">
        <v>152618</v>
      </c>
      <c r="J8" s="239">
        <v>0</v>
      </c>
      <c r="K8" s="239">
        <v>0</v>
      </c>
      <c r="L8" s="239">
        <v>0</v>
      </c>
      <c r="M8" s="239">
        <v>0</v>
      </c>
      <c r="N8" s="239">
        <v>0</v>
      </c>
      <c r="O8" s="239">
        <v>30613958</v>
      </c>
      <c r="P8" s="214" t="s">
        <v>98</v>
      </c>
      <c r="Q8" s="214" t="s">
        <v>858</v>
      </c>
      <c r="R8" s="214" t="s">
        <v>856</v>
      </c>
      <c r="S8" s="214" t="s">
        <v>1294</v>
      </c>
    </row>
    <row r="9" spans="2:19" x14ac:dyDescent="0.2">
      <c r="B9" s="250" t="s">
        <v>101</v>
      </c>
      <c r="C9" s="250" t="s">
        <v>100</v>
      </c>
      <c r="D9" s="239">
        <v>31785912</v>
      </c>
      <c r="E9" s="239">
        <v>50291</v>
      </c>
      <c r="F9" s="239">
        <v>0</v>
      </c>
      <c r="G9" s="239">
        <v>174317</v>
      </c>
      <c r="H9" s="239">
        <v>0</v>
      </c>
      <c r="I9" s="239">
        <v>174317</v>
      </c>
      <c r="J9" s="239">
        <v>0</v>
      </c>
      <c r="K9" s="239">
        <v>0</v>
      </c>
      <c r="L9" s="239">
        <v>0</v>
      </c>
      <c r="M9" s="239">
        <v>0</v>
      </c>
      <c r="N9" s="239">
        <v>0</v>
      </c>
      <c r="O9" s="239">
        <v>31661886</v>
      </c>
      <c r="P9" s="214" t="s">
        <v>100</v>
      </c>
      <c r="Q9" s="214" t="s">
        <v>764</v>
      </c>
      <c r="R9" s="214" t="s">
        <v>763</v>
      </c>
      <c r="S9" s="214" t="s">
        <v>1294</v>
      </c>
    </row>
    <row r="10" spans="2:19" x14ac:dyDescent="0.2">
      <c r="B10" s="250" t="s">
        <v>103</v>
      </c>
      <c r="C10" s="250" t="s">
        <v>102</v>
      </c>
      <c r="D10" s="239">
        <v>34035933</v>
      </c>
      <c r="E10" s="239">
        <v>0</v>
      </c>
      <c r="F10" s="239">
        <v>12857</v>
      </c>
      <c r="G10" s="239">
        <v>129357</v>
      </c>
      <c r="H10" s="239">
        <v>0</v>
      </c>
      <c r="I10" s="239">
        <v>129357</v>
      </c>
      <c r="J10" s="239">
        <v>0</v>
      </c>
      <c r="K10" s="239">
        <v>0</v>
      </c>
      <c r="L10" s="239">
        <v>0</v>
      </c>
      <c r="M10" s="239">
        <v>0</v>
      </c>
      <c r="N10" s="239">
        <v>0</v>
      </c>
      <c r="O10" s="239">
        <v>33893719</v>
      </c>
      <c r="P10" s="214" t="s">
        <v>102</v>
      </c>
      <c r="Q10" s="214" t="s">
        <v>874</v>
      </c>
      <c r="R10" s="214" t="s">
        <v>872</v>
      </c>
      <c r="S10" s="214" t="s">
        <v>1294</v>
      </c>
    </row>
    <row r="11" spans="2:19" x14ac:dyDescent="0.2">
      <c r="B11" s="250" t="s">
        <v>105</v>
      </c>
      <c r="C11" s="250" t="s">
        <v>104</v>
      </c>
      <c r="D11" s="239">
        <v>46025077</v>
      </c>
      <c r="E11" s="239">
        <v>0</v>
      </c>
      <c r="F11" s="239">
        <v>460445</v>
      </c>
      <c r="G11" s="239">
        <v>181615</v>
      </c>
      <c r="H11" s="239">
        <v>0</v>
      </c>
      <c r="I11" s="239">
        <v>181615</v>
      </c>
      <c r="J11" s="239">
        <v>0</v>
      </c>
      <c r="K11" s="239">
        <v>0</v>
      </c>
      <c r="L11" s="239">
        <v>56656</v>
      </c>
      <c r="M11" s="239">
        <v>0</v>
      </c>
      <c r="N11" s="239">
        <v>56656</v>
      </c>
      <c r="O11" s="239">
        <v>45326361</v>
      </c>
      <c r="P11" s="214" t="s">
        <v>104</v>
      </c>
      <c r="Q11" s="214" t="s">
        <v>826</v>
      </c>
      <c r="R11" s="214" t="s">
        <v>824</v>
      </c>
      <c r="S11" s="214" t="s">
        <v>1294</v>
      </c>
    </row>
    <row r="12" spans="2:19" x14ac:dyDescent="0.2">
      <c r="B12" s="250" t="s">
        <v>107</v>
      </c>
      <c r="C12" s="250" t="s">
        <v>106</v>
      </c>
      <c r="D12" s="239">
        <v>50104154</v>
      </c>
      <c r="E12" s="239">
        <v>0</v>
      </c>
      <c r="F12" s="239">
        <v>567995</v>
      </c>
      <c r="G12" s="239">
        <v>226811</v>
      </c>
      <c r="H12" s="239">
        <v>0</v>
      </c>
      <c r="I12" s="239">
        <v>226811</v>
      </c>
      <c r="J12" s="239">
        <v>0</v>
      </c>
      <c r="K12" s="239">
        <v>0</v>
      </c>
      <c r="L12" s="239">
        <v>0</v>
      </c>
      <c r="M12" s="239">
        <v>0</v>
      </c>
      <c r="N12" s="239">
        <v>0</v>
      </c>
      <c r="O12" s="239">
        <v>49309348</v>
      </c>
      <c r="P12" s="214" t="s">
        <v>106</v>
      </c>
      <c r="Q12" s="214" t="s">
        <v>761</v>
      </c>
      <c r="R12" s="214" t="s">
        <v>759</v>
      </c>
      <c r="S12" s="214" t="s">
        <v>1294</v>
      </c>
    </row>
    <row r="13" spans="2:19" x14ac:dyDescent="0.2">
      <c r="B13" s="250" t="s">
        <v>109</v>
      </c>
      <c r="C13" s="250" t="s">
        <v>108</v>
      </c>
      <c r="D13" s="239">
        <v>22073199</v>
      </c>
      <c r="E13" s="239">
        <v>0</v>
      </c>
      <c r="F13" s="239">
        <v>18378</v>
      </c>
      <c r="G13" s="239">
        <v>126114</v>
      </c>
      <c r="H13" s="239">
        <v>0</v>
      </c>
      <c r="I13" s="239">
        <v>126114</v>
      </c>
      <c r="J13" s="239">
        <v>0</v>
      </c>
      <c r="K13" s="239">
        <v>0</v>
      </c>
      <c r="L13" s="239">
        <v>0</v>
      </c>
      <c r="M13" s="239">
        <v>0</v>
      </c>
      <c r="N13" s="239">
        <v>0</v>
      </c>
      <c r="O13" s="239">
        <v>21928707</v>
      </c>
      <c r="P13" s="214" t="s">
        <v>108</v>
      </c>
      <c r="Q13" s="214" t="s">
        <v>811</v>
      </c>
      <c r="R13" s="214" t="s">
        <v>763</v>
      </c>
      <c r="S13" s="214" t="s">
        <v>1294</v>
      </c>
    </row>
    <row r="14" spans="2:19" x14ac:dyDescent="0.2">
      <c r="B14" s="250" t="s">
        <v>111</v>
      </c>
      <c r="C14" s="250" t="s">
        <v>110</v>
      </c>
      <c r="D14" s="239">
        <v>51024494</v>
      </c>
      <c r="E14" s="239">
        <v>0</v>
      </c>
      <c r="F14" s="239">
        <v>212510</v>
      </c>
      <c r="G14" s="239">
        <v>204717</v>
      </c>
      <c r="H14" s="239">
        <v>0</v>
      </c>
      <c r="I14" s="239">
        <v>204717</v>
      </c>
      <c r="J14" s="239">
        <v>0</v>
      </c>
      <c r="K14" s="239">
        <v>0</v>
      </c>
      <c r="L14" s="239">
        <v>0</v>
      </c>
      <c r="M14" s="239">
        <v>0</v>
      </c>
      <c r="N14" s="239">
        <v>0</v>
      </c>
      <c r="O14" s="239">
        <v>50607267</v>
      </c>
      <c r="P14" s="214" t="s">
        <v>927</v>
      </c>
      <c r="Q14" s="214" t="s">
        <v>790</v>
      </c>
      <c r="R14" s="214" t="s">
        <v>749</v>
      </c>
      <c r="S14" s="214" t="s">
        <v>1295</v>
      </c>
    </row>
    <row r="15" spans="2:19" x14ac:dyDescent="0.2">
      <c r="B15" s="250" t="s">
        <v>113</v>
      </c>
      <c r="C15" s="250" t="s">
        <v>112</v>
      </c>
      <c r="D15" s="239">
        <v>105586940</v>
      </c>
      <c r="E15" s="239">
        <v>0</v>
      </c>
      <c r="F15" s="239">
        <v>322025</v>
      </c>
      <c r="G15" s="239">
        <v>417855</v>
      </c>
      <c r="H15" s="239">
        <v>0</v>
      </c>
      <c r="I15" s="239">
        <v>417855</v>
      </c>
      <c r="J15" s="239">
        <v>0</v>
      </c>
      <c r="K15" s="239">
        <v>0</v>
      </c>
      <c r="L15" s="239">
        <v>0</v>
      </c>
      <c r="M15" s="239">
        <v>0</v>
      </c>
      <c r="N15" s="239">
        <v>0</v>
      </c>
      <c r="O15" s="239">
        <v>104847060</v>
      </c>
      <c r="P15" s="214" t="s">
        <v>112</v>
      </c>
      <c r="Q15" s="214" t="s">
        <v>790</v>
      </c>
      <c r="R15" s="214" t="s">
        <v>749</v>
      </c>
      <c r="S15" s="214" t="s">
        <v>1295</v>
      </c>
    </row>
    <row r="16" spans="2:19" x14ac:dyDescent="0.2">
      <c r="B16" s="250" t="s">
        <v>115</v>
      </c>
      <c r="C16" s="250" t="s">
        <v>114</v>
      </c>
      <c r="D16" s="239">
        <v>51247975</v>
      </c>
      <c r="E16" s="239">
        <v>0</v>
      </c>
      <c r="F16" s="239">
        <v>90147</v>
      </c>
      <c r="G16" s="239">
        <v>270547</v>
      </c>
      <c r="H16" s="239">
        <v>0</v>
      </c>
      <c r="I16" s="239">
        <v>270547</v>
      </c>
      <c r="J16" s="239">
        <v>0</v>
      </c>
      <c r="K16" s="239">
        <v>222681</v>
      </c>
      <c r="L16" s="239">
        <v>16563</v>
      </c>
      <c r="M16" s="239">
        <v>16563</v>
      </c>
      <c r="N16" s="239">
        <v>0</v>
      </c>
      <c r="O16" s="239">
        <v>50648037</v>
      </c>
      <c r="P16" s="214" t="s">
        <v>114</v>
      </c>
      <c r="Q16" s="214" t="s">
        <v>768</v>
      </c>
      <c r="R16" s="214" t="s">
        <v>865</v>
      </c>
      <c r="S16" s="214" t="s">
        <v>1296</v>
      </c>
    </row>
    <row r="17" spans="2:19" x14ac:dyDescent="0.2">
      <c r="B17" s="250" t="s">
        <v>117</v>
      </c>
      <c r="C17" s="250" t="s">
        <v>116</v>
      </c>
      <c r="D17" s="239">
        <v>22076931</v>
      </c>
      <c r="E17" s="239">
        <v>0</v>
      </c>
      <c r="F17" s="239">
        <v>29142</v>
      </c>
      <c r="G17" s="239">
        <v>96916</v>
      </c>
      <c r="H17" s="239">
        <v>0</v>
      </c>
      <c r="I17" s="239">
        <v>96916</v>
      </c>
      <c r="J17" s="239">
        <v>0</v>
      </c>
      <c r="K17" s="239">
        <v>0</v>
      </c>
      <c r="L17" s="239">
        <v>43067</v>
      </c>
      <c r="M17" s="239">
        <v>43067</v>
      </c>
      <c r="N17" s="239">
        <v>0</v>
      </c>
      <c r="O17" s="239">
        <v>21907806</v>
      </c>
      <c r="P17" s="214" t="s">
        <v>116</v>
      </c>
      <c r="Q17" s="214" t="s">
        <v>851</v>
      </c>
      <c r="R17" s="214" t="s">
        <v>763</v>
      </c>
      <c r="S17" s="214" t="s">
        <v>1294</v>
      </c>
    </row>
    <row r="18" spans="2:19" x14ac:dyDescent="0.2">
      <c r="B18" s="250" t="s">
        <v>119</v>
      </c>
      <c r="C18" s="250" t="s">
        <v>118</v>
      </c>
      <c r="D18" s="239">
        <v>77102505</v>
      </c>
      <c r="E18" s="239">
        <v>0</v>
      </c>
      <c r="F18" s="239">
        <v>314652</v>
      </c>
      <c r="G18" s="239">
        <v>233738</v>
      </c>
      <c r="H18" s="239">
        <v>0</v>
      </c>
      <c r="I18" s="239">
        <v>233738</v>
      </c>
      <c r="J18" s="239">
        <v>0</v>
      </c>
      <c r="K18" s="239">
        <v>0</v>
      </c>
      <c r="L18" s="239">
        <v>54</v>
      </c>
      <c r="M18" s="239">
        <v>54</v>
      </c>
      <c r="N18" s="239">
        <v>0</v>
      </c>
      <c r="O18" s="239">
        <v>76554061</v>
      </c>
      <c r="P18" s="214" t="s">
        <v>118</v>
      </c>
      <c r="Q18" s="214" t="s">
        <v>822</v>
      </c>
      <c r="R18" s="214" t="s">
        <v>820</v>
      </c>
      <c r="S18" s="214" t="s">
        <v>1294</v>
      </c>
    </row>
    <row r="19" spans="2:19" x14ac:dyDescent="0.2">
      <c r="B19" s="250" t="s">
        <v>121</v>
      </c>
      <c r="C19" s="250" t="s">
        <v>120</v>
      </c>
      <c r="D19" s="239">
        <v>72571059</v>
      </c>
      <c r="E19" s="239">
        <v>855919</v>
      </c>
      <c r="F19" s="239">
        <v>0</v>
      </c>
      <c r="G19" s="239">
        <v>204740</v>
      </c>
      <c r="H19" s="239">
        <v>0</v>
      </c>
      <c r="I19" s="239">
        <v>204740</v>
      </c>
      <c r="J19" s="239">
        <v>0</v>
      </c>
      <c r="K19" s="239">
        <v>0</v>
      </c>
      <c r="L19" s="239">
        <v>270843</v>
      </c>
      <c r="M19" s="239">
        <v>68794</v>
      </c>
      <c r="N19" s="239">
        <v>202049</v>
      </c>
      <c r="O19" s="239">
        <v>72951395</v>
      </c>
      <c r="P19" s="214" t="s">
        <v>120</v>
      </c>
      <c r="Q19" s="214" t="s">
        <v>779</v>
      </c>
      <c r="R19" s="214" t="s">
        <v>777</v>
      </c>
      <c r="S19" s="214" t="s">
        <v>1294</v>
      </c>
    </row>
    <row r="20" spans="2:19" x14ac:dyDescent="0.2">
      <c r="B20" s="250" t="s">
        <v>123</v>
      </c>
      <c r="C20" s="250" t="s">
        <v>122</v>
      </c>
      <c r="D20" s="239">
        <v>47345842</v>
      </c>
      <c r="E20" s="239">
        <v>0</v>
      </c>
      <c r="F20" s="239">
        <v>194456</v>
      </c>
      <c r="G20" s="239">
        <v>172206</v>
      </c>
      <c r="H20" s="239">
        <v>0</v>
      </c>
      <c r="I20" s="239">
        <v>172206</v>
      </c>
      <c r="J20" s="239">
        <v>0</v>
      </c>
      <c r="K20" s="239">
        <v>0</v>
      </c>
      <c r="L20" s="239">
        <v>541112</v>
      </c>
      <c r="M20" s="239">
        <v>541112</v>
      </c>
      <c r="N20" s="239">
        <v>0</v>
      </c>
      <c r="O20" s="239">
        <v>46438068</v>
      </c>
      <c r="P20" s="214" t="s">
        <v>122</v>
      </c>
      <c r="Q20" s="214" t="s">
        <v>874</v>
      </c>
      <c r="R20" s="214" t="s">
        <v>872</v>
      </c>
      <c r="S20" s="214" t="s">
        <v>1294</v>
      </c>
    </row>
    <row r="21" spans="2:19" x14ac:dyDescent="0.2">
      <c r="B21" s="250" t="s">
        <v>125</v>
      </c>
      <c r="C21" s="250" t="s">
        <v>124</v>
      </c>
      <c r="D21" s="239">
        <v>62411027</v>
      </c>
      <c r="E21" s="239">
        <v>0</v>
      </c>
      <c r="F21" s="239">
        <v>75526</v>
      </c>
      <c r="G21" s="239">
        <v>260297</v>
      </c>
      <c r="H21" s="239">
        <v>0</v>
      </c>
      <c r="I21" s="239">
        <v>260297</v>
      </c>
      <c r="J21" s="239">
        <v>0</v>
      </c>
      <c r="K21" s="239">
        <v>533649</v>
      </c>
      <c r="L21" s="239">
        <v>1461</v>
      </c>
      <c r="M21" s="239">
        <v>1461</v>
      </c>
      <c r="N21" s="239">
        <v>0</v>
      </c>
      <c r="O21" s="239">
        <v>61540094</v>
      </c>
      <c r="P21" s="214" t="s">
        <v>926</v>
      </c>
      <c r="Q21" s="214" t="s">
        <v>748</v>
      </c>
      <c r="R21" s="214" t="s">
        <v>853</v>
      </c>
      <c r="S21" s="214" t="s">
        <v>748</v>
      </c>
    </row>
    <row r="22" spans="2:19" x14ac:dyDescent="0.2">
      <c r="B22" s="250" t="s">
        <v>127</v>
      </c>
      <c r="C22" s="250" t="s">
        <v>126</v>
      </c>
      <c r="D22" s="239">
        <v>64323251</v>
      </c>
      <c r="E22" s="239">
        <v>0</v>
      </c>
      <c r="F22" s="239">
        <v>488421</v>
      </c>
      <c r="G22" s="239">
        <v>232529</v>
      </c>
      <c r="H22" s="239">
        <v>0</v>
      </c>
      <c r="I22" s="239">
        <v>232529</v>
      </c>
      <c r="J22" s="239">
        <v>0</v>
      </c>
      <c r="K22" s="239">
        <v>0</v>
      </c>
      <c r="L22" s="239">
        <v>250744</v>
      </c>
      <c r="M22" s="239">
        <v>250744</v>
      </c>
      <c r="N22" s="239">
        <v>0</v>
      </c>
      <c r="O22" s="239">
        <v>63351557</v>
      </c>
      <c r="P22" s="214" t="s">
        <v>126</v>
      </c>
      <c r="Q22" s="214" t="s">
        <v>748</v>
      </c>
      <c r="R22" s="214" t="s">
        <v>898</v>
      </c>
      <c r="S22" s="214" t="s">
        <v>748</v>
      </c>
    </row>
    <row r="23" spans="2:19" x14ac:dyDescent="0.2">
      <c r="B23" s="250" t="s">
        <v>129</v>
      </c>
      <c r="C23" s="250" t="s">
        <v>128</v>
      </c>
      <c r="D23" s="239">
        <v>68331066</v>
      </c>
      <c r="E23" s="239">
        <v>0</v>
      </c>
      <c r="F23" s="239">
        <v>137452</v>
      </c>
      <c r="G23" s="239">
        <v>255418</v>
      </c>
      <c r="H23" s="239">
        <v>0</v>
      </c>
      <c r="I23" s="239">
        <v>255418</v>
      </c>
      <c r="J23" s="239">
        <v>0</v>
      </c>
      <c r="K23" s="239">
        <v>0</v>
      </c>
      <c r="L23" s="239">
        <v>0</v>
      </c>
      <c r="M23" s="239">
        <v>0</v>
      </c>
      <c r="N23" s="239">
        <v>0</v>
      </c>
      <c r="O23" s="239">
        <v>67938196</v>
      </c>
      <c r="P23" s="214" t="s">
        <v>128</v>
      </c>
      <c r="Q23" s="214" t="s">
        <v>790</v>
      </c>
      <c r="R23" s="214" t="s">
        <v>749</v>
      </c>
      <c r="S23" s="214" t="s">
        <v>1295</v>
      </c>
    </row>
    <row r="24" spans="2:19" x14ac:dyDescent="0.2">
      <c r="B24" s="250" t="s">
        <v>131</v>
      </c>
      <c r="C24" s="250" t="s">
        <v>130</v>
      </c>
      <c r="D24" s="239">
        <v>384547434</v>
      </c>
      <c r="E24" s="239">
        <v>0</v>
      </c>
      <c r="F24" s="239">
        <v>1073360</v>
      </c>
      <c r="G24" s="239">
        <v>1942039</v>
      </c>
      <c r="H24" s="239">
        <v>0</v>
      </c>
      <c r="I24" s="239">
        <v>1942039</v>
      </c>
      <c r="J24" s="239">
        <v>0</v>
      </c>
      <c r="K24" s="239">
        <v>1376595</v>
      </c>
      <c r="L24" s="239">
        <v>0</v>
      </c>
      <c r="M24" s="239">
        <v>0</v>
      </c>
      <c r="N24" s="239">
        <v>0</v>
      </c>
      <c r="O24" s="239">
        <v>380155440</v>
      </c>
      <c r="P24" s="214" t="s">
        <v>130</v>
      </c>
      <c r="Q24" s="214" t="s">
        <v>768</v>
      </c>
      <c r="R24" s="214" t="s">
        <v>766</v>
      </c>
      <c r="S24" s="214" t="s">
        <v>1296</v>
      </c>
    </row>
    <row r="25" spans="2:19" x14ac:dyDescent="0.2">
      <c r="B25" s="250" t="s">
        <v>133</v>
      </c>
      <c r="C25" s="250" t="s">
        <v>132</v>
      </c>
      <c r="D25" s="239">
        <v>42853608</v>
      </c>
      <c r="E25" s="239">
        <v>0</v>
      </c>
      <c r="F25" s="239">
        <v>81197</v>
      </c>
      <c r="G25" s="239">
        <v>101936</v>
      </c>
      <c r="H25" s="239">
        <v>0</v>
      </c>
      <c r="I25" s="239">
        <v>101936</v>
      </c>
      <c r="J25" s="239">
        <v>0</v>
      </c>
      <c r="K25" s="239">
        <v>0</v>
      </c>
      <c r="L25" s="239">
        <v>0</v>
      </c>
      <c r="M25" s="239">
        <v>0</v>
      </c>
      <c r="N25" s="239">
        <v>0</v>
      </c>
      <c r="O25" s="239">
        <v>42670475</v>
      </c>
      <c r="P25" s="214" t="s">
        <v>132</v>
      </c>
      <c r="Q25" s="214" t="s">
        <v>884</v>
      </c>
      <c r="R25" s="214" t="s">
        <v>869</v>
      </c>
      <c r="S25" s="214" t="s">
        <v>1294</v>
      </c>
    </row>
    <row r="26" spans="2:19" x14ac:dyDescent="0.2">
      <c r="B26" s="250" t="s">
        <v>135</v>
      </c>
      <c r="C26" s="250" t="s">
        <v>134</v>
      </c>
      <c r="D26" s="239">
        <v>45331402</v>
      </c>
      <c r="E26" s="239">
        <v>0</v>
      </c>
      <c r="F26" s="239">
        <v>147949</v>
      </c>
      <c r="G26" s="239">
        <v>252776</v>
      </c>
      <c r="H26" s="239">
        <v>0</v>
      </c>
      <c r="I26" s="239">
        <v>252776</v>
      </c>
      <c r="J26" s="239">
        <v>0</v>
      </c>
      <c r="K26" s="239">
        <v>0</v>
      </c>
      <c r="L26" s="239">
        <v>0</v>
      </c>
      <c r="M26" s="239">
        <v>0</v>
      </c>
      <c r="N26" s="239">
        <v>0</v>
      </c>
      <c r="O26" s="239">
        <v>44930677</v>
      </c>
      <c r="P26" s="214" t="s">
        <v>925</v>
      </c>
      <c r="Q26" s="214" t="s">
        <v>748</v>
      </c>
      <c r="R26" s="214" t="s">
        <v>755</v>
      </c>
      <c r="S26" s="214" t="s">
        <v>748</v>
      </c>
    </row>
    <row r="27" spans="2:19" x14ac:dyDescent="0.2">
      <c r="B27" s="250" t="s">
        <v>137</v>
      </c>
      <c r="C27" s="250" t="s">
        <v>136</v>
      </c>
      <c r="D27" s="239">
        <v>48829915</v>
      </c>
      <c r="E27" s="239">
        <v>0</v>
      </c>
      <c r="F27" s="239">
        <v>340272</v>
      </c>
      <c r="G27" s="239">
        <v>274824</v>
      </c>
      <c r="H27" s="239">
        <v>0</v>
      </c>
      <c r="I27" s="239">
        <v>274824</v>
      </c>
      <c r="J27" s="239">
        <v>0</v>
      </c>
      <c r="K27" s="239">
        <v>0</v>
      </c>
      <c r="L27" s="239">
        <v>0</v>
      </c>
      <c r="M27" s="239">
        <v>0</v>
      </c>
      <c r="N27" s="239">
        <v>0</v>
      </c>
      <c r="O27" s="239">
        <v>48214819</v>
      </c>
      <c r="P27" s="214" t="s">
        <v>924</v>
      </c>
      <c r="Q27" s="214" t="s">
        <v>748</v>
      </c>
      <c r="R27" s="214" t="s">
        <v>755</v>
      </c>
      <c r="S27" s="214" t="s">
        <v>748</v>
      </c>
    </row>
    <row r="28" spans="2:19" x14ac:dyDescent="0.2">
      <c r="B28" s="250" t="s">
        <v>139</v>
      </c>
      <c r="C28" s="250" t="s">
        <v>138</v>
      </c>
      <c r="D28" s="239">
        <v>23773436</v>
      </c>
      <c r="E28" s="239">
        <v>422158</v>
      </c>
      <c r="F28" s="239">
        <v>0</v>
      </c>
      <c r="G28" s="239">
        <v>94839</v>
      </c>
      <c r="H28" s="239">
        <v>0</v>
      </c>
      <c r="I28" s="239">
        <v>94839</v>
      </c>
      <c r="J28" s="239">
        <v>0</v>
      </c>
      <c r="K28" s="239">
        <v>0</v>
      </c>
      <c r="L28" s="239">
        <v>0</v>
      </c>
      <c r="M28" s="239">
        <v>0</v>
      </c>
      <c r="N28" s="239">
        <v>0</v>
      </c>
      <c r="O28" s="239">
        <v>24100755</v>
      </c>
      <c r="P28" s="214" t="s">
        <v>138</v>
      </c>
      <c r="Q28" s="214" t="s">
        <v>858</v>
      </c>
      <c r="R28" s="214" t="s">
        <v>856</v>
      </c>
      <c r="S28" s="214" t="s">
        <v>1294</v>
      </c>
    </row>
    <row r="29" spans="2:19" x14ac:dyDescent="0.2">
      <c r="B29" s="250" t="s">
        <v>141</v>
      </c>
      <c r="C29" s="250" t="s">
        <v>140</v>
      </c>
      <c r="D29" s="239">
        <v>81971964</v>
      </c>
      <c r="E29" s="239">
        <v>0</v>
      </c>
      <c r="F29" s="239">
        <v>84815</v>
      </c>
      <c r="G29" s="239">
        <v>403449</v>
      </c>
      <c r="H29" s="239">
        <v>0</v>
      </c>
      <c r="I29" s="239">
        <v>403449</v>
      </c>
      <c r="J29" s="239">
        <v>0</v>
      </c>
      <c r="K29" s="239">
        <v>0</v>
      </c>
      <c r="L29" s="239">
        <v>0</v>
      </c>
      <c r="M29" s="239">
        <v>0</v>
      </c>
      <c r="N29" s="239">
        <v>0</v>
      </c>
      <c r="O29" s="239">
        <v>81483700</v>
      </c>
      <c r="P29" s="214" t="s">
        <v>140</v>
      </c>
      <c r="Q29" s="214" t="s">
        <v>768</v>
      </c>
      <c r="R29" s="214" t="s">
        <v>783</v>
      </c>
      <c r="S29" s="214" t="s">
        <v>1296</v>
      </c>
    </row>
    <row r="30" spans="2:19" x14ac:dyDescent="0.2">
      <c r="B30" s="250" t="s">
        <v>143</v>
      </c>
      <c r="C30" s="250" t="s">
        <v>142</v>
      </c>
      <c r="D30" s="239">
        <v>18391808</v>
      </c>
      <c r="E30" s="239">
        <v>0</v>
      </c>
      <c r="F30" s="239">
        <v>175094</v>
      </c>
      <c r="G30" s="239">
        <v>87533</v>
      </c>
      <c r="H30" s="239">
        <v>0</v>
      </c>
      <c r="I30" s="239">
        <v>87533</v>
      </c>
      <c r="J30" s="239">
        <v>0</v>
      </c>
      <c r="K30" s="239">
        <v>0</v>
      </c>
      <c r="L30" s="239">
        <v>110374</v>
      </c>
      <c r="M30" s="239">
        <v>110374</v>
      </c>
      <c r="N30" s="239">
        <v>0</v>
      </c>
      <c r="O30" s="239">
        <v>18018807</v>
      </c>
      <c r="P30" s="214" t="s">
        <v>142</v>
      </c>
      <c r="Q30" s="214" t="s">
        <v>798</v>
      </c>
      <c r="R30" s="214" t="s">
        <v>763</v>
      </c>
      <c r="S30" s="214" t="s">
        <v>1294</v>
      </c>
    </row>
    <row r="31" spans="2:19" x14ac:dyDescent="0.2">
      <c r="B31" s="250" t="s">
        <v>145</v>
      </c>
      <c r="C31" s="250" t="s">
        <v>144</v>
      </c>
      <c r="D31" s="239">
        <v>67131256</v>
      </c>
      <c r="E31" s="239">
        <v>0</v>
      </c>
      <c r="F31" s="239">
        <v>241825</v>
      </c>
      <c r="G31" s="239">
        <v>302552</v>
      </c>
      <c r="H31" s="239">
        <v>0</v>
      </c>
      <c r="I31" s="239">
        <v>302552</v>
      </c>
      <c r="J31" s="239">
        <v>0</v>
      </c>
      <c r="K31" s="239">
        <v>0</v>
      </c>
      <c r="L31" s="239">
        <v>189</v>
      </c>
      <c r="M31" s="239">
        <v>189</v>
      </c>
      <c r="N31" s="239">
        <v>0</v>
      </c>
      <c r="O31" s="239">
        <v>66586690</v>
      </c>
      <c r="P31" s="214" t="s">
        <v>923</v>
      </c>
      <c r="Q31" s="214" t="s">
        <v>748</v>
      </c>
      <c r="R31" s="214" t="s">
        <v>785</v>
      </c>
      <c r="S31" s="214" t="s">
        <v>748</v>
      </c>
    </row>
    <row r="32" spans="2:19" x14ac:dyDescent="0.2">
      <c r="B32" s="250" t="s">
        <v>147</v>
      </c>
      <c r="C32" s="250" t="s">
        <v>146</v>
      </c>
      <c r="D32" s="239">
        <v>73283575</v>
      </c>
      <c r="E32" s="239">
        <v>0</v>
      </c>
      <c r="F32" s="239">
        <v>660033</v>
      </c>
      <c r="G32" s="239">
        <v>150666</v>
      </c>
      <c r="H32" s="239">
        <v>0</v>
      </c>
      <c r="I32" s="239">
        <v>150666</v>
      </c>
      <c r="J32" s="239">
        <v>0</v>
      </c>
      <c r="K32" s="239">
        <v>0</v>
      </c>
      <c r="L32" s="239">
        <v>758</v>
      </c>
      <c r="M32" s="239">
        <v>758</v>
      </c>
      <c r="N32" s="239">
        <v>0</v>
      </c>
      <c r="O32" s="239">
        <v>72472118</v>
      </c>
      <c r="P32" s="214" t="s">
        <v>922</v>
      </c>
      <c r="Q32" s="214" t="s">
        <v>748</v>
      </c>
      <c r="R32" s="214" t="s">
        <v>769</v>
      </c>
      <c r="S32" s="214" t="s">
        <v>748</v>
      </c>
    </row>
    <row r="33" spans="1:19" x14ac:dyDescent="0.2">
      <c r="B33" s="250" t="s">
        <v>149</v>
      </c>
      <c r="C33" s="250" t="s">
        <v>148</v>
      </c>
      <c r="D33" s="239">
        <v>132358504</v>
      </c>
      <c r="E33" s="239">
        <v>0</v>
      </c>
      <c r="F33" s="239">
        <v>703277</v>
      </c>
      <c r="G33" s="239">
        <v>738017</v>
      </c>
      <c r="H33" s="239">
        <v>0</v>
      </c>
      <c r="I33" s="239">
        <v>738017</v>
      </c>
      <c r="J33" s="239">
        <v>0</v>
      </c>
      <c r="K33" s="239">
        <v>0</v>
      </c>
      <c r="L33" s="239">
        <v>0</v>
      </c>
      <c r="M33" s="239">
        <v>0</v>
      </c>
      <c r="N33" s="239">
        <v>0</v>
      </c>
      <c r="O33" s="239">
        <v>130917210</v>
      </c>
      <c r="P33" s="214" t="s">
        <v>148</v>
      </c>
      <c r="Q33" s="214" t="s">
        <v>768</v>
      </c>
      <c r="R33" s="214" t="s">
        <v>818</v>
      </c>
      <c r="S33" s="214" t="s">
        <v>1296</v>
      </c>
    </row>
    <row r="34" spans="1:19" x14ac:dyDescent="0.2">
      <c r="B34" s="250" t="s">
        <v>151</v>
      </c>
      <c r="C34" s="250" t="s">
        <v>150</v>
      </c>
      <c r="D34" s="239">
        <v>42753627</v>
      </c>
      <c r="E34" s="239">
        <v>0</v>
      </c>
      <c r="F34" s="239">
        <v>211214</v>
      </c>
      <c r="G34" s="239">
        <v>188104</v>
      </c>
      <c r="H34" s="239">
        <v>0</v>
      </c>
      <c r="I34" s="239">
        <v>188104</v>
      </c>
      <c r="J34" s="239">
        <v>0</v>
      </c>
      <c r="K34" s="239">
        <v>0</v>
      </c>
      <c r="L34" s="239">
        <v>0</v>
      </c>
      <c r="M34" s="239">
        <v>0</v>
      </c>
      <c r="N34" s="239">
        <v>0</v>
      </c>
      <c r="O34" s="239">
        <v>42354309</v>
      </c>
      <c r="P34" s="214" t="s">
        <v>150</v>
      </c>
      <c r="Q34" s="214" t="s">
        <v>822</v>
      </c>
      <c r="R34" s="214" t="s">
        <v>820</v>
      </c>
      <c r="S34" s="214" t="s">
        <v>1294</v>
      </c>
    </row>
    <row r="35" spans="1:19" x14ac:dyDescent="0.2">
      <c r="B35" s="250" t="s">
        <v>153</v>
      </c>
      <c r="C35" s="250" t="s">
        <v>152</v>
      </c>
      <c r="D35" s="239">
        <v>28101837</v>
      </c>
      <c r="E35" s="239">
        <v>0</v>
      </c>
      <c r="F35" s="239">
        <v>125053</v>
      </c>
      <c r="G35" s="239">
        <v>167596</v>
      </c>
      <c r="H35" s="239">
        <v>0</v>
      </c>
      <c r="I35" s="239">
        <v>167596</v>
      </c>
      <c r="J35" s="239">
        <v>0</v>
      </c>
      <c r="K35" s="239">
        <v>0</v>
      </c>
      <c r="L35" s="239">
        <v>181483</v>
      </c>
      <c r="M35" s="239">
        <v>181483</v>
      </c>
      <c r="N35" s="239">
        <v>0</v>
      </c>
      <c r="O35" s="239">
        <v>27627705</v>
      </c>
      <c r="P35" s="214" t="s">
        <v>152</v>
      </c>
      <c r="Q35" s="214" t="s">
        <v>849</v>
      </c>
      <c r="R35" s="214" t="s">
        <v>763</v>
      </c>
      <c r="S35" s="214" t="s">
        <v>1294</v>
      </c>
    </row>
    <row r="36" spans="1:19" x14ac:dyDescent="0.2">
      <c r="B36" s="250" t="s">
        <v>155</v>
      </c>
      <c r="C36" s="250" t="s">
        <v>154</v>
      </c>
      <c r="D36" s="239">
        <v>113802960</v>
      </c>
      <c r="E36" s="239">
        <v>0</v>
      </c>
      <c r="F36" s="239">
        <v>255122</v>
      </c>
      <c r="G36" s="239">
        <v>419777</v>
      </c>
      <c r="H36" s="239">
        <v>0</v>
      </c>
      <c r="I36" s="239">
        <v>419777</v>
      </c>
      <c r="J36" s="239">
        <v>0</v>
      </c>
      <c r="K36" s="239">
        <v>0</v>
      </c>
      <c r="L36" s="239">
        <v>0</v>
      </c>
      <c r="M36" s="239">
        <v>0</v>
      </c>
      <c r="N36" s="239">
        <v>0</v>
      </c>
      <c r="O36" s="239">
        <v>113128061</v>
      </c>
      <c r="P36" s="214" t="s">
        <v>154</v>
      </c>
      <c r="Q36" s="214" t="s">
        <v>790</v>
      </c>
      <c r="R36" s="214" t="s">
        <v>749</v>
      </c>
      <c r="S36" s="214" t="s">
        <v>1295</v>
      </c>
    </row>
    <row r="37" spans="1:19" x14ac:dyDescent="0.2">
      <c r="B37" s="250" t="s">
        <v>157</v>
      </c>
      <c r="C37" s="250" t="s">
        <v>156</v>
      </c>
      <c r="D37" s="239">
        <v>28383975</v>
      </c>
      <c r="E37" s="239">
        <v>220068</v>
      </c>
      <c r="F37" s="239">
        <v>0</v>
      </c>
      <c r="G37" s="239">
        <v>105408</v>
      </c>
      <c r="H37" s="239">
        <v>0</v>
      </c>
      <c r="I37" s="239">
        <v>105408</v>
      </c>
      <c r="J37" s="239">
        <v>0</v>
      </c>
      <c r="K37" s="239">
        <v>0</v>
      </c>
      <c r="L37" s="239">
        <v>0</v>
      </c>
      <c r="M37" s="239">
        <v>0</v>
      </c>
      <c r="N37" s="239">
        <v>0</v>
      </c>
      <c r="O37" s="239">
        <v>28498635</v>
      </c>
      <c r="P37" s="214" t="s">
        <v>156</v>
      </c>
      <c r="Q37" s="214" t="s">
        <v>822</v>
      </c>
      <c r="R37" s="214" t="s">
        <v>820</v>
      </c>
      <c r="S37" s="214" t="s">
        <v>1294</v>
      </c>
    </row>
    <row r="38" spans="1:19" x14ac:dyDescent="0.2">
      <c r="B38" s="250" t="s">
        <v>159</v>
      </c>
      <c r="C38" s="250" t="s">
        <v>158</v>
      </c>
      <c r="D38" s="239">
        <v>104113843</v>
      </c>
      <c r="E38" s="239">
        <v>0</v>
      </c>
      <c r="F38" s="239">
        <v>178824</v>
      </c>
      <c r="G38" s="239">
        <v>422367</v>
      </c>
      <c r="H38" s="239">
        <v>0</v>
      </c>
      <c r="I38" s="239">
        <v>422367</v>
      </c>
      <c r="J38" s="239">
        <v>0</v>
      </c>
      <c r="K38" s="239">
        <v>0</v>
      </c>
      <c r="L38" s="239">
        <v>0</v>
      </c>
      <c r="M38" s="239">
        <v>0</v>
      </c>
      <c r="N38" s="239">
        <v>0</v>
      </c>
      <c r="O38" s="239">
        <v>103512652</v>
      </c>
      <c r="P38" s="214" t="s">
        <v>921</v>
      </c>
      <c r="Q38" s="214" t="s">
        <v>748</v>
      </c>
      <c r="R38" s="214" t="s">
        <v>807</v>
      </c>
      <c r="S38" s="214" t="s">
        <v>748</v>
      </c>
    </row>
    <row r="39" spans="1:19" x14ac:dyDescent="0.2">
      <c r="B39" s="250" t="s">
        <v>161</v>
      </c>
      <c r="C39" s="250" t="s">
        <v>160</v>
      </c>
      <c r="D39" s="239">
        <v>209410270</v>
      </c>
      <c r="E39" s="239">
        <v>2707088</v>
      </c>
      <c r="F39" s="239">
        <v>0</v>
      </c>
      <c r="G39" s="239">
        <v>720642</v>
      </c>
      <c r="H39" s="239">
        <v>0</v>
      </c>
      <c r="I39" s="239">
        <v>720642</v>
      </c>
      <c r="J39" s="239">
        <v>0</v>
      </c>
      <c r="K39" s="239">
        <v>0</v>
      </c>
      <c r="L39" s="239">
        <v>264</v>
      </c>
      <c r="M39" s="239">
        <v>264</v>
      </c>
      <c r="N39" s="239">
        <v>0</v>
      </c>
      <c r="O39" s="239">
        <v>211396452</v>
      </c>
      <c r="P39" s="214" t="s">
        <v>920</v>
      </c>
      <c r="Q39" s="214" t="s">
        <v>748</v>
      </c>
      <c r="R39" s="214" t="s">
        <v>853</v>
      </c>
      <c r="S39" s="214" t="s">
        <v>748</v>
      </c>
    </row>
    <row r="40" spans="1:19" x14ac:dyDescent="0.2">
      <c r="B40" s="250" t="s">
        <v>163</v>
      </c>
      <c r="C40" s="250" t="s">
        <v>162</v>
      </c>
      <c r="D40" s="239">
        <v>27944251</v>
      </c>
      <c r="E40" s="239">
        <v>0</v>
      </c>
      <c r="F40" s="239">
        <v>131936</v>
      </c>
      <c r="G40" s="239">
        <v>138072</v>
      </c>
      <c r="H40" s="239">
        <v>0</v>
      </c>
      <c r="I40" s="239">
        <v>138072</v>
      </c>
      <c r="J40" s="239">
        <v>0</v>
      </c>
      <c r="K40" s="239">
        <v>0</v>
      </c>
      <c r="L40" s="239">
        <v>135297</v>
      </c>
      <c r="M40" s="239">
        <v>135297</v>
      </c>
      <c r="N40" s="239">
        <v>0</v>
      </c>
      <c r="O40" s="239">
        <v>27538946</v>
      </c>
      <c r="P40" s="214" t="s">
        <v>162</v>
      </c>
      <c r="Q40" s="214" t="s">
        <v>849</v>
      </c>
      <c r="R40" s="214" t="s">
        <v>763</v>
      </c>
      <c r="S40" s="214" t="s">
        <v>1294</v>
      </c>
    </row>
    <row r="41" spans="1:19" x14ac:dyDescent="0.2">
      <c r="B41" s="250" t="s">
        <v>165</v>
      </c>
      <c r="C41" s="250" t="s">
        <v>164</v>
      </c>
      <c r="D41" s="239">
        <v>82311954</v>
      </c>
      <c r="E41" s="239">
        <v>0</v>
      </c>
      <c r="F41" s="239">
        <v>82950</v>
      </c>
      <c r="G41" s="239">
        <v>342871</v>
      </c>
      <c r="H41" s="239">
        <v>0</v>
      </c>
      <c r="I41" s="239">
        <v>342871</v>
      </c>
      <c r="J41" s="239">
        <v>0</v>
      </c>
      <c r="K41" s="239">
        <v>0</v>
      </c>
      <c r="L41" s="239">
        <v>0</v>
      </c>
      <c r="M41" s="239">
        <v>0</v>
      </c>
      <c r="N41" s="239">
        <v>0</v>
      </c>
      <c r="O41" s="239">
        <v>81886133</v>
      </c>
      <c r="P41" s="214" t="s">
        <v>164</v>
      </c>
      <c r="Q41" s="214" t="s">
        <v>790</v>
      </c>
      <c r="R41" s="214" t="s">
        <v>749</v>
      </c>
      <c r="S41" s="214" t="s">
        <v>1295</v>
      </c>
    </row>
    <row r="42" spans="1:19" x14ac:dyDescent="0.2">
      <c r="B42" s="250" t="s">
        <v>167</v>
      </c>
      <c r="C42" s="250" t="s">
        <v>166</v>
      </c>
      <c r="D42" s="239">
        <v>27245993</v>
      </c>
      <c r="E42" s="239">
        <v>251819</v>
      </c>
      <c r="F42" s="239">
        <v>0</v>
      </c>
      <c r="G42" s="239">
        <v>123091</v>
      </c>
      <c r="H42" s="239">
        <v>0</v>
      </c>
      <c r="I42" s="239">
        <v>123091</v>
      </c>
      <c r="J42" s="239">
        <v>0</v>
      </c>
      <c r="K42" s="239">
        <v>0</v>
      </c>
      <c r="L42" s="239">
        <v>0</v>
      </c>
      <c r="M42" s="239">
        <v>0</v>
      </c>
      <c r="N42" s="239">
        <v>0</v>
      </c>
      <c r="O42" s="239">
        <v>27374721</v>
      </c>
      <c r="P42" s="214" t="s">
        <v>166</v>
      </c>
      <c r="Q42" s="214" t="s">
        <v>753</v>
      </c>
      <c r="R42" s="214" t="s">
        <v>751</v>
      </c>
      <c r="S42" s="214" t="s">
        <v>1294</v>
      </c>
    </row>
    <row r="43" spans="1:19" x14ac:dyDescent="0.2">
      <c r="B43" s="250" t="s">
        <v>169</v>
      </c>
      <c r="C43" s="250" t="s">
        <v>168</v>
      </c>
      <c r="D43" s="239">
        <v>38609660.299999997</v>
      </c>
      <c r="E43" s="239">
        <v>78973</v>
      </c>
      <c r="F43" s="239">
        <v>0</v>
      </c>
      <c r="G43" s="239">
        <v>116685</v>
      </c>
      <c r="H43" s="239">
        <v>0</v>
      </c>
      <c r="I43" s="239">
        <v>116685</v>
      </c>
      <c r="J43" s="239">
        <v>0</v>
      </c>
      <c r="K43" s="239">
        <v>0</v>
      </c>
      <c r="L43" s="239">
        <v>0</v>
      </c>
      <c r="M43" s="239">
        <v>0</v>
      </c>
      <c r="N43" s="239">
        <v>0</v>
      </c>
      <c r="O43" s="239">
        <v>38571948.299999997</v>
      </c>
      <c r="P43" s="214" t="s">
        <v>168</v>
      </c>
      <c r="Q43" s="214" t="s">
        <v>803</v>
      </c>
      <c r="R43" s="214" t="s">
        <v>763</v>
      </c>
      <c r="S43" s="214" t="s">
        <v>1294</v>
      </c>
    </row>
    <row r="44" spans="1:19" x14ac:dyDescent="0.2">
      <c r="A44" s="215" t="s">
        <v>1321</v>
      </c>
      <c r="B44" s="250" t="s">
        <v>171</v>
      </c>
      <c r="C44" s="250" t="s">
        <v>170</v>
      </c>
      <c r="D44" s="239">
        <v>25107602</v>
      </c>
      <c r="E44" s="239">
        <v>104502</v>
      </c>
      <c r="F44" s="239">
        <v>0</v>
      </c>
      <c r="G44" s="239">
        <v>107754</v>
      </c>
      <c r="H44" s="239">
        <v>0</v>
      </c>
      <c r="I44" s="239">
        <v>107754</v>
      </c>
      <c r="J44" s="239">
        <v>0</v>
      </c>
      <c r="K44" s="239">
        <v>0</v>
      </c>
      <c r="L44" s="239">
        <v>0</v>
      </c>
      <c r="M44" s="239">
        <v>0</v>
      </c>
      <c r="N44" s="239">
        <v>0</v>
      </c>
      <c r="O44" s="239">
        <v>25104350</v>
      </c>
      <c r="P44" s="214" t="s">
        <v>170</v>
      </c>
      <c r="Q44" s="214" t="s">
        <v>874</v>
      </c>
      <c r="R44" s="214" t="s">
        <v>872</v>
      </c>
      <c r="S44" s="214" t="s">
        <v>1294</v>
      </c>
    </row>
    <row r="45" spans="1:19" x14ac:dyDescent="0.2">
      <c r="B45" s="250" t="s">
        <v>173</v>
      </c>
      <c r="C45" s="250" t="s">
        <v>172</v>
      </c>
      <c r="D45" s="239">
        <v>26062824</v>
      </c>
      <c r="E45" s="239">
        <v>0</v>
      </c>
      <c r="F45" s="239">
        <v>87080</v>
      </c>
      <c r="G45" s="239">
        <v>149071</v>
      </c>
      <c r="H45" s="239">
        <v>0</v>
      </c>
      <c r="I45" s="239">
        <v>149071</v>
      </c>
      <c r="J45" s="239">
        <v>0</v>
      </c>
      <c r="K45" s="239">
        <v>0</v>
      </c>
      <c r="L45" s="239">
        <v>239759</v>
      </c>
      <c r="M45" s="239">
        <v>239759</v>
      </c>
      <c r="N45" s="239">
        <v>0</v>
      </c>
      <c r="O45" s="239">
        <v>25586914</v>
      </c>
      <c r="P45" s="214" t="s">
        <v>172</v>
      </c>
      <c r="Q45" s="214" t="s">
        <v>757</v>
      </c>
      <c r="R45" s="214" t="s">
        <v>755</v>
      </c>
      <c r="S45" s="214" t="s">
        <v>1294</v>
      </c>
    </row>
    <row r="46" spans="1:19" x14ac:dyDescent="0.2">
      <c r="B46" s="250" t="s">
        <v>175</v>
      </c>
      <c r="C46" s="250" t="s">
        <v>174</v>
      </c>
      <c r="D46" s="239">
        <v>47093499</v>
      </c>
      <c r="E46" s="239">
        <v>495406</v>
      </c>
      <c r="F46" s="239">
        <v>0</v>
      </c>
      <c r="G46" s="239">
        <v>239407</v>
      </c>
      <c r="H46" s="239">
        <v>0</v>
      </c>
      <c r="I46" s="239">
        <v>239407</v>
      </c>
      <c r="J46" s="239">
        <v>0</v>
      </c>
      <c r="K46" s="239">
        <v>0</v>
      </c>
      <c r="L46" s="239">
        <v>0</v>
      </c>
      <c r="M46" s="239">
        <v>0</v>
      </c>
      <c r="N46" s="239">
        <v>0</v>
      </c>
      <c r="O46" s="239">
        <v>47349498</v>
      </c>
      <c r="P46" s="214" t="s">
        <v>174</v>
      </c>
      <c r="Q46" s="214" t="s">
        <v>768</v>
      </c>
      <c r="R46" s="214" t="s">
        <v>783</v>
      </c>
      <c r="S46" s="214" t="s">
        <v>1296</v>
      </c>
    </row>
    <row r="47" spans="1:19" x14ac:dyDescent="0.2">
      <c r="B47" s="250" t="s">
        <v>177</v>
      </c>
      <c r="C47" s="250" t="s">
        <v>176</v>
      </c>
      <c r="D47" s="239">
        <v>56365455</v>
      </c>
      <c r="E47" s="239">
        <v>495036</v>
      </c>
      <c r="F47" s="239">
        <v>0</v>
      </c>
      <c r="G47" s="239">
        <v>354527</v>
      </c>
      <c r="H47" s="239">
        <v>0</v>
      </c>
      <c r="I47" s="239">
        <v>354527</v>
      </c>
      <c r="J47" s="239">
        <v>0</v>
      </c>
      <c r="K47" s="239">
        <v>0</v>
      </c>
      <c r="L47" s="239">
        <v>298340</v>
      </c>
      <c r="M47" s="239">
        <v>298340</v>
      </c>
      <c r="N47" s="239">
        <v>0</v>
      </c>
      <c r="O47" s="239">
        <v>56207624</v>
      </c>
      <c r="P47" s="214" t="s">
        <v>176</v>
      </c>
      <c r="Q47" s="214" t="s">
        <v>768</v>
      </c>
      <c r="R47" s="214" t="s">
        <v>818</v>
      </c>
      <c r="S47" s="214" t="s">
        <v>1296</v>
      </c>
    </row>
    <row r="48" spans="1:19" x14ac:dyDescent="0.2">
      <c r="B48" s="250" t="s">
        <v>179</v>
      </c>
      <c r="C48" s="250" t="s">
        <v>178</v>
      </c>
      <c r="D48" s="239">
        <v>95432704</v>
      </c>
      <c r="E48" s="239">
        <v>209512</v>
      </c>
      <c r="F48" s="239">
        <v>0</v>
      </c>
      <c r="G48" s="239">
        <v>227835</v>
      </c>
      <c r="H48" s="239">
        <v>0</v>
      </c>
      <c r="I48" s="239">
        <v>227835</v>
      </c>
      <c r="J48" s="239">
        <v>0</v>
      </c>
      <c r="K48" s="239">
        <v>0</v>
      </c>
      <c r="L48" s="239">
        <v>0</v>
      </c>
      <c r="M48" s="239">
        <v>0</v>
      </c>
      <c r="N48" s="239">
        <v>0</v>
      </c>
      <c r="O48" s="239">
        <v>95414381</v>
      </c>
      <c r="P48" s="214" t="s">
        <v>178</v>
      </c>
      <c r="Q48" s="214" t="s">
        <v>862</v>
      </c>
      <c r="R48" s="214" t="s">
        <v>860</v>
      </c>
      <c r="S48" s="214" t="s">
        <v>1294</v>
      </c>
    </row>
    <row r="49" spans="2:19" x14ac:dyDescent="0.2">
      <c r="B49" s="250" t="s">
        <v>181</v>
      </c>
      <c r="C49" s="250" t="s">
        <v>180</v>
      </c>
      <c r="D49" s="239">
        <v>521516180</v>
      </c>
      <c r="E49" s="239">
        <v>0</v>
      </c>
      <c r="F49" s="239">
        <v>4005819</v>
      </c>
      <c r="G49" s="239">
        <v>1185753</v>
      </c>
      <c r="H49" s="239">
        <v>0</v>
      </c>
      <c r="I49" s="239">
        <v>1185753</v>
      </c>
      <c r="J49" s="239">
        <v>0</v>
      </c>
      <c r="K49" s="239">
        <v>0</v>
      </c>
      <c r="L49" s="239">
        <v>0</v>
      </c>
      <c r="M49" s="239">
        <v>0</v>
      </c>
      <c r="N49" s="239">
        <v>0</v>
      </c>
      <c r="O49" s="239">
        <v>516324608</v>
      </c>
      <c r="P49" s="214" t="s">
        <v>180</v>
      </c>
      <c r="Q49" s="214" t="s">
        <v>790</v>
      </c>
      <c r="R49" s="214" t="s">
        <v>749</v>
      </c>
      <c r="S49" s="214" t="s">
        <v>1297</v>
      </c>
    </row>
    <row r="50" spans="2:19" x14ac:dyDescent="0.2">
      <c r="B50" s="250" t="s">
        <v>183</v>
      </c>
      <c r="C50" s="250" t="s">
        <v>182</v>
      </c>
      <c r="D50" s="239">
        <v>36318538</v>
      </c>
      <c r="E50" s="239">
        <v>102067</v>
      </c>
      <c r="F50" s="239">
        <v>0</v>
      </c>
      <c r="G50" s="239">
        <v>138207</v>
      </c>
      <c r="H50" s="239">
        <v>0</v>
      </c>
      <c r="I50" s="239">
        <v>138207</v>
      </c>
      <c r="J50" s="239">
        <v>0</v>
      </c>
      <c r="K50" s="239">
        <v>0</v>
      </c>
      <c r="L50" s="239">
        <v>0</v>
      </c>
      <c r="M50" s="239">
        <v>0</v>
      </c>
      <c r="N50" s="239">
        <v>0</v>
      </c>
      <c r="O50" s="239">
        <v>36282398</v>
      </c>
      <c r="P50" s="214" t="s">
        <v>182</v>
      </c>
      <c r="Q50" s="214" t="s">
        <v>838</v>
      </c>
      <c r="R50" s="214" t="s">
        <v>836</v>
      </c>
      <c r="S50" s="214" t="s">
        <v>1294</v>
      </c>
    </row>
    <row r="51" spans="2:19" x14ac:dyDescent="0.2">
      <c r="B51" s="250" t="s">
        <v>185</v>
      </c>
      <c r="C51" s="250" t="s">
        <v>184</v>
      </c>
      <c r="D51" s="239">
        <v>52337839</v>
      </c>
      <c r="E51" s="239">
        <v>0</v>
      </c>
      <c r="F51" s="239">
        <v>250820</v>
      </c>
      <c r="G51" s="239">
        <v>232038</v>
      </c>
      <c r="H51" s="239">
        <v>0</v>
      </c>
      <c r="I51" s="239">
        <v>232038</v>
      </c>
      <c r="J51" s="239">
        <v>0</v>
      </c>
      <c r="K51" s="239">
        <v>0</v>
      </c>
      <c r="L51" s="239">
        <v>0</v>
      </c>
      <c r="M51" s="239">
        <v>0</v>
      </c>
      <c r="N51" s="239">
        <v>0</v>
      </c>
      <c r="O51" s="239">
        <v>51854981</v>
      </c>
      <c r="P51" s="214" t="s">
        <v>184</v>
      </c>
      <c r="Q51" s="214" t="s">
        <v>826</v>
      </c>
      <c r="R51" s="214" t="s">
        <v>824</v>
      </c>
      <c r="S51" s="214" t="s">
        <v>1294</v>
      </c>
    </row>
    <row r="52" spans="2:19" x14ac:dyDescent="0.2">
      <c r="B52" s="250" t="s">
        <v>187</v>
      </c>
      <c r="C52" s="250" t="s">
        <v>186</v>
      </c>
      <c r="D52" s="239">
        <v>42326998</v>
      </c>
      <c r="E52" s="239">
        <v>0</v>
      </c>
      <c r="F52" s="239">
        <v>37044</v>
      </c>
      <c r="G52" s="239">
        <v>180894</v>
      </c>
      <c r="H52" s="239">
        <v>0</v>
      </c>
      <c r="I52" s="239">
        <v>180894</v>
      </c>
      <c r="J52" s="239">
        <v>0</v>
      </c>
      <c r="K52" s="239">
        <v>0</v>
      </c>
      <c r="L52" s="239">
        <v>25680</v>
      </c>
      <c r="M52" s="239">
        <v>25680</v>
      </c>
      <c r="N52" s="239">
        <v>0</v>
      </c>
      <c r="O52" s="239">
        <v>42083380</v>
      </c>
      <c r="P52" s="214" t="s">
        <v>186</v>
      </c>
      <c r="Q52" s="214" t="s">
        <v>851</v>
      </c>
      <c r="R52" s="214" t="s">
        <v>763</v>
      </c>
      <c r="S52" s="214" t="s">
        <v>1294</v>
      </c>
    </row>
    <row r="53" spans="2:19" x14ac:dyDescent="0.2">
      <c r="B53" s="250" t="s">
        <v>189</v>
      </c>
      <c r="C53" s="250" t="s">
        <v>188</v>
      </c>
      <c r="D53" s="239">
        <v>14577636</v>
      </c>
      <c r="E53" s="239">
        <v>2950</v>
      </c>
      <c r="F53" s="239">
        <v>0</v>
      </c>
      <c r="G53" s="239">
        <v>81980</v>
      </c>
      <c r="H53" s="239">
        <v>0</v>
      </c>
      <c r="I53" s="239">
        <v>81980</v>
      </c>
      <c r="J53" s="239">
        <v>0</v>
      </c>
      <c r="K53" s="239">
        <v>0</v>
      </c>
      <c r="L53" s="239">
        <v>0</v>
      </c>
      <c r="M53" s="239">
        <v>0</v>
      </c>
      <c r="N53" s="239">
        <v>0</v>
      </c>
      <c r="O53" s="239">
        <v>14498606</v>
      </c>
      <c r="P53" s="214" t="s">
        <v>188</v>
      </c>
      <c r="Q53" s="214" t="s">
        <v>822</v>
      </c>
      <c r="R53" s="214" t="s">
        <v>820</v>
      </c>
      <c r="S53" s="214" t="s">
        <v>1294</v>
      </c>
    </row>
    <row r="54" spans="2:19" x14ac:dyDescent="0.2">
      <c r="B54" s="250" t="s">
        <v>191</v>
      </c>
      <c r="C54" s="250" t="s">
        <v>190</v>
      </c>
      <c r="D54" s="239">
        <v>75582357</v>
      </c>
      <c r="E54" s="239">
        <v>0</v>
      </c>
      <c r="F54" s="239">
        <v>226755</v>
      </c>
      <c r="G54" s="239">
        <v>314105</v>
      </c>
      <c r="H54" s="239">
        <v>0</v>
      </c>
      <c r="I54" s="239">
        <v>314105</v>
      </c>
      <c r="J54" s="239">
        <v>0</v>
      </c>
      <c r="K54" s="239">
        <v>0</v>
      </c>
      <c r="L54" s="239">
        <v>383184</v>
      </c>
      <c r="M54" s="239">
        <v>383184</v>
      </c>
      <c r="N54" s="239">
        <v>0</v>
      </c>
      <c r="O54" s="239">
        <v>74658313</v>
      </c>
      <c r="P54" s="214" t="s">
        <v>190</v>
      </c>
      <c r="Q54" s="214" t="s">
        <v>748</v>
      </c>
      <c r="R54" s="214" t="s">
        <v>898</v>
      </c>
      <c r="S54" s="214" t="s">
        <v>748</v>
      </c>
    </row>
    <row r="55" spans="2:19" x14ac:dyDescent="0.2">
      <c r="B55" s="250" t="s">
        <v>193</v>
      </c>
      <c r="C55" s="250" t="s">
        <v>192</v>
      </c>
      <c r="D55" s="239">
        <v>40273216</v>
      </c>
      <c r="E55" s="239">
        <v>0</v>
      </c>
      <c r="F55" s="239">
        <v>99420</v>
      </c>
      <c r="G55" s="239">
        <v>191528</v>
      </c>
      <c r="H55" s="239">
        <v>0</v>
      </c>
      <c r="I55" s="239">
        <v>191528</v>
      </c>
      <c r="J55" s="239">
        <v>0</v>
      </c>
      <c r="K55" s="239">
        <v>0</v>
      </c>
      <c r="L55" s="239">
        <v>151598</v>
      </c>
      <c r="M55" s="239">
        <v>151598</v>
      </c>
      <c r="N55" s="239">
        <v>0</v>
      </c>
      <c r="O55" s="239">
        <v>39830670</v>
      </c>
      <c r="P55" s="214" t="s">
        <v>192</v>
      </c>
      <c r="Q55" s="214" t="s">
        <v>884</v>
      </c>
      <c r="R55" s="214" t="s">
        <v>869</v>
      </c>
      <c r="S55" s="214" t="s">
        <v>1294</v>
      </c>
    </row>
    <row r="56" spans="2:19" x14ac:dyDescent="0.2">
      <c r="B56" s="250" t="s">
        <v>195</v>
      </c>
      <c r="C56" s="250" t="s">
        <v>194</v>
      </c>
      <c r="D56" s="239">
        <v>72695779</v>
      </c>
      <c r="E56" s="239">
        <v>107903</v>
      </c>
      <c r="F56" s="239">
        <v>0</v>
      </c>
      <c r="G56" s="239">
        <v>222481</v>
      </c>
      <c r="H56" s="239">
        <v>0</v>
      </c>
      <c r="I56" s="239">
        <v>222481</v>
      </c>
      <c r="J56" s="239">
        <v>0</v>
      </c>
      <c r="K56" s="239">
        <v>0</v>
      </c>
      <c r="L56" s="239">
        <v>0</v>
      </c>
      <c r="M56" s="239">
        <v>0</v>
      </c>
      <c r="N56" s="239">
        <v>0</v>
      </c>
      <c r="O56" s="239">
        <v>72581201</v>
      </c>
      <c r="P56" s="214" t="s">
        <v>194</v>
      </c>
      <c r="Q56" s="214" t="s">
        <v>822</v>
      </c>
      <c r="R56" s="214" t="s">
        <v>820</v>
      </c>
      <c r="S56" s="214" t="s">
        <v>1294</v>
      </c>
    </row>
    <row r="57" spans="2:19" x14ac:dyDescent="0.2">
      <c r="B57" s="250" t="s">
        <v>197</v>
      </c>
      <c r="C57" s="250" t="s">
        <v>196</v>
      </c>
      <c r="D57" s="239">
        <v>53078145</v>
      </c>
      <c r="E57" s="239">
        <v>0</v>
      </c>
      <c r="F57" s="239">
        <v>87584</v>
      </c>
      <c r="G57" s="239">
        <v>183262</v>
      </c>
      <c r="H57" s="239">
        <v>0</v>
      </c>
      <c r="I57" s="239">
        <v>183262</v>
      </c>
      <c r="J57" s="239">
        <v>0</v>
      </c>
      <c r="K57" s="239">
        <v>0</v>
      </c>
      <c r="L57" s="239">
        <v>0</v>
      </c>
      <c r="M57" s="239">
        <v>0</v>
      </c>
      <c r="N57" s="239">
        <v>0</v>
      </c>
      <c r="O57" s="239">
        <v>52807299</v>
      </c>
      <c r="P57" s="214" t="s">
        <v>196</v>
      </c>
      <c r="Q57" s="214" t="s">
        <v>831</v>
      </c>
      <c r="R57" s="214" t="s">
        <v>763</v>
      </c>
      <c r="S57" s="214" t="s">
        <v>1294</v>
      </c>
    </row>
    <row r="58" spans="2:19" x14ac:dyDescent="0.2">
      <c r="B58" s="250" t="s">
        <v>199</v>
      </c>
      <c r="C58" s="250" t="s">
        <v>198</v>
      </c>
      <c r="D58" s="239">
        <v>74060348</v>
      </c>
      <c r="E58" s="239">
        <v>0</v>
      </c>
      <c r="F58" s="239">
        <v>96541</v>
      </c>
      <c r="G58" s="239">
        <v>223387</v>
      </c>
      <c r="H58" s="239">
        <v>0</v>
      </c>
      <c r="I58" s="239">
        <v>223387</v>
      </c>
      <c r="J58" s="239">
        <v>0</v>
      </c>
      <c r="K58" s="239">
        <v>0</v>
      </c>
      <c r="L58" s="239">
        <v>556157</v>
      </c>
      <c r="M58" s="239">
        <v>285007</v>
      </c>
      <c r="N58" s="239">
        <v>271150</v>
      </c>
      <c r="O58" s="239">
        <v>73184263</v>
      </c>
      <c r="P58" s="214" t="s">
        <v>198</v>
      </c>
      <c r="Q58" s="214" t="s">
        <v>796</v>
      </c>
      <c r="R58" s="214" t="s">
        <v>763</v>
      </c>
      <c r="S58" s="214" t="s">
        <v>1294</v>
      </c>
    </row>
    <row r="59" spans="2:19" x14ac:dyDescent="0.2">
      <c r="B59" s="250" t="s">
        <v>201</v>
      </c>
      <c r="C59" s="250" t="s">
        <v>200</v>
      </c>
      <c r="D59" s="239">
        <v>131918560</v>
      </c>
      <c r="E59" s="239">
        <v>0</v>
      </c>
      <c r="F59" s="239">
        <v>640285</v>
      </c>
      <c r="G59" s="239">
        <v>558893</v>
      </c>
      <c r="H59" s="239">
        <v>0</v>
      </c>
      <c r="I59" s="239">
        <v>558893</v>
      </c>
      <c r="J59" s="239">
        <v>0</v>
      </c>
      <c r="K59" s="239">
        <v>0</v>
      </c>
      <c r="L59" s="239">
        <v>5062</v>
      </c>
      <c r="M59" s="239">
        <v>5062</v>
      </c>
      <c r="N59" s="239">
        <v>0</v>
      </c>
      <c r="O59" s="239">
        <v>130714320</v>
      </c>
      <c r="P59" s="214" t="s">
        <v>200</v>
      </c>
      <c r="Q59" s="214" t="s">
        <v>748</v>
      </c>
      <c r="R59" s="214" t="s">
        <v>815</v>
      </c>
      <c r="S59" s="214" t="s">
        <v>748</v>
      </c>
    </row>
    <row r="60" spans="2:19" x14ac:dyDescent="0.2">
      <c r="B60" s="250" t="s">
        <v>203</v>
      </c>
      <c r="C60" s="250" t="s">
        <v>919</v>
      </c>
      <c r="D60" s="239">
        <v>154251427</v>
      </c>
      <c r="E60" s="239">
        <v>0</v>
      </c>
      <c r="F60" s="239">
        <v>202175</v>
      </c>
      <c r="G60" s="239">
        <v>500025</v>
      </c>
      <c r="H60" s="239">
        <v>0</v>
      </c>
      <c r="I60" s="239">
        <v>500025</v>
      </c>
      <c r="J60" s="239">
        <v>0</v>
      </c>
      <c r="K60" s="239">
        <v>0</v>
      </c>
      <c r="L60" s="239">
        <v>0</v>
      </c>
      <c r="M60" s="239">
        <v>0</v>
      </c>
      <c r="N60" s="239">
        <v>0</v>
      </c>
      <c r="O60" s="239">
        <v>153549227</v>
      </c>
      <c r="P60" s="214" t="s">
        <v>919</v>
      </c>
      <c r="Q60" s="214" t="s">
        <v>748</v>
      </c>
      <c r="R60" s="214" t="s">
        <v>815</v>
      </c>
      <c r="S60" s="214" t="s">
        <v>748</v>
      </c>
    </row>
    <row r="61" spans="2:19" x14ac:dyDescent="0.2">
      <c r="B61" s="250" t="s">
        <v>205</v>
      </c>
      <c r="C61" s="250" t="s">
        <v>204</v>
      </c>
      <c r="D61" s="239">
        <v>35081751</v>
      </c>
      <c r="E61" s="239">
        <v>0</v>
      </c>
      <c r="F61" s="239">
        <v>512365</v>
      </c>
      <c r="G61" s="239">
        <v>164495</v>
      </c>
      <c r="H61" s="239">
        <v>0</v>
      </c>
      <c r="I61" s="239">
        <v>164495</v>
      </c>
      <c r="J61" s="239">
        <v>0</v>
      </c>
      <c r="K61" s="239">
        <v>38008</v>
      </c>
      <c r="L61" s="239">
        <v>0</v>
      </c>
      <c r="M61" s="239">
        <v>0</v>
      </c>
      <c r="N61" s="239">
        <v>0</v>
      </c>
      <c r="O61" s="239">
        <v>34366883</v>
      </c>
      <c r="P61" s="214" t="s">
        <v>204</v>
      </c>
      <c r="Q61" s="214" t="s">
        <v>858</v>
      </c>
      <c r="R61" s="214" t="s">
        <v>856</v>
      </c>
      <c r="S61" s="214" t="s">
        <v>1294</v>
      </c>
    </row>
    <row r="62" spans="2:19" x14ac:dyDescent="0.2">
      <c r="B62" s="250" t="s">
        <v>207</v>
      </c>
      <c r="C62" s="250" t="s">
        <v>206</v>
      </c>
      <c r="D62" s="239">
        <v>43415694</v>
      </c>
      <c r="E62" s="239">
        <v>0</v>
      </c>
      <c r="F62" s="239">
        <v>55487</v>
      </c>
      <c r="G62" s="239">
        <v>197722</v>
      </c>
      <c r="H62" s="239">
        <v>0</v>
      </c>
      <c r="I62" s="239">
        <v>197722</v>
      </c>
      <c r="J62" s="239">
        <v>0</v>
      </c>
      <c r="K62" s="239">
        <v>0</v>
      </c>
      <c r="L62" s="239">
        <v>114240</v>
      </c>
      <c r="M62" s="239">
        <v>104897</v>
      </c>
      <c r="N62" s="239">
        <v>9343</v>
      </c>
      <c r="O62" s="239">
        <v>43048245</v>
      </c>
      <c r="P62" s="214" t="s">
        <v>206</v>
      </c>
      <c r="Q62" s="214" t="s">
        <v>764</v>
      </c>
      <c r="R62" s="214" t="s">
        <v>763</v>
      </c>
      <c r="S62" s="214" t="s">
        <v>1294</v>
      </c>
    </row>
    <row r="63" spans="2:19" x14ac:dyDescent="0.2">
      <c r="B63" s="250" t="s">
        <v>209</v>
      </c>
      <c r="C63" s="250" t="s">
        <v>208</v>
      </c>
      <c r="D63" s="239">
        <v>19370461</v>
      </c>
      <c r="E63" s="239">
        <v>0</v>
      </c>
      <c r="F63" s="239">
        <v>4073</v>
      </c>
      <c r="G63" s="239">
        <v>115526</v>
      </c>
      <c r="H63" s="239">
        <v>0</v>
      </c>
      <c r="I63" s="239">
        <v>115526</v>
      </c>
      <c r="J63" s="239">
        <v>0</v>
      </c>
      <c r="K63" s="239">
        <v>0</v>
      </c>
      <c r="L63" s="239">
        <v>0</v>
      </c>
      <c r="M63" s="239">
        <v>0</v>
      </c>
      <c r="N63" s="239">
        <v>0</v>
      </c>
      <c r="O63" s="239">
        <v>19250862</v>
      </c>
      <c r="P63" s="214" t="s">
        <v>208</v>
      </c>
      <c r="Q63" s="214" t="s">
        <v>761</v>
      </c>
      <c r="R63" s="214" t="s">
        <v>759</v>
      </c>
      <c r="S63" s="214" t="s">
        <v>1294</v>
      </c>
    </row>
    <row r="64" spans="2:19" x14ac:dyDescent="0.2">
      <c r="B64" s="250" t="s">
        <v>211</v>
      </c>
      <c r="C64" s="250" t="s">
        <v>210</v>
      </c>
      <c r="D64" s="239">
        <v>26493814</v>
      </c>
      <c r="E64" s="239">
        <v>0</v>
      </c>
      <c r="F64" s="239">
        <v>90780</v>
      </c>
      <c r="G64" s="239">
        <v>133997</v>
      </c>
      <c r="H64" s="239">
        <v>0</v>
      </c>
      <c r="I64" s="239">
        <v>133997</v>
      </c>
      <c r="J64" s="239">
        <v>0</v>
      </c>
      <c r="K64" s="239">
        <v>0</v>
      </c>
      <c r="L64" s="239">
        <v>0</v>
      </c>
      <c r="M64" s="239">
        <v>0</v>
      </c>
      <c r="N64" s="239">
        <v>0</v>
      </c>
      <c r="O64" s="239">
        <v>26269037</v>
      </c>
      <c r="P64" s="214" t="s">
        <v>210</v>
      </c>
      <c r="Q64" s="214" t="s">
        <v>757</v>
      </c>
      <c r="R64" s="214" t="s">
        <v>755</v>
      </c>
      <c r="S64" s="214" t="s">
        <v>1294</v>
      </c>
    </row>
    <row r="65" spans="1:19" x14ac:dyDescent="0.2">
      <c r="B65" s="250" t="s">
        <v>213</v>
      </c>
      <c r="C65" s="250" t="s">
        <v>212</v>
      </c>
      <c r="D65" s="239">
        <v>17937537</v>
      </c>
      <c r="E65" s="239">
        <v>0</v>
      </c>
      <c r="F65" s="239">
        <v>28878</v>
      </c>
      <c r="G65" s="239">
        <v>75005</v>
      </c>
      <c r="H65" s="239">
        <v>0</v>
      </c>
      <c r="I65" s="239">
        <v>75005</v>
      </c>
      <c r="J65" s="239">
        <v>0</v>
      </c>
      <c r="K65" s="239">
        <v>0</v>
      </c>
      <c r="L65" s="239">
        <v>289893</v>
      </c>
      <c r="M65" s="239">
        <v>289893</v>
      </c>
      <c r="N65" s="239">
        <v>0</v>
      </c>
      <c r="O65" s="239">
        <v>17543761</v>
      </c>
      <c r="P65" s="214" t="s">
        <v>212</v>
      </c>
      <c r="Q65" s="214" t="s">
        <v>787</v>
      </c>
      <c r="R65" s="214" t="s">
        <v>785</v>
      </c>
      <c r="S65" s="214" t="s">
        <v>1294</v>
      </c>
    </row>
    <row r="66" spans="1:19" x14ac:dyDescent="0.2">
      <c r="B66" s="250" t="s">
        <v>215</v>
      </c>
      <c r="C66" s="250" t="s">
        <v>214</v>
      </c>
      <c r="D66" s="239">
        <v>862015998</v>
      </c>
      <c r="E66" s="239">
        <v>0</v>
      </c>
      <c r="F66" s="239">
        <v>1448255</v>
      </c>
      <c r="G66" s="239">
        <v>1695542</v>
      </c>
      <c r="H66" s="239">
        <v>0</v>
      </c>
      <c r="I66" s="239">
        <v>1695542</v>
      </c>
      <c r="J66" s="239">
        <v>10948000</v>
      </c>
      <c r="K66" s="239">
        <v>0</v>
      </c>
      <c r="L66" s="239">
        <v>0</v>
      </c>
      <c r="M66" s="239">
        <v>0</v>
      </c>
      <c r="N66" s="239">
        <v>0</v>
      </c>
      <c r="O66" s="239">
        <v>847924201</v>
      </c>
      <c r="P66" s="214" t="s">
        <v>214</v>
      </c>
      <c r="Q66" s="214" t="s">
        <v>917</v>
      </c>
      <c r="R66" s="214" t="s">
        <v>749</v>
      </c>
      <c r="S66" s="214" t="s">
        <v>1297</v>
      </c>
    </row>
    <row r="67" spans="1:19" x14ac:dyDescent="0.2">
      <c r="B67" s="250" t="s">
        <v>217</v>
      </c>
      <c r="C67" s="250" t="s">
        <v>216</v>
      </c>
      <c r="D67" s="239">
        <v>60354300</v>
      </c>
      <c r="E67" s="239">
        <v>0</v>
      </c>
      <c r="F67" s="239">
        <v>229342</v>
      </c>
      <c r="G67" s="239">
        <v>238245</v>
      </c>
      <c r="H67" s="239">
        <v>0</v>
      </c>
      <c r="I67" s="239">
        <v>238245</v>
      </c>
      <c r="J67" s="239">
        <v>0</v>
      </c>
      <c r="K67" s="239">
        <v>0</v>
      </c>
      <c r="L67" s="239">
        <v>0</v>
      </c>
      <c r="M67" s="239">
        <v>0</v>
      </c>
      <c r="N67" s="239">
        <v>0</v>
      </c>
      <c r="O67" s="239">
        <v>59886713</v>
      </c>
      <c r="P67" s="214" t="s">
        <v>216</v>
      </c>
      <c r="Q67" s="214" t="s">
        <v>822</v>
      </c>
      <c r="R67" s="214" t="s">
        <v>820</v>
      </c>
      <c r="S67" s="214" t="s">
        <v>1294</v>
      </c>
    </row>
    <row r="68" spans="1:19" x14ac:dyDescent="0.2">
      <c r="B68" s="250" t="s">
        <v>219</v>
      </c>
      <c r="C68" s="250" t="s">
        <v>218</v>
      </c>
      <c r="D68" s="239">
        <v>45598879</v>
      </c>
      <c r="E68" s="239">
        <v>0</v>
      </c>
      <c r="F68" s="239">
        <v>1088425</v>
      </c>
      <c r="G68" s="239">
        <v>111659</v>
      </c>
      <c r="H68" s="239">
        <v>0</v>
      </c>
      <c r="I68" s="239">
        <v>111659</v>
      </c>
      <c r="J68" s="239">
        <v>0</v>
      </c>
      <c r="K68" s="239">
        <v>0</v>
      </c>
      <c r="L68" s="239">
        <v>25521</v>
      </c>
      <c r="M68" s="239">
        <v>25521</v>
      </c>
      <c r="N68" s="239">
        <v>0</v>
      </c>
      <c r="O68" s="239">
        <v>44373274</v>
      </c>
      <c r="P68" s="214" t="s">
        <v>218</v>
      </c>
      <c r="Q68" s="214" t="s">
        <v>851</v>
      </c>
      <c r="R68" s="214" t="s">
        <v>763</v>
      </c>
      <c r="S68" s="214" t="s">
        <v>1294</v>
      </c>
    </row>
    <row r="69" spans="1:19" x14ac:dyDescent="0.2">
      <c r="B69" s="250" t="s">
        <v>221</v>
      </c>
      <c r="C69" s="250" t="s">
        <v>220</v>
      </c>
      <c r="D69" s="239">
        <v>33692926</v>
      </c>
      <c r="E69" s="239">
        <v>35932</v>
      </c>
      <c r="F69" s="239">
        <v>0</v>
      </c>
      <c r="G69" s="239">
        <v>88686</v>
      </c>
      <c r="H69" s="239">
        <v>0</v>
      </c>
      <c r="I69" s="239">
        <v>88686</v>
      </c>
      <c r="J69" s="239">
        <v>0</v>
      </c>
      <c r="K69" s="239">
        <v>0</v>
      </c>
      <c r="L69" s="239">
        <v>0</v>
      </c>
      <c r="M69" s="239">
        <v>0</v>
      </c>
      <c r="N69" s="239">
        <v>0</v>
      </c>
      <c r="O69" s="239">
        <v>33640172</v>
      </c>
      <c r="P69" s="214" t="s">
        <v>220</v>
      </c>
      <c r="Q69" s="214" t="s">
        <v>805</v>
      </c>
      <c r="R69" s="214" t="s">
        <v>763</v>
      </c>
      <c r="S69" s="214" t="s">
        <v>1294</v>
      </c>
    </row>
    <row r="70" spans="1:19" x14ac:dyDescent="0.2">
      <c r="B70" s="250" t="s">
        <v>223</v>
      </c>
      <c r="C70" s="250" t="s">
        <v>222</v>
      </c>
      <c r="D70" s="239">
        <v>147905952</v>
      </c>
      <c r="E70" s="239">
        <v>0</v>
      </c>
      <c r="F70" s="239">
        <v>548916</v>
      </c>
      <c r="G70" s="239">
        <v>1112614</v>
      </c>
      <c r="H70" s="239">
        <v>0</v>
      </c>
      <c r="I70" s="239">
        <v>1112614</v>
      </c>
      <c r="J70" s="239">
        <v>0</v>
      </c>
      <c r="K70" s="239">
        <v>34624</v>
      </c>
      <c r="L70" s="239">
        <v>1274719</v>
      </c>
      <c r="M70" s="239">
        <v>1274719</v>
      </c>
      <c r="N70" s="239">
        <v>0</v>
      </c>
      <c r="O70" s="239">
        <v>144935079</v>
      </c>
      <c r="P70" s="214" t="s">
        <v>222</v>
      </c>
      <c r="Q70" s="214" t="s">
        <v>748</v>
      </c>
      <c r="R70" s="214" t="s">
        <v>763</v>
      </c>
      <c r="S70" s="214" t="s">
        <v>748</v>
      </c>
    </row>
    <row r="71" spans="1:19" x14ac:dyDescent="0.2">
      <c r="B71" s="250" t="s">
        <v>225</v>
      </c>
      <c r="C71" s="250" t="s">
        <v>224</v>
      </c>
      <c r="D71" s="239">
        <v>29177737</v>
      </c>
      <c r="E71" s="239">
        <v>222426</v>
      </c>
      <c r="F71" s="239">
        <v>0</v>
      </c>
      <c r="G71" s="239">
        <v>178723</v>
      </c>
      <c r="H71" s="239">
        <v>0</v>
      </c>
      <c r="I71" s="239">
        <v>178723</v>
      </c>
      <c r="J71" s="239">
        <v>0</v>
      </c>
      <c r="K71" s="239">
        <v>0</v>
      </c>
      <c r="L71" s="239">
        <v>92687</v>
      </c>
      <c r="M71" s="239">
        <v>92687</v>
      </c>
      <c r="N71" s="239">
        <v>0</v>
      </c>
      <c r="O71" s="239">
        <v>29128753</v>
      </c>
      <c r="P71" s="214" t="s">
        <v>224</v>
      </c>
      <c r="Q71" s="214" t="s">
        <v>831</v>
      </c>
      <c r="R71" s="214" t="s">
        <v>763</v>
      </c>
      <c r="S71" s="214" t="s">
        <v>1294</v>
      </c>
    </row>
    <row r="72" spans="1:19" x14ac:dyDescent="0.2">
      <c r="B72" s="250" t="s">
        <v>227</v>
      </c>
      <c r="C72" s="250" t="s">
        <v>226</v>
      </c>
      <c r="D72" s="239">
        <v>119390399</v>
      </c>
      <c r="E72" s="239">
        <v>0</v>
      </c>
      <c r="F72" s="239">
        <v>138270</v>
      </c>
      <c r="G72" s="239">
        <v>381387</v>
      </c>
      <c r="H72" s="239">
        <v>0</v>
      </c>
      <c r="I72" s="239">
        <v>381387</v>
      </c>
      <c r="J72" s="239">
        <v>0</v>
      </c>
      <c r="K72" s="239">
        <v>0</v>
      </c>
      <c r="L72" s="239">
        <v>0</v>
      </c>
      <c r="M72" s="239">
        <v>0</v>
      </c>
      <c r="N72" s="239">
        <v>0</v>
      </c>
      <c r="O72" s="239">
        <v>118870742</v>
      </c>
      <c r="P72" s="214" t="s">
        <v>226</v>
      </c>
      <c r="Q72" s="214" t="s">
        <v>768</v>
      </c>
      <c r="R72" s="214" t="s">
        <v>766</v>
      </c>
      <c r="S72" s="214" t="s">
        <v>1296</v>
      </c>
    </row>
    <row r="73" spans="1:19" x14ac:dyDescent="0.2">
      <c r="B73" s="250" t="s">
        <v>229</v>
      </c>
      <c r="C73" s="250" t="s">
        <v>228</v>
      </c>
      <c r="D73" s="239">
        <v>16572018</v>
      </c>
      <c r="E73" s="239">
        <v>0</v>
      </c>
      <c r="F73" s="239">
        <v>36785</v>
      </c>
      <c r="G73" s="239">
        <v>120581</v>
      </c>
      <c r="H73" s="239">
        <v>0</v>
      </c>
      <c r="I73" s="239">
        <v>120581</v>
      </c>
      <c r="J73" s="239">
        <v>0</v>
      </c>
      <c r="K73" s="239">
        <v>0</v>
      </c>
      <c r="L73" s="239">
        <v>0</v>
      </c>
      <c r="M73" s="239">
        <v>0</v>
      </c>
      <c r="N73" s="239">
        <v>0</v>
      </c>
      <c r="O73" s="239">
        <v>16414652</v>
      </c>
      <c r="P73" s="214" t="s">
        <v>228</v>
      </c>
      <c r="Q73" s="214" t="s">
        <v>867</v>
      </c>
      <c r="R73" s="214" t="s">
        <v>746</v>
      </c>
      <c r="S73" s="214" t="s">
        <v>1294</v>
      </c>
    </row>
    <row r="74" spans="1:19" x14ac:dyDescent="0.2">
      <c r="B74" s="250" t="s">
        <v>231</v>
      </c>
      <c r="C74" s="250" t="s">
        <v>230</v>
      </c>
      <c r="D74" s="239">
        <v>114861412</v>
      </c>
      <c r="E74" s="239">
        <v>0</v>
      </c>
      <c r="F74" s="239">
        <v>472291</v>
      </c>
      <c r="G74" s="239">
        <v>208046</v>
      </c>
      <c r="H74" s="239">
        <v>0</v>
      </c>
      <c r="I74" s="239">
        <v>208046</v>
      </c>
      <c r="J74" s="239">
        <v>0</v>
      </c>
      <c r="K74" s="239">
        <v>0</v>
      </c>
      <c r="L74" s="239">
        <v>0</v>
      </c>
      <c r="M74" s="239">
        <v>0</v>
      </c>
      <c r="N74" s="239">
        <v>0</v>
      </c>
      <c r="O74" s="239">
        <v>114181075</v>
      </c>
      <c r="P74" s="214" t="s">
        <v>230</v>
      </c>
      <c r="Q74" s="214" t="s">
        <v>764</v>
      </c>
      <c r="R74" s="214" t="s">
        <v>763</v>
      </c>
      <c r="S74" s="214" t="s">
        <v>1294</v>
      </c>
    </row>
    <row r="75" spans="1:19" x14ac:dyDescent="0.2">
      <c r="A75" s="215" t="s">
        <v>1321</v>
      </c>
      <c r="B75" s="250" t="s">
        <v>233</v>
      </c>
      <c r="C75" s="250" t="s">
        <v>232</v>
      </c>
      <c r="D75" s="239">
        <v>88322899</v>
      </c>
      <c r="E75" s="239">
        <v>0</v>
      </c>
      <c r="F75" s="239">
        <v>236177</v>
      </c>
      <c r="G75" s="239">
        <v>427611</v>
      </c>
      <c r="H75" s="239">
        <v>0</v>
      </c>
      <c r="I75" s="239">
        <v>427611</v>
      </c>
      <c r="J75" s="239">
        <v>0</v>
      </c>
      <c r="K75" s="239">
        <v>0</v>
      </c>
      <c r="L75" s="239">
        <v>0</v>
      </c>
      <c r="M75" s="239">
        <v>0</v>
      </c>
      <c r="N75" s="239">
        <v>0</v>
      </c>
      <c r="O75" s="239">
        <v>87659111</v>
      </c>
      <c r="P75" s="214" t="s">
        <v>232</v>
      </c>
      <c r="Q75" s="214" t="s">
        <v>790</v>
      </c>
      <c r="R75" s="214" t="s">
        <v>749</v>
      </c>
      <c r="S75" s="214" t="s">
        <v>1295</v>
      </c>
    </row>
    <row r="76" spans="1:19" x14ac:dyDescent="0.2">
      <c r="B76" s="250" t="s">
        <v>235</v>
      </c>
      <c r="C76" s="250" t="s">
        <v>234</v>
      </c>
      <c r="D76" s="239">
        <v>62313378</v>
      </c>
      <c r="E76" s="239">
        <v>0</v>
      </c>
      <c r="F76" s="239">
        <v>419656</v>
      </c>
      <c r="G76" s="239">
        <v>218200</v>
      </c>
      <c r="H76" s="239">
        <v>0</v>
      </c>
      <c r="I76" s="239">
        <v>218200</v>
      </c>
      <c r="J76" s="239">
        <v>0</v>
      </c>
      <c r="K76" s="239">
        <v>0</v>
      </c>
      <c r="L76" s="239">
        <v>0</v>
      </c>
      <c r="M76" s="239">
        <v>0</v>
      </c>
      <c r="N76" s="239">
        <v>0</v>
      </c>
      <c r="O76" s="239">
        <v>61675522</v>
      </c>
      <c r="P76" s="214" t="s">
        <v>234</v>
      </c>
      <c r="Q76" s="214" t="s">
        <v>803</v>
      </c>
      <c r="R76" s="214" t="s">
        <v>763</v>
      </c>
      <c r="S76" s="214" t="s">
        <v>1294</v>
      </c>
    </row>
    <row r="77" spans="1:19" x14ac:dyDescent="0.2">
      <c r="B77" s="250" t="s">
        <v>237</v>
      </c>
      <c r="C77" s="250" t="s">
        <v>236</v>
      </c>
      <c r="D77" s="239">
        <v>32629536</v>
      </c>
      <c r="E77" s="239">
        <v>0</v>
      </c>
      <c r="F77" s="239">
        <v>204680</v>
      </c>
      <c r="G77" s="239">
        <v>145025</v>
      </c>
      <c r="H77" s="239">
        <v>0</v>
      </c>
      <c r="I77" s="239">
        <v>145025</v>
      </c>
      <c r="J77" s="239">
        <v>0</v>
      </c>
      <c r="K77" s="239">
        <v>0</v>
      </c>
      <c r="L77" s="239">
        <v>0</v>
      </c>
      <c r="M77" s="239">
        <v>0</v>
      </c>
      <c r="N77" s="239">
        <v>0</v>
      </c>
      <c r="O77" s="239">
        <v>32279831</v>
      </c>
      <c r="P77" s="214" t="s">
        <v>916</v>
      </c>
      <c r="Q77" s="214" t="s">
        <v>748</v>
      </c>
      <c r="R77" s="214" t="s">
        <v>913</v>
      </c>
      <c r="S77" s="214" t="s">
        <v>748</v>
      </c>
    </row>
    <row r="78" spans="1:19" x14ac:dyDescent="0.2">
      <c r="B78" s="250" t="s">
        <v>239</v>
      </c>
      <c r="C78" s="250" t="s">
        <v>238</v>
      </c>
      <c r="D78" s="239">
        <v>84972647</v>
      </c>
      <c r="E78" s="239">
        <v>0</v>
      </c>
      <c r="F78" s="239">
        <v>104174</v>
      </c>
      <c r="G78" s="239">
        <v>175686</v>
      </c>
      <c r="H78" s="239">
        <v>0</v>
      </c>
      <c r="I78" s="239">
        <v>175686</v>
      </c>
      <c r="J78" s="239">
        <v>0</v>
      </c>
      <c r="K78" s="239">
        <v>0</v>
      </c>
      <c r="L78" s="239">
        <v>0</v>
      </c>
      <c r="M78" s="239">
        <v>0</v>
      </c>
      <c r="N78" s="239">
        <v>0</v>
      </c>
      <c r="O78" s="239">
        <v>84692787</v>
      </c>
      <c r="P78" s="214" t="s">
        <v>238</v>
      </c>
      <c r="Q78" s="214" t="s">
        <v>826</v>
      </c>
      <c r="R78" s="214" t="s">
        <v>824</v>
      </c>
      <c r="S78" s="214" t="s">
        <v>1294</v>
      </c>
    </row>
    <row r="79" spans="1:19" x14ac:dyDescent="0.2">
      <c r="B79" s="250" t="s">
        <v>241</v>
      </c>
      <c r="C79" s="250" t="s">
        <v>240</v>
      </c>
      <c r="D79" s="239">
        <v>44382815</v>
      </c>
      <c r="E79" s="239">
        <v>0</v>
      </c>
      <c r="F79" s="239">
        <v>4469</v>
      </c>
      <c r="G79" s="239">
        <v>116858</v>
      </c>
      <c r="H79" s="239">
        <v>0</v>
      </c>
      <c r="I79" s="239">
        <v>116858</v>
      </c>
      <c r="J79" s="239">
        <v>0</v>
      </c>
      <c r="K79" s="239">
        <v>0</v>
      </c>
      <c r="L79" s="239">
        <v>391159</v>
      </c>
      <c r="M79" s="239">
        <v>391159</v>
      </c>
      <c r="N79" s="239">
        <v>0</v>
      </c>
      <c r="O79" s="239">
        <v>43870329</v>
      </c>
      <c r="P79" s="214" t="s">
        <v>240</v>
      </c>
      <c r="Q79" s="214" t="s">
        <v>805</v>
      </c>
      <c r="R79" s="214" t="s">
        <v>763</v>
      </c>
      <c r="S79" s="214" t="s">
        <v>1294</v>
      </c>
    </row>
    <row r="80" spans="1:19" x14ac:dyDescent="0.2">
      <c r="B80" s="250" t="s">
        <v>243</v>
      </c>
      <c r="C80" s="250" t="s">
        <v>242</v>
      </c>
      <c r="D80" s="239">
        <v>87616963</v>
      </c>
      <c r="E80" s="239">
        <v>0</v>
      </c>
      <c r="F80" s="239">
        <v>114801</v>
      </c>
      <c r="G80" s="239">
        <v>314969</v>
      </c>
      <c r="H80" s="239">
        <v>0</v>
      </c>
      <c r="I80" s="239">
        <v>314969</v>
      </c>
      <c r="J80" s="239">
        <v>0</v>
      </c>
      <c r="K80" s="239">
        <v>0</v>
      </c>
      <c r="L80" s="239">
        <v>724710</v>
      </c>
      <c r="M80" s="239">
        <v>724710</v>
      </c>
      <c r="N80" s="239">
        <v>0</v>
      </c>
      <c r="O80" s="239">
        <v>86462483</v>
      </c>
      <c r="P80" s="214" t="s">
        <v>915</v>
      </c>
      <c r="Q80" s="214" t="s">
        <v>748</v>
      </c>
      <c r="R80" s="214" t="s">
        <v>856</v>
      </c>
      <c r="S80" s="214" t="s">
        <v>748</v>
      </c>
    </row>
    <row r="81" spans="2:19" x14ac:dyDescent="0.2">
      <c r="B81" s="250" t="s">
        <v>245</v>
      </c>
      <c r="C81" s="250" t="s">
        <v>244</v>
      </c>
      <c r="D81" s="239">
        <v>17024130</v>
      </c>
      <c r="E81" s="239">
        <v>0</v>
      </c>
      <c r="F81" s="239">
        <v>56527</v>
      </c>
      <c r="G81" s="239">
        <v>146857</v>
      </c>
      <c r="H81" s="239">
        <v>0</v>
      </c>
      <c r="I81" s="239">
        <v>146857</v>
      </c>
      <c r="J81" s="239">
        <v>0</v>
      </c>
      <c r="K81" s="239">
        <v>0</v>
      </c>
      <c r="L81" s="239">
        <v>140998</v>
      </c>
      <c r="M81" s="239">
        <v>140998</v>
      </c>
      <c r="N81" s="239">
        <v>0</v>
      </c>
      <c r="O81" s="239">
        <v>16679748</v>
      </c>
      <c r="P81" s="214" t="s">
        <v>244</v>
      </c>
      <c r="Q81" s="214" t="s">
        <v>858</v>
      </c>
      <c r="R81" s="214" t="s">
        <v>856</v>
      </c>
      <c r="S81" s="214" t="s">
        <v>1294</v>
      </c>
    </row>
    <row r="82" spans="2:19" x14ac:dyDescent="0.2">
      <c r="B82" s="250" t="s">
        <v>247</v>
      </c>
      <c r="C82" s="250" t="s">
        <v>246</v>
      </c>
      <c r="D82" s="239">
        <v>95463252</v>
      </c>
      <c r="E82" s="239">
        <v>0</v>
      </c>
      <c r="F82" s="239">
        <v>679757</v>
      </c>
      <c r="G82" s="239">
        <v>374362</v>
      </c>
      <c r="H82" s="239">
        <v>0</v>
      </c>
      <c r="I82" s="239">
        <v>374362</v>
      </c>
      <c r="J82" s="239">
        <v>0</v>
      </c>
      <c r="K82" s="239">
        <v>0</v>
      </c>
      <c r="L82" s="239">
        <v>217866</v>
      </c>
      <c r="M82" s="239">
        <v>217866</v>
      </c>
      <c r="N82" s="239">
        <v>0</v>
      </c>
      <c r="O82" s="239">
        <v>94191267</v>
      </c>
      <c r="P82" s="214" t="s">
        <v>246</v>
      </c>
      <c r="Q82" s="214" t="s">
        <v>768</v>
      </c>
      <c r="R82" s="214" t="s">
        <v>865</v>
      </c>
      <c r="S82" s="214" t="s">
        <v>1296</v>
      </c>
    </row>
    <row r="83" spans="2:19" x14ac:dyDescent="0.2">
      <c r="B83" s="250" t="s">
        <v>249</v>
      </c>
      <c r="C83" s="250" t="s">
        <v>248</v>
      </c>
      <c r="D83" s="239">
        <v>36169708</v>
      </c>
      <c r="E83" s="239">
        <v>0</v>
      </c>
      <c r="F83" s="239">
        <v>786670</v>
      </c>
      <c r="G83" s="239">
        <v>156088</v>
      </c>
      <c r="H83" s="239">
        <v>0</v>
      </c>
      <c r="I83" s="239">
        <v>156088</v>
      </c>
      <c r="J83" s="239">
        <v>0</v>
      </c>
      <c r="K83" s="239">
        <v>0</v>
      </c>
      <c r="L83" s="239">
        <v>11593</v>
      </c>
      <c r="M83" s="239">
        <v>11593</v>
      </c>
      <c r="N83" s="239">
        <v>0</v>
      </c>
      <c r="O83" s="239">
        <v>35215357</v>
      </c>
      <c r="P83" s="214" t="s">
        <v>248</v>
      </c>
      <c r="Q83" s="214" t="s">
        <v>826</v>
      </c>
      <c r="R83" s="214" t="s">
        <v>824</v>
      </c>
      <c r="S83" s="214" t="s">
        <v>1294</v>
      </c>
    </row>
    <row r="84" spans="2:19" x14ac:dyDescent="0.2">
      <c r="B84" s="250" t="s">
        <v>251</v>
      </c>
      <c r="C84" s="250" t="s">
        <v>250</v>
      </c>
      <c r="D84" s="239">
        <v>95921761</v>
      </c>
      <c r="E84" s="239">
        <v>0</v>
      </c>
      <c r="F84" s="239">
        <v>153106</v>
      </c>
      <c r="G84" s="239">
        <v>429762</v>
      </c>
      <c r="H84" s="239">
        <v>0</v>
      </c>
      <c r="I84" s="239">
        <v>429762</v>
      </c>
      <c r="J84" s="239">
        <v>0</v>
      </c>
      <c r="K84" s="239">
        <v>0</v>
      </c>
      <c r="L84" s="239">
        <v>0</v>
      </c>
      <c r="M84" s="239">
        <v>0</v>
      </c>
      <c r="N84" s="239">
        <v>0</v>
      </c>
      <c r="O84" s="239">
        <v>95338893</v>
      </c>
      <c r="P84" s="214" t="s">
        <v>250</v>
      </c>
      <c r="Q84" s="214" t="s">
        <v>768</v>
      </c>
      <c r="R84" s="214" t="s">
        <v>766</v>
      </c>
      <c r="S84" s="214" t="s">
        <v>1296</v>
      </c>
    </row>
    <row r="85" spans="2:19" x14ac:dyDescent="0.2">
      <c r="B85" s="250" t="s">
        <v>253</v>
      </c>
      <c r="C85" s="250" t="s">
        <v>252</v>
      </c>
      <c r="D85" s="239">
        <v>104745271</v>
      </c>
      <c r="E85" s="239">
        <v>0</v>
      </c>
      <c r="F85" s="239">
        <v>452328</v>
      </c>
      <c r="G85" s="239">
        <v>601017</v>
      </c>
      <c r="H85" s="239">
        <v>0</v>
      </c>
      <c r="I85" s="239">
        <v>601017</v>
      </c>
      <c r="J85" s="239">
        <v>0</v>
      </c>
      <c r="K85" s="239">
        <v>0</v>
      </c>
      <c r="L85" s="239">
        <v>53354</v>
      </c>
      <c r="M85" s="239">
        <v>53354</v>
      </c>
      <c r="N85" s="239">
        <v>0</v>
      </c>
      <c r="O85" s="239">
        <v>103638572</v>
      </c>
      <c r="P85" s="214" t="s">
        <v>252</v>
      </c>
      <c r="Q85" s="214" t="s">
        <v>748</v>
      </c>
      <c r="R85" s="214" t="s">
        <v>913</v>
      </c>
      <c r="S85" s="214" t="s">
        <v>748</v>
      </c>
    </row>
    <row r="86" spans="2:19" x14ac:dyDescent="0.2">
      <c r="B86" s="250" t="s">
        <v>255</v>
      </c>
      <c r="C86" s="250" t="s">
        <v>254</v>
      </c>
      <c r="D86" s="239">
        <v>145590935</v>
      </c>
      <c r="E86" s="239">
        <v>0</v>
      </c>
      <c r="F86" s="239">
        <v>451802</v>
      </c>
      <c r="G86" s="239">
        <v>492431</v>
      </c>
      <c r="H86" s="239">
        <v>0</v>
      </c>
      <c r="I86" s="239">
        <v>492431</v>
      </c>
      <c r="J86" s="239">
        <v>0</v>
      </c>
      <c r="K86" s="239">
        <v>0</v>
      </c>
      <c r="L86" s="239">
        <v>0</v>
      </c>
      <c r="M86" s="239">
        <v>0</v>
      </c>
      <c r="N86" s="239">
        <v>0</v>
      </c>
      <c r="O86" s="239">
        <v>144646702</v>
      </c>
      <c r="P86" s="214" t="s">
        <v>254</v>
      </c>
      <c r="Q86" s="214" t="s">
        <v>790</v>
      </c>
      <c r="R86" s="214" t="s">
        <v>749</v>
      </c>
      <c r="S86" s="214" t="s">
        <v>1295</v>
      </c>
    </row>
    <row r="87" spans="2:19" x14ac:dyDescent="0.2">
      <c r="B87" s="250" t="s">
        <v>257</v>
      </c>
      <c r="C87" s="250" t="s">
        <v>256</v>
      </c>
      <c r="D87" s="239">
        <v>18904066</v>
      </c>
      <c r="E87" s="239">
        <v>0</v>
      </c>
      <c r="F87" s="239">
        <v>28315</v>
      </c>
      <c r="G87" s="239">
        <v>92995</v>
      </c>
      <c r="H87" s="239">
        <v>0</v>
      </c>
      <c r="I87" s="239">
        <v>92995</v>
      </c>
      <c r="J87" s="239">
        <v>0</v>
      </c>
      <c r="K87" s="239">
        <v>0</v>
      </c>
      <c r="L87" s="239">
        <v>354054</v>
      </c>
      <c r="M87" s="239">
        <v>354054</v>
      </c>
      <c r="N87" s="239">
        <v>0</v>
      </c>
      <c r="O87" s="239">
        <v>18428702</v>
      </c>
      <c r="P87" s="214" t="s">
        <v>256</v>
      </c>
      <c r="Q87" s="214" t="s">
        <v>862</v>
      </c>
      <c r="R87" s="214" t="s">
        <v>860</v>
      </c>
      <c r="S87" s="214" t="s">
        <v>1294</v>
      </c>
    </row>
    <row r="88" spans="2:19" x14ac:dyDescent="0.2">
      <c r="B88" s="250" t="s">
        <v>259</v>
      </c>
      <c r="C88" s="250" t="s">
        <v>258</v>
      </c>
      <c r="D88" s="239">
        <v>32363960</v>
      </c>
      <c r="E88" s="239">
        <v>59642</v>
      </c>
      <c r="F88" s="239">
        <v>0</v>
      </c>
      <c r="G88" s="239">
        <v>226929</v>
      </c>
      <c r="H88" s="239">
        <v>0</v>
      </c>
      <c r="I88" s="239">
        <v>226929</v>
      </c>
      <c r="J88" s="239">
        <v>0</v>
      </c>
      <c r="K88" s="239">
        <v>0</v>
      </c>
      <c r="L88" s="239">
        <v>198263</v>
      </c>
      <c r="M88" s="239">
        <v>198263</v>
      </c>
      <c r="N88" s="239">
        <v>0</v>
      </c>
      <c r="O88" s="239">
        <v>31998410</v>
      </c>
      <c r="P88" s="214" t="s">
        <v>258</v>
      </c>
      <c r="Q88" s="214" t="s">
        <v>800</v>
      </c>
      <c r="R88" s="214" t="s">
        <v>792</v>
      </c>
      <c r="S88" s="214" t="s">
        <v>1294</v>
      </c>
    </row>
    <row r="89" spans="2:19" x14ac:dyDescent="0.2">
      <c r="B89" s="250" t="s">
        <v>261</v>
      </c>
      <c r="C89" s="250" t="s">
        <v>260</v>
      </c>
      <c r="D89" s="239">
        <v>20654495.27</v>
      </c>
      <c r="E89" s="239">
        <v>0</v>
      </c>
      <c r="F89" s="239">
        <v>95857</v>
      </c>
      <c r="G89" s="239">
        <v>108361</v>
      </c>
      <c r="H89" s="239">
        <v>0</v>
      </c>
      <c r="I89" s="239">
        <v>108361</v>
      </c>
      <c r="J89" s="239">
        <v>0</v>
      </c>
      <c r="K89" s="239">
        <v>0</v>
      </c>
      <c r="L89" s="239">
        <v>216785</v>
      </c>
      <c r="M89" s="239">
        <v>216785</v>
      </c>
      <c r="N89" s="239">
        <v>0</v>
      </c>
      <c r="O89" s="239">
        <v>20233492.27</v>
      </c>
      <c r="P89" s="214" t="s">
        <v>260</v>
      </c>
      <c r="Q89" s="214" t="s">
        <v>787</v>
      </c>
      <c r="R89" s="214" t="s">
        <v>785</v>
      </c>
      <c r="S89" s="214" t="s">
        <v>1294</v>
      </c>
    </row>
    <row r="90" spans="2:19" x14ac:dyDescent="0.2">
      <c r="B90" s="250" t="s">
        <v>263</v>
      </c>
      <c r="C90" s="250" t="s">
        <v>262</v>
      </c>
      <c r="D90" s="239">
        <v>26621770</v>
      </c>
      <c r="E90" s="239">
        <v>512683</v>
      </c>
      <c r="F90" s="239">
        <v>0</v>
      </c>
      <c r="G90" s="239">
        <v>152268</v>
      </c>
      <c r="H90" s="239">
        <v>0</v>
      </c>
      <c r="I90" s="239">
        <v>152268</v>
      </c>
      <c r="J90" s="239">
        <v>0</v>
      </c>
      <c r="K90" s="239">
        <v>0</v>
      </c>
      <c r="L90" s="239">
        <v>0</v>
      </c>
      <c r="M90" s="239">
        <v>0</v>
      </c>
      <c r="N90" s="239">
        <v>0</v>
      </c>
      <c r="O90" s="239">
        <v>26982185</v>
      </c>
      <c r="P90" s="214" t="s">
        <v>262</v>
      </c>
      <c r="Q90" s="214" t="s">
        <v>779</v>
      </c>
      <c r="R90" s="214" t="s">
        <v>777</v>
      </c>
      <c r="S90" s="214" t="s">
        <v>1294</v>
      </c>
    </row>
    <row r="91" spans="2:19" x14ac:dyDescent="0.2">
      <c r="B91" s="250" t="s">
        <v>265</v>
      </c>
      <c r="C91" s="250" t="s">
        <v>264</v>
      </c>
      <c r="D91" s="239">
        <v>44133956</v>
      </c>
      <c r="E91" s="239">
        <v>0</v>
      </c>
      <c r="F91" s="239">
        <v>84280</v>
      </c>
      <c r="G91" s="239">
        <v>194976</v>
      </c>
      <c r="H91" s="239">
        <v>0</v>
      </c>
      <c r="I91" s="239">
        <v>194976</v>
      </c>
      <c r="J91" s="239">
        <v>0</v>
      </c>
      <c r="K91" s="239">
        <v>0</v>
      </c>
      <c r="L91" s="239">
        <v>0</v>
      </c>
      <c r="M91" s="239">
        <v>0</v>
      </c>
      <c r="N91" s="239">
        <v>0</v>
      </c>
      <c r="O91" s="239">
        <v>43854700</v>
      </c>
      <c r="P91" s="214" t="s">
        <v>264</v>
      </c>
      <c r="Q91" s="214" t="s">
        <v>803</v>
      </c>
      <c r="R91" s="214" t="s">
        <v>763</v>
      </c>
      <c r="S91" s="214" t="s">
        <v>1294</v>
      </c>
    </row>
    <row r="92" spans="2:19" x14ac:dyDescent="0.2">
      <c r="B92" s="250" t="s">
        <v>267</v>
      </c>
      <c r="C92" s="250" t="s">
        <v>266</v>
      </c>
      <c r="D92" s="239">
        <v>30951257</v>
      </c>
      <c r="E92" s="239">
        <v>0</v>
      </c>
      <c r="F92" s="239">
        <v>271813</v>
      </c>
      <c r="G92" s="239">
        <v>268475</v>
      </c>
      <c r="H92" s="239">
        <v>0</v>
      </c>
      <c r="I92" s="239">
        <v>268475</v>
      </c>
      <c r="J92" s="239">
        <v>0</v>
      </c>
      <c r="K92" s="239">
        <v>0</v>
      </c>
      <c r="L92" s="239">
        <v>208230</v>
      </c>
      <c r="M92" s="239">
        <v>158557</v>
      </c>
      <c r="N92" s="239">
        <v>49673</v>
      </c>
      <c r="O92" s="239">
        <v>30202739</v>
      </c>
      <c r="P92" s="214" t="s">
        <v>266</v>
      </c>
      <c r="Q92" s="214" t="s">
        <v>798</v>
      </c>
      <c r="R92" s="214" t="s">
        <v>763</v>
      </c>
      <c r="S92" s="214" t="s">
        <v>1294</v>
      </c>
    </row>
    <row r="93" spans="2:19" x14ac:dyDescent="0.2">
      <c r="B93" s="250" t="s">
        <v>269</v>
      </c>
      <c r="C93" s="250" t="s">
        <v>268</v>
      </c>
      <c r="D93" s="239">
        <v>22945612</v>
      </c>
      <c r="E93" s="239">
        <v>0</v>
      </c>
      <c r="F93" s="239">
        <v>32047</v>
      </c>
      <c r="G93" s="239">
        <v>100730</v>
      </c>
      <c r="H93" s="239">
        <v>0</v>
      </c>
      <c r="I93" s="239">
        <v>100730</v>
      </c>
      <c r="J93" s="239">
        <v>0</v>
      </c>
      <c r="K93" s="239">
        <v>0</v>
      </c>
      <c r="L93" s="239">
        <v>483529</v>
      </c>
      <c r="M93" s="239">
        <v>483529</v>
      </c>
      <c r="N93" s="239">
        <v>0</v>
      </c>
      <c r="O93" s="239">
        <v>22329306</v>
      </c>
      <c r="P93" s="214" t="s">
        <v>268</v>
      </c>
      <c r="Q93" s="214" t="s">
        <v>805</v>
      </c>
      <c r="R93" s="214" t="s">
        <v>763</v>
      </c>
      <c r="S93" s="214" t="s">
        <v>1294</v>
      </c>
    </row>
    <row r="94" spans="2:19" x14ac:dyDescent="0.2">
      <c r="B94" s="250" t="s">
        <v>271</v>
      </c>
      <c r="C94" s="250" t="s">
        <v>270</v>
      </c>
      <c r="D94" s="239">
        <v>105269929</v>
      </c>
      <c r="E94" s="239">
        <v>0</v>
      </c>
      <c r="F94" s="239">
        <v>3596218</v>
      </c>
      <c r="G94" s="239">
        <v>442204</v>
      </c>
      <c r="H94" s="239">
        <v>0</v>
      </c>
      <c r="I94" s="239">
        <v>442204</v>
      </c>
      <c r="J94" s="239">
        <v>0</v>
      </c>
      <c r="K94" s="239">
        <v>0</v>
      </c>
      <c r="L94" s="239">
        <v>3130966</v>
      </c>
      <c r="M94" s="239">
        <v>3130966</v>
      </c>
      <c r="N94" s="239">
        <v>0</v>
      </c>
      <c r="O94" s="239">
        <v>98100541</v>
      </c>
      <c r="P94" s="214" t="s">
        <v>912</v>
      </c>
      <c r="Q94" s="214" t="s">
        <v>748</v>
      </c>
      <c r="R94" s="214" t="s">
        <v>890</v>
      </c>
      <c r="S94" s="214" t="s">
        <v>748</v>
      </c>
    </row>
    <row r="95" spans="2:19" x14ac:dyDescent="0.2">
      <c r="B95" s="250" t="s">
        <v>273</v>
      </c>
      <c r="C95" s="250" t="s">
        <v>272</v>
      </c>
      <c r="D95" s="239">
        <v>55349497</v>
      </c>
      <c r="E95" s="239">
        <v>0</v>
      </c>
      <c r="F95" s="239">
        <v>58010</v>
      </c>
      <c r="G95" s="239">
        <v>179426</v>
      </c>
      <c r="H95" s="239">
        <v>0</v>
      </c>
      <c r="I95" s="239">
        <v>179426</v>
      </c>
      <c r="J95" s="239">
        <v>0</v>
      </c>
      <c r="K95" s="239">
        <v>0</v>
      </c>
      <c r="L95" s="239">
        <v>0</v>
      </c>
      <c r="M95" s="239">
        <v>0</v>
      </c>
      <c r="N95" s="239">
        <v>0</v>
      </c>
      <c r="O95" s="239">
        <v>55112061</v>
      </c>
      <c r="P95" s="214" t="s">
        <v>272</v>
      </c>
      <c r="Q95" s="214" t="s">
        <v>838</v>
      </c>
      <c r="R95" s="214" t="s">
        <v>836</v>
      </c>
      <c r="S95" s="214" t="s">
        <v>1294</v>
      </c>
    </row>
    <row r="96" spans="2:19" x14ac:dyDescent="0.2">
      <c r="B96" s="250" t="s">
        <v>275</v>
      </c>
      <c r="C96" s="250" t="s">
        <v>274</v>
      </c>
      <c r="D96" s="239">
        <v>33453942</v>
      </c>
      <c r="E96" s="239">
        <v>0</v>
      </c>
      <c r="F96" s="239">
        <v>44779</v>
      </c>
      <c r="G96" s="239">
        <v>125494</v>
      </c>
      <c r="H96" s="239">
        <v>0</v>
      </c>
      <c r="I96" s="239">
        <v>125494</v>
      </c>
      <c r="J96" s="239">
        <v>0</v>
      </c>
      <c r="K96" s="239">
        <v>0</v>
      </c>
      <c r="L96" s="239">
        <v>0</v>
      </c>
      <c r="M96" s="239">
        <v>0</v>
      </c>
      <c r="N96" s="239">
        <v>0</v>
      </c>
      <c r="O96" s="239">
        <v>33283669</v>
      </c>
      <c r="P96" s="214" t="s">
        <v>274</v>
      </c>
      <c r="Q96" s="214" t="s">
        <v>809</v>
      </c>
      <c r="R96" s="214" t="s">
        <v>807</v>
      </c>
      <c r="S96" s="214" t="s">
        <v>1294</v>
      </c>
    </row>
    <row r="97" spans="1:19" x14ac:dyDescent="0.2">
      <c r="A97" s="215" t="s">
        <v>1321</v>
      </c>
      <c r="B97" s="250" t="s">
        <v>277</v>
      </c>
      <c r="C97" s="250" t="s">
        <v>276</v>
      </c>
      <c r="D97" s="239">
        <v>57361177</v>
      </c>
      <c r="E97" s="239">
        <v>332349</v>
      </c>
      <c r="F97" s="239">
        <v>0</v>
      </c>
      <c r="G97" s="239">
        <v>150925</v>
      </c>
      <c r="H97" s="239">
        <v>95900</v>
      </c>
      <c r="I97" s="239">
        <v>246825</v>
      </c>
      <c r="J97" s="239">
        <v>0</v>
      </c>
      <c r="K97" s="239">
        <v>0</v>
      </c>
      <c r="L97" s="239">
        <v>0</v>
      </c>
      <c r="M97" s="239">
        <v>0</v>
      </c>
      <c r="N97" s="239">
        <v>0</v>
      </c>
      <c r="O97" s="239">
        <v>57446701</v>
      </c>
      <c r="P97" s="214" t="s">
        <v>276</v>
      </c>
      <c r="Q97" s="214" t="s">
        <v>779</v>
      </c>
      <c r="R97" s="214" t="s">
        <v>777</v>
      </c>
      <c r="S97" s="214" t="s">
        <v>1294</v>
      </c>
    </row>
    <row r="98" spans="1:19" x14ac:dyDescent="0.2">
      <c r="B98" s="250" t="s">
        <v>279</v>
      </c>
      <c r="C98" s="250" t="s">
        <v>278</v>
      </c>
      <c r="D98" s="239">
        <v>19400059</v>
      </c>
      <c r="E98" s="239">
        <v>0</v>
      </c>
      <c r="F98" s="239">
        <v>214112</v>
      </c>
      <c r="G98" s="239">
        <v>128148</v>
      </c>
      <c r="H98" s="239">
        <v>0</v>
      </c>
      <c r="I98" s="239">
        <v>128148</v>
      </c>
      <c r="J98" s="239">
        <v>0</v>
      </c>
      <c r="K98" s="239">
        <v>0</v>
      </c>
      <c r="L98" s="239">
        <v>0</v>
      </c>
      <c r="M98" s="239">
        <v>0</v>
      </c>
      <c r="N98" s="239">
        <v>0</v>
      </c>
      <c r="O98" s="239">
        <v>19057799</v>
      </c>
      <c r="P98" s="214" t="s">
        <v>278</v>
      </c>
      <c r="Q98" s="214" t="s">
        <v>851</v>
      </c>
      <c r="R98" s="214" t="s">
        <v>763</v>
      </c>
      <c r="S98" s="214" t="s">
        <v>1294</v>
      </c>
    </row>
    <row r="99" spans="1:19" x14ac:dyDescent="0.2">
      <c r="B99" s="250" t="s">
        <v>281</v>
      </c>
      <c r="C99" s="250" t="s">
        <v>280</v>
      </c>
      <c r="D99" s="239">
        <v>61249192</v>
      </c>
      <c r="E99" s="239">
        <v>42253</v>
      </c>
      <c r="F99" s="239">
        <v>0</v>
      </c>
      <c r="G99" s="239">
        <v>181697</v>
      </c>
      <c r="H99" s="239">
        <v>0</v>
      </c>
      <c r="I99" s="239">
        <v>181697</v>
      </c>
      <c r="J99" s="239">
        <v>0</v>
      </c>
      <c r="K99" s="239">
        <v>0</v>
      </c>
      <c r="L99" s="239">
        <v>0</v>
      </c>
      <c r="M99" s="239">
        <v>0</v>
      </c>
      <c r="N99" s="239">
        <v>0</v>
      </c>
      <c r="O99" s="239">
        <v>61109748</v>
      </c>
      <c r="P99" s="214" t="s">
        <v>280</v>
      </c>
      <c r="Q99" s="214" t="s">
        <v>772</v>
      </c>
      <c r="R99" s="214" t="s">
        <v>763</v>
      </c>
      <c r="S99" s="214" t="s">
        <v>1294</v>
      </c>
    </row>
    <row r="100" spans="1:19" x14ac:dyDescent="0.2">
      <c r="B100" s="250" t="s">
        <v>283</v>
      </c>
      <c r="C100" s="250" t="s">
        <v>282</v>
      </c>
      <c r="D100" s="239">
        <v>100386379</v>
      </c>
      <c r="E100" s="239">
        <v>0</v>
      </c>
      <c r="F100" s="239">
        <v>76585</v>
      </c>
      <c r="G100" s="239">
        <v>346759</v>
      </c>
      <c r="H100" s="239">
        <v>0</v>
      </c>
      <c r="I100" s="239">
        <v>346759</v>
      </c>
      <c r="J100" s="239">
        <v>0</v>
      </c>
      <c r="K100" s="239">
        <v>0</v>
      </c>
      <c r="L100" s="239">
        <v>0</v>
      </c>
      <c r="M100" s="239">
        <v>0</v>
      </c>
      <c r="N100" s="239">
        <v>0</v>
      </c>
      <c r="O100" s="239">
        <v>99963035</v>
      </c>
      <c r="P100" s="214" t="s">
        <v>282</v>
      </c>
      <c r="Q100" s="214" t="s">
        <v>790</v>
      </c>
      <c r="R100" s="214" t="s">
        <v>749</v>
      </c>
      <c r="S100" s="214" t="s">
        <v>1295</v>
      </c>
    </row>
    <row r="101" spans="1:19" x14ac:dyDescent="0.2">
      <c r="B101" s="250" t="s">
        <v>285</v>
      </c>
      <c r="C101" s="250" t="s">
        <v>284</v>
      </c>
      <c r="D101" s="239">
        <v>34006856</v>
      </c>
      <c r="E101" s="239">
        <v>0</v>
      </c>
      <c r="F101" s="239">
        <v>322351</v>
      </c>
      <c r="G101" s="239">
        <v>170744</v>
      </c>
      <c r="H101" s="239">
        <v>0</v>
      </c>
      <c r="I101" s="239">
        <v>170744</v>
      </c>
      <c r="J101" s="239">
        <v>0</v>
      </c>
      <c r="K101" s="239">
        <v>0</v>
      </c>
      <c r="L101" s="239">
        <v>0</v>
      </c>
      <c r="M101" s="239">
        <v>0</v>
      </c>
      <c r="N101" s="239">
        <v>0</v>
      </c>
      <c r="O101" s="239">
        <v>33513761</v>
      </c>
      <c r="P101" s="214" t="s">
        <v>284</v>
      </c>
      <c r="Q101" s="214" t="s">
        <v>822</v>
      </c>
      <c r="R101" s="214" t="s">
        <v>820</v>
      </c>
      <c r="S101" s="214" t="s">
        <v>1294</v>
      </c>
    </row>
    <row r="102" spans="1:19" x14ac:dyDescent="0.2">
      <c r="B102" s="250" t="s">
        <v>287</v>
      </c>
      <c r="C102" s="250" t="s">
        <v>286</v>
      </c>
      <c r="D102" s="239">
        <v>23020045</v>
      </c>
      <c r="E102" s="239">
        <v>0</v>
      </c>
      <c r="F102" s="239">
        <v>76797</v>
      </c>
      <c r="G102" s="239">
        <v>86618</v>
      </c>
      <c r="H102" s="239">
        <v>0</v>
      </c>
      <c r="I102" s="239">
        <v>86618</v>
      </c>
      <c r="J102" s="239">
        <v>0</v>
      </c>
      <c r="K102" s="239">
        <v>0</v>
      </c>
      <c r="L102" s="239">
        <v>0</v>
      </c>
      <c r="M102" s="239">
        <v>0</v>
      </c>
      <c r="N102" s="239">
        <v>0</v>
      </c>
      <c r="O102" s="239">
        <v>22856630</v>
      </c>
      <c r="P102" s="214" t="s">
        <v>286</v>
      </c>
      <c r="Q102" s="214" t="s">
        <v>772</v>
      </c>
      <c r="R102" s="214" t="s">
        <v>763</v>
      </c>
      <c r="S102" s="214" t="s">
        <v>1294</v>
      </c>
    </row>
    <row r="103" spans="1:19" x14ac:dyDescent="0.2">
      <c r="B103" s="250" t="s">
        <v>289</v>
      </c>
      <c r="C103" s="250" t="s">
        <v>288</v>
      </c>
      <c r="D103" s="239">
        <v>24994806</v>
      </c>
      <c r="E103" s="239">
        <v>0</v>
      </c>
      <c r="F103" s="239">
        <v>25438</v>
      </c>
      <c r="G103" s="239">
        <v>134058</v>
      </c>
      <c r="H103" s="239">
        <v>0</v>
      </c>
      <c r="I103" s="239">
        <v>134058</v>
      </c>
      <c r="J103" s="239">
        <v>0</v>
      </c>
      <c r="K103" s="239">
        <v>0</v>
      </c>
      <c r="L103" s="239">
        <v>0</v>
      </c>
      <c r="M103" s="239">
        <v>0</v>
      </c>
      <c r="N103" s="239">
        <v>0</v>
      </c>
      <c r="O103" s="239">
        <v>24835310</v>
      </c>
      <c r="P103" s="214" t="s">
        <v>288</v>
      </c>
      <c r="Q103" s="214" t="s">
        <v>858</v>
      </c>
      <c r="R103" s="214" t="s">
        <v>856</v>
      </c>
      <c r="S103" s="214" t="s">
        <v>1294</v>
      </c>
    </row>
    <row r="104" spans="1:19" x14ac:dyDescent="0.2">
      <c r="B104" s="250" t="s">
        <v>291</v>
      </c>
      <c r="C104" s="250" t="s">
        <v>290</v>
      </c>
      <c r="D104" s="239">
        <v>78538563</v>
      </c>
      <c r="E104" s="239">
        <v>0</v>
      </c>
      <c r="F104" s="239">
        <v>154712</v>
      </c>
      <c r="G104" s="239">
        <v>220072</v>
      </c>
      <c r="H104" s="239">
        <v>0</v>
      </c>
      <c r="I104" s="239">
        <v>220072</v>
      </c>
      <c r="J104" s="239">
        <v>0</v>
      </c>
      <c r="K104" s="239">
        <v>0</v>
      </c>
      <c r="L104" s="239">
        <v>0</v>
      </c>
      <c r="M104" s="239">
        <v>0</v>
      </c>
      <c r="N104" s="239">
        <v>0</v>
      </c>
      <c r="O104" s="239">
        <v>78163779</v>
      </c>
      <c r="P104" s="214" t="s">
        <v>290</v>
      </c>
      <c r="Q104" s="214" t="s">
        <v>800</v>
      </c>
      <c r="R104" s="214" t="s">
        <v>792</v>
      </c>
      <c r="S104" s="214" t="s">
        <v>1294</v>
      </c>
    </row>
    <row r="105" spans="1:19" x14ac:dyDescent="0.2">
      <c r="B105" s="250" t="s">
        <v>293</v>
      </c>
      <c r="C105" s="250" t="s">
        <v>292</v>
      </c>
      <c r="D105" s="239">
        <v>38682284</v>
      </c>
      <c r="E105" s="239">
        <v>0</v>
      </c>
      <c r="F105" s="239">
        <v>23599</v>
      </c>
      <c r="G105" s="239">
        <v>142033</v>
      </c>
      <c r="H105" s="239">
        <v>0</v>
      </c>
      <c r="I105" s="239">
        <v>142033</v>
      </c>
      <c r="J105" s="239">
        <v>0</v>
      </c>
      <c r="K105" s="239">
        <v>5640</v>
      </c>
      <c r="L105" s="239">
        <v>80925</v>
      </c>
      <c r="M105" s="239">
        <v>80925</v>
      </c>
      <c r="N105" s="239">
        <v>0</v>
      </c>
      <c r="O105" s="239">
        <v>38430087</v>
      </c>
      <c r="P105" s="214" t="s">
        <v>292</v>
      </c>
      <c r="Q105" s="214" t="s">
        <v>779</v>
      </c>
      <c r="R105" s="214" t="s">
        <v>777</v>
      </c>
      <c r="S105" s="214" t="s">
        <v>1294</v>
      </c>
    </row>
    <row r="106" spans="1:19" x14ac:dyDescent="0.2">
      <c r="B106" s="250" t="s">
        <v>295</v>
      </c>
      <c r="C106" s="250" t="s">
        <v>294</v>
      </c>
      <c r="D106" s="239">
        <v>24086342</v>
      </c>
      <c r="E106" s="239">
        <v>0</v>
      </c>
      <c r="F106" s="239">
        <v>12270</v>
      </c>
      <c r="G106" s="239">
        <v>127492</v>
      </c>
      <c r="H106" s="239">
        <v>0</v>
      </c>
      <c r="I106" s="239">
        <v>127492</v>
      </c>
      <c r="J106" s="239">
        <v>0</v>
      </c>
      <c r="K106" s="239">
        <v>0</v>
      </c>
      <c r="L106" s="239">
        <v>162334</v>
      </c>
      <c r="M106" s="239">
        <v>162334</v>
      </c>
      <c r="N106" s="239">
        <v>0</v>
      </c>
      <c r="O106" s="239">
        <v>23784246</v>
      </c>
      <c r="P106" s="214" t="s">
        <v>294</v>
      </c>
      <c r="Q106" s="214" t="s">
        <v>862</v>
      </c>
      <c r="R106" s="214" t="s">
        <v>860</v>
      </c>
      <c r="S106" s="214" t="s">
        <v>1294</v>
      </c>
    </row>
    <row r="107" spans="1:19" x14ac:dyDescent="0.2">
      <c r="B107" s="250" t="s">
        <v>297</v>
      </c>
      <c r="C107" s="250" t="s">
        <v>296</v>
      </c>
      <c r="D107" s="239">
        <v>22089642</v>
      </c>
      <c r="E107" s="239">
        <v>0</v>
      </c>
      <c r="F107" s="239">
        <v>21679</v>
      </c>
      <c r="G107" s="239">
        <v>89555</v>
      </c>
      <c r="H107" s="239">
        <v>0</v>
      </c>
      <c r="I107" s="239">
        <v>89555</v>
      </c>
      <c r="J107" s="239">
        <v>0</v>
      </c>
      <c r="K107" s="239">
        <v>0</v>
      </c>
      <c r="L107" s="239">
        <v>51519</v>
      </c>
      <c r="M107" s="239">
        <v>51519</v>
      </c>
      <c r="N107" s="239">
        <v>0</v>
      </c>
      <c r="O107" s="239">
        <v>21926889</v>
      </c>
      <c r="P107" s="214" t="s">
        <v>296</v>
      </c>
      <c r="Q107" s="214" t="s">
        <v>811</v>
      </c>
      <c r="R107" s="214" t="s">
        <v>763</v>
      </c>
      <c r="S107" s="214" t="s">
        <v>1294</v>
      </c>
    </row>
    <row r="108" spans="1:19" x14ac:dyDescent="0.2">
      <c r="B108" s="250" t="s">
        <v>299</v>
      </c>
      <c r="C108" s="250" t="s">
        <v>298</v>
      </c>
      <c r="D108" s="239">
        <v>10505797</v>
      </c>
      <c r="E108" s="239">
        <v>35694</v>
      </c>
      <c r="F108" s="239">
        <v>0</v>
      </c>
      <c r="G108" s="239">
        <v>118413</v>
      </c>
      <c r="H108" s="239">
        <v>0</v>
      </c>
      <c r="I108" s="239">
        <v>118413</v>
      </c>
      <c r="J108" s="239">
        <v>0</v>
      </c>
      <c r="K108" s="239">
        <v>0</v>
      </c>
      <c r="L108" s="239">
        <v>102335</v>
      </c>
      <c r="M108" s="239">
        <v>102335</v>
      </c>
      <c r="N108" s="239">
        <v>0</v>
      </c>
      <c r="O108" s="239">
        <v>10320743</v>
      </c>
      <c r="P108" s="214" t="s">
        <v>298</v>
      </c>
      <c r="Q108" s="214" t="s">
        <v>831</v>
      </c>
      <c r="R108" s="214" t="s">
        <v>763</v>
      </c>
      <c r="S108" s="214" t="s">
        <v>1294</v>
      </c>
    </row>
    <row r="109" spans="1:19" x14ac:dyDescent="0.2">
      <c r="B109" s="250" t="s">
        <v>301</v>
      </c>
      <c r="C109" s="250" t="s">
        <v>300</v>
      </c>
      <c r="D109" s="239">
        <v>20419603</v>
      </c>
      <c r="E109" s="239">
        <v>134188</v>
      </c>
      <c r="F109" s="239">
        <v>0</v>
      </c>
      <c r="G109" s="239">
        <v>111852</v>
      </c>
      <c r="H109" s="239">
        <v>0</v>
      </c>
      <c r="I109" s="239">
        <v>111852</v>
      </c>
      <c r="J109" s="239">
        <v>0</v>
      </c>
      <c r="K109" s="239">
        <v>0</v>
      </c>
      <c r="L109" s="239">
        <v>0</v>
      </c>
      <c r="M109" s="239">
        <v>0</v>
      </c>
      <c r="N109" s="239">
        <v>0</v>
      </c>
      <c r="O109" s="239">
        <v>20441939</v>
      </c>
      <c r="P109" s="214" t="s">
        <v>300</v>
      </c>
      <c r="Q109" s="214" t="s">
        <v>757</v>
      </c>
      <c r="R109" s="214" t="s">
        <v>755</v>
      </c>
      <c r="S109" s="214" t="s">
        <v>1294</v>
      </c>
    </row>
    <row r="110" spans="1:19" x14ac:dyDescent="0.2">
      <c r="B110" s="250" t="s">
        <v>303</v>
      </c>
      <c r="C110" s="250" t="s">
        <v>302</v>
      </c>
      <c r="D110" s="239">
        <v>88782775</v>
      </c>
      <c r="E110" s="239">
        <v>0</v>
      </c>
      <c r="F110" s="239">
        <v>414604</v>
      </c>
      <c r="G110" s="239">
        <v>292496</v>
      </c>
      <c r="H110" s="239">
        <v>0</v>
      </c>
      <c r="I110" s="239">
        <v>292496</v>
      </c>
      <c r="J110" s="239">
        <v>0</v>
      </c>
      <c r="K110" s="239">
        <v>360293</v>
      </c>
      <c r="L110" s="239">
        <v>0</v>
      </c>
      <c r="M110" s="239">
        <v>0</v>
      </c>
      <c r="N110" s="239">
        <v>0</v>
      </c>
      <c r="O110" s="239">
        <v>87715382</v>
      </c>
      <c r="P110" s="214" t="s">
        <v>302</v>
      </c>
      <c r="Q110" s="214" t="s">
        <v>768</v>
      </c>
      <c r="R110" s="214" t="s">
        <v>841</v>
      </c>
      <c r="S110" s="214" t="s">
        <v>1296</v>
      </c>
    </row>
    <row r="111" spans="1:19" x14ac:dyDescent="0.2">
      <c r="B111" s="250" t="s">
        <v>305</v>
      </c>
      <c r="C111" s="250" t="s">
        <v>304</v>
      </c>
      <c r="D111" s="239">
        <v>20938163</v>
      </c>
      <c r="E111" s="239">
        <v>0</v>
      </c>
      <c r="F111" s="239">
        <v>66760</v>
      </c>
      <c r="G111" s="239">
        <v>101364</v>
      </c>
      <c r="H111" s="239">
        <v>0</v>
      </c>
      <c r="I111" s="239">
        <v>101364</v>
      </c>
      <c r="J111" s="239">
        <v>0</v>
      </c>
      <c r="K111" s="239">
        <v>0</v>
      </c>
      <c r="L111" s="239">
        <v>79933</v>
      </c>
      <c r="M111" s="239">
        <v>79933</v>
      </c>
      <c r="N111" s="239">
        <v>0</v>
      </c>
      <c r="O111" s="239">
        <v>20690106</v>
      </c>
      <c r="P111" s="214" t="s">
        <v>304</v>
      </c>
      <c r="Q111" s="214" t="s">
        <v>874</v>
      </c>
      <c r="R111" s="214" t="s">
        <v>872</v>
      </c>
      <c r="S111" s="214" t="s">
        <v>1294</v>
      </c>
    </row>
    <row r="112" spans="1:19" x14ac:dyDescent="0.2">
      <c r="B112" s="250" t="s">
        <v>307</v>
      </c>
      <c r="C112" s="250" t="s">
        <v>306</v>
      </c>
      <c r="D112" s="239">
        <v>51596086</v>
      </c>
      <c r="E112" s="239">
        <v>0</v>
      </c>
      <c r="F112" s="239">
        <v>81471</v>
      </c>
      <c r="G112" s="239">
        <v>179533</v>
      </c>
      <c r="H112" s="239">
        <v>0</v>
      </c>
      <c r="I112" s="239">
        <v>179533</v>
      </c>
      <c r="J112" s="239">
        <v>0</v>
      </c>
      <c r="K112" s="239">
        <v>0</v>
      </c>
      <c r="L112" s="239">
        <v>0</v>
      </c>
      <c r="M112" s="239">
        <v>0</v>
      </c>
      <c r="N112" s="239">
        <v>0</v>
      </c>
      <c r="O112" s="239">
        <v>51335082</v>
      </c>
      <c r="P112" s="214" t="s">
        <v>306</v>
      </c>
      <c r="Q112" s="214" t="s">
        <v>831</v>
      </c>
      <c r="R112" s="214" t="s">
        <v>763</v>
      </c>
      <c r="S112" s="214" t="s">
        <v>1294</v>
      </c>
    </row>
    <row r="113" spans="1:19" x14ac:dyDescent="0.2">
      <c r="B113" s="250" t="s">
        <v>309</v>
      </c>
      <c r="C113" s="250" t="s">
        <v>308</v>
      </c>
      <c r="D113" s="239">
        <v>14421859</v>
      </c>
      <c r="E113" s="239">
        <v>0</v>
      </c>
      <c r="F113" s="239">
        <v>18353</v>
      </c>
      <c r="G113" s="239">
        <v>80817</v>
      </c>
      <c r="H113" s="239">
        <v>0</v>
      </c>
      <c r="I113" s="239">
        <v>80817</v>
      </c>
      <c r="J113" s="239">
        <v>0</v>
      </c>
      <c r="K113" s="239">
        <v>0</v>
      </c>
      <c r="L113" s="239">
        <v>0</v>
      </c>
      <c r="M113" s="239">
        <v>0</v>
      </c>
      <c r="N113" s="239">
        <v>0</v>
      </c>
      <c r="O113" s="239">
        <v>14322689</v>
      </c>
      <c r="P113" s="214" t="s">
        <v>308</v>
      </c>
      <c r="Q113" s="214" t="s">
        <v>779</v>
      </c>
      <c r="R113" s="214" t="s">
        <v>777</v>
      </c>
      <c r="S113" s="214" t="s">
        <v>1294</v>
      </c>
    </row>
    <row r="114" spans="1:19" x14ac:dyDescent="0.2">
      <c r="B114" s="250" t="s">
        <v>311</v>
      </c>
      <c r="C114" s="250" t="s">
        <v>310</v>
      </c>
      <c r="D114" s="239">
        <v>23976913</v>
      </c>
      <c r="E114" s="239">
        <v>38937</v>
      </c>
      <c r="F114" s="239">
        <v>0</v>
      </c>
      <c r="G114" s="239">
        <v>96531</v>
      </c>
      <c r="H114" s="239">
        <v>0</v>
      </c>
      <c r="I114" s="239">
        <v>96531</v>
      </c>
      <c r="J114" s="239">
        <v>0</v>
      </c>
      <c r="K114" s="239">
        <v>0</v>
      </c>
      <c r="L114" s="239">
        <v>0</v>
      </c>
      <c r="M114" s="239">
        <v>0</v>
      </c>
      <c r="N114" s="239">
        <v>0</v>
      </c>
      <c r="O114" s="239">
        <v>23919319</v>
      </c>
      <c r="P114" s="214" t="s">
        <v>310</v>
      </c>
      <c r="Q114" s="214" t="s">
        <v>826</v>
      </c>
      <c r="R114" s="214" t="s">
        <v>824</v>
      </c>
      <c r="S114" s="214" t="s">
        <v>1294</v>
      </c>
    </row>
    <row r="115" spans="1:19" x14ac:dyDescent="0.2">
      <c r="A115" s="215" t="s">
        <v>1321</v>
      </c>
      <c r="B115" s="250" t="s">
        <v>313</v>
      </c>
      <c r="C115" s="250" t="s">
        <v>312</v>
      </c>
      <c r="D115" s="239">
        <v>30094032</v>
      </c>
      <c r="E115" s="239">
        <v>0</v>
      </c>
      <c r="F115" s="239">
        <v>2763</v>
      </c>
      <c r="G115" s="239">
        <v>185334</v>
      </c>
      <c r="H115" s="239">
        <v>0</v>
      </c>
      <c r="I115" s="239">
        <v>185334</v>
      </c>
      <c r="J115" s="239">
        <v>0</v>
      </c>
      <c r="K115" s="239">
        <v>0</v>
      </c>
      <c r="L115" s="239">
        <v>55216</v>
      </c>
      <c r="M115" s="239">
        <v>55216</v>
      </c>
      <c r="N115" s="239">
        <v>0</v>
      </c>
      <c r="O115" s="239">
        <v>29850719</v>
      </c>
      <c r="P115" s="214" t="s">
        <v>312</v>
      </c>
      <c r="Q115" s="214" t="s">
        <v>849</v>
      </c>
      <c r="R115" s="214" t="s">
        <v>763</v>
      </c>
      <c r="S115" s="214" t="s">
        <v>1294</v>
      </c>
    </row>
    <row r="116" spans="1:19" x14ac:dyDescent="0.2">
      <c r="B116" s="250" t="s">
        <v>315</v>
      </c>
      <c r="C116" s="250" t="s">
        <v>314</v>
      </c>
      <c r="D116" s="239">
        <v>66711757</v>
      </c>
      <c r="E116" s="239">
        <v>4502</v>
      </c>
      <c r="F116" s="239">
        <v>0</v>
      </c>
      <c r="G116" s="239">
        <v>279949</v>
      </c>
      <c r="H116" s="239">
        <v>0</v>
      </c>
      <c r="I116" s="239">
        <v>279949</v>
      </c>
      <c r="J116" s="239">
        <v>0</v>
      </c>
      <c r="K116" s="239">
        <v>0</v>
      </c>
      <c r="L116" s="239">
        <v>0</v>
      </c>
      <c r="M116" s="239">
        <v>0</v>
      </c>
      <c r="N116" s="239">
        <v>0</v>
      </c>
      <c r="O116" s="239">
        <v>66436310</v>
      </c>
      <c r="P116" s="214" t="s">
        <v>314</v>
      </c>
      <c r="Q116" s="214" t="s">
        <v>790</v>
      </c>
      <c r="R116" s="214" t="s">
        <v>749</v>
      </c>
      <c r="S116" s="214" t="s">
        <v>1297</v>
      </c>
    </row>
    <row r="117" spans="1:19" x14ac:dyDescent="0.2">
      <c r="B117" s="250" t="s">
        <v>317</v>
      </c>
      <c r="C117" s="250" t="s">
        <v>316</v>
      </c>
      <c r="D117" s="239">
        <v>76214221</v>
      </c>
      <c r="E117" s="239">
        <v>17145</v>
      </c>
      <c r="F117" s="239">
        <v>0</v>
      </c>
      <c r="G117" s="239">
        <v>234931</v>
      </c>
      <c r="H117" s="239">
        <v>0</v>
      </c>
      <c r="I117" s="239">
        <v>234931</v>
      </c>
      <c r="J117" s="239">
        <v>0</v>
      </c>
      <c r="K117" s="239">
        <v>0</v>
      </c>
      <c r="L117" s="239">
        <v>0</v>
      </c>
      <c r="M117" s="239">
        <v>0</v>
      </c>
      <c r="N117" s="239">
        <v>0</v>
      </c>
      <c r="O117" s="239">
        <v>75996435</v>
      </c>
      <c r="P117" s="214" t="s">
        <v>316</v>
      </c>
      <c r="Q117" s="214" t="s">
        <v>772</v>
      </c>
      <c r="R117" s="214" t="s">
        <v>763</v>
      </c>
      <c r="S117" s="214" t="s">
        <v>1294</v>
      </c>
    </row>
    <row r="118" spans="1:19" x14ac:dyDescent="0.2">
      <c r="B118" s="250" t="s">
        <v>319</v>
      </c>
      <c r="C118" s="250" t="s">
        <v>318</v>
      </c>
      <c r="D118" s="239">
        <v>84403566</v>
      </c>
      <c r="E118" s="239">
        <v>0</v>
      </c>
      <c r="F118" s="239">
        <v>602045</v>
      </c>
      <c r="G118" s="239">
        <v>505991</v>
      </c>
      <c r="H118" s="239">
        <v>0</v>
      </c>
      <c r="I118" s="239">
        <v>505991</v>
      </c>
      <c r="J118" s="239">
        <v>0</v>
      </c>
      <c r="K118" s="239">
        <v>0</v>
      </c>
      <c r="L118" s="239">
        <v>0</v>
      </c>
      <c r="M118" s="239">
        <v>0</v>
      </c>
      <c r="N118" s="239">
        <v>0</v>
      </c>
      <c r="O118" s="239">
        <v>83295530</v>
      </c>
      <c r="P118" s="214" t="s">
        <v>318</v>
      </c>
      <c r="Q118" s="214" t="s">
        <v>790</v>
      </c>
      <c r="R118" s="214" t="s">
        <v>749</v>
      </c>
      <c r="S118" s="214" t="s">
        <v>1297</v>
      </c>
    </row>
    <row r="119" spans="1:19" x14ac:dyDescent="0.2">
      <c r="B119" s="250" t="s">
        <v>321</v>
      </c>
      <c r="C119" s="250" t="s">
        <v>320</v>
      </c>
      <c r="D119" s="239">
        <v>55868558</v>
      </c>
      <c r="E119" s="239">
        <v>0</v>
      </c>
      <c r="F119" s="239">
        <v>89990</v>
      </c>
      <c r="G119" s="239">
        <v>165598</v>
      </c>
      <c r="H119" s="239">
        <v>0</v>
      </c>
      <c r="I119" s="239">
        <v>165598</v>
      </c>
      <c r="J119" s="239">
        <v>0</v>
      </c>
      <c r="K119" s="239">
        <v>0</v>
      </c>
      <c r="L119" s="239">
        <v>0</v>
      </c>
      <c r="M119" s="239">
        <v>0</v>
      </c>
      <c r="N119" s="239">
        <v>0</v>
      </c>
      <c r="O119" s="239">
        <v>55612970</v>
      </c>
      <c r="P119" s="214" t="s">
        <v>911</v>
      </c>
      <c r="Q119" s="214" t="s">
        <v>748</v>
      </c>
      <c r="R119" s="214" t="s">
        <v>815</v>
      </c>
      <c r="S119" s="214" t="s">
        <v>748</v>
      </c>
    </row>
    <row r="120" spans="1:19" x14ac:dyDescent="0.2">
      <c r="B120" s="250" t="s">
        <v>323</v>
      </c>
      <c r="C120" s="250" t="s">
        <v>322</v>
      </c>
      <c r="D120" s="239">
        <v>27007396</v>
      </c>
      <c r="E120" s="239">
        <v>0</v>
      </c>
      <c r="F120" s="239">
        <v>8050</v>
      </c>
      <c r="G120" s="239">
        <v>155517</v>
      </c>
      <c r="H120" s="239">
        <v>0</v>
      </c>
      <c r="I120" s="239">
        <v>155517</v>
      </c>
      <c r="J120" s="239">
        <v>0</v>
      </c>
      <c r="K120" s="239">
        <v>0</v>
      </c>
      <c r="L120" s="239">
        <v>0</v>
      </c>
      <c r="M120" s="239">
        <v>0</v>
      </c>
      <c r="N120" s="239">
        <v>0</v>
      </c>
      <c r="O120" s="239">
        <v>26843829</v>
      </c>
      <c r="P120" s="214" t="s">
        <v>322</v>
      </c>
      <c r="Q120" s="214" t="s">
        <v>867</v>
      </c>
      <c r="R120" s="214" t="s">
        <v>746</v>
      </c>
      <c r="S120" s="214" t="s">
        <v>1294</v>
      </c>
    </row>
    <row r="121" spans="1:19" x14ac:dyDescent="0.2">
      <c r="B121" s="250" t="s">
        <v>325</v>
      </c>
      <c r="C121" s="250" t="s">
        <v>324</v>
      </c>
      <c r="D121" s="239">
        <v>211172011</v>
      </c>
      <c r="E121" s="239">
        <v>0</v>
      </c>
      <c r="F121" s="239">
        <v>260507</v>
      </c>
      <c r="G121" s="239">
        <v>568907</v>
      </c>
      <c r="H121" s="239">
        <v>0</v>
      </c>
      <c r="I121" s="239">
        <v>568907</v>
      </c>
      <c r="J121" s="239">
        <v>0</v>
      </c>
      <c r="K121" s="239">
        <v>0</v>
      </c>
      <c r="L121" s="239">
        <v>0</v>
      </c>
      <c r="M121" s="239">
        <v>0</v>
      </c>
      <c r="N121" s="239">
        <v>0</v>
      </c>
      <c r="O121" s="239">
        <v>210342597</v>
      </c>
      <c r="P121" s="214" t="s">
        <v>910</v>
      </c>
      <c r="Q121" s="214" t="s">
        <v>790</v>
      </c>
      <c r="R121" s="214" t="s">
        <v>749</v>
      </c>
      <c r="S121" s="214" t="s">
        <v>1297</v>
      </c>
    </row>
    <row r="122" spans="1:19" x14ac:dyDescent="0.2">
      <c r="B122" s="250" t="s">
        <v>327</v>
      </c>
      <c r="C122" s="250" t="s">
        <v>326</v>
      </c>
      <c r="D122" s="239">
        <v>36621074</v>
      </c>
      <c r="E122" s="239">
        <v>1882</v>
      </c>
      <c r="F122" s="239">
        <v>0</v>
      </c>
      <c r="G122" s="239">
        <v>126157</v>
      </c>
      <c r="H122" s="239">
        <v>0</v>
      </c>
      <c r="I122" s="239">
        <v>126157</v>
      </c>
      <c r="J122" s="239">
        <v>0</v>
      </c>
      <c r="K122" s="239">
        <v>0</v>
      </c>
      <c r="L122" s="239">
        <v>0</v>
      </c>
      <c r="M122" s="239">
        <v>0</v>
      </c>
      <c r="N122" s="239">
        <v>0</v>
      </c>
      <c r="O122" s="239">
        <v>36496799</v>
      </c>
      <c r="P122" s="214" t="s">
        <v>326</v>
      </c>
      <c r="Q122" s="214" t="s">
        <v>884</v>
      </c>
      <c r="R122" s="214" t="s">
        <v>869</v>
      </c>
      <c r="S122" s="214" t="s">
        <v>1294</v>
      </c>
    </row>
    <row r="123" spans="1:19" x14ac:dyDescent="0.2">
      <c r="B123" s="250" t="s">
        <v>329</v>
      </c>
      <c r="C123" s="250" t="s">
        <v>328</v>
      </c>
      <c r="D123" s="239">
        <v>56490601.93</v>
      </c>
      <c r="E123" s="239">
        <v>0</v>
      </c>
      <c r="F123" s="239">
        <v>32284</v>
      </c>
      <c r="G123" s="239">
        <v>307187</v>
      </c>
      <c r="H123" s="239">
        <v>0</v>
      </c>
      <c r="I123" s="239">
        <v>307187</v>
      </c>
      <c r="J123" s="239">
        <v>0</v>
      </c>
      <c r="K123" s="239">
        <v>0</v>
      </c>
      <c r="L123" s="239">
        <v>0</v>
      </c>
      <c r="M123" s="239">
        <v>0</v>
      </c>
      <c r="N123" s="239">
        <v>0</v>
      </c>
      <c r="O123" s="239">
        <v>56151130.93</v>
      </c>
      <c r="P123" s="214" t="s">
        <v>328</v>
      </c>
      <c r="Q123" s="214" t="s">
        <v>790</v>
      </c>
      <c r="R123" s="214" t="s">
        <v>749</v>
      </c>
      <c r="S123" s="214" t="s">
        <v>1295</v>
      </c>
    </row>
    <row r="124" spans="1:19" x14ac:dyDescent="0.2">
      <c r="B124" s="250" t="s">
        <v>331</v>
      </c>
      <c r="C124" s="250" t="s">
        <v>330</v>
      </c>
      <c r="D124" s="239">
        <v>47471676</v>
      </c>
      <c r="E124" s="239">
        <v>0</v>
      </c>
      <c r="F124" s="239">
        <v>250952</v>
      </c>
      <c r="G124" s="239">
        <v>120638</v>
      </c>
      <c r="H124" s="239">
        <v>0</v>
      </c>
      <c r="I124" s="239">
        <v>120638</v>
      </c>
      <c r="J124" s="239">
        <v>0</v>
      </c>
      <c r="K124" s="239">
        <v>0</v>
      </c>
      <c r="L124" s="239">
        <v>0</v>
      </c>
      <c r="M124" s="239">
        <v>0</v>
      </c>
      <c r="N124" s="239">
        <v>0</v>
      </c>
      <c r="O124" s="239">
        <v>47100086</v>
      </c>
      <c r="P124" s="214" t="s">
        <v>330</v>
      </c>
      <c r="Q124" s="214" t="s">
        <v>822</v>
      </c>
      <c r="R124" s="214" t="s">
        <v>820</v>
      </c>
      <c r="S124" s="214" t="s">
        <v>1294</v>
      </c>
    </row>
    <row r="125" spans="1:19" x14ac:dyDescent="0.2">
      <c r="B125" s="250" t="s">
        <v>333</v>
      </c>
      <c r="C125" s="250" t="s">
        <v>332</v>
      </c>
      <c r="D125" s="239">
        <v>58831989</v>
      </c>
      <c r="E125" s="239">
        <v>0</v>
      </c>
      <c r="F125" s="239">
        <v>122566</v>
      </c>
      <c r="G125" s="239">
        <v>287230</v>
      </c>
      <c r="H125" s="239">
        <v>0</v>
      </c>
      <c r="I125" s="239">
        <v>287230</v>
      </c>
      <c r="J125" s="239">
        <v>0</v>
      </c>
      <c r="K125" s="239">
        <v>0</v>
      </c>
      <c r="L125" s="239">
        <v>0</v>
      </c>
      <c r="M125" s="239">
        <v>0</v>
      </c>
      <c r="N125" s="239">
        <v>0</v>
      </c>
      <c r="O125" s="239">
        <v>58422193</v>
      </c>
      <c r="P125" s="214" t="s">
        <v>332</v>
      </c>
      <c r="Q125" s="214" t="s">
        <v>867</v>
      </c>
      <c r="R125" s="214" t="s">
        <v>746</v>
      </c>
      <c r="S125" s="214" t="s">
        <v>1294</v>
      </c>
    </row>
    <row r="126" spans="1:19" x14ac:dyDescent="0.2">
      <c r="B126" s="250" t="s">
        <v>335</v>
      </c>
      <c r="C126" s="250" t="s">
        <v>334</v>
      </c>
      <c r="D126" s="239">
        <v>51384701</v>
      </c>
      <c r="E126" s="239">
        <v>0</v>
      </c>
      <c r="F126" s="239">
        <v>411402</v>
      </c>
      <c r="G126" s="239">
        <v>254409</v>
      </c>
      <c r="H126" s="239">
        <v>0</v>
      </c>
      <c r="I126" s="239">
        <v>254409</v>
      </c>
      <c r="J126" s="239">
        <v>0</v>
      </c>
      <c r="K126" s="239">
        <v>0</v>
      </c>
      <c r="L126" s="239">
        <v>0</v>
      </c>
      <c r="M126" s="239">
        <v>0</v>
      </c>
      <c r="N126" s="239">
        <v>0</v>
      </c>
      <c r="O126" s="239">
        <v>50718890</v>
      </c>
      <c r="P126" s="214" t="s">
        <v>334</v>
      </c>
      <c r="Q126" s="214" t="s">
        <v>790</v>
      </c>
      <c r="R126" s="214" t="s">
        <v>749</v>
      </c>
      <c r="S126" s="214" t="s">
        <v>1295</v>
      </c>
    </row>
    <row r="127" spans="1:19" x14ac:dyDescent="0.2">
      <c r="B127" s="250" t="s">
        <v>337</v>
      </c>
      <c r="C127" s="250" t="s">
        <v>336</v>
      </c>
      <c r="D127" s="239">
        <v>26351184</v>
      </c>
      <c r="E127" s="239">
        <v>536405</v>
      </c>
      <c r="F127" s="239">
        <v>0</v>
      </c>
      <c r="G127" s="239">
        <v>99214</v>
      </c>
      <c r="H127" s="239">
        <v>0</v>
      </c>
      <c r="I127" s="239">
        <v>99214</v>
      </c>
      <c r="J127" s="239">
        <v>0</v>
      </c>
      <c r="K127" s="239">
        <v>0</v>
      </c>
      <c r="L127" s="239">
        <v>0</v>
      </c>
      <c r="M127" s="239">
        <v>0</v>
      </c>
      <c r="N127" s="239">
        <v>0</v>
      </c>
      <c r="O127" s="239">
        <v>26788375</v>
      </c>
      <c r="P127" s="214" t="s">
        <v>336</v>
      </c>
      <c r="Q127" s="214" t="s">
        <v>779</v>
      </c>
      <c r="R127" s="214" t="s">
        <v>777</v>
      </c>
      <c r="S127" s="214" t="s">
        <v>1294</v>
      </c>
    </row>
    <row r="128" spans="1:19" x14ac:dyDescent="0.2">
      <c r="B128" s="250" t="s">
        <v>339</v>
      </c>
      <c r="C128" s="250" t="s">
        <v>338</v>
      </c>
      <c r="D128" s="239">
        <v>24299031</v>
      </c>
      <c r="E128" s="239">
        <v>0</v>
      </c>
      <c r="F128" s="239">
        <v>35869822</v>
      </c>
      <c r="G128" s="239">
        <v>124897</v>
      </c>
      <c r="H128" s="239">
        <v>0</v>
      </c>
      <c r="I128" s="239">
        <v>124897</v>
      </c>
      <c r="J128" s="239">
        <v>0</v>
      </c>
      <c r="K128" s="239">
        <v>0</v>
      </c>
      <c r="L128" s="239">
        <v>0</v>
      </c>
      <c r="M128" s="239">
        <v>0</v>
      </c>
      <c r="N128" s="239">
        <v>0</v>
      </c>
      <c r="O128" s="239">
        <v>-11695688</v>
      </c>
      <c r="P128" s="214" t="s">
        <v>909</v>
      </c>
      <c r="Q128" s="214" t="s">
        <v>748</v>
      </c>
      <c r="R128" s="214" t="s">
        <v>844</v>
      </c>
      <c r="S128" s="214" t="s">
        <v>748</v>
      </c>
    </row>
    <row r="129" spans="2:19" x14ac:dyDescent="0.2">
      <c r="B129" s="250" t="s">
        <v>341</v>
      </c>
      <c r="C129" s="250" t="s">
        <v>340</v>
      </c>
      <c r="D129" s="239">
        <v>20112617</v>
      </c>
      <c r="E129" s="239">
        <v>0</v>
      </c>
      <c r="F129" s="239">
        <v>29572</v>
      </c>
      <c r="G129" s="239">
        <v>131732</v>
      </c>
      <c r="H129" s="239">
        <v>0</v>
      </c>
      <c r="I129" s="239">
        <v>131732</v>
      </c>
      <c r="J129" s="239">
        <v>0</v>
      </c>
      <c r="K129" s="239">
        <v>0</v>
      </c>
      <c r="L129" s="239">
        <v>0</v>
      </c>
      <c r="M129" s="239">
        <v>0</v>
      </c>
      <c r="N129" s="239">
        <v>0</v>
      </c>
      <c r="O129" s="239">
        <v>19951313</v>
      </c>
      <c r="P129" s="214" t="s">
        <v>340</v>
      </c>
      <c r="Q129" s="214" t="s">
        <v>809</v>
      </c>
      <c r="R129" s="214" t="s">
        <v>807</v>
      </c>
      <c r="S129" s="214" t="s">
        <v>1294</v>
      </c>
    </row>
    <row r="130" spans="2:19" x14ac:dyDescent="0.2">
      <c r="B130" s="250" t="s">
        <v>343</v>
      </c>
      <c r="C130" s="250" t="s">
        <v>342</v>
      </c>
      <c r="D130" s="239">
        <v>32647599</v>
      </c>
      <c r="E130" s="239">
        <v>292334</v>
      </c>
      <c r="F130" s="239">
        <v>0</v>
      </c>
      <c r="G130" s="239">
        <v>139832</v>
      </c>
      <c r="H130" s="239">
        <v>0</v>
      </c>
      <c r="I130" s="239">
        <v>139832</v>
      </c>
      <c r="J130" s="239">
        <v>0</v>
      </c>
      <c r="K130" s="239">
        <v>0</v>
      </c>
      <c r="L130" s="239">
        <v>0</v>
      </c>
      <c r="M130" s="239">
        <v>0</v>
      </c>
      <c r="N130" s="239">
        <v>0</v>
      </c>
      <c r="O130" s="239">
        <v>32800101</v>
      </c>
      <c r="P130" s="214" t="s">
        <v>342</v>
      </c>
      <c r="Q130" s="214" t="s">
        <v>779</v>
      </c>
      <c r="R130" s="214" t="s">
        <v>777</v>
      </c>
      <c r="S130" s="214" t="s">
        <v>1294</v>
      </c>
    </row>
    <row r="131" spans="2:19" x14ac:dyDescent="0.2">
      <c r="B131" s="250" t="s">
        <v>345</v>
      </c>
      <c r="C131" s="250" t="s">
        <v>344</v>
      </c>
      <c r="D131" s="239">
        <v>67554189.170000002</v>
      </c>
      <c r="E131" s="239">
        <v>0</v>
      </c>
      <c r="F131" s="239">
        <v>325266</v>
      </c>
      <c r="G131" s="239">
        <v>271109</v>
      </c>
      <c r="H131" s="239">
        <v>0</v>
      </c>
      <c r="I131" s="239">
        <v>271109</v>
      </c>
      <c r="J131" s="239">
        <v>0</v>
      </c>
      <c r="K131" s="239">
        <v>0</v>
      </c>
      <c r="L131" s="239">
        <v>0</v>
      </c>
      <c r="M131" s="239">
        <v>0</v>
      </c>
      <c r="N131" s="239">
        <v>0</v>
      </c>
      <c r="O131" s="239">
        <v>66957814.170000002</v>
      </c>
      <c r="P131" s="214" t="s">
        <v>344</v>
      </c>
      <c r="Q131" s="214" t="s">
        <v>790</v>
      </c>
      <c r="R131" s="214" t="s">
        <v>749</v>
      </c>
      <c r="S131" s="214" t="s">
        <v>1295</v>
      </c>
    </row>
    <row r="132" spans="2:19" x14ac:dyDescent="0.2">
      <c r="B132" s="250" t="s">
        <v>347</v>
      </c>
      <c r="C132" s="250" t="s">
        <v>346</v>
      </c>
      <c r="D132" s="239">
        <v>47637223</v>
      </c>
      <c r="E132" s="239">
        <v>0</v>
      </c>
      <c r="F132" s="239">
        <v>261834</v>
      </c>
      <c r="G132" s="239">
        <v>301961</v>
      </c>
      <c r="H132" s="239">
        <v>0</v>
      </c>
      <c r="I132" s="239">
        <v>301961</v>
      </c>
      <c r="J132" s="239">
        <v>0</v>
      </c>
      <c r="K132" s="239">
        <v>0</v>
      </c>
      <c r="L132" s="239">
        <v>82333</v>
      </c>
      <c r="M132" s="239">
        <v>82333</v>
      </c>
      <c r="N132" s="239">
        <v>0</v>
      </c>
      <c r="O132" s="239">
        <v>46991095</v>
      </c>
      <c r="P132" s="214" t="s">
        <v>908</v>
      </c>
      <c r="Q132" s="214" t="s">
        <v>748</v>
      </c>
      <c r="R132" s="214" t="s">
        <v>751</v>
      </c>
      <c r="S132" s="214" t="s">
        <v>748</v>
      </c>
    </row>
    <row r="133" spans="2:19" x14ac:dyDescent="0.2">
      <c r="B133" s="250" t="s">
        <v>349</v>
      </c>
      <c r="C133" s="250" t="s">
        <v>348</v>
      </c>
      <c r="D133" s="239">
        <v>44048242</v>
      </c>
      <c r="E133" s="239">
        <v>0</v>
      </c>
      <c r="F133" s="239">
        <v>110788</v>
      </c>
      <c r="G133" s="239">
        <v>149502</v>
      </c>
      <c r="H133" s="239">
        <v>0</v>
      </c>
      <c r="I133" s="239">
        <v>149502</v>
      </c>
      <c r="J133" s="239">
        <v>0</v>
      </c>
      <c r="K133" s="239">
        <v>0</v>
      </c>
      <c r="L133" s="239">
        <v>0</v>
      </c>
      <c r="M133" s="239">
        <v>0</v>
      </c>
      <c r="N133" s="239">
        <v>0</v>
      </c>
      <c r="O133" s="239">
        <v>43787952</v>
      </c>
      <c r="P133" s="214" t="s">
        <v>348</v>
      </c>
      <c r="Q133" s="214" t="s">
        <v>803</v>
      </c>
      <c r="R133" s="214" t="s">
        <v>763</v>
      </c>
      <c r="S133" s="214" t="s">
        <v>1294</v>
      </c>
    </row>
    <row r="134" spans="2:19" x14ac:dyDescent="0.2">
      <c r="B134" s="250" t="s">
        <v>351</v>
      </c>
      <c r="C134" s="250" t="s">
        <v>350</v>
      </c>
      <c r="D134" s="239">
        <v>23596688</v>
      </c>
      <c r="E134" s="239">
        <v>0</v>
      </c>
      <c r="F134" s="239">
        <v>4881</v>
      </c>
      <c r="G134" s="239">
        <v>135499</v>
      </c>
      <c r="H134" s="239">
        <v>0</v>
      </c>
      <c r="I134" s="239">
        <v>135499</v>
      </c>
      <c r="J134" s="239">
        <v>0</v>
      </c>
      <c r="K134" s="239">
        <v>0</v>
      </c>
      <c r="L134" s="239">
        <v>0</v>
      </c>
      <c r="M134" s="239">
        <v>0</v>
      </c>
      <c r="N134" s="239">
        <v>0</v>
      </c>
      <c r="O134" s="239">
        <v>23456308</v>
      </c>
      <c r="P134" s="214" t="s">
        <v>350</v>
      </c>
      <c r="Q134" s="214" t="s">
        <v>858</v>
      </c>
      <c r="R134" s="214" t="s">
        <v>856</v>
      </c>
      <c r="S134" s="214" t="s">
        <v>1294</v>
      </c>
    </row>
    <row r="135" spans="2:19" x14ac:dyDescent="0.2">
      <c r="B135" s="250" t="s">
        <v>353</v>
      </c>
      <c r="C135" s="250" t="s">
        <v>352</v>
      </c>
      <c r="D135" s="239">
        <v>371343917</v>
      </c>
      <c r="E135" s="239">
        <v>0</v>
      </c>
      <c r="F135" s="239">
        <v>71683</v>
      </c>
      <c r="G135" s="239">
        <v>585792</v>
      </c>
      <c r="H135" s="239">
        <v>0</v>
      </c>
      <c r="I135" s="239">
        <v>585792</v>
      </c>
      <c r="J135" s="239">
        <v>0</v>
      </c>
      <c r="K135" s="239">
        <v>0</v>
      </c>
      <c r="L135" s="239">
        <v>0</v>
      </c>
      <c r="M135" s="239">
        <v>0</v>
      </c>
      <c r="N135" s="239">
        <v>0</v>
      </c>
      <c r="O135" s="239">
        <v>370686442</v>
      </c>
      <c r="P135" s="214" t="s">
        <v>352</v>
      </c>
      <c r="Q135" s="214" t="s">
        <v>790</v>
      </c>
      <c r="R135" s="214" t="s">
        <v>749</v>
      </c>
      <c r="S135" s="214" t="s">
        <v>1295</v>
      </c>
    </row>
    <row r="136" spans="2:19" x14ac:dyDescent="0.2">
      <c r="B136" s="250" t="s">
        <v>355</v>
      </c>
      <c r="C136" s="250" t="s">
        <v>354</v>
      </c>
      <c r="D136" s="239">
        <v>29875128</v>
      </c>
      <c r="E136" s="239">
        <v>0</v>
      </c>
      <c r="F136" s="239">
        <v>5338</v>
      </c>
      <c r="G136" s="239">
        <v>123813</v>
      </c>
      <c r="H136" s="239">
        <v>0</v>
      </c>
      <c r="I136" s="239">
        <v>123813</v>
      </c>
      <c r="J136" s="239">
        <v>0</v>
      </c>
      <c r="K136" s="239">
        <v>96936</v>
      </c>
      <c r="L136" s="239">
        <v>26694</v>
      </c>
      <c r="M136" s="239">
        <v>26694</v>
      </c>
      <c r="N136" s="239">
        <v>0</v>
      </c>
      <c r="O136" s="239">
        <v>29622347</v>
      </c>
      <c r="P136" s="214" t="s">
        <v>907</v>
      </c>
      <c r="Q136" s="214" t="s">
        <v>884</v>
      </c>
      <c r="R136" s="214" t="s">
        <v>869</v>
      </c>
      <c r="S136" s="214" t="s">
        <v>1294</v>
      </c>
    </row>
    <row r="137" spans="2:19" x14ac:dyDescent="0.2">
      <c r="B137" s="250" t="s">
        <v>357</v>
      </c>
      <c r="C137" s="250" t="s">
        <v>356</v>
      </c>
      <c r="D137" s="239">
        <v>39648420</v>
      </c>
      <c r="E137" s="239">
        <v>340165</v>
      </c>
      <c r="F137" s="239">
        <v>0</v>
      </c>
      <c r="G137" s="239">
        <v>176540</v>
      </c>
      <c r="H137" s="239">
        <v>0</v>
      </c>
      <c r="I137" s="239">
        <v>176540</v>
      </c>
      <c r="J137" s="239">
        <v>0</v>
      </c>
      <c r="K137" s="239">
        <v>0</v>
      </c>
      <c r="L137" s="239">
        <v>0</v>
      </c>
      <c r="M137" s="239">
        <v>0</v>
      </c>
      <c r="N137" s="239">
        <v>0</v>
      </c>
      <c r="O137" s="239">
        <v>39812045</v>
      </c>
      <c r="P137" s="214" t="s">
        <v>356</v>
      </c>
      <c r="Q137" s="214" t="s">
        <v>764</v>
      </c>
      <c r="R137" s="214" t="s">
        <v>763</v>
      </c>
      <c r="S137" s="214" t="s">
        <v>1294</v>
      </c>
    </row>
    <row r="138" spans="2:19" x14ac:dyDescent="0.2">
      <c r="B138" s="250" t="s">
        <v>359</v>
      </c>
      <c r="C138" s="250" t="s">
        <v>358</v>
      </c>
      <c r="D138" s="239">
        <v>157648036</v>
      </c>
      <c r="E138" s="239">
        <v>0</v>
      </c>
      <c r="F138" s="239">
        <v>1138436</v>
      </c>
      <c r="G138" s="239">
        <v>402034</v>
      </c>
      <c r="H138" s="239">
        <v>0</v>
      </c>
      <c r="I138" s="239">
        <v>402034</v>
      </c>
      <c r="J138" s="239">
        <v>0</v>
      </c>
      <c r="K138" s="239">
        <v>0</v>
      </c>
      <c r="L138" s="239">
        <v>0</v>
      </c>
      <c r="M138" s="239">
        <v>0</v>
      </c>
      <c r="N138" s="239">
        <v>0</v>
      </c>
      <c r="O138" s="239">
        <v>156107566</v>
      </c>
      <c r="P138" s="214" t="s">
        <v>358</v>
      </c>
      <c r="Q138" s="214" t="s">
        <v>790</v>
      </c>
      <c r="R138" s="214" t="s">
        <v>749</v>
      </c>
      <c r="S138" s="214" t="s">
        <v>1295</v>
      </c>
    </row>
    <row r="139" spans="2:19" x14ac:dyDescent="0.2">
      <c r="B139" s="250" t="s">
        <v>361</v>
      </c>
      <c r="C139" s="250" t="s">
        <v>360</v>
      </c>
      <c r="D139" s="239">
        <v>59759321</v>
      </c>
      <c r="E139" s="239">
        <v>0</v>
      </c>
      <c r="F139" s="239">
        <v>305022</v>
      </c>
      <c r="G139" s="239">
        <v>221544</v>
      </c>
      <c r="H139" s="239">
        <v>0</v>
      </c>
      <c r="I139" s="239">
        <v>221544</v>
      </c>
      <c r="J139" s="239">
        <v>0</v>
      </c>
      <c r="K139" s="239">
        <v>0</v>
      </c>
      <c r="L139" s="239">
        <v>828801</v>
      </c>
      <c r="M139" s="239">
        <v>828801</v>
      </c>
      <c r="N139" s="239">
        <v>0</v>
      </c>
      <c r="O139" s="239">
        <v>58403954</v>
      </c>
      <c r="P139" s="214" t="s">
        <v>360</v>
      </c>
      <c r="Q139" s="214" t="s">
        <v>862</v>
      </c>
      <c r="R139" s="214" t="s">
        <v>860</v>
      </c>
      <c r="S139" s="214" t="s">
        <v>1294</v>
      </c>
    </row>
    <row r="140" spans="2:19" x14ac:dyDescent="0.2">
      <c r="B140" s="250" t="s">
        <v>363</v>
      </c>
      <c r="C140" s="250" t="s">
        <v>362</v>
      </c>
      <c r="D140" s="239">
        <v>19695220</v>
      </c>
      <c r="E140" s="239">
        <v>0</v>
      </c>
      <c r="F140" s="239">
        <v>258257</v>
      </c>
      <c r="G140" s="239">
        <v>130946</v>
      </c>
      <c r="H140" s="239">
        <v>0</v>
      </c>
      <c r="I140" s="239">
        <v>130946</v>
      </c>
      <c r="J140" s="239">
        <v>0</v>
      </c>
      <c r="K140" s="239">
        <v>0</v>
      </c>
      <c r="L140" s="239">
        <v>0</v>
      </c>
      <c r="M140" s="239">
        <v>0</v>
      </c>
      <c r="N140" s="239">
        <v>0</v>
      </c>
      <c r="O140" s="239">
        <v>19306017</v>
      </c>
      <c r="P140" s="214" t="s">
        <v>362</v>
      </c>
      <c r="Q140" s="214" t="s">
        <v>757</v>
      </c>
      <c r="R140" s="214" t="s">
        <v>755</v>
      </c>
      <c r="S140" s="214" t="s">
        <v>1294</v>
      </c>
    </row>
    <row r="141" spans="2:19" x14ac:dyDescent="0.2">
      <c r="B141" s="250" t="s">
        <v>365</v>
      </c>
      <c r="C141" s="250" t="s">
        <v>364</v>
      </c>
      <c r="D141" s="239">
        <v>54812394</v>
      </c>
      <c r="E141" s="239">
        <v>0</v>
      </c>
      <c r="F141" s="239">
        <v>54920</v>
      </c>
      <c r="G141" s="239">
        <v>194575</v>
      </c>
      <c r="H141" s="239">
        <v>0</v>
      </c>
      <c r="I141" s="239">
        <v>194575</v>
      </c>
      <c r="J141" s="239">
        <v>0</v>
      </c>
      <c r="K141" s="239">
        <v>0</v>
      </c>
      <c r="L141" s="239">
        <v>0</v>
      </c>
      <c r="M141" s="239">
        <v>0</v>
      </c>
      <c r="N141" s="239">
        <v>0</v>
      </c>
      <c r="O141" s="239">
        <v>54562899</v>
      </c>
      <c r="P141" s="214" t="s">
        <v>364</v>
      </c>
      <c r="Q141" s="214" t="s">
        <v>811</v>
      </c>
      <c r="R141" s="214" t="s">
        <v>763</v>
      </c>
      <c r="S141" s="214" t="s">
        <v>1294</v>
      </c>
    </row>
    <row r="142" spans="2:19" x14ac:dyDescent="0.2">
      <c r="B142" s="250" t="s">
        <v>367</v>
      </c>
      <c r="C142" s="250" t="s">
        <v>366</v>
      </c>
      <c r="D142" s="239">
        <v>31198763</v>
      </c>
      <c r="E142" s="239">
        <v>30574</v>
      </c>
      <c r="F142" s="239">
        <v>0</v>
      </c>
      <c r="G142" s="239">
        <v>253629</v>
      </c>
      <c r="H142" s="239">
        <v>0</v>
      </c>
      <c r="I142" s="239">
        <v>253629</v>
      </c>
      <c r="J142" s="239">
        <v>0</v>
      </c>
      <c r="K142" s="239">
        <v>0</v>
      </c>
      <c r="L142" s="239">
        <v>227569</v>
      </c>
      <c r="M142" s="239">
        <v>227569</v>
      </c>
      <c r="N142" s="239">
        <v>0</v>
      </c>
      <c r="O142" s="239">
        <v>30748139</v>
      </c>
      <c r="P142" s="214" t="s">
        <v>906</v>
      </c>
      <c r="Q142" s="214" t="s">
        <v>748</v>
      </c>
      <c r="R142" s="214" t="s">
        <v>763</v>
      </c>
      <c r="S142" s="214" t="s">
        <v>748</v>
      </c>
    </row>
    <row r="143" spans="2:19" x14ac:dyDescent="0.2">
      <c r="B143" s="250" t="s">
        <v>369</v>
      </c>
      <c r="C143" s="250" t="s">
        <v>368</v>
      </c>
      <c r="D143" s="239">
        <v>1495193</v>
      </c>
      <c r="E143" s="239">
        <v>2081</v>
      </c>
      <c r="F143" s="239">
        <v>0</v>
      </c>
      <c r="G143" s="239">
        <v>24751</v>
      </c>
      <c r="H143" s="239">
        <v>0</v>
      </c>
      <c r="I143" s="239">
        <v>24751</v>
      </c>
      <c r="J143" s="239">
        <v>0</v>
      </c>
      <c r="K143" s="239">
        <v>0</v>
      </c>
      <c r="L143" s="239">
        <v>0</v>
      </c>
      <c r="M143" s="239">
        <v>0</v>
      </c>
      <c r="N143" s="239">
        <v>0</v>
      </c>
      <c r="O143" s="239">
        <v>1472523</v>
      </c>
      <c r="P143" s="214" t="s">
        <v>368</v>
      </c>
      <c r="Q143" s="214" t="s">
        <v>748</v>
      </c>
      <c r="R143" s="214" t="s">
        <v>763</v>
      </c>
      <c r="S143" s="214" t="s">
        <v>748</v>
      </c>
    </row>
    <row r="144" spans="2:19" x14ac:dyDescent="0.2">
      <c r="B144" s="250" t="s">
        <v>371</v>
      </c>
      <c r="C144" s="250" t="s">
        <v>370</v>
      </c>
      <c r="D144" s="239">
        <v>190430210</v>
      </c>
      <c r="E144" s="239">
        <v>0</v>
      </c>
      <c r="F144" s="239">
        <v>555239</v>
      </c>
      <c r="G144" s="239">
        <v>645239</v>
      </c>
      <c r="H144" s="239">
        <v>0</v>
      </c>
      <c r="I144" s="239">
        <v>645239</v>
      </c>
      <c r="J144" s="239">
        <v>0</v>
      </c>
      <c r="K144" s="239">
        <v>0</v>
      </c>
      <c r="L144" s="239">
        <v>60240</v>
      </c>
      <c r="M144" s="239">
        <v>60240</v>
      </c>
      <c r="N144" s="239">
        <v>0</v>
      </c>
      <c r="O144" s="239">
        <v>189169492</v>
      </c>
      <c r="P144" s="214" t="s">
        <v>370</v>
      </c>
      <c r="Q144" s="214" t="s">
        <v>790</v>
      </c>
      <c r="R144" s="214" t="s">
        <v>749</v>
      </c>
      <c r="S144" s="214" t="s">
        <v>1297</v>
      </c>
    </row>
    <row r="145" spans="2:19" x14ac:dyDescent="0.2">
      <c r="B145" s="250" t="s">
        <v>373</v>
      </c>
      <c r="C145" s="250" t="s">
        <v>372</v>
      </c>
      <c r="D145" s="239">
        <v>271132595</v>
      </c>
      <c r="E145" s="239">
        <v>0</v>
      </c>
      <c r="F145" s="239">
        <v>2487138</v>
      </c>
      <c r="G145" s="239">
        <v>609336</v>
      </c>
      <c r="H145" s="239">
        <v>0</v>
      </c>
      <c r="I145" s="239">
        <v>609336</v>
      </c>
      <c r="J145" s="239">
        <v>0</v>
      </c>
      <c r="K145" s="239">
        <v>0</v>
      </c>
      <c r="L145" s="239">
        <v>0</v>
      </c>
      <c r="M145" s="239">
        <v>0</v>
      </c>
      <c r="N145" s="239">
        <v>0</v>
      </c>
      <c r="O145" s="239">
        <v>268036121</v>
      </c>
      <c r="P145" s="214" t="s">
        <v>905</v>
      </c>
      <c r="Q145" s="214" t="s">
        <v>790</v>
      </c>
      <c r="R145" s="214" t="s">
        <v>749</v>
      </c>
      <c r="S145" s="214" t="s">
        <v>1297</v>
      </c>
    </row>
    <row r="146" spans="2:19" x14ac:dyDescent="0.2">
      <c r="B146" s="250" t="s">
        <v>375</v>
      </c>
      <c r="C146" s="250" t="s">
        <v>374</v>
      </c>
      <c r="D146" s="239">
        <v>30773519</v>
      </c>
      <c r="E146" s="239">
        <v>0</v>
      </c>
      <c r="F146" s="239">
        <v>98905</v>
      </c>
      <c r="G146" s="239">
        <v>112730</v>
      </c>
      <c r="H146" s="239">
        <v>0</v>
      </c>
      <c r="I146" s="239">
        <v>112730</v>
      </c>
      <c r="J146" s="239">
        <v>0</v>
      </c>
      <c r="K146" s="239">
        <v>0</v>
      </c>
      <c r="L146" s="239">
        <v>230981</v>
      </c>
      <c r="M146" s="239">
        <v>230981</v>
      </c>
      <c r="N146" s="239">
        <v>0</v>
      </c>
      <c r="O146" s="239">
        <v>30330903</v>
      </c>
      <c r="P146" s="214" t="s">
        <v>374</v>
      </c>
      <c r="Q146" s="214" t="s">
        <v>805</v>
      </c>
      <c r="R146" s="214" t="s">
        <v>763</v>
      </c>
      <c r="S146" s="214" t="s">
        <v>1294</v>
      </c>
    </row>
    <row r="147" spans="2:19" x14ac:dyDescent="0.2">
      <c r="B147" s="250" t="s">
        <v>377</v>
      </c>
      <c r="C147" s="250" t="s">
        <v>376</v>
      </c>
      <c r="D147" s="239">
        <v>47338134</v>
      </c>
      <c r="E147" s="239">
        <v>13883</v>
      </c>
      <c r="F147" s="239">
        <v>0</v>
      </c>
      <c r="G147" s="239">
        <v>220417</v>
      </c>
      <c r="H147" s="239">
        <v>0</v>
      </c>
      <c r="I147" s="239">
        <v>220417</v>
      </c>
      <c r="J147" s="239">
        <v>0</v>
      </c>
      <c r="K147" s="239">
        <v>0</v>
      </c>
      <c r="L147" s="239">
        <v>750275</v>
      </c>
      <c r="M147" s="239">
        <v>750275</v>
      </c>
      <c r="N147" s="239">
        <v>0</v>
      </c>
      <c r="O147" s="239">
        <v>46381325</v>
      </c>
      <c r="P147" s="214" t="s">
        <v>904</v>
      </c>
      <c r="Q147" s="214" t="s">
        <v>849</v>
      </c>
      <c r="R147" s="214" t="s">
        <v>763</v>
      </c>
      <c r="S147" s="214" t="s">
        <v>1294</v>
      </c>
    </row>
    <row r="148" spans="2:19" x14ac:dyDescent="0.2">
      <c r="B148" s="250" t="s">
        <v>379</v>
      </c>
      <c r="C148" s="250" t="s">
        <v>378</v>
      </c>
      <c r="D148" s="239">
        <v>89516290</v>
      </c>
      <c r="E148" s="239">
        <v>545550</v>
      </c>
      <c r="F148" s="239">
        <v>0</v>
      </c>
      <c r="G148" s="239">
        <v>371140</v>
      </c>
      <c r="H148" s="239">
        <v>0</v>
      </c>
      <c r="I148" s="239">
        <v>371140</v>
      </c>
      <c r="J148" s="239">
        <v>0</v>
      </c>
      <c r="K148" s="239">
        <v>12615</v>
      </c>
      <c r="L148" s="239">
        <v>0</v>
      </c>
      <c r="M148" s="239">
        <v>0</v>
      </c>
      <c r="N148" s="239">
        <v>0</v>
      </c>
      <c r="O148" s="239">
        <v>89678085</v>
      </c>
      <c r="P148" s="214" t="s">
        <v>903</v>
      </c>
      <c r="Q148" s="214" t="s">
        <v>748</v>
      </c>
      <c r="R148" s="214" t="s">
        <v>890</v>
      </c>
      <c r="S148" s="214" t="s">
        <v>748</v>
      </c>
    </row>
    <row r="149" spans="2:19" x14ac:dyDescent="0.2">
      <c r="B149" s="250" t="s">
        <v>381</v>
      </c>
      <c r="C149" s="250" t="s">
        <v>380</v>
      </c>
      <c r="D149" s="239">
        <v>77047351</v>
      </c>
      <c r="E149" s="239">
        <v>0</v>
      </c>
      <c r="F149" s="239">
        <v>218602</v>
      </c>
      <c r="G149" s="239">
        <v>254033</v>
      </c>
      <c r="H149" s="239">
        <v>0</v>
      </c>
      <c r="I149" s="239">
        <v>254033</v>
      </c>
      <c r="J149" s="239">
        <v>0</v>
      </c>
      <c r="K149" s="239">
        <v>0</v>
      </c>
      <c r="L149" s="239">
        <v>0</v>
      </c>
      <c r="M149" s="239">
        <v>0</v>
      </c>
      <c r="N149" s="239">
        <v>0</v>
      </c>
      <c r="O149" s="239">
        <v>76574716</v>
      </c>
      <c r="P149" s="214" t="s">
        <v>902</v>
      </c>
      <c r="Q149" s="214" t="s">
        <v>790</v>
      </c>
      <c r="R149" s="214" t="s">
        <v>749</v>
      </c>
      <c r="S149" s="214" t="s">
        <v>1295</v>
      </c>
    </row>
    <row r="150" spans="2:19" x14ac:dyDescent="0.2">
      <c r="B150" s="250" t="s">
        <v>383</v>
      </c>
      <c r="C150" s="250" t="s">
        <v>382</v>
      </c>
      <c r="D150" s="239">
        <v>100038284</v>
      </c>
      <c r="E150" s="239">
        <v>0</v>
      </c>
      <c r="F150" s="239">
        <v>209212</v>
      </c>
      <c r="G150" s="239">
        <v>610587</v>
      </c>
      <c r="H150" s="239">
        <v>0</v>
      </c>
      <c r="I150" s="239">
        <v>610587</v>
      </c>
      <c r="J150" s="239">
        <v>0</v>
      </c>
      <c r="K150" s="239">
        <v>0</v>
      </c>
      <c r="L150" s="239">
        <v>0</v>
      </c>
      <c r="M150" s="239">
        <v>0</v>
      </c>
      <c r="N150" s="239">
        <v>0</v>
      </c>
      <c r="O150" s="239">
        <v>99218485</v>
      </c>
      <c r="P150" s="214" t="s">
        <v>382</v>
      </c>
      <c r="Q150" s="214" t="s">
        <v>768</v>
      </c>
      <c r="R150" s="214" t="s">
        <v>818</v>
      </c>
      <c r="S150" s="214" t="s">
        <v>1296</v>
      </c>
    </row>
    <row r="151" spans="2:19" x14ac:dyDescent="0.2">
      <c r="B151" s="250" t="s">
        <v>385</v>
      </c>
      <c r="C151" s="250" t="s">
        <v>384</v>
      </c>
      <c r="D151" s="239">
        <v>43016959</v>
      </c>
      <c r="E151" s="239">
        <v>91107</v>
      </c>
      <c r="F151" s="239">
        <v>0</v>
      </c>
      <c r="G151" s="239">
        <v>141291</v>
      </c>
      <c r="H151" s="239">
        <v>0</v>
      </c>
      <c r="I151" s="239">
        <v>141291</v>
      </c>
      <c r="J151" s="239">
        <v>0</v>
      </c>
      <c r="K151" s="239">
        <v>0</v>
      </c>
      <c r="L151" s="239">
        <v>0</v>
      </c>
      <c r="M151" s="239">
        <v>0</v>
      </c>
      <c r="N151" s="239">
        <v>0</v>
      </c>
      <c r="O151" s="239">
        <v>42966775</v>
      </c>
      <c r="P151" s="214" t="s">
        <v>384</v>
      </c>
      <c r="Q151" s="214" t="s">
        <v>768</v>
      </c>
      <c r="R151" s="214" t="s">
        <v>774</v>
      </c>
      <c r="S151" s="214" t="s">
        <v>1296</v>
      </c>
    </row>
    <row r="152" spans="2:19" x14ac:dyDescent="0.2">
      <c r="B152" s="250" t="s">
        <v>387</v>
      </c>
      <c r="C152" s="250" t="s">
        <v>386</v>
      </c>
      <c r="D152" s="239">
        <v>121944154</v>
      </c>
      <c r="E152" s="239">
        <v>1092249</v>
      </c>
      <c r="F152" s="239">
        <v>0</v>
      </c>
      <c r="G152" s="239">
        <v>480869</v>
      </c>
      <c r="H152" s="239">
        <v>0</v>
      </c>
      <c r="I152" s="239">
        <v>480869</v>
      </c>
      <c r="J152" s="239">
        <v>0</v>
      </c>
      <c r="K152" s="239">
        <v>0</v>
      </c>
      <c r="L152" s="239">
        <v>0</v>
      </c>
      <c r="M152" s="239">
        <v>0</v>
      </c>
      <c r="N152" s="239">
        <v>0</v>
      </c>
      <c r="O152" s="239">
        <v>122555534</v>
      </c>
      <c r="P152" s="214" t="s">
        <v>386</v>
      </c>
      <c r="Q152" s="214" t="s">
        <v>790</v>
      </c>
      <c r="R152" s="214" t="s">
        <v>749</v>
      </c>
      <c r="S152" s="214" t="s">
        <v>1297</v>
      </c>
    </row>
    <row r="153" spans="2:19" x14ac:dyDescent="0.2">
      <c r="B153" s="250" t="s">
        <v>389</v>
      </c>
      <c r="C153" s="250" t="s">
        <v>388</v>
      </c>
      <c r="D153" s="239">
        <v>58445236</v>
      </c>
      <c r="E153" s="239">
        <v>0</v>
      </c>
      <c r="F153" s="239">
        <v>23311235</v>
      </c>
      <c r="G153" s="239">
        <v>227185</v>
      </c>
      <c r="H153" s="239">
        <v>0</v>
      </c>
      <c r="I153" s="239">
        <v>227185</v>
      </c>
      <c r="J153" s="239">
        <v>0</v>
      </c>
      <c r="K153" s="239">
        <v>0</v>
      </c>
      <c r="L153" s="239">
        <v>917731</v>
      </c>
      <c r="M153" s="239">
        <v>917731</v>
      </c>
      <c r="N153" s="239">
        <v>0</v>
      </c>
      <c r="O153" s="239">
        <v>33989085</v>
      </c>
      <c r="P153" s="214" t="s">
        <v>388</v>
      </c>
      <c r="Q153" s="214" t="s">
        <v>757</v>
      </c>
      <c r="R153" s="214" t="s">
        <v>755</v>
      </c>
      <c r="S153" s="214" t="s">
        <v>1294</v>
      </c>
    </row>
    <row r="154" spans="2:19" x14ac:dyDescent="0.2">
      <c r="B154" s="250" t="s">
        <v>391</v>
      </c>
      <c r="C154" s="250" t="s">
        <v>390</v>
      </c>
      <c r="D154" s="239">
        <v>360125568</v>
      </c>
      <c r="E154" s="239">
        <v>0</v>
      </c>
      <c r="F154" s="239">
        <v>4889809</v>
      </c>
      <c r="G154" s="239">
        <v>1242261</v>
      </c>
      <c r="H154" s="239">
        <v>0</v>
      </c>
      <c r="I154" s="239">
        <v>1242261</v>
      </c>
      <c r="J154" s="239">
        <v>0</v>
      </c>
      <c r="K154" s="239">
        <v>0</v>
      </c>
      <c r="L154" s="239">
        <v>53464</v>
      </c>
      <c r="M154" s="239">
        <v>53464</v>
      </c>
      <c r="N154" s="239">
        <v>0</v>
      </c>
      <c r="O154" s="239">
        <v>353940034</v>
      </c>
      <c r="P154" s="214" t="s">
        <v>390</v>
      </c>
      <c r="Q154" s="214" t="s">
        <v>768</v>
      </c>
      <c r="R154" s="214" t="s">
        <v>818</v>
      </c>
      <c r="S154" s="214" t="s">
        <v>1296</v>
      </c>
    </row>
    <row r="155" spans="2:19" x14ac:dyDescent="0.2">
      <c r="B155" s="250" t="s">
        <v>393</v>
      </c>
      <c r="C155" s="250" t="s">
        <v>392</v>
      </c>
      <c r="D155" s="239">
        <v>102312173</v>
      </c>
      <c r="E155" s="239">
        <v>0</v>
      </c>
      <c r="F155" s="239">
        <v>653119</v>
      </c>
      <c r="G155" s="239">
        <v>492367</v>
      </c>
      <c r="H155" s="239">
        <v>0</v>
      </c>
      <c r="I155" s="239">
        <v>492367</v>
      </c>
      <c r="J155" s="239">
        <v>0</v>
      </c>
      <c r="K155" s="239">
        <v>0</v>
      </c>
      <c r="L155" s="239">
        <v>0</v>
      </c>
      <c r="M155" s="239">
        <v>0</v>
      </c>
      <c r="N155" s="239">
        <v>0</v>
      </c>
      <c r="O155" s="239">
        <v>101166687</v>
      </c>
      <c r="P155" s="214" t="s">
        <v>901</v>
      </c>
      <c r="Q155" s="214" t="s">
        <v>748</v>
      </c>
      <c r="R155" s="214" t="s">
        <v>869</v>
      </c>
      <c r="S155" s="214" t="s">
        <v>748</v>
      </c>
    </row>
    <row r="156" spans="2:19" x14ac:dyDescent="0.2">
      <c r="B156" s="250" t="s">
        <v>395</v>
      </c>
      <c r="C156" s="250" t="s">
        <v>394</v>
      </c>
      <c r="D156" s="239">
        <v>23984653</v>
      </c>
      <c r="E156" s="239">
        <v>0</v>
      </c>
      <c r="F156" s="239">
        <v>183974</v>
      </c>
      <c r="G156" s="239">
        <v>130673</v>
      </c>
      <c r="H156" s="239">
        <v>0</v>
      </c>
      <c r="I156" s="239">
        <v>130673</v>
      </c>
      <c r="J156" s="239">
        <v>0</v>
      </c>
      <c r="K156" s="239">
        <v>0</v>
      </c>
      <c r="L156" s="239">
        <v>0</v>
      </c>
      <c r="M156" s="239">
        <v>0</v>
      </c>
      <c r="N156" s="239">
        <v>0</v>
      </c>
      <c r="O156" s="239">
        <v>23670006</v>
      </c>
      <c r="P156" s="214" t="s">
        <v>394</v>
      </c>
      <c r="Q156" s="214" t="s">
        <v>809</v>
      </c>
      <c r="R156" s="214" t="s">
        <v>807</v>
      </c>
      <c r="S156" s="214" t="s">
        <v>1294</v>
      </c>
    </row>
    <row r="157" spans="2:19" x14ac:dyDescent="0.2">
      <c r="B157" s="250" t="s">
        <v>397</v>
      </c>
      <c r="C157" s="250" t="s">
        <v>396</v>
      </c>
      <c r="D157" s="239">
        <v>51258812</v>
      </c>
      <c r="E157" s="239">
        <v>301791</v>
      </c>
      <c r="F157" s="239">
        <v>0</v>
      </c>
      <c r="G157" s="239">
        <v>306899</v>
      </c>
      <c r="H157" s="239">
        <v>0</v>
      </c>
      <c r="I157" s="239">
        <v>306899</v>
      </c>
      <c r="J157" s="239">
        <v>0</v>
      </c>
      <c r="K157" s="239">
        <v>0</v>
      </c>
      <c r="L157" s="239">
        <v>0</v>
      </c>
      <c r="M157" s="239">
        <v>0</v>
      </c>
      <c r="N157" s="239">
        <v>0</v>
      </c>
      <c r="O157" s="239">
        <v>51253704</v>
      </c>
      <c r="P157" s="214" t="s">
        <v>396</v>
      </c>
      <c r="Q157" s="214" t="s">
        <v>790</v>
      </c>
      <c r="R157" s="214" t="s">
        <v>749</v>
      </c>
      <c r="S157" s="214" t="s">
        <v>1297</v>
      </c>
    </row>
    <row r="158" spans="2:19" x14ac:dyDescent="0.2">
      <c r="B158" s="250" t="s">
        <v>399</v>
      </c>
      <c r="C158" s="250" t="s">
        <v>398</v>
      </c>
      <c r="D158" s="239">
        <v>34423045</v>
      </c>
      <c r="E158" s="239">
        <v>0</v>
      </c>
      <c r="F158" s="239">
        <v>232162</v>
      </c>
      <c r="G158" s="239">
        <v>124275</v>
      </c>
      <c r="H158" s="239">
        <v>0</v>
      </c>
      <c r="I158" s="239">
        <v>124275</v>
      </c>
      <c r="J158" s="239">
        <v>0</v>
      </c>
      <c r="K158" s="239">
        <v>0</v>
      </c>
      <c r="L158" s="239">
        <v>0</v>
      </c>
      <c r="M158" s="239">
        <v>0</v>
      </c>
      <c r="N158" s="239">
        <v>0</v>
      </c>
      <c r="O158" s="239">
        <v>34066608</v>
      </c>
      <c r="P158" s="214" t="s">
        <v>398</v>
      </c>
      <c r="Q158" s="214" t="s">
        <v>838</v>
      </c>
      <c r="R158" s="214" t="s">
        <v>836</v>
      </c>
      <c r="S158" s="214" t="s">
        <v>1294</v>
      </c>
    </row>
    <row r="159" spans="2:19" x14ac:dyDescent="0.2">
      <c r="B159" s="250" t="s">
        <v>401</v>
      </c>
      <c r="C159" s="250" t="s">
        <v>400</v>
      </c>
      <c r="D159" s="239">
        <v>39228566</v>
      </c>
      <c r="E159" s="239">
        <v>6901</v>
      </c>
      <c r="F159" s="239">
        <v>0</v>
      </c>
      <c r="G159" s="239">
        <v>148989</v>
      </c>
      <c r="H159" s="239">
        <v>0</v>
      </c>
      <c r="I159" s="239">
        <v>148989</v>
      </c>
      <c r="J159" s="239">
        <v>0</v>
      </c>
      <c r="K159" s="239">
        <v>0</v>
      </c>
      <c r="L159" s="239">
        <v>0</v>
      </c>
      <c r="M159" s="239">
        <v>0</v>
      </c>
      <c r="N159" s="239">
        <v>0</v>
      </c>
      <c r="O159" s="239">
        <v>39086478</v>
      </c>
      <c r="P159" s="214" t="s">
        <v>400</v>
      </c>
      <c r="Q159" s="214" t="s">
        <v>798</v>
      </c>
      <c r="R159" s="214" t="s">
        <v>763</v>
      </c>
      <c r="S159" s="214" t="s">
        <v>1294</v>
      </c>
    </row>
    <row r="160" spans="2:19" x14ac:dyDescent="0.2">
      <c r="B160" s="250" t="s">
        <v>403</v>
      </c>
      <c r="C160" s="250" t="s">
        <v>402</v>
      </c>
      <c r="D160" s="239">
        <v>178677211</v>
      </c>
      <c r="E160" s="239">
        <v>0</v>
      </c>
      <c r="F160" s="239">
        <v>1309908</v>
      </c>
      <c r="G160" s="239">
        <v>778592</v>
      </c>
      <c r="H160" s="239">
        <v>0</v>
      </c>
      <c r="I160" s="239">
        <v>778592</v>
      </c>
      <c r="J160" s="239">
        <v>0</v>
      </c>
      <c r="K160" s="239">
        <v>0</v>
      </c>
      <c r="L160" s="239">
        <v>0</v>
      </c>
      <c r="M160" s="239">
        <v>0</v>
      </c>
      <c r="N160" s="239">
        <v>0</v>
      </c>
      <c r="O160" s="239">
        <v>176588711</v>
      </c>
      <c r="P160" s="214" t="s">
        <v>402</v>
      </c>
      <c r="Q160" s="214" t="s">
        <v>768</v>
      </c>
      <c r="R160" s="214" t="s">
        <v>774</v>
      </c>
      <c r="S160" s="214" t="s">
        <v>1296</v>
      </c>
    </row>
    <row r="161" spans="1:19" x14ac:dyDescent="0.2">
      <c r="B161" s="250" t="s">
        <v>405</v>
      </c>
      <c r="C161" s="250" t="s">
        <v>404</v>
      </c>
      <c r="D161" s="239">
        <v>59298053</v>
      </c>
      <c r="E161" s="239">
        <v>0</v>
      </c>
      <c r="F161" s="239">
        <v>7034</v>
      </c>
      <c r="G161" s="239">
        <v>259664</v>
      </c>
      <c r="H161" s="239">
        <v>0</v>
      </c>
      <c r="I161" s="239">
        <v>259664</v>
      </c>
      <c r="J161" s="239">
        <v>0</v>
      </c>
      <c r="K161" s="239">
        <v>0</v>
      </c>
      <c r="L161" s="239">
        <v>0</v>
      </c>
      <c r="M161" s="239">
        <v>0</v>
      </c>
      <c r="N161" s="239">
        <v>0</v>
      </c>
      <c r="O161" s="239">
        <v>59031355</v>
      </c>
      <c r="P161" s="214" t="s">
        <v>900</v>
      </c>
      <c r="Q161" s="214" t="s">
        <v>748</v>
      </c>
      <c r="R161" s="214" t="s">
        <v>898</v>
      </c>
      <c r="S161" s="214" t="s">
        <v>748</v>
      </c>
    </row>
    <row r="162" spans="1:19" x14ac:dyDescent="0.2">
      <c r="B162" s="250" t="s">
        <v>407</v>
      </c>
      <c r="C162" s="250" t="s">
        <v>406</v>
      </c>
      <c r="D162" s="239">
        <v>54965639</v>
      </c>
      <c r="E162" s="239">
        <v>0</v>
      </c>
      <c r="F162" s="239">
        <v>26216</v>
      </c>
      <c r="G162" s="239">
        <v>206271</v>
      </c>
      <c r="H162" s="239">
        <v>0</v>
      </c>
      <c r="I162" s="239">
        <v>206271</v>
      </c>
      <c r="J162" s="239">
        <v>0</v>
      </c>
      <c r="K162" s="239">
        <v>0</v>
      </c>
      <c r="L162" s="239">
        <v>0</v>
      </c>
      <c r="M162" s="239">
        <v>0</v>
      </c>
      <c r="N162" s="239">
        <v>0</v>
      </c>
      <c r="O162" s="239">
        <v>54733152</v>
      </c>
      <c r="P162" s="214" t="s">
        <v>406</v>
      </c>
      <c r="Q162" s="214" t="s">
        <v>826</v>
      </c>
      <c r="R162" s="214" t="s">
        <v>824</v>
      </c>
      <c r="S162" s="214" t="s">
        <v>1294</v>
      </c>
    </row>
    <row r="163" spans="1:19" x14ac:dyDescent="0.2">
      <c r="A163" s="215" t="s">
        <v>1321</v>
      </c>
      <c r="B163" s="250" t="s">
        <v>409</v>
      </c>
      <c r="C163" s="250" t="s">
        <v>408</v>
      </c>
      <c r="D163" s="239">
        <v>13890486</v>
      </c>
      <c r="E163" s="239">
        <v>0</v>
      </c>
      <c r="F163" s="239">
        <v>53436</v>
      </c>
      <c r="G163" s="239">
        <v>93051</v>
      </c>
      <c r="H163" s="239">
        <v>0</v>
      </c>
      <c r="I163" s="239">
        <v>93051</v>
      </c>
      <c r="J163" s="239">
        <v>0</v>
      </c>
      <c r="K163" s="239">
        <v>0</v>
      </c>
      <c r="L163" s="239">
        <v>486386</v>
      </c>
      <c r="M163" s="239">
        <v>486386</v>
      </c>
      <c r="N163" s="239">
        <v>0</v>
      </c>
      <c r="O163" s="239">
        <v>13257613</v>
      </c>
      <c r="P163" s="214" t="s">
        <v>408</v>
      </c>
      <c r="Q163" s="214" t="s">
        <v>822</v>
      </c>
      <c r="R163" s="214" t="s">
        <v>820</v>
      </c>
      <c r="S163" s="214" t="s">
        <v>1294</v>
      </c>
    </row>
    <row r="164" spans="1:19" x14ac:dyDescent="0.2">
      <c r="B164" s="250" t="s">
        <v>411</v>
      </c>
      <c r="C164" s="250" t="s">
        <v>410</v>
      </c>
      <c r="D164" s="239">
        <v>14093583</v>
      </c>
      <c r="E164" s="239">
        <v>142313</v>
      </c>
      <c r="F164" s="239">
        <v>0</v>
      </c>
      <c r="G164" s="239">
        <v>107713</v>
      </c>
      <c r="H164" s="239">
        <v>0</v>
      </c>
      <c r="I164" s="239">
        <v>107713</v>
      </c>
      <c r="J164" s="239">
        <v>0</v>
      </c>
      <c r="K164" s="239">
        <v>0</v>
      </c>
      <c r="L164" s="239">
        <v>0</v>
      </c>
      <c r="M164" s="239">
        <v>0</v>
      </c>
      <c r="N164" s="239">
        <v>0</v>
      </c>
      <c r="O164" s="239">
        <v>14128183</v>
      </c>
      <c r="P164" s="214" t="s">
        <v>410</v>
      </c>
      <c r="Q164" s="214" t="s">
        <v>753</v>
      </c>
      <c r="R164" s="214" t="s">
        <v>751</v>
      </c>
      <c r="S164" s="214" t="s">
        <v>1294</v>
      </c>
    </row>
    <row r="165" spans="1:19" x14ac:dyDescent="0.2">
      <c r="B165" s="250" t="s">
        <v>413</v>
      </c>
      <c r="C165" s="250" t="s">
        <v>412</v>
      </c>
      <c r="D165" s="239">
        <v>353686563</v>
      </c>
      <c r="E165" s="239">
        <v>0</v>
      </c>
      <c r="F165" s="239">
        <v>3734643</v>
      </c>
      <c r="G165" s="239">
        <v>1120777</v>
      </c>
      <c r="H165" s="239">
        <v>0</v>
      </c>
      <c r="I165" s="239">
        <v>1120777</v>
      </c>
      <c r="J165" s="239">
        <v>0</v>
      </c>
      <c r="K165" s="239">
        <v>0</v>
      </c>
      <c r="L165" s="239">
        <v>0</v>
      </c>
      <c r="M165" s="239">
        <v>0</v>
      </c>
      <c r="N165" s="239">
        <v>0</v>
      </c>
      <c r="O165" s="239">
        <v>348831143</v>
      </c>
      <c r="P165" s="214" t="s">
        <v>412</v>
      </c>
      <c r="Q165" s="214" t="s">
        <v>768</v>
      </c>
      <c r="R165" s="214" t="s">
        <v>783</v>
      </c>
      <c r="S165" s="214" t="s">
        <v>1296</v>
      </c>
    </row>
    <row r="166" spans="1:19" x14ac:dyDescent="0.2">
      <c r="B166" s="250" t="s">
        <v>415</v>
      </c>
      <c r="C166" s="250" t="s">
        <v>414</v>
      </c>
      <c r="D166" s="239">
        <v>26269501</v>
      </c>
      <c r="E166" s="239">
        <v>7072</v>
      </c>
      <c r="F166" s="239">
        <v>0</v>
      </c>
      <c r="G166" s="239">
        <v>128720</v>
      </c>
      <c r="H166" s="239">
        <v>0</v>
      </c>
      <c r="I166" s="239">
        <v>128720</v>
      </c>
      <c r="J166" s="239">
        <v>0</v>
      </c>
      <c r="K166" s="239">
        <v>0</v>
      </c>
      <c r="L166" s="239">
        <v>0</v>
      </c>
      <c r="M166" s="239">
        <v>0</v>
      </c>
      <c r="N166" s="239">
        <v>0</v>
      </c>
      <c r="O166" s="239">
        <v>26147853</v>
      </c>
      <c r="P166" s="214" t="s">
        <v>414</v>
      </c>
      <c r="Q166" s="214" t="s">
        <v>874</v>
      </c>
      <c r="R166" s="214" t="s">
        <v>872</v>
      </c>
      <c r="S166" s="214" t="s">
        <v>1294</v>
      </c>
    </row>
    <row r="167" spans="1:19" x14ac:dyDescent="0.2">
      <c r="B167" s="250" t="s">
        <v>417</v>
      </c>
      <c r="C167" s="250" t="s">
        <v>416</v>
      </c>
      <c r="D167" s="239">
        <v>91481375</v>
      </c>
      <c r="E167" s="239">
        <v>0</v>
      </c>
      <c r="F167" s="239">
        <v>35309</v>
      </c>
      <c r="G167" s="239">
        <v>283782</v>
      </c>
      <c r="H167" s="239">
        <v>0</v>
      </c>
      <c r="I167" s="239">
        <v>283782</v>
      </c>
      <c r="J167" s="239">
        <v>0</v>
      </c>
      <c r="K167" s="239">
        <v>0</v>
      </c>
      <c r="L167" s="239">
        <v>0</v>
      </c>
      <c r="M167" s="239">
        <v>0</v>
      </c>
      <c r="N167" s="239">
        <v>0</v>
      </c>
      <c r="O167" s="239">
        <v>91162284</v>
      </c>
      <c r="P167" s="214" t="s">
        <v>897</v>
      </c>
      <c r="Q167" s="214" t="s">
        <v>748</v>
      </c>
      <c r="R167" s="214" t="s">
        <v>824</v>
      </c>
      <c r="S167" s="214" t="s">
        <v>748</v>
      </c>
    </row>
    <row r="168" spans="1:19" x14ac:dyDescent="0.2">
      <c r="B168" s="250" t="s">
        <v>419</v>
      </c>
      <c r="C168" s="250" t="s">
        <v>418</v>
      </c>
      <c r="D168" s="239">
        <v>13210989.4</v>
      </c>
      <c r="E168" s="239">
        <v>0</v>
      </c>
      <c r="F168" s="239">
        <v>18896</v>
      </c>
      <c r="G168" s="239">
        <v>62568</v>
      </c>
      <c r="H168" s="239">
        <v>0</v>
      </c>
      <c r="I168" s="239">
        <v>62568</v>
      </c>
      <c r="J168" s="239">
        <v>0</v>
      </c>
      <c r="K168" s="239">
        <v>0</v>
      </c>
      <c r="L168" s="239">
        <v>81750</v>
      </c>
      <c r="M168" s="239">
        <v>81750</v>
      </c>
      <c r="N168" s="239">
        <v>0</v>
      </c>
      <c r="O168" s="239">
        <v>13047775.4</v>
      </c>
      <c r="P168" s="214" t="s">
        <v>418</v>
      </c>
      <c r="Q168" s="214" t="s">
        <v>884</v>
      </c>
      <c r="R168" s="214" t="s">
        <v>869</v>
      </c>
      <c r="S168" s="214" t="s">
        <v>1294</v>
      </c>
    </row>
    <row r="169" spans="1:19" x14ac:dyDescent="0.2">
      <c r="B169" s="250" t="s">
        <v>421</v>
      </c>
      <c r="C169" s="250" t="s">
        <v>420</v>
      </c>
      <c r="D169" s="239">
        <v>32060976</v>
      </c>
      <c r="E169" s="239">
        <v>472429</v>
      </c>
      <c r="F169" s="239">
        <v>0</v>
      </c>
      <c r="G169" s="239">
        <v>164661</v>
      </c>
      <c r="H169" s="239">
        <v>0</v>
      </c>
      <c r="I169" s="239">
        <v>164661</v>
      </c>
      <c r="J169" s="239">
        <v>0</v>
      </c>
      <c r="K169" s="239">
        <v>0</v>
      </c>
      <c r="L169" s="239">
        <v>220938</v>
      </c>
      <c r="M169" s="239">
        <v>220938</v>
      </c>
      <c r="N169" s="239">
        <v>0</v>
      </c>
      <c r="O169" s="239">
        <v>32147806</v>
      </c>
      <c r="P169" s="214" t="s">
        <v>420</v>
      </c>
      <c r="Q169" s="214" t="s">
        <v>794</v>
      </c>
      <c r="R169" s="214" t="s">
        <v>792</v>
      </c>
      <c r="S169" s="214" t="s">
        <v>1294</v>
      </c>
    </row>
    <row r="170" spans="1:19" x14ac:dyDescent="0.2">
      <c r="B170" s="250" t="s">
        <v>423</v>
      </c>
      <c r="C170" s="250" t="s">
        <v>422</v>
      </c>
      <c r="D170" s="239">
        <v>85530457</v>
      </c>
      <c r="E170" s="239">
        <v>163630</v>
      </c>
      <c r="F170" s="239">
        <v>0</v>
      </c>
      <c r="G170" s="239">
        <v>277151</v>
      </c>
      <c r="H170" s="239">
        <v>0</v>
      </c>
      <c r="I170" s="239">
        <v>277151</v>
      </c>
      <c r="J170" s="239">
        <v>0</v>
      </c>
      <c r="K170" s="239">
        <v>0</v>
      </c>
      <c r="L170" s="239">
        <v>0</v>
      </c>
      <c r="M170" s="239">
        <v>0</v>
      </c>
      <c r="N170" s="239">
        <v>0</v>
      </c>
      <c r="O170" s="239">
        <v>85416936</v>
      </c>
      <c r="P170" s="214" t="s">
        <v>422</v>
      </c>
      <c r="Q170" s="214" t="s">
        <v>790</v>
      </c>
      <c r="R170" s="214" t="s">
        <v>749</v>
      </c>
      <c r="S170" s="214" t="s">
        <v>1295</v>
      </c>
    </row>
    <row r="171" spans="1:19" x14ac:dyDescent="0.2">
      <c r="B171" s="250" t="s">
        <v>425</v>
      </c>
      <c r="C171" s="250" t="s">
        <v>424</v>
      </c>
      <c r="D171" s="239">
        <v>13358983</v>
      </c>
      <c r="E171" s="239">
        <v>119777</v>
      </c>
      <c r="F171" s="239">
        <v>0</v>
      </c>
      <c r="G171" s="239">
        <v>107596</v>
      </c>
      <c r="H171" s="239">
        <v>0</v>
      </c>
      <c r="I171" s="239">
        <v>107596</v>
      </c>
      <c r="J171" s="239">
        <v>0</v>
      </c>
      <c r="K171" s="239">
        <v>0</v>
      </c>
      <c r="L171" s="239">
        <v>91604</v>
      </c>
      <c r="M171" s="239">
        <v>91604</v>
      </c>
      <c r="N171" s="239">
        <v>0</v>
      </c>
      <c r="O171" s="239">
        <v>13279560</v>
      </c>
      <c r="P171" s="214" t="s">
        <v>424</v>
      </c>
      <c r="Q171" s="214" t="s">
        <v>800</v>
      </c>
      <c r="R171" s="214" t="s">
        <v>792</v>
      </c>
      <c r="S171" s="214" t="s">
        <v>1294</v>
      </c>
    </row>
    <row r="172" spans="1:19" x14ac:dyDescent="0.2">
      <c r="B172" s="250" t="s">
        <v>427</v>
      </c>
      <c r="C172" s="250" t="s">
        <v>426</v>
      </c>
      <c r="D172" s="239">
        <v>22106987</v>
      </c>
      <c r="E172" s="239">
        <v>0</v>
      </c>
      <c r="F172" s="239">
        <v>162850</v>
      </c>
      <c r="G172" s="239">
        <v>128399</v>
      </c>
      <c r="H172" s="239">
        <v>0</v>
      </c>
      <c r="I172" s="239">
        <v>128399</v>
      </c>
      <c r="J172" s="239">
        <v>0</v>
      </c>
      <c r="K172" s="239">
        <v>0</v>
      </c>
      <c r="L172" s="239">
        <v>389351</v>
      </c>
      <c r="M172" s="239">
        <v>144556</v>
      </c>
      <c r="N172" s="239">
        <v>244795</v>
      </c>
      <c r="O172" s="239">
        <v>21426387</v>
      </c>
      <c r="P172" s="214" t="s">
        <v>426</v>
      </c>
      <c r="Q172" s="214" t="s">
        <v>811</v>
      </c>
      <c r="R172" s="214" t="s">
        <v>763</v>
      </c>
      <c r="S172" s="214" t="s">
        <v>1294</v>
      </c>
    </row>
    <row r="173" spans="1:19" x14ac:dyDescent="0.2">
      <c r="B173" s="250" t="s">
        <v>429</v>
      </c>
      <c r="C173" s="250" t="s">
        <v>428</v>
      </c>
      <c r="D173" s="239">
        <v>40549418</v>
      </c>
      <c r="E173" s="239">
        <v>182675</v>
      </c>
      <c r="F173" s="239">
        <v>0</v>
      </c>
      <c r="G173" s="239">
        <v>172866</v>
      </c>
      <c r="H173" s="239">
        <v>0</v>
      </c>
      <c r="I173" s="239">
        <v>172866</v>
      </c>
      <c r="J173" s="239">
        <v>0</v>
      </c>
      <c r="K173" s="239">
        <v>0</v>
      </c>
      <c r="L173" s="239">
        <v>0</v>
      </c>
      <c r="M173" s="239">
        <v>0</v>
      </c>
      <c r="N173" s="239">
        <v>0</v>
      </c>
      <c r="O173" s="239">
        <v>40559227</v>
      </c>
      <c r="P173" s="214" t="s">
        <v>428</v>
      </c>
      <c r="Q173" s="214" t="s">
        <v>764</v>
      </c>
      <c r="R173" s="214" t="s">
        <v>763</v>
      </c>
      <c r="S173" s="214" t="s">
        <v>1294</v>
      </c>
    </row>
    <row r="174" spans="1:19" x14ac:dyDescent="0.2">
      <c r="B174" s="250" t="s">
        <v>431</v>
      </c>
      <c r="C174" s="250" t="s">
        <v>430</v>
      </c>
      <c r="D174" s="239">
        <v>41652389</v>
      </c>
      <c r="E174" s="239">
        <v>0</v>
      </c>
      <c r="F174" s="239">
        <v>104308</v>
      </c>
      <c r="G174" s="239">
        <v>178921</v>
      </c>
      <c r="H174" s="239">
        <v>0</v>
      </c>
      <c r="I174" s="239">
        <v>178921</v>
      </c>
      <c r="J174" s="239">
        <v>0</v>
      </c>
      <c r="K174" s="239">
        <v>0</v>
      </c>
      <c r="L174" s="239">
        <v>0</v>
      </c>
      <c r="M174" s="239">
        <v>0</v>
      </c>
      <c r="N174" s="239">
        <v>0</v>
      </c>
      <c r="O174" s="239">
        <v>41369160</v>
      </c>
      <c r="P174" s="214" t="s">
        <v>896</v>
      </c>
      <c r="Q174" s="214" t="s">
        <v>748</v>
      </c>
      <c r="R174" s="214" t="s">
        <v>844</v>
      </c>
      <c r="S174" s="214" t="s">
        <v>748</v>
      </c>
    </row>
    <row r="175" spans="1:19" x14ac:dyDescent="0.2">
      <c r="B175" s="250" t="s">
        <v>433</v>
      </c>
      <c r="C175" s="250" t="s">
        <v>432</v>
      </c>
      <c r="D175" s="239">
        <v>154645272</v>
      </c>
      <c r="E175" s="239">
        <v>0</v>
      </c>
      <c r="F175" s="239">
        <v>1507939</v>
      </c>
      <c r="G175" s="239">
        <v>376320</v>
      </c>
      <c r="H175" s="239">
        <v>0</v>
      </c>
      <c r="I175" s="239">
        <v>376320</v>
      </c>
      <c r="J175" s="239">
        <v>0</v>
      </c>
      <c r="K175" s="239">
        <v>0</v>
      </c>
      <c r="L175" s="239">
        <v>0</v>
      </c>
      <c r="M175" s="239">
        <v>0</v>
      </c>
      <c r="N175" s="239">
        <v>0</v>
      </c>
      <c r="O175" s="239">
        <v>152761013</v>
      </c>
      <c r="P175" s="214" t="s">
        <v>895</v>
      </c>
      <c r="Q175" s="214" t="s">
        <v>748</v>
      </c>
      <c r="R175" s="214" t="s">
        <v>759</v>
      </c>
      <c r="S175" s="214" t="s">
        <v>748</v>
      </c>
    </row>
    <row r="176" spans="1:19" x14ac:dyDescent="0.2">
      <c r="B176" s="250" t="s">
        <v>435</v>
      </c>
      <c r="C176" s="250" t="s">
        <v>434</v>
      </c>
      <c r="D176" s="239">
        <v>40836794</v>
      </c>
      <c r="E176" s="239">
        <v>0</v>
      </c>
      <c r="F176" s="239">
        <v>22990</v>
      </c>
      <c r="G176" s="239">
        <v>151601</v>
      </c>
      <c r="H176" s="239">
        <v>0</v>
      </c>
      <c r="I176" s="239">
        <v>151601</v>
      </c>
      <c r="J176" s="239">
        <v>0</v>
      </c>
      <c r="K176" s="239">
        <v>0</v>
      </c>
      <c r="L176" s="239">
        <v>0</v>
      </c>
      <c r="M176" s="239">
        <v>0</v>
      </c>
      <c r="N176" s="239">
        <v>0</v>
      </c>
      <c r="O176" s="239">
        <v>40662203</v>
      </c>
      <c r="P176" s="214" t="s">
        <v>434</v>
      </c>
      <c r="Q176" s="214" t="s">
        <v>772</v>
      </c>
      <c r="R176" s="214" t="s">
        <v>763</v>
      </c>
      <c r="S176" s="214" t="s">
        <v>1294</v>
      </c>
    </row>
    <row r="177" spans="2:19" x14ac:dyDescent="0.2">
      <c r="B177" s="250" t="s">
        <v>437</v>
      </c>
      <c r="C177" s="250" t="s">
        <v>436</v>
      </c>
      <c r="D177" s="239">
        <v>61682412</v>
      </c>
      <c r="E177" s="239">
        <v>1613564</v>
      </c>
      <c r="F177" s="239">
        <v>0</v>
      </c>
      <c r="G177" s="239">
        <v>280124</v>
      </c>
      <c r="H177" s="239">
        <v>0</v>
      </c>
      <c r="I177" s="239">
        <v>280124</v>
      </c>
      <c r="J177" s="239">
        <v>0</v>
      </c>
      <c r="K177" s="239">
        <v>0</v>
      </c>
      <c r="L177" s="239">
        <v>35213</v>
      </c>
      <c r="M177" s="239">
        <v>35213</v>
      </c>
      <c r="N177" s="239">
        <v>0</v>
      </c>
      <c r="O177" s="239">
        <v>62980639</v>
      </c>
      <c r="P177" s="214" t="s">
        <v>436</v>
      </c>
      <c r="Q177" s="214" t="s">
        <v>779</v>
      </c>
      <c r="R177" s="214" t="s">
        <v>777</v>
      </c>
      <c r="S177" s="214" t="s">
        <v>1294</v>
      </c>
    </row>
    <row r="178" spans="2:19" x14ac:dyDescent="0.2">
      <c r="B178" s="250" t="s">
        <v>439</v>
      </c>
      <c r="C178" s="250" t="s">
        <v>438</v>
      </c>
      <c r="D178" s="239">
        <v>36631989</v>
      </c>
      <c r="E178" s="239">
        <v>0</v>
      </c>
      <c r="F178" s="239">
        <v>146734</v>
      </c>
      <c r="G178" s="239">
        <v>164151</v>
      </c>
      <c r="H178" s="239">
        <v>0</v>
      </c>
      <c r="I178" s="239">
        <v>164151</v>
      </c>
      <c r="J178" s="239">
        <v>0</v>
      </c>
      <c r="K178" s="239">
        <v>0</v>
      </c>
      <c r="L178" s="239">
        <v>64677</v>
      </c>
      <c r="M178" s="239">
        <v>64677</v>
      </c>
      <c r="N178" s="239">
        <v>0</v>
      </c>
      <c r="O178" s="239">
        <v>36256427</v>
      </c>
      <c r="P178" s="214" t="s">
        <v>894</v>
      </c>
      <c r="Q178" s="214" t="s">
        <v>874</v>
      </c>
      <c r="R178" s="214" t="s">
        <v>872</v>
      </c>
      <c r="S178" s="214" t="s">
        <v>1294</v>
      </c>
    </row>
    <row r="179" spans="2:19" x14ac:dyDescent="0.2">
      <c r="B179" s="250" t="s">
        <v>441</v>
      </c>
      <c r="C179" s="250" t="s">
        <v>1144</v>
      </c>
      <c r="D179" s="239">
        <v>140531793</v>
      </c>
      <c r="E179" s="239">
        <v>0</v>
      </c>
      <c r="F179" s="239">
        <v>1359744</v>
      </c>
      <c r="G179" s="239">
        <v>471251</v>
      </c>
      <c r="H179" s="239">
        <v>0</v>
      </c>
      <c r="I179" s="239">
        <v>471251</v>
      </c>
      <c r="J179" s="239">
        <v>0</v>
      </c>
      <c r="K179" s="239">
        <v>476106</v>
      </c>
      <c r="L179" s="239">
        <v>0</v>
      </c>
      <c r="M179" s="239">
        <v>0</v>
      </c>
      <c r="N179" s="239">
        <v>0</v>
      </c>
      <c r="O179" s="239">
        <v>138224692</v>
      </c>
      <c r="P179" s="214" t="s">
        <v>440</v>
      </c>
      <c r="Q179" s="214" t="s">
        <v>768</v>
      </c>
      <c r="R179" s="214" t="s">
        <v>841</v>
      </c>
      <c r="S179" s="214" t="s">
        <v>1296</v>
      </c>
    </row>
    <row r="180" spans="2:19" x14ac:dyDescent="0.2">
      <c r="B180" s="250" t="s">
        <v>443</v>
      </c>
      <c r="C180" s="250" t="s">
        <v>442</v>
      </c>
      <c r="D180" s="239">
        <v>32161809</v>
      </c>
      <c r="E180" s="239">
        <v>230603</v>
      </c>
      <c r="F180" s="239">
        <v>0</v>
      </c>
      <c r="G180" s="239">
        <v>140565</v>
      </c>
      <c r="H180" s="239">
        <v>0</v>
      </c>
      <c r="I180" s="239">
        <v>140565</v>
      </c>
      <c r="J180" s="239">
        <v>0</v>
      </c>
      <c r="K180" s="239">
        <v>0</v>
      </c>
      <c r="L180" s="239">
        <v>0</v>
      </c>
      <c r="M180" s="239">
        <v>0</v>
      </c>
      <c r="N180" s="239">
        <v>0</v>
      </c>
      <c r="O180" s="239">
        <v>32251847</v>
      </c>
      <c r="P180" s="214" t="s">
        <v>442</v>
      </c>
      <c r="Q180" s="214" t="s">
        <v>838</v>
      </c>
      <c r="R180" s="214" t="s">
        <v>836</v>
      </c>
      <c r="S180" s="214" t="s">
        <v>1294</v>
      </c>
    </row>
    <row r="181" spans="2:19" x14ac:dyDescent="0.2">
      <c r="B181" s="250" t="s">
        <v>445</v>
      </c>
      <c r="C181" s="250" t="s">
        <v>444</v>
      </c>
      <c r="D181" s="239">
        <v>125449648</v>
      </c>
      <c r="E181" s="239">
        <v>0</v>
      </c>
      <c r="F181" s="239">
        <v>497634</v>
      </c>
      <c r="G181" s="239">
        <v>371854</v>
      </c>
      <c r="H181" s="239">
        <v>0</v>
      </c>
      <c r="I181" s="239">
        <v>371854</v>
      </c>
      <c r="J181" s="239">
        <v>0</v>
      </c>
      <c r="K181" s="239">
        <v>203349</v>
      </c>
      <c r="L181" s="239">
        <v>0</v>
      </c>
      <c r="M181" s="239">
        <v>0</v>
      </c>
      <c r="N181" s="239">
        <v>0</v>
      </c>
      <c r="O181" s="239">
        <v>124376811</v>
      </c>
      <c r="P181" s="214" t="s">
        <v>444</v>
      </c>
      <c r="Q181" s="214" t="s">
        <v>790</v>
      </c>
      <c r="R181" s="214" t="s">
        <v>749</v>
      </c>
      <c r="S181" s="214" t="s">
        <v>1295</v>
      </c>
    </row>
    <row r="182" spans="2:19" x14ac:dyDescent="0.2">
      <c r="B182" s="250" t="s">
        <v>447</v>
      </c>
      <c r="C182" s="250" t="s">
        <v>446</v>
      </c>
      <c r="D182" s="239">
        <v>29455904</v>
      </c>
      <c r="E182" s="239">
        <v>609668</v>
      </c>
      <c r="F182" s="239">
        <v>0</v>
      </c>
      <c r="G182" s="239">
        <v>201252</v>
      </c>
      <c r="H182" s="239">
        <v>0</v>
      </c>
      <c r="I182" s="239">
        <v>201252</v>
      </c>
      <c r="J182" s="239">
        <v>0</v>
      </c>
      <c r="K182" s="239">
        <v>0</v>
      </c>
      <c r="L182" s="239">
        <v>195352</v>
      </c>
      <c r="M182" s="239">
        <v>195352</v>
      </c>
      <c r="N182" s="239">
        <v>0</v>
      </c>
      <c r="O182" s="239">
        <v>29668968</v>
      </c>
      <c r="P182" s="214" t="s">
        <v>446</v>
      </c>
      <c r="Q182" s="214" t="s">
        <v>800</v>
      </c>
      <c r="R182" s="214" t="s">
        <v>792</v>
      </c>
      <c r="S182" s="214" t="s">
        <v>1294</v>
      </c>
    </row>
    <row r="183" spans="2:19" x14ac:dyDescent="0.2">
      <c r="B183" s="250" t="s">
        <v>449</v>
      </c>
      <c r="C183" s="250" t="s">
        <v>448</v>
      </c>
      <c r="D183" s="239">
        <v>12698817</v>
      </c>
      <c r="E183" s="239">
        <v>0</v>
      </c>
      <c r="F183" s="239">
        <v>147493</v>
      </c>
      <c r="G183" s="239">
        <v>92435</v>
      </c>
      <c r="H183" s="239">
        <v>0</v>
      </c>
      <c r="I183" s="239">
        <v>92435</v>
      </c>
      <c r="J183" s="239">
        <v>0</v>
      </c>
      <c r="K183" s="239">
        <v>0</v>
      </c>
      <c r="L183" s="239">
        <v>179849</v>
      </c>
      <c r="M183" s="239">
        <v>179849</v>
      </c>
      <c r="N183" s="239">
        <v>0</v>
      </c>
      <c r="O183" s="239">
        <v>12279040</v>
      </c>
      <c r="P183" s="214" t="s">
        <v>448</v>
      </c>
      <c r="Q183" s="214" t="s">
        <v>787</v>
      </c>
      <c r="R183" s="214" t="s">
        <v>785</v>
      </c>
      <c r="S183" s="214" t="s">
        <v>1294</v>
      </c>
    </row>
    <row r="184" spans="2:19" x14ac:dyDescent="0.2">
      <c r="B184" s="250" t="s">
        <v>451</v>
      </c>
      <c r="C184" s="250" t="s">
        <v>450</v>
      </c>
      <c r="D184" s="239">
        <v>13535591</v>
      </c>
      <c r="E184" s="239">
        <v>67660</v>
      </c>
      <c r="F184" s="239">
        <v>0</v>
      </c>
      <c r="G184" s="239">
        <v>97835</v>
      </c>
      <c r="H184" s="239">
        <v>0</v>
      </c>
      <c r="I184" s="239">
        <v>97835</v>
      </c>
      <c r="J184" s="239">
        <v>0</v>
      </c>
      <c r="K184" s="239">
        <v>0</v>
      </c>
      <c r="L184" s="239">
        <v>0</v>
      </c>
      <c r="M184" s="239">
        <v>0</v>
      </c>
      <c r="N184" s="239">
        <v>0</v>
      </c>
      <c r="O184" s="239">
        <v>13505416</v>
      </c>
      <c r="P184" s="214" t="s">
        <v>450</v>
      </c>
      <c r="Q184" s="214" t="s">
        <v>858</v>
      </c>
      <c r="R184" s="214" t="s">
        <v>856</v>
      </c>
      <c r="S184" s="214" t="s">
        <v>1294</v>
      </c>
    </row>
    <row r="185" spans="2:19" x14ac:dyDescent="0.2">
      <c r="B185" s="250" t="s">
        <v>453</v>
      </c>
      <c r="C185" s="250" t="s">
        <v>452</v>
      </c>
      <c r="D185" s="239">
        <v>62825778</v>
      </c>
      <c r="E185" s="239">
        <v>821512</v>
      </c>
      <c r="F185" s="239">
        <v>0</v>
      </c>
      <c r="G185" s="239">
        <v>235478</v>
      </c>
      <c r="H185" s="239">
        <v>0</v>
      </c>
      <c r="I185" s="239">
        <v>235478</v>
      </c>
      <c r="J185" s="239">
        <v>0</v>
      </c>
      <c r="K185" s="239">
        <v>0</v>
      </c>
      <c r="L185" s="239">
        <v>0</v>
      </c>
      <c r="M185" s="239">
        <v>0</v>
      </c>
      <c r="N185" s="239">
        <v>0</v>
      </c>
      <c r="O185" s="239">
        <v>63411812</v>
      </c>
      <c r="P185" s="214" t="s">
        <v>893</v>
      </c>
      <c r="Q185" s="214" t="s">
        <v>748</v>
      </c>
      <c r="R185" s="214" t="s">
        <v>890</v>
      </c>
      <c r="S185" s="214" t="s">
        <v>748</v>
      </c>
    </row>
    <row r="186" spans="2:19" x14ac:dyDescent="0.2">
      <c r="B186" s="250" t="s">
        <v>455</v>
      </c>
      <c r="C186" s="250" t="s">
        <v>454</v>
      </c>
      <c r="D186" s="239">
        <v>37432300</v>
      </c>
      <c r="E186" s="239">
        <v>0</v>
      </c>
      <c r="F186" s="239">
        <v>570162</v>
      </c>
      <c r="G186" s="239">
        <v>181145</v>
      </c>
      <c r="H186" s="239">
        <v>0</v>
      </c>
      <c r="I186" s="239">
        <v>181145</v>
      </c>
      <c r="J186" s="239">
        <v>0</v>
      </c>
      <c r="K186" s="239">
        <v>0</v>
      </c>
      <c r="L186" s="239">
        <v>37026</v>
      </c>
      <c r="M186" s="239">
        <v>37026</v>
      </c>
      <c r="N186" s="239">
        <v>0</v>
      </c>
      <c r="O186" s="239">
        <v>36643967</v>
      </c>
      <c r="P186" s="214" t="s">
        <v>454</v>
      </c>
      <c r="Q186" s="214" t="s">
        <v>803</v>
      </c>
      <c r="R186" s="214" t="s">
        <v>763</v>
      </c>
      <c r="S186" s="214" t="s">
        <v>1294</v>
      </c>
    </row>
    <row r="187" spans="2:19" x14ac:dyDescent="0.2">
      <c r="B187" s="250" t="s">
        <v>457</v>
      </c>
      <c r="C187" s="250" t="s">
        <v>456</v>
      </c>
      <c r="D187" s="239">
        <v>22506964</v>
      </c>
      <c r="E187" s="239">
        <v>4147</v>
      </c>
      <c r="F187" s="239">
        <v>0</v>
      </c>
      <c r="G187" s="239">
        <v>122921</v>
      </c>
      <c r="H187" s="239">
        <v>0</v>
      </c>
      <c r="I187" s="239">
        <v>122921</v>
      </c>
      <c r="J187" s="239">
        <v>0</v>
      </c>
      <c r="K187" s="239">
        <v>0</v>
      </c>
      <c r="L187" s="239">
        <v>1644240</v>
      </c>
      <c r="M187" s="239">
        <v>1512240</v>
      </c>
      <c r="N187" s="239">
        <v>132000</v>
      </c>
      <c r="O187" s="239">
        <v>20743950</v>
      </c>
      <c r="P187" s="214" t="s">
        <v>456</v>
      </c>
      <c r="Q187" s="214" t="s">
        <v>798</v>
      </c>
      <c r="R187" s="214" t="s">
        <v>763</v>
      </c>
      <c r="S187" s="214" t="s">
        <v>1294</v>
      </c>
    </row>
    <row r="188" spans="2:19" x14ac:dyDescent="0.2">
      <c r="B188" s="250" t="s">
        <v>459</v>
      </c>
      <c r="C188" s="250" t="s">
        <v>458</v>
      </c>
      <c r="D188" s="239">
        <v>83958691</v>
      </c>
      <c r="E188" s="239">
        <v>0</v>
      </c>
      <c r="F188" s="239">
        <v>1254700</v>
      </c>
      <c r="G188" s="239">
        <v>251144</v>
      </c>
      <c r="H188" s="239">
        <v>0</v>
      </c>
      <c r="I188" s="239">
        <v>251144</v>
      </c>
      <c r="J188" s="239">
        <v>0</v>
      </c>
      <c r="K188" s="239">
        <v>156104</v>
      </c>
      <c r="L188" s="239">
        <v>1122359</v>
      </c>
      <c r="M188" s="239">
        <v>1122359</v>
      </c>
      <c r="N188" s="239">
        <v>0</v>
      </c>
      <c r="O188" s="239">
        <v>81174384</v>
      </c>
      <c r="P188" s="214" t="s">
        <v>892</v>
      </c>
      <c r="Q188" s="214" t="s">
        <v>748</v>
      </c>
      <c r="R188" s="214" t="s">
        <v>890</v>
      </c>
      <c r="S188" s="214" t="s">
        <v>748</v>
      </c>
    </row>
    <row r="189" spans="2:19" x14ac:dyDescent="0.2">
      <c r="B189" s="250" t="s">
        <v>461</v>
      </c>
      <c r="C189" s="250" t="s">
        <v>460</v>
      </c>
      <c r="D189" s="239">
        <v>23160302</v>
      </c>
      <c r="E189" s="239">
        <v>0</v>
      </c>
      <c r="F189" s="239">
        <v>202535</v>
      </c>
      <c r="G189" s="239">
        <v>236095</v>
      </c>
      <c r="H189" s="239">
        <v>0</v>
      </c>
      <c r="I189" s="239">
        <v>236095</v>
      </c>
      <c r="J189" s="239">
        <v>0</v>
      </c>
      <c r="K189" s="239">
        <v>0</v>
      </c>
      <c r="L189" s="239">
        <v>587779</v>
      </c>
      <c r="M189" s="239">
        <v>587779</v>
      </c>
      <c r="N189" s="239">
        <v>0</v>
      </c>
      <c r="O189" s="239">
        <v>22133893</v>
      </c>
      <c r="P189" s="214" t="s">
        <v>460</v>
      </c>
      <c r="Q189" s="214" t="s">
        <v>849</v>
      </c>
      <c r="R189" s="214" t="s">
        <v>763</v>
      </c>
      <c r="S189" s="214" t="s">
        <v>1294</v>
      </c>
    </row>
    <row r="190" spans="2:19" x14ac:dyDescent="0.2">
      <c r="B190" s="250" t="s">
        <v>463</v>
      </c>
      <c r="C190" s="250" t="s">
        <v>462</v>
      </c>
      <c r="D190" s="239">
        <v>68546755</v>
      </c>
      <c r="E190" s="239">
        <v>0</v>
      </c>
      <c r="F190" s="239">
        <v>118251</v>
      </c>
      <c r="G190" s="239">
        <v>261826</v>
      </c>
      <c r="H190" s="239">
        <v>0</v>
      </c>
      <c r="I190" s="239">
        <v>261826</v>
      </c>
      <c r="J190" s="239">
        <v>0</v>
      </c>
      <c r="K190" s="239">
        <v>257821</v>
      </c>
      <c r="L190" s="239">
        <v>89320</v>
      </c>
      <c r="M190" s="239">
        <v>89320</v>
      </c>
      <c r="N190" s="239">
        <v>0</v>
      </c>
      <c r="O190" s="239">
        <v>67819537</v>
      </c>
      <c r="P190" s="214" t="s">
        <v>889</v>
      </c>
      <c r="Q190" s="214" t="s">
        <v>748</v>
      </c>
      <c r="R190" s="214" t="s">
        <v>853</v>
      </c>
      <c r="S190" s="214" t="s">
        <v>748</v>
      </c>
    </row>
    <row r="191" spans="2:19" x14ac:dyDescent="0.2">
      <c r="B191" s="250" t="s">
        <v>465</v>
      </c>
      <c r="C191" s="250" t="s">
        <v>464</v>
      </c>
      <c r="D191" s="239">
        <v>56339728</v>
      </c>
      <c r="E191" s="239">
        <v>0</v>
      </c>
      <c r="F191" s="239">
        <v>256963</v>
      </c>
      <c r="G191" s="239">
        <v>229326</v>
      </c>
      <c r="H191" s="239">
        <v>0</v>
      </c>
      <c r="I191" s="239">
        <v>229326</v>
      </c>
      <c r="J191" s="239">
        <v>0</v>
      </c>
      <c r="K191" s="239">
        <v>24532</v>
      </c>
      <c r="L191" s="239">
        <v>0</v>
      </c>
      <c r="M191" s="239">
        <v>0</v>
      </c>
      <c r="N191" s="239">
        <v>0</v>
      </c>
      <c r="O191" s="239">
        <v>55828907</v>
      </c>
      <c r="P191" s="214" t="s">
        <v>464</v>
      </c>
      <c r="Q191" s="214" t="s">
        <v>768</v>
      </c>
      <c r="R191" s="214" t="s">
        <v>841</v>
      </c>
      <c r="S191" s="214" t="s">
        <v>1296</v>
      </c>
    </row>
    <row r="192" spans="2:19" x14ac:dyDescent="0.2">
      <c r="B192" s="250" t="s">
        <v>467</v>
      </c>
      <c r="C192" s="250" t="s">
        <v>466</v>
      </c>
      <c r="D192" s="239">
        <v>41469251</v>
      </c>
      <c r="E192" s="239">
        <v>0</v>
      </c>
      <c r="F192" s="239">
        <v>185429</v>
      </c>
      <c r="G192" s="239">
        <v>110738</v>
      </c>
      <c r="H192" s="239">
        <v>0</v>
      </c>
      <c r="I192" s="239">
        <v>110738</v>
      </c>
      <c r="J192" s="239">
        <v>0</v>
      </c>
      <c r="K192" s="239">
        <v>0</v>
      </c>
      <c r="L192" s="239">
        <v>0</v>
      </c>
      <c r="M192" s="239">
        <v>0</v>
      </c>
      <c r="N192" s="239">
        <v>0</v>
      </c>
      <c r="O192" s="239">
        <v>41173084</v>
      </c>
      <c r="P192" s="214" t="s">
        <v>466</v>
      </c>
      <c r="Q192" s="214" t="s">
        <v>813</v>
      </c>
      <c r="R192" s="214" t="s">
        <v>763</v>
      </c>
      <c r="S192" s="214" t="s">
        <v>1294</v>
      </c>
    </row>
    <row r="193" spans="2:19" x14ac:dyDescent="0.2">
      <c r="B193" s="250" t="s">
        <v>469</v>
      </c>
      <c r="C193" s="250" t="s">
        <v>468</v>
      </c>
      <c r="D193" s="239">
        <v>51315356</v>
      </c>
      <c r="E193" s="239">
        <v>0</v>
      </c>
      <c r="F193" s="239">
        <v>64599</v>
      </c>
      <c r="G193" s="239">
        <v>146594</v>
      </c>
      <c r="H193" s="239">
        <v>0</v>
      </c>
      <c r="I193" s="239">
        <v>146594</v>
      </c>
      <c r="J193" s="239">
        <v>0</v>
      </c>
      <c r="K193" s="239">
        <v>0</v>
      </c>
      <c r="L193" s="239">
        <v>0</v>
      </c>
      <c r="M193" s="239">
        <v>0</v>
      </c>
      <c r="N193" s="239">
        <v>0</v>
      </c>
      <c r="O193" s="239">
        <v>51104163</v>
      </c>
      <c r="P193" s="214" t="s">
        <v>468</v>
      </c>
      <c r="Q193" s="214" t="s">
        <v>884</v>
      </c>
      <c r="R193" s="214" t="s">
        <v>869</v>
      </c>
      <c r="S193" s="214" t="s">
        <v>1294</v>
      </c>
    </row>
    <row r="194" spans="2:19" x14ac:dyDescent="0.2">
      <c r="B194" s="250" t="s">
        <v>471</v>
      </c>
      <c r="C194" s="250" t="s">
        <v>470</v>
      </c>
      <c r="D194" s="239">
        <v>96994210</v>
      </c>
      <c r="E194" s="239">
        <v>0</v>
      </c>
      <c r="F194" s="239">
        <v>149419</v>
      </c>
      <c r="G194" s="239">
        <v>297757</v>
      </c>
      <c r="H194" s="239">
        <v>0</v>
      </c>
      <c r="I194" s="239">
        <v>297757</v>
      </c>
      <c r="J194" s="239">
        <v>0</v>
      </c>
      <c r="K194" s="239">
        <v>551114</v>
      </c>
      <c r="L194" s="239">
        <v>0</v>
      </c>
      <c r="M194" s="239">
        <v>0</v>
      </c>
      <c r="N194" s="239">
        <v>0</v>
      </c>
      <c r="O194" s="239">
        <v>95995920</v>
      </c>
      <c r="P194" s="214" t="s">
        <v>470</v>
      </c>
      <c r="Q194" s="214" t="s">
        <v>805</v>
      </c>
      <c r="R194" s="214" t="s">
        <v>763</v>
      </c>
      <c r="S194" s="214" t="s">
        <v>1294</v>
      </c>
    </row>
    <row r="195" spans="2:19" x14ac:dyDescent="0.2">
      <c r="B195" s="250" t="s">
        <v>473</v>
      </c>
      <c r="C195" s="250" t="s">
        <v>472</v>
      </c>
      <c r="D195" s="239">
        <v>74043203</v>
      </c>
      <c r="E195" s="239">
        <v>0</v>
      </c>
      <c r="F195" s="239">
        <v>273773</v>
      </c>
      <c r="G195" s="239">
        <v>474651</v>
      </c>
      <c r="H195" s="239">
        <v>0</v>
      </c>
      <c r="I195" s="239">
        <v>474651</v>
      </c>
      <c r="J195" s="239">
        <v>0</v>
      </c>
      <c r="K195" s="239">
        <v>33348</v>
      </c>
      <c r="L195" s="239">
        <v>1221311</v>
      </c>
      <c r="M195" s="239">
        <v>1221311</v>
      </c>
      <c r="N195" s="239">
        <v>0</v>
      </c>
      <c r="O195" s="239">
        <v>72040120</v>
      </c>
      <c r="P195" s="214" t="s">
        <v>472</v>
      </c>
      <c r="Q195" s="214" t="s">
        <v>748</v>
      </c>
      <c r="R195" s="214" t="s">
        <v>763</v>
      </c>
      <c r="S195" s="214" t="s">
        <v>748</v>
      </c>
    </row>
    <row r="196" spans="2:19" x14ac:dyDescent="0.2">
      <c r="B196" s="250" t="s">
        <v>475</v>
      </c>
      <c r="C196" s="250" t="s">
        <v>474</v>
      </c>
      <c r="D196" s="239">
        <v>74989074</v>
      </c>
      <c r="E196" s="239">
        <v>0</v>
      </c>
      <c r="F196" s="239">
        <v>454468</v>
      </c>
      <c r="G196" s="239">
        <v>270558</v>
      </c>
      <c r="H196" s="239">
        <v>0</v>
      </c>
      <c r="I196" s="239">
        <v>270558</v>
      </c>
      <c r="J196" s="239">
        <v>0</v>
      </c>
      <c r="K196" s="239">
        <v>0</v>
      </c>
      <c r="L196" s="239">
        <v>0</v>
      </c>
      <c r="M196" s="239">
        <v>0</v>
      </c>
      <c r="N196" s="239">
        <v>0</v>
      </c>
      <c r="O196" s="239">
        <v>74264048</v>
      </c>
      <c r="P196" s="214" t="s">
        <v>474</v>
      </c>
      <c r="Q196" s="214" t="s">
        <v>849</v>
      </c>
      <c r="R196" s="214" t="s">
        <v>763</v>
      </c>
      <c r="S196" s="214" t="s">
        <v>1294</v>
      </c>
    </row>
    <row r="197" spans="2:19" x14ac:dyDescent="0.2">
      <c r="B197" s="250" t="s">
        <v>477</v>
      </c>
      <c r="C197" s="250" t="s">
        <v>476</v>
      </c>
      <c r="D197" s="239">
        <v>109597265</v>
      </c>
      <c r="E197" s="239">
        <v>121134</v>
      </c>
      <c r="F197" s="239">
        <v>0</v>
      </c>
      <c r="G197" s="239">
        <v>493483</v>
      </c>
      <c r="H197" s="239">
        <v>1943</v>
      </c>
      <c r="I197" s="239">
        <v>495426</v>
      </c>
      <c r="J197" s="239">
        <v>0</v>
      </c>
      <c r="K197" s="239">
        <v>0</v>
      </c>
      <c r="L197" s="239">
        <v>0</v>
      </c>
      <c r="M197" s="239">
        <v>0</v>
      </c>
      <c r="N197" s="239">
        <v>0</v>
      </c>
      <c r="O197" s="239">
        <v>109222973</v>
      </c>
      <c r="P197" s="214" t="s">
        <v>888</v>
      </c>
      <c r="Q197" s="214" t="s">
        <v>748</v>
      </c>
      <c r="R197" s="214" t="s">
        <v>872</v>
      </c>
      <c r="S197" s="214" t="s">
        <v>748</v>
      </c>
    </row>
    <row r="198" spans="2:19" x14ac:dyDescent="0.2">
      <c r="B198" s="250" t="s">
        <v>479</v>
      </c>
      <c r="C198" s="250" t="s">
        <v>478</v>
      </c>
      <c r="D198" s="239">
        <v>33527873</v>
      </c>
      <c r="E198" s="239">
        <v>0</v>
      </c>
      <c r="F198" s="239">
        <v>62298</v>
      </c>
      <c r="G198" s="239">
        <v>134325</v>
      </c>
      <c r="H198" s="239">
        <v>0</v>
      </c>
      <c r="I198" s="239">
        <v>134325</v>
      </c>
      <c r="J198" s="239">
        <v>0</v>
      </c>
      <c r="K198" s="239">
        <v>0</v>
      </c>
      <c r="L198" s="239">
        <v>0</v>
      </c>
      <c r="M198" s="239">
        <v>0</v>
      </c>
      <c r="N198" s="239">
        <v>0</v>
      </c>
      <c r="O198" s="239">
        <v>33331250</v>
      </c>
      <c r="P198" s="214" t="s">
        <v>887</v>
      </c>
      <c r="Q198" s="214" t="s">
        <v>813</v>
      </c>
      <c r="R198" s="214" t="s">
        <v>763</v>
      </c>
      <c r="S198" s="214" t="s">
        <v>1294</v>
      </c>
    </row>
    <row r="199" spans="2:19" x14ac:dyDescent="0.2">
      <c r="B199" s="250" t="s">
        <v>481</v>
      </c>
      <c r="C199" s="250" t="s">
        <v>480</v>
      </c>
      <c r="D199" s="239">
        <v>11662184</v>
      </c>
      <c r="E199" s="239">
        <v>0</v>
      </c>
      <c r="F199" s="239">
        <v>1046</v>
      </c>
      <c r="G199" s="239">
        <v>56350</v>
      </c>
      <c r="H199" s="239">
        <v>0</v>
      </c>
      <c r="I199" s="239">
        <v>56350</v>
      </c>
      <c r="J199" s="239">
        <v>0</v>
      </c>
      <c r="K199" s="239">
        <v>0</v>
      </c>
      <c r="L199" s="239">
        <v>0</v>
      </c>
      <c r="M199" s="239">
        <v>0</v>
      </c>
      <c r="N199" s="239">
        <v>0</v>
      </c>
      <c r="O199" s="239">
        <v>11604788</v>
      </c>
      <c r="P199" s="214" t="s">
        <v>886</v>
      </c>
      <c r="Q199" s="214" t="s">
        <v>884</v>
      </c>
      <c r="R199" s="214" t="s">
        <v>869</v>
      </c>
      <c r="S199" s="214" t="s">
        <v>1294</v>
      </c>
    </row>
    <row r="200" spans="2:19" x14ac:dyDescent="0.2">
      <c r="B200" s="250" t="s">
        <v>483</v>
      </c>
      <c r="C200" s="250" t="s">
        <v>482</v>
      </c>
      <c r="D200" s="239">
        <v>54131007</v>
      </c>
      <c r="E200" s="239">
        <v>605824</v>
      </c>
      <c r="F200" s="239">
        <v>0</v>
      </c>
      <c r="G200" s="239">
        <v>311145</v>
      </c>
      <c r="H200" s="239">
        <v>0</v>
      </c>
      <c r="I200" s="239">
        <v>311145</v>
      </c>
      <c r="J200" s="239">
        <v>0</v>
      </c>
      <c r="K200" s="239">
        <v>0</v>
      </c>
      <c r="L200" s="239">
        <v>0</v>
      </c>
      <c r="M200" s="239">
        <v>0</v>
      </c>
      <c r="N200" s="239">
        <v>0</v>
      </c>
      <c r="O200" s="239">
        <v>54425686</v>
      </c>
      <c r="P200" s="214" t="s">
        <v>482</v>
      </c>
      <c r="Q200" s="214" t="s">
        <v>768</v>
      </c>
      <c r="R200" s="214" t="s">
        <v>783</v>
      </c>
      <c r="S200" s="214" t="s">
        <v>1296</v>
      </c>
    </row>
    <row r="201" spans="2:19" x14ac:dyDescent="0.2">
      <c r="B201" s="250" t="s">
        <v>485</v>
      </c>
      <c r="C201" s="250" t="s">
        <v>484</v>
      </c>
      <c r="D201" s="239">
        <v>87742730</v>
      </c>
      <c r="E201" s="239">
        <v>0</v>
      </c>
      <c r="F201" s="239">
        <v>85179</v>
      </c>
      <c r="G201" s="239">
        <v>219682</v>
      </c>
      <c r="H201" s="239">
        <v>0</v>
      </c>
      <c r="I201" s="239">
        <v>219682</v>
      </c>
      <c r="J201" s="239">
        <v>0</v>
      </c>
      <c r="K201" s="239">
        <v>0</v>
      </c>
      <c r="L201" s="239">
        <v>21818</v>
      </c>
      <c r="M201" s="239">
        <v>21818</v>
      </c>
      <c r="N201" s="239">
        <v>0</v>
      </c>
      <c r="O201" s="239">
        <v>87416051</v>
      </c>
      <c r="P201" s="214" t="s">
        <v>484</v>
      </c>
      <c r="Q201" s="214" t="s">
        <v>796</v>
      </c>
      <c r="R201" s="214" t="s">
        <v>763</v>
      </c>
      <c r="S201" s="214" t="s">
        <v>1294</v>
      </c>
    </row>
    <row r="202" spans="2:19" x14ac:dyDescent="0.2">
      <c r="B202" s="250" t="s">
        <v>487</v>
      </c>
      <c r="C202" s="250" t="s">
        <v>486</v>
      </c>
      <c r="D202" s="239">
        <v>17226799</v>
      </c>
      <c r="E202" s="239">
        <v>0</v>
      </c>
      <c r="F202" s="239">
        <v>153171</v>
      </c>
      <c r="G202" s="239">
        <v>136755</v>
      </c>
      <c r="H202" s="239">
        <v>0</v>
      </c>
      <c r="I202" s="239">
        <v>136755</v>
      </c>
      <c r="J202" s="239">
        <v>0</v>
      </c>
      <c r="K202" s="239">
        <v>0</v>
      </c>
      <c r="L202" s="239">
        <v>0</v>
      </c>
      <c r="M202" s="239">
        <v>0</v>
      </c>
      <c r="N202" s="239">
        <v>0</v>
      </c>
      <c r="O202" s="239">
        <v>16936873</v>
      </c>
      <c r="P202" s="214" t="s">
        <v>486</v>
      </c>
      <c r="Q202" s="214" t="s">
        <v>757</v>
      </c>
      <c r="R202" s="214" t="s">
        <v>755</v>
      </c>
      <c r="S202" s="214" t="s">
        <v>1294</v>
      </c>
    </row>
    <row r="203" spans="2:19" x14ac:dyDescent="0.2">
      <c r="B203" s="250" t="s">
        <v>489</v>
      </c>
      <c r="C203" s="250" t="s">
        <v>488</v>
      </c>
      <c r="D203" s="239">
        <v>101296930</v>
      </c>
      <c r="E203" s="239">
        <v>0</v>
      </c>
      <c r="F203" s="239">
        <v>4838315</v>
      </c>
      <c r="G203" s="239">
        <v>274992</v>
      </c>
      <c r="H203" s="239">
        <v>0</v>
      </c>
      <c r="I203" s="239">
        <v>274992</v>
      </c>
      <c r="J203" s="239">
        <v>0</v>
      </c>
      <c r="K203" s="239">
        <v>0</v>
      </c>
      <c r="L203" s="239">
        <v>20815</v>
      </c>
      <c r="M203" s="239">
        <v>20815</v>
      </c>
      <c r="N203" s="239">
        <v>0</v>
      </c>
      <c r="O203" s="239">
        <v>96162808</v>
      </c>
      <c r="P203" s="214" t="s">
        <v>883</v>
      </c>
      <c r="Q203" s="214" t="s">
        <v>748</v>
      </c>
      <c r="R203" s="214" t="s">
        <v>860</v>
      </c>
      <c r="S203" s="214" t="s">
        <v>748</v>
      </c>
    </row>
    <row r="204" spans="2:19" x14ac:dyDescent="0.2">
      <c r="B204" s="250" t="s">
        <v>491</v>
      </c>
      <c r="C204" s="250" t="s">
        <v>490</v>
      </c>
      <c r="D204" s="239">
        <v>86944466</v>
      </c>
      <c r="E204" s="239">
        <v>178329</v>
      </c>
      <c r="F204" s="239">
        <v>0</v>
      </c>
      <c r="G204" s="239">
        <v>312349</v>
      </c>
      <c r="H204" s="239">
        <v>0</v>
      </c>
      <c r="I204" s="239">
        <v>312349</v>
      </c>
      <c r="J204" s="239">
        <v>0</v>
      </c>
      <c r="K204" s="239">
        <v>0</v>
      </c>
      <c r="L204" s="239">
        <v>101951</v>
      </c>
      <c r="M204" s="239">
        <v>101951</v>
      </c>
      <c r="N204" s="239">
        <v>0</v>
      </c>
      <c r="O204" s="239">
        <v>86708495</v>
      </c>
      <c r="P204" s="214" t="s">
        <v>882</v>
      </c>
      <c r="Q204" s="214" t="s">
        <v>748</v>
      </c>
      <c r="R204" s="214" t="s">
        <v>792</v>
      </c>
      <c r="S204" s="214" t="s">
        <v>748</v>
      </c>
    </row>
    <row r="205" spans="2:19" x14ac:dyDescent="0.2">
      <c r="B205" s="250" t="s">
        <v>493</v>
      </c>
      <c r="C205" s="250" t="s">
        <v>492</v>
      </c>
      <c r="D205" s="239">
        <v>60104974</v>
      </c>
      <c r="E205" s="239">
        <v>0</v>
      </c>
      <c r="F205" s="239">
        <v>92407</v>
      </c>
      <c r="G205" s="239">
        <v>236916</v>
      </c>
      <c r="H205" s="239">
        <v>0</v>
      </c>
      <c r="I205" s="239">
        <v>236916</v>
      </c>
      <c r="J205" s="239">
        <v>0</v>
      </c>
      <c r="K205" s="239">
        <v>0</v>
      </c>
      <c r="L205" s="239">
        <v>0</v>
      </c>
      <c r="M205" s="239">
        <v>0</v>
      </c>
      <c r="N205" s="239">
        <v>0</v>
      </c>
      <c r="O205" s="239">
        <v>59775651</v>
      </c>
      <c r="P205" s="214" t="s">
        <v>881</v>
      </c>
      <c r="Q205" s="214" t="s">
        <v>748</v>
      </c>
      <c r="R205" s="214" t="s">
        <v>785</v>
      </c>
      <c r="S205" s="214" t="s">
        <v>748</v>
      </c>
    </row>
    <row r="206" spans="2:19" x14ac:dyDescent="0.2">
      <c r="B206" s="250" t="s">
        <v>495</v>
      </c>
      <c r="C206" s="250" t="s">
        <v>494</v>
      </c>
      <c r="D206" s="239">
        <v>83214622</v>
      </c>
      <c r="E206" s="239">
        <v>478368</v>
      </c>
      <c r="F206" s="239">
        <v>0</v>
      </c>
      <c r="G206" s="239">
        <v>277975</v>
      </c>
      <c r="H206" s="239">
        <v>0</v>
      </c>
      <c r="I206" s="239">
        <v>277975</v>
      </c>
      <c r="J206" s="239">
        <v>0</v>
      </c>
      <c r="K206" s="239">
        <v>0</v>
      </c>
      <c r="L206" s="239">
        <v>0</v>
      </c>
      <c r="M206" s="239">
        <v>0</v>
      </c>
      <c r="N206" s="239">
        <v>0</v>
      </c>
      <c r="O206" s="239">
        <v>83415015</v>
      </c>
      <c r="P206" s="214" t="s">
        <v>880</v>
      </c>
      <c r="Q206" s="214" t="s">
        <v>748</v>
      </c>
      <c r="R206" s="214" t="s">
        <v>777</v>
      </c>
      <c r="S206" s="214" t="s">
        <v>748</v>
      </c>
    </row>
    <row r="207" spans="2:19" x14ac:dyDescent="0.2">
      <c r="B207" s="250" t="s">
        <v>497</v>
      </c>
      <c r="C207" s="250" t="s">
        <v>496</v>
      </c>
      <c r="D207" s="239">
        <v>65869471</v>
      </c>
      <c r="E207" s="239">
        <v>0</v>
      </c>
      <c r="F207" s="239">
        <v>129042</v>
      </c>
      <c r="G207" s="239">
        <v>237714</v>
      </c>
      <c r="H207" s="239">
        <v>0</v>
      </c>
      <c r="I207" s="239">
        <v>237714</v>
      </c>
      <c r="J207" s="239">
        <v>0</v>
      </c>
      <c r="K207" s="239">
        <v>0</v>
      </c>
      <c r="L207" s="239">
        <v>1988</v>
      </c>
      <c r="M207" s="239">
        <v>1988</v>
      </c>
      <c r="N207" s="239">
        <v>0</v>
      </c>
      <c r="O207" s="239">
        <v>65500727</v>
      </c>
      <c r="P207" s="214" t="s">
        <v>496</v>
      </c>
      <c r="Q207" s="214" t="s">
        <v>757</v>
      </c>
      <c r="R207" s="214" t="s">
        <v>755</v>
      </c>
      <c r="S207" s="214" t="s">
        <v>1294</v>
      </c>
    </row>
    <row r="208" spans="2:19" x14ac:dyDescent="0.2">
      <c r="B208" s="250" t="s">
        <v>499</v>
      </c>
      <c r="C208" s="250" t="s">
        <v>498</v>
      </c>
      <c r="D208" s="239">
        <v>13346578</v>
      </c>
      <c r="E208" s="239">
        <v>0</v>
      </c>
      <c r="F208" s="239">
        <v>7006</v>
      </c>
      <c r="G208" s="239">
        <v>96644</v>
      </c>
      <c r="H208" s="239">
        <v>0</v>
      </c>
      <c r="I208" s="239">
        <v>96644</v>
      </c>
      <c r="J208" s="239">
        <v>0</v>
      </c>
      <c r="K208" s="239">
        <v>0</v>
      </c>
      <c r="L208" s="239">
        <v>174481</v>
      </c>
      <c r="M208" s="239">
        <v>174481</v>
      </c>
      <c r="N208" s="239">
        <v>0</v>
      </c>
      <c r="O208" s="239">
        <v>13068447</v>
      </c>
      <c r="P208" s="214" t="s">
        <v>498</v>
      </c>
      <c r="Q208" s="214" t="s">
        <v>787</v>
      </c>
      <c r="R208" s="214" t="s">
        <v>785</v>
      </c>
      <c r="S208" s="214" t="s">
        <v>1294</v>
      </c>
    </row>
    <row r="209" spans="2:19" x14ac:dyDescent="0.2">
      <c r="B209" s="250" t="s">
        <v>501</v>
      </c>
      <c r="C209" s="250" t="s">
        <v>500</v>
      </c>
      <c r="D209" s="239">
        <v>105428430.71000001</v>
      </c>
      <c r="E209" s="239">
        <v>0</v>
      </c>
      <c r="F209" s="239">
        <v>123931</v>
      </c>
      <c r="G209" s="239">
        <v>270170</v>
      </c>
      <c r="H209" s="239">
        <v>0</v>
      </c>
      <c r="I209" s="239">
        <v>270170</v>
      </c>
      <c r="J209" s="239">
        <v>0</v>
      </c>
      <c r="K209" s="239">
        <v>0</v>
      </c>
      <c r="L209" s="239">
        <v>0</v>
      </c>
      <c r="M209" s="239">
        <v>0</v>
      </c>
      <c r="N209" s="239">
        <v>0</v>
      </c>
      <c r="O209" s="239">
        <v>105034329.71000001</v>
      </c>
      <c r="P209" s="214" t="s">
        <v>879</v>
      </c>
      <c r="Q209" s="214" t="s">
        <v>748</v>
      </c>
      <c r="R209" s="214" t="s">
        <v>769</v>
      </c>
      <c r="S209" s="214" t="s">
        <v>748</v>
      </c>
    </row>
    <row r="210" spans="2:19" x14ac:dyDescent="0.2">
      <c r="B210" s="250" t="s">
        <v>503</v>
      </c>
      <c r="C210" s="250" t="s">
        <v>502</v>
      </c>
      <c r="D210" s="239">
        <v>51873431</v>
      </c>
      <c r="E210" s="239">
        <v>0</v>
      </c>
      <c r="F210" s="239">
        <v>57876</v>
      </c>
      <c r="G210" s="239">
        <v>281315</v>
      </c>
      <c r="H210" s="239">
        <v>0</v>
      </c>
      <c r="I210" s="239">
        <v>281315</v>
      </c>
      <c r="J210" s="239">
        <v>0</v>
      </c>
      <c r="K210" s="239">
        <v>0</v>
      </c>
      <c r="L210" s="239">
        <v>0</v>
      </c>
      <c r="M210" s="239">
        <v>0</v>
      </c>
      <c r="N210" s="239">
        <v>0</v>
      </c>
      <c r="O210" s="239">
        <v>51534240</v>
      </c>
      <c r="P210" s="214" t="s">
        <v>502</v>
      </c>
      <c r="Q210" s="214" t="s">
        <v>790</v>
      </c>
      <c r="R210" s="214" t="s">
        <v>749</v>
      </c>
      <c r="S210" s="214" t="s">
        <v>1295</v>
      </c>
    </row>
    <row r="211" spans="2:19" x14ac:dyDescent="0.2">
      <c r="B211" s="250" t="s">
        <v>505</v>
      </c>
      <c r="C211" s="250" t="s">
        <v>504</v>
      </c>
      <c r="D211" s="239">
        <v>37414102</v>
      </c>
      <c r="E211" s="239">
        <v>28624</v>
      </c>
      <c r="F211" s="239">
        <v>0</v>
      </c>
      <c r="G211" s="239">
        <v>169391</v>
      </c>
      <c r="H211" s="239">
        <v>0</v>
      </c>
      <c r="I211" s="239">
        <v>169391</v>
      </c>
      <c r="J211" s="239">
        <v>0</v>
      </c>
      <c r="K211" s="239">
        <v>0</v>
      </c>
      <c r="L211" s="239">
        <v>0</v>
      </c>
      <c r="M211" s="239">
        <v>0</v>
      </c>
      <c r="N211" s="239">
        <v>0</v>
      </c>
      <c r="O211" s="239">
        <v>37273335</v>
      </c>
      <c r="P211" s="214" t="s">
        <v>878</v>
      </c>
      <c r="Q211" s="214" t="s">
        <v>748</v>
      </c>
      <c r="R211" s="214" t="s">
        <v>844</v>
      </c>
      <c r="S211" s="214" t="s">
        <v>748</v>
      </c>
    </row>
    <row r="212" spans="2:19" x14ac:dyDescent="0.2">
      <c r="B212" s="250" t="s">
        <v>507</v>
      </c>
      <c r="C212" s="250" t="s">
        <v>506</v>
      </c>
      <c r="D212" s="239">
        <v>37101620</v>
      </c>
      <c r="E212" s="239">
        <v>0</v>
      </c>
      <c r="F212" s="239">
        <v>46129</v>
      </c>
      <c r="G212" s="239">
        <v>109875</v>
      </c>
      <c r="H212" s="239">
        <v>0</v>
      </c>
      <c r="I212" s="239">
        <v>109875</v>
      </c>
      <c r="J212" s="239">
        <v>0</v>
      </c>
      <c r="K212" s="239">
        <v>0</v>
      </c>
      <c r="L212" s="239">
        <v>0</v>
      </c>
      <c r="M212" s="239">
        <v>0</v>
      </c>
      <c r="N212" s="239">
        <v>0</v>
      </c>
      <c r="O212" s="239">
        <v>36945616</v>
      </c>
      <c r="P212" s="214" t="s">
        <v>506</v>
      </c>
      <c r="Q212" s="214" t="s">
        <v>753</v>
      </c>
      <c r="R212" s="214" t="s">
        <v>751</v>
      </c>
      <c r="S212" s="214" t="s">
        <v>1294</v>
      </c>
    </row>
    <row r="213" spans="2:19" x14ac:dyDescent="0.2">
      <c r="B213" s="250" t="s">
        <v>509</v>
      </c>
      <c r="C213" s="250" t="s">
        <v>508</v>
      </c>
      <c r="D213" s="239">
        <v>48065409</v>
      </c>
      <c r="E213" s="239">
        <v>139647</v>
      </c>
      <c r="F213" s="239">
        <v>0</v>
      </c>
      <c r="G213" s="239">
        <v>175241</v>
      </c>
      <c r="H213" s="239">
        <v>0</v>
      </c>
      <c r="I213" s="239">
        <v>175241</v>
      </c>
      <c r="J213" s="239">
        <v>0</v>
      </c>
      <c r="K213" s="239">
        <v>0</v>
      </c>
      <c r="L213" s="239">
        <v>0</v>
      </c>
      <c r="M213" s="239">
        <v>0</v>
      </c>
      <c r="N213" s="239">
        <v>0</v>
      </c>
      <c r="O213" s="239">
        <v>48029815</v>
      </c>
      <c r="P213" s="214" t="s">
        <v>877</v>
      </c>
      <c r="Q213" s="214" t="s">
        <v>772</v>
      </c>
      <c r="R213" s="214" t="s">
        <v>763</v>
      </c>
      <c r="S213" s="214" t="s">
        <v>1294</v>
      </c>
    </row>
    <row r="214" spans="2:19" x14ac:dyDescent="0.2">
      <c r="B214" s="250" t="s">
        <v>511</v>
      </c>
      <c r="C214" s="250" t="s">
        <v>510</v>
      </c>
      <c r="D214" s="239">
        <v>13829515</v>
      </c>
      <c r="E214" s="239">
        <v>0</v>
      </c>
      <c r="F214" s="239">
        <v>13081</v>
      </c>
      <c r="G214" s="239">
        <v>90494</v>
      </c>
      <c r="H214" s="239">
        <v>0</v>
      </c>
      <c r="I214" s="239">
        <v>90494</v>
      </c>
      <c r="J214" s="239">
        <v>0</v>
      </c>
      <c r="K214" s="239">
        <v>17772</v>
      </c>
      <c r="L214" s="239">
        <v>11595</v>
      </c>
      <c r="M214" s="239">
        <v>11595</v>
      </c>
      <c r="N214" s="239">
        <v>0</v>
      </c>
      <c r="O214" s="239">
        <v>13696573</v>
      </c>
      <c r="P214" s="214" t="s">
        <v>510</v>
      </c>
      <c r="Q214" s="214" t="s">
        <v>757</v>
      </c>
      <c r="R214" s="214" t="s">
        <v>755</v>
      </c>
      <c r="S214" s="214" t="s">
        <v>1294</v>
      </c>
    </row>
    <row r="215" spans="2:19" x14ac:dyDescent="0.2">
      <c r="B215" s="250" t="s">
        <v>513</v>
      </c>
      <c r="C215" s="250" t="s">
        <v>512</v>
      </c>
      <c r="D215" s="239">
        <v>78150049</v>
      </c>
      <c r="E215" s="239">
        <v>0</v>
      </c>
      <c r="F215" s="239">
        <v>0</v>
      </c>
      <c r="G215" s="239">
        <v>299392</v>
      </c>
      <c r="H215" s="239">
        <v>0</v>
      </c>
      <c r="I215" s="239">
        <v>299392</v>
      </c>
      <c r="J215" s="239">
        <v>0</v>
      </c>
      <c r="K215" s="239">
        <v>0</v>
      </c>
      <c r="L215" s="239">
        <v>0</v>
      </c>
      <c r="M215" s="239">
        <v>0</v>
      </c>
      <c r="N215" s="239">
        <v>0</v>
      </c>
      <c r="O215" s="239">
        <v>77850657</v>
      </c>
      <c r="P215" s="214" t="s">
        <v>876</v>
      </c>
      <c r="Q215" s="214" t="s">
        <v>790</v>
      </c>
      <c r="R215" s="214" t="s">
        <v>749</v>
      </c>
      <c r="S215" s="214" t="s">
        <v>1295</v>
      </c>
    </row>
    <row r="216" spans="2:19" x14ac:dyDescent="0.2">
      <c r="B216" s="250" t="s">
        <v>515</v>
      </c>
      <c r="C216" s="250" t="s">
        <v>514</v>
      </c>
      <c r="D216" s="239">
        <v>12036534</v>
      </c>
      <c r="E216" s="239">
        <v>0</v>
      </c>
      <c r="F216" s="239">
        <v>38189</v>
      </c>
      <c r="G216" s="239">
        <v>96555</v>
      </c>
      <c r="H216" s="239">
        <v>0</v>
      </c>
      <c r="I216" s="239">
        <v>96555</v>
      </c>
      <c r="J216" s="239">
        <v>0</v>
      </c>
      <c r="K216" s="239">
        <v>0</v>
      </c>
      <c r="L216" s="239">
        <v>0</v>
      </c>
      <c r="M216" s="239">
        <v>0</v>
      </c>
      <c r="N216" s="239">
        <v>0</v>
      </c>
      <c r="O216" s="239">
        <v>11901790</v>
      </c>
      <c r="P216" s="214" t="s">
        <v>514</v>
      </c>
      <c r="Q216" s="214" t="s">
        <v>867</v>
      </c>
      <c r="R216" s="214" t="s">
        <v>746</v>
      </c>
      <c r="S216" s="214" t="s">
        <v>1294</v>
      </c>
    </row>
    <row r="217" spans="2:19" x14ac:dyDescent="0.2">
      <c r="B217" s="250" t="s">
        <v>517</v>
      </c>
      <c r="C217" s="250" t="s">
        <v>516</v>
      </c>
      <c r="D217" s="239">
        <v>63649180</v>
      </c>
      <c r="E217" s="239">
        <v>0</v>
      </c>
      <c r="F217" s="239">
        <v>55150</v>
      </c>
      <c r="G217" s="239">
        <v>285653</v>
      </c>
      <c r="H217" s="239">
        <v>0</v>
      </c>
      <c r="I217" s="239">
        <v>285653</v>
      </c>
      <c r="J217" s="239">
        <v>0</v>
      </c>
      <c r="K217" s="239">
        <v>0</v>
      </c>
      <c r="L217" s="239">
        <v>0</v>
      </c>
      <c r="M217" s="239">
        <v>0</v>
      </c>
      <c r="N217" s="239">
        <v>0</v>
      </c>
      <c r="O217" s="239">
        <v>63308377</v>
      </c>
      <c r="P217" s="214" t="s">
        <v>516</v>
      </c>
      <c r="Q217" s="214" t="s">
        <v>768</v>
      </c>
      <c r="R217" s="214" t="s">
        <v>783</v>
      </c>
      <c r="S217" s="214" t="s">
        <v>1296</v>
      </c>
    </row>
    <row r="218" spans="2:19" x14ac:dyDescent="0.2">
      <c r="B218" s="250" t="s">
        <v>519</v>
      </c>
      <c r="C218" s="250" t="s">
        <v>518</v>
      </c>
      <c r="D218" s="239">
        <v>15048582</v>
      </c>
      <c r="E218" s="239">
        <v>0</v>
      </c>
      <c r="F218" s="239">
        <v>9943</v>
      </c>
      <c r="G218" s="239">
        <v>85235</v>
      </c>
      <c r="H218" s="239">
        <v>0</v>
      </c>
      <c r="I218" s="239">
        <v>85235</v>
      </c>
      <c r="J218" s="239">
        <v>0</v>
      </c>
      <c r="K218" s="239">
        <v>0</v>
      </c>
      <c r="L218" s="239">
        <v>0</v>
      </c>
      <c r="M218" s="239">
        <v>0</v>
      </c>
      <c r="N218" s="239">
        <v>0</v>
      </c>
      <c r="O218" s="239">
        <v>14953404</v>
      </c>
      <c r="P218" s="214" t="s">
        <v>518</v>
      </c>
      <c r="Q218" s="214" t="s">
        <v>822</v>
      </c>
      <c r="R218" s="214" t="s">
        <v>820</v>
      </c>
      <c r="S218" s="214" t="s">
        <v>1294</v>
      </c>
    </row>
    <row r="219" spans="2:19" x14ac:dyDescent="0.2">
      <c r="B219" s="250" t="s">
        <v>521</v>
      </c>
      <c r="C219" s="250" t="s">
        <v>520</v>
      </c>
      <c r="D219" s="239">
        <v>11684120</v>
      </c>
      <c r="E219" s="239">
        <v>0</v>
      </c>
      <c r="F219" s="239">
        <v>49710</v>
      </c>
      <c r="G219" s="239">
        <v>99985</v>
      </c>
      <c r="H219" s="239">
        <v>0</v>
      </c>
      <c r="I219" s="239">
        <v>99985</v>
      </c>
      <c r="J219" s="239">
        <v>0</v>
      </c>
      <c r="K219" s="239">
        <v>0</v>
      </c>
      <c r="L219" s="239">
        <v>0</v>
      </c>
      <c r="M219" s="239">
        <v>0</v>
      </c>
      <c r="N219" s="239">
        <v>0</v>
      </c>
      <c r="O219" s="239">
        <v>11534425</v>
      </c>
      <c r="P219" s="214" t="s">
        <v>520</v>
      </c>
      <c r="Q219" s="214" t="s">
        <v>757</v>
      </c>
      <c r="R219" s="214" t="s">
        <v>755</v>
      </c>
      <c r="S219" s="214" t="s">
        <v>1294</v>
      </c>
    </row>
    <row r="220" spans="2:19" x14ac:dyDescent="0.2">
      <c r="B220" s="250" t="s">
        <v>523</v>
      </c>
      <c r="C220" s="250" t="s">
        <v>522</v>
      </c>
      <c r="D220" s="239">
        <v>16284447</v>
      </c>
      <c r="E220" s="239">
        <v>0</v>
      </c>
      <c r="F220" s="239">
        <v>27442</v>
      </c>
      <c r="G220" s="239">
        <v>146945</v>
      </c>
      <c r="H220" s="239">
        <v>0</v>
      </c>
      <c r="I220" s="239">
        <v>146945</v>
      </c>
      <c r="J220" s="239">
        <v>0</v>
      </c>
      <c r="K220" s="239">
        <v>0</v>
      </c>
      <c r="L220" s="239">
        <v>0</v>
      </c>
      <c r="M220" s="239">
        <v>0</v>
      </c>
      <c r="N220" s="239">
        <v>0</v>
      </c>
      <c r="O220" s="239">
        <v>16110060</v>
      </c>
      <c r="P220" s="214" t="s">
        <v>522</v>
      </c>
      <c r="Q220" s="214" t="s">
        <v>809</v>
      </c>
      <c r="R220" s="214" t="s">
        <v>807</v>
      </c>
      <c r="S220" s="214" t="s">
        <v>1294</v>
      </c>
    </row>
    <row r="221" spans="2:19" x14ac:dyDescent="0.2">
      <c r="B221" s="250" t="s">
        <v>525</v>
      </c>
      <c r="C221" s="250" t="s">
        <v>524</v>
      </c>
      <c r="D221" s="239">
        <v>73421538</v>
      </c>
      <c r="E221" s="239">
        <v>0</v>
      </c>
      <c r="F221" s="239">
        <v>96839</v>
      </c>
      <c r="G221" s="239">
        <v>311612</v>
      </c>
      <c r="H221" s="239">
        <v>0</v>
      </c>
      <c r="I221" s="239">
        <v>311612</v>
      </c>
      <c r="J221" s="239">
        <v>0</v>
      </c>
      <c r="K221" s="239">
        <v>0</v>
      </c>
      <c r="L221" s="239">
        <v>162039</v>
      </c>
      <c r="M221" s="239">
        <v>162039</v>
      </c>
      <c r="N221" s="239">
        <v>0</v>
      </c>
      <c r="O221" s="239">
        <v>72851048</v>
      </c>
      <c r="P221" s="214" t="s">
        <v>524</v>
      </c>
      <c r="Q221" s="214" t="s">
        <v>768</v>
      </c>
      <c r="R221" s="214" t="s">
        <v>865</v>
      </c>
      <c r="S221" s="214" t="s">
        <v>1296</v>
      </c>
    </row>
    <row r="222" spans="2:19" x14ac:dyDescent="0.2">
      <c r="B222" s="250" t="s">
        <v>527</v>
      </c>
      <c r="C222" s="250" t="s">
        <v>526</v>
      </c>
      <c r="D222" s="239">
        <v>43711134</v>
      </c>
      <c r="E222" s="239">
        <v>0</v>
      </c>
      <c r="F222" s="239">
        <v>224231</v>
      </c>
      <c r="G222" s="239">
        <v>137030</v>
      </c>
      <c r="H222" s="239">
        <v>0</v>
      </c>
      <c r="I222" s="239">
        <v>137030</v>
      </c>
      <c r="J222" s="239">
        <v>0</v>
      </c>
      <c r="K222" s="239">
        <v>0</v>
      </c>
      <c r="L222" s="239">
        <v>0</v>
      </c>
      <c r="M222" s="239">
        <v>0</v>
      </c>
      <c r="N222" s="239">
        <v>0</v>
      </c>
      <c r="O222" s="239">
        <v>43349873</v>
      </c>
      <c r="P222" s="214" t="s">
        <v>526</v>
      </c>
      <c r="Q222" s="214" t="s">
        <v>813</v>
      </c>
      <c r="R222" s="214" t="s">
        <v>763</v>
      </c>
      <c r="S222" s="214" t="s">
        <v>1294</v>
      </c>
    </row>
    <row r="223" spans="2:19" x14ac:dyDescent="0.2">
      <c r="B223" s="250" t="s">
        <v>529</v>
      </c>
      <c r="C223" s="250" t="s">
        <v>528</v>
      </c>
      <c r="D223" s="239">
        <v>44487011.219999999</v>
      </c>
      <c r="E223" s="239">
        <v>3033</v>
      </c>
      <c r="F223" s="239">
        <v>0</v>
      </c>
      <c r="G223" s="239">
        <v>126689</v>
      </c>
      <c r="H223" s="239">
        <v>0</v>
      </c>
      <c r="I223" s="239">
        <v>126689</v>
      </c>
      <c r="J223" s="239">
        <v>0</v>
      </c>
      <c r="K223" s="239">
        <v>0</v>
      </c>
      <c r="L223" s="239">
        <v>0</v>
      </c>
      <c r="M223" s="239">
        <v>0</v>
      </c>
      <c r="N223" s="239">
        <v>0</v>
      </c>
      <c r="O223" s="239">
        <v>44363355.219999999</v>
      </c>
      <c r="P223" s="214" t="s">
        <v>528</v>
      </c>
      <c r="Q223" s="214" t="s">
        <v>772</v>
      </c>
      <c r="R223" s="214" t="s">
        <v>763</v>
      </c>
      <c r="S223" s="214" t="s">
        <v>1294</v>
      </c>
    </row>
    <row r="224" spans="2:19" x14ac:dyDescent="0.2">
      <c r="B224" s="250" t="s">
        <v>531</v>
      </c>
      <c r="C224" s="250" t="s">
        <v>530</v>
      </c>
      <c r="D224" s="239">
        <v>27239708</v>
      </c>
      <c r="E224" s="239">
        <v>0</v>
      </c>
      <c r="F224" s="239">
        <v>114094</v>
      </c>
      <c r="G224" s="239">
        <v>109293</v>
      </c>
      <c r="H224" s="239">
        <v>0</v>
      </c>
      <c r="I224" s="239">
        <v>109293</v>
      </c>
      <c r="J224" s="239">
        <v>0</v>
      </c>
      <c r="K224" s="239">
        <v>0</v>
      </c>
      <c r="L224" s="239">
        <v>62504</v>
      </c>
      <c r="M224" s="239">
        <v>62504</v>
      </c>
      <c r="N224" s="239">
        <v>0</v>
      </c>
      <c r="O224" s="239">
        <v>26953817</v>
      </c>
      <c r="P224" s="214" t="s">
        <v>530</v>
      </c>
      <c r="Q224" s="214" t="s">
        <v>874</v>
      </c>
      <c r="R224" s="214" t="s">
        <v>872</v>
      </c>
      <c r="S224" s="214" t="s">
        <v>1294</v>
      </c>
    </row>
    <row r="225" spans="2:19" x14ac:dyDescent="0.2">
      <c r="B225" s="250" t="s">
        <v>533</v>
      </c>
      <c r="C225" s="250" t="s">
        <v>532</v>
      </c>
      <c r="D225" s="239">
        <v>44108432</v>
      </c>
      <c r="E225" s="239">
        <v>2928</v>
      </c>
      <c r="F225" s="239">
        <v>0</v>
      </c>
      <c r="G225" s="239">
        <v>123644</v>
      </c>
      <c r="H225" s="239">
        <v>0</v>
      </c>
      <c r="I225" s="239">
        <v>123644</v>
      </c>
      <c r="J225" s="239">
        <v>0</v>
      </c>
      <c r="K225" s="239">
        <v>0</v>
      </c>
      <c r="L225" s="239">
        <v>0</v>
      </c>
      <c r="M225" s="239">
        <v>0</v>
      </c>
      <c r="N225" s="239">
        <v>0</v>
      </c>
      <c r="O225" s="239">
        <v>43987716</v>
      </c>
      <c r="P225" s="214" t="s">
        <v>532</v>
      </c>
      <c r="Q225" s="214" t="s">
        <v>779</v>
      </c>
      <c r="R225" s="214" t="s">
        <v>777</v>
      </c>
      <c r="S225" s="214" t="s">
        <v>1294</v>
      </c>
    </row>
    <row r="226" spans="2:19" x14ac:dyDescent="0.2">
      <c r="B226" s="250" t="s">
        <v>535</v>
      </c>
      <c r="C226" s="250" t="s">
        <v>534</v>
      </c>
      <c r="D226" s="239">
        <v>10397765</v>
      </c>
      <c r="E226" s="239">
        <v>0</v>
      </c>
      <c r="F226" s="239">
        <v>11018</v>
      </c>
      <c r="G226" s="239">
        <v>54620</v>
      </c>
      <c r="H226" s="239">
        <v>0</v>
      </c>
      <c r="I226" s="239">
        <v>54620</v>
      </c>
      <c r="J226" s="239">
        <v>0</v>
      </c>
      <c r="K226" s="239">
        <v>0</v>
      </c>
      <c r="L226" s="239">
        <v>35619</v>
      </c>
      <c r="M226" s="239">
        <v>35619</v>
      </c>
      <c r="N226" s="239">
        <v>0</v>
      </c>
      <c r="O226" s="239">
        <v>10296508</v>
      </c>
      <c r="P226" s="214" t="s">
        <v>871</v>
      </c>
      <c r="Q226" s="214" t="s">
        <v>748</v>
      </c>
      <c r="R226" s="214" t="s">
        <v>869</v>
      </c>
      <c r="S226" s="214" t="s">
        <v>748</v>
      </c>
    </row>
    <row r="227" spans="2:19" x14ac:dyDescent="0.2">
      <c r="B227" s="250" t="s">
        <v>537</v>
      </c>
      <c r="C227" s="250" t="s">
        <v>536</v>
      </c>
      <c r="D227" s="239">
        <v>16377758</v>
      </c>
      <c r="E227" s="239">
        <v>0</v>
      </c>
      <c r="F227" s="239">
        <v>246617</v>
      </c>
      <c r="G227" s="239">
        <v>111400</v>
      </c>
      <c r="H227" s="239">
        <v>0</v>
      </c>
      <c r="I227" s="239">
        <v>111400</v>
      </c>
      <c r="J227" s="239">
        <v>0</v>
      </c>
      <c r="K227" s="239">
        <v>0</v>
      </c>
      <c r="L227" s="239">
        <v>5711</v>
      </c>
      <c r="M227" s="239">
        <v>5711</v>
      </c>
      <c r="N227" s="239">
        <v>0</v>
      </c>
      <c r="O227" s="239">
        <v>16014030</v>
      </c>
      <c r="P227" s="214" t="s">
        <v>536</v>
      </c>
      <c r="Q227" s="214" t="s">
        <v>867</v>
      </c>
      <c r="R227" s="214" t="s">
        <v>746</v>
      </c>
      <c r="S227" s="214" t="s">
        <v>1294</v>
      </c>
    </row>
    <row r="228" spans="2:19" x14ac:dyDescent="0.2">
      <c r="B228" s="250" t="s">
        <v>539</v>
      </c>
      <c r="C228" s="250" t="s">
        <v>538</v>
      </c>
      <c r="D228" s="239">
        <v>89651221</v>
      </c>
      <c r="E228" s="239">
        <v>18176</v>
      </c>
      <c r="F228" s="239">
        <v>0</v>
      </c>
      <c r="G228" s="239">
        <v>445996</v>
      </c>
      <c r="H228" s="239">
        <v>0</v>
      </c>
      <c r="I228" s="239">
        <v>445996</v>
      </c>
      <c r="J228" s="239">
        <v>0</v>
      </c>
      <c r="K228" s="239">
        <v>0</v>
      </c>
      <c r="L228" s="239">
        <v>0</v>
      </c>
      <c r="M228" s="239">
        <v>0</v>
      </c>
      <c r="N228" s="239">
        <v>0</v>
      </c>
      <c r="O228" s="239">
        <v>89223401</v>
      </c>
      <c r="P228" s="214" t="s">
        <v>538</v>
      </c>
      <c r="Q228" s="214" t="s">
        <v>768</v>
      </c>
      <c r="R228" s="214" t="s">
        <v>783</v>
      </c>
      <c r="S228" s="214" t="s">
        <v>1296</v>
      </c>
    </row>
    <row r="229" spans="2:19" x14ac:dyDescent="0.2">
      <c r="B229" s="250" t="s">
        <v>541</v>
      </c>
      <c r="C229" s="250" t="s">
        <v>540</v>
      </c>
      <c r="D229" s="239">
        <v>100372752</v>
      </c>
      <c r="E229" s="239">
        <v>0</v>
      </c>
      <c r="F229" s="239">
        <v>410491</v>
      </c>
      <c r="G229" s="239">
        <v>451968</v>
      </c>
      <c r="H229" s="239">
        <v>0</v>
      </c>
      <c r="I229" s="239">
        <v>451968</v>
      </c>
      <c r="J229" s="239">
        <v>0</v>
      </c>
      <c r="K229" s="239">
        <v>0</v>
      </c>
      <c r="L229" s="239">
        <v>0</v>
      </c>
      <c r="M229" s="239">
        <v>0</v>
      </c>
      <c r="N229" s="239">
        <v>0</v>
      </c>
      <c r="O229" s="239">
        <v>99510293</v>
      </c>
      <c r="P229" s="214" t="s">
        <v>540</v>
      </c>
      <c r="Q229" s="214" t="s">
        <v>768</v>
      </c>
      <c r="R229" s="214" t="s">
        <v>766</v>
      </c>
      <c r="S229" s="214" t="s">
        <v>1296</v>
      </c>
    </row>
    <row r="230" spans="2:19" x14ac:dyDescent="0.2">
      <c r="B230" s="250" t="s">
        <v>543</v>
      </c>
      <c r="C230" s="250" t="s">
        <v>542</v>
      </c>
      <c r="D230" s="239">
        <v>32665469</v>
      </c>
      <c r="E230" s="239">
        <v>0</v>
      </c>
      <c r="F230" s="239">
        <v>63552</v>
      </c>
      <c r="G230" s="239">
        <v>254871</v>
      </c>
      <c r="H230" s="239">
        <v>0</v>
      </c>
      <c r="I230" s="239">
        <v>254871</v>
      </c>
      <c r="J230" s="239">
        <v>0</v>
      </c>
      <c r="K230" s="239">
        <v>0</v>
      </c>
      <c r="L230" s="239">
        <v>0</v>
      </c>
      <c r="M230" s="239">
        <v>0</v>
      </c>
      <c r="N230" s="239">
        <v>0</v>
      </c>
      <c r="O230" s="239">
        <v>32347046</v>
      </c>
      <c r="P230" s="214" t="s">
        <v>542</v>
      </c>
      <c r="Q230" s="214" t="s">
        <v>867</v>
      </c>
      <c r="R230" s="214" t="s">
        <v>746</v>
      </c>
      <c r="S230" s="214" t="s">
        <v>1294</v>
      </c>
    </row>
    <row r="231" spans="2:19" x14ac:dyDescent="0.2">
      <c r="B231" s="250" t="s">
        <v>545</v>
      </c>
      <c r="C231" s="250" t="s">
        <v>544</v>
      </c>
      <c r="D231" s="239">
        <v>36578879</v>
      </c>
      <c r="E231" s="239">
        <v>336189</v>
      </c>
      <c r="F231" s="239">
        <v>0</v>
      </c>
      <c r="G231" s="239">
        <v>162577</v>
      </c>
      <c r="H231" s="239">
        <v>0</v>
      </c>
      <c r="I231" s="239">
        <v>162577</v>
      </c>
      <c r="J231" s="239">
        <v>0</v>
      </c>
      <c r="K231" s="239">
        <v>0</v>
      </c>
      <c r="L231" s="239">
        <v>154030</v>
      </c>
      <c r="M231" s="239">
        <v>154030</v>
      </c>
      <c r="N231" s="239">
        <v>0</v>
      </c>
      <c r="O231" s="239">
        <v>36598461</v>
      </c>
      <c r="P231" s="214" t="s">
        <v>544</v>
      </c>
      <c r="Q231" s="214" t="s">
        <v>794</v>
      </c>
      <c r="R231" s="214" t="s">
        <v>792</v>
      </c>
      <c r="S231" s="214" t="s">
        <v>1294</v>
      </c>
    </row>
    <row r="232" spans="2:19" x14ac:dyDescent="0.2">
      <c r="B232" s="250" t="s">
        <v>547</v>
      </c>
      <c r="C232" s="250" t="s">
        <v>546</v>
      </c>
      <c r="D232" s="239">
        <v>65368215</v>
      </c>
      <c r="E232" s="239">
        <v>0</v>
      </c>
      <c r="F232" s="239">
        <v>608554</v>
      </c>
      <c r="G232" s="239">
        <v>326802</v>
      </c>
      <c r="H232" s="239">
        <v>0</v>
      </c>
      <c r="I232" s="239">
        <v>326802</v>
      </c>
      <c r="J232" s="239">
        <v>0</v>
      </c>
      <c r="K232" s="239">
        <v>0</v>
      </c>
      <c r="L232" s="239">
        <v>0</v>
      </c>
      <c r="M232" s="239">
        <v>0</v>
      </c>
      <c r="N232" s="239">
        <v>0</v>
      </c>
      <c r="O232" s="239">
        <v>64432859</v>
      </c>
      <c r="P232" s="214" t="s">
        <v>546</v>
      </c>
      <c r="Q232" s="214" t="s">
        <v>768</v>
      </c>
      <c r="R232" s="214" t="s">
        <v>774</v>
      </c>
      <c r="S232" s="214" t="s">
        <v>1296</v>
      </c>
    </row>
    <row r="233" spans="2:19" x14ac:dyDescent="0.2">
      <c r="B233" s="250" t="s">
        <v>549</v>
      </c>
      <c r="C233" s="250" t="s">
        <v>548</v>
      </c>
      <c r="D233" s="239">
        <v>41536253</v>
      </c>
      <c r="E233" s="239">
        <v>0</v>
      </c>
      <c r="F233" s="239">
        <v>222194</v>
      </c>
      <c r="G233" s="239">
        <v>117679</v>
      </c>
      <c r="H233" s="239">
        <v>0</v>
      </c>
      <c r="I233" s="239">
        <v>117679</v>
      </c>
      <c r="J233" s="239">
        <v>0</v>
      </c>
      <c r="K233" s="239">
        <v>0</v>
      </c>
      <c r="L233" s="239">
        <v>5367070</v>
      </c>
      <c r="M233" s="239">
        <v>5367070</v>
      </c>
      <c r="N233" s="239">
        <v>0</v>
      </c>
      <c r="O233" s="239">
        <v>35829310</v>
      </c>
      <c r="P233" s="214" t="s">
        <v>548</v>
      </c>
      <c r="Q233" s="214" t="s">
        <v>867</v>
      </c>
      <c r="R233" s="214" t="s">
        <v>746</v>
      </c>
      <c r="S233" s="214" t="s">
        <v>1294</v>
      </c>
    </row>
    <row r="234" spans="2:19" x14ac:dyDescent="0.2">
      <c r="B234" s="250" t="s">
        <v>551</v>
      </c>
      <c r="C234" s="250" t="s">
        <v>550</v>
      </c>
      <c r="D234" s="239">
        <v>34404483</v>
      </c>
      <c r="E234" s="239">
        <v>0</v>
      </c>
      <c r="F234" s="239">
        <v>137758</v>
      </c>
      <c r="G234" s="239">
        <v>167320</v>
      </c>
      <c r="H234" s="239">
        <v>0</v>
      </c>
      <c r="I234" s="239">
        <v>167320</v>
      </c>
      <c r="J234" s="239">
        <v>0</v>
      </c>
      <c r="K234" s="239">
        <v>0</v>
      </c>
      <c r="L234" s="239">
        <v>0</v>
      </c>
      <c r="M234" s="239">
        <v>0</v>
      </c>
      <c r="N234" s="239">
        <v>0</v>
      </c>
      <c r="O234" s="239">
        <v>34099405</v>
      </c>
      <c r="P234" s="214" t="s">
        <v>550</v>
      </c>
      <c r="Q234" s="214" t="s">
        <v>826</v>
      </c>
      <c r="R234" s="214" t="s">
        <v>824</v>
      </c>
      <c r="S234" s="214" t="s">
        <v>1294</v>
      </c>
    </row>
    <row r="235" spans="2:19" x14ac:dyDescent="0.2">
      <c r="B235" s="250" t="s">
        <v>553</v>
      </c>
      <c r="C235" s="250" t="s">
        <v>552</v>
      </c>
      <c r="D235" s="239">
        <v>202277104</v>
      </c>
      <c r="E235" s="239">
        <v>0</v>
      </c>
      <c r="F235" s="239">
        <v>665499</v>
      </c>
      <c r="G235" s="239">
        <v>787885</v>
      </c>
      <c r="H235" s="239">
        <v>0</v>
      </c>
      <c r="I235" s="239">
        <v>787885</v>
      </c>
      <c r="J235" s="239">
        <v>0</v>
      </c>
      <c r="K235" s="239">
        <v>839133</v>
      </c>
      <c r="L235" s="239">
        <v>1314476</v>
      </c>
      <c r="M235" s="239">
        <v>1314476</v>
      </c>
      <c r="N235" s="239">
        <v>0</v>
      </c>
      <c r="O235" s="239">
        <v>198670111</v>
      </c>
      <c r="P235" s="214" t="s">
        <v>552</v>
      </c>
      <c r="Q235" s="214" t="s">
        <v>768</v>
      </c>
      <c r="R235" s="214" t="s">
        <v>865</v>
      </c>
      <c r="S235" s="214" t="s">
        <v>1296</v>
      </c>
    </row>
    <row r="236" spans="2:19" x14ac:dyDescent="0.2">
      <c r="B236" s="250" t="s">
        <v>555</v>
      </c>
      <c r="C236" s="250" t="s">
        <v>554</v>
      </c>
      <c r="D236" s="239">
        <v>26291671</v>
      </c>
      <c r="E236" s="239">
        <v>252369</v>
      </c>
      <c r="F236" s="239">
        <v>0</v>
      </c>
      <c r="G236" s="239">
        <v>151180</v>
      </c>
      <c r="H236" s="239">
        <v>0</v>
      </c>
      <c r="I236" s="239">
        <v>151180</v>
      </c>
      <c r="J236" s="239">
        <v>0</v>
      </c>
      <c r="K236" s="239">
        <v>0</v>
      </c>
      <c r="L236" s="239">
        <v>0</v>
      </c>
      <c r="M236" s="239">
        <v>0</v>
      </c>
      <c r="N236" s="239">
        <v>0</v>
      </c>
      <c r="O236" s="239">
        <v>26392860</v>
      </c>
      <c r="P236" s="214" t="s">
        <v>554</v>
      </c>
      <c r="Q236" s="214" t="s">
        <v>826</v>
      </c>
      <c r="R236" s="214" t="s">
        <v>824</v>
      </c>
      <c r="S236" s="214" t="s">
        <v>1294</v>
      </c>
    </row>
    <row r="237" spans="2:19" x14ac:dyDescent="0.2">
      <c r="B237" s="250" t="s">
        <v>557</v>
      </c>
      <c r="C237" s="250" t="s">
        <v>556</v>
      </c>
      <c r="D237" s="239">
        <v>73707504</v>
      </c>
      <c r="E237" s="239">
        <v>335482</v>
      </c>
      <c r="F237" s="239">
        <v>0</v>
      </c>
      <c r="G237" s="239">
        <v>463056</v>
      </c>
      <c r="H237" s="239">
        <v>0</v>
      </c>
      <c r="I237" s="239">
        <v>463056</v>
      </c>
      <c r="J237" s="239">
        <v>0</v>
      </c>
      <c r="K237" s="239">
        <v>0</v>
      </c>
      <c r="L237" s="239">
        <v>1376647</v>
      </c>
      <c r="M237" s="239">
        <v>1376647</v>
      </c>
      <c r="N237" s="239">
        <v>0</v>
      </c>
      <c r="O237" s="239">
        <v>72203283</v>
      </c>
      <c r="P237" s="214" t="s">
        <v>556</v>
      </c>
      <c r="Q237" s="214" t="s">
        <v>748</v>
      </c>
      <c r="R237" s="214" t="s">
        <v>833</v>
      </c>
      <c r="S237" s="214" t="s">
        <v>748</v>
      </c>
    </row>
    <row r="238" spans="2:19" x14ac:dyDescent="0.2">
      <c r="B238" s="250" t="s">
        <v>559</v>
      </c>
      <c r="C238" s="250" t="s">
        <v>558</v>
      </c>
      <c r="D238" s="239">
        <v>98587027</v>
      </c>
      <c r="E238" s="239">
        <v>0</v>
      </c>
      <c r="F238" s="239">
        <v>227844</v>
      </c>
      <c r="G238" s="239">
        <v>204561</v>
      </c>
      <c r="H238" s="239">
        <v>0</v>
      </c>
      <c r="I238" s="239">
        <v>204561</v>
      </c>
      <c r="J238" s="239">
        <v>0</v>
      </c>
      <c r="K238" s="239">
        <v>0</v>
      </c>
      <c r="L238" s="239">
        <v>0</v>
      </c>
      <c r="M238" s="239">
        <v>0</v>
      </c>
      <c r="N238" s="239">
        <v>0</v>
      </c>
      <c r="O238" s="239">
        <v>98154622</v>
      </c>
      <c r="P238" s="214" t="s">
        <v>864</v>
      </c>
      <c r="Q238" s="214" t="s">
        <v>748</v>
      </c>
      <c r="R238" s="214" t="s">
        <v>769</v>
      </c>
      <c r="S238" s="214" t="s">
        <v>748</v>
      </c>
    </row>
    <row r="239" spans="2:19" x14ac:dyDescent="0.2">
      <c r="B239" s="250" t="s">
        <v>561</v>
      </c>
      <c r="C239" s="250" t="s">
        <v>560</v>
      </c>
      <c r="D239" s="239">
        <v>117893411</v>
      </c>
      <c r="E239" s="239">
        <v>0</v>
      </c>
      <c r="F239" s="239">
        <v>154678</v>
      </c>
      <c r="G239" s="239">
        <v>247739</v>
      </c>
      <c r="H239" s="239">
        <v>0</v>
      </c>
      <c r="I239" s="239">
        <v>247739</v>
      </c>
      <c r="J239" s="239">
        <v>0</v>
      </c>
      <c r="K239" s="239">
        <v>0</v>
      </c>
      <c r="L239" s="239">
        <v>0</v>
      </c>
      <c r="M239" s="239">
        <v>0</v>
      </c>
      <c r="N239" s="239">
        <v>0</v>
      </c>
      <c r="O239" s="239">
        <v>117490994</v>
      </c>
      <c r="P239" s="214" t="s">
        <v>560</v>
      </c>
      <c r="Q239" s="214" t="s">
        <v>768</v>
      </c>
      <c r="R239" s="214" t="s">
        <v>766</v>
      </c>
      <c r="S239" s="214" t="s">
        <v>1296</v>
      </c>
    </row>
    <row r="240" spans="2:19" x14ac:dyDescent="0.2">
      <c r="B240" s="250" t="s">
        <v>563</v>
      </c>
      <c r="C240" s="250" t="s">
        <v>562</v>
      </c>
      <c r="D240" s="239">
        <v>31393833</v>
      </c>
      <c r="E240" s="239">
        <v>0</v>
      </c>
      <c r="F240" s="239">
        <v>243855</v>
      </c>
      <c r="G240" s="239">
        <v>97084</v>
      </c>
      <c r="H240" s="239">
        <v>0</v>
      </c>
      <c r="I240" s="239">
        <v>97084</v>
      </c>
      <c r="J240" s="239">
        <v>0</v>
      </c>
      <c r="K240" s="239">
        <v>0</v>
      </c>
      <c r="L240" s="239">
        <v>0</v>
      </c>
      <c r="M240" s="239">
        <v>0</v>
      </c>
      <c r="N240" s="239">
        <v>0</v>
      </c>
      <c r="O240" s="239">
        <v>31052894</v>
      </c>
      <c r="P240" s="214" t="s">
        <v>562</v>
      </c>
      <c r="Q240" s="214" t="s">
        <v>761</v>
      </c>
      <c r="R240" s="214" t="s">
        <v>759</v>
      </c>
      <c r="S240" s="214" t="s">
        <v>1294</v>
      </c>
    </row>
    <row r="241" spans="2:19" x14ac:dyDescent="0.2">
      <c r="B241" s="250" t="s">
        <v>565</v>
      </c>
      <c r="C241" s="250" t="s">
        <v>564</v>
      </c>
      <c r="D241" s="239">
        <v>68057148</v>
      </c>
      <c r="E241" s="239">
        <v>0</v>
      </c>
      <c r="F241" s="239">
        <v>127030</v>
      </c>
      <c r="G241" s="239">
        <v>221079</v>
      </c>
      <c r="H241" s="239">
        <v>0</v>
      </c>
      <c r="I241" s="239">
        <v>221079</v>
      </c>
      <c r="J241" s="239">
        <v>0</v>
      </c>
      <c r="K241" s="239">
        <v>0</v>
      </c>
      <c r="L241" s="239">
        <v>675017</v>
      </c>
      <c r="M241" s="239">
        <v>675017</v>
      </c>
      <c r="N241" s="239">
        <v>0</v>
      </c>
      <c r="O241" s="239">
        <v>67034022</v>
      </c>
      <c r="P241" s="214" t="s">
        <v>564</v>
      </c>
      <c r="Q241" s="214" t="s">
        <v>862</v>
      </c>
      <c r="R241" s="214" t="s">
        <v>860</v>
      </c>
      <c r="S241" s="214" t="s">
        <v>1294</v>
      </c>
    </row>
    <row r="242" spans="2:19" x14ac:dyDescent="0.2">
      <c r="B242" s="250" t="s">
        <v>567</v>
      </c>
      <c r="C242" s="250" t="s">
        <v>566</v>
      </c>
      <c r="D242" s="239">
        <v>21771583</v>
      </c>
      <c r="E242" s="239">
        <v>0</v>
      </c>
      <c r="F242" s="239">
        <v>26218</v>
      </c>
      <c r="G242" s="239">
        <v>91614</v>
      </c>
      <c r="H242" s="239">
        <v>0</v>
      </c>
      <c r="I242" s="239">
        <v>91614</v>
      </c>
      <c r="J242" s="239">
        <v>0</v>
      </c>
      <c r="K242" s="239">
        <v>0</v>
      </c>
      <c r="L242" s="239">
        <v>0</v>
      </c>
      <c r="M242" s="239">
        <v>0</v>
      </c>
      <c r="N242" s="239">
        <v>0</v>
      </c>
      <c r="O242" s="239">
        <v>21653751</v>
      </c>
      <c r="P242" s="214" t="s">
        <v>566</v>
      </c>
      <c r="Q242" s="214" t="s">
        <v>858</v>
      </c>
      <c r="R242" s="214" t="s">
        <v>856</v>
      </c>
      <c r="S242" s="214" t="s">
        <v>1294</v>
      </c>
    </row>
    <row r="243" spans="2:19" x14ac:dyDescent="0.2">
      <c r="B243" s="250" t="s">
        <v>569</v>
      </c>
      <c r="C243" s="250" t="s">
        <v>568</v>
      </c>
      <c r="D243" s="239">
        <v>139914064</v>
      </c>
      <c r="E243" s="239">
        <v>0</v>
      </c>
      <c r="F243" s="239">
        <v>655382</v>
      </c>
      <c r="G243" s="239">
        <v>334208</v>
      </c>
      <c r="H243" s="239">
        <v>0</v>
      </c>
      <c r="I243" s="239">
        <v>334208</v>
      </c>
      <c r="J243" s="239">
        <v>0</v>
      </c>
      <c r="K243" s="239">
        <v>4947034</v>
      </c>
      <c r="L243" s="239">
        <v>195484</v>
      </c>
      <c r="M243" s="239">
        <v>195484</v>
      </c>
      <c r="N243" s="239">
        <v>0</v>
      </c>
      <c r="O243" s="239">
        <v>133781956</v>
      </c>
      <c r="P243" s="214" t="s">
        <v>855</v>
      </c>
      <c r="Q243" s="214" t="s">
        <v>748</v>
      </c>
      <c r="R243" s="214" t="s">
        <v>853</v>
      </c>
      <c r="S243" s="214" t="s">
        <v>748</v>
      </c>
    </row>
    <row r="244" spans="2:19" x14ac:dyDescent="0.2">
      <c r="B244" s="250" t="s">
        <v>571</v>
      </c>
      <c r="C244" s="250" t="s">
        <v>570</v>
      </c>
      <c r="D244" s="239">
        <v>4542881</v>
      </c>
      <c r="E244" s="239">
        <v>0</v>
      </c>
      <c r="F244" s="239">
        <v>45040</v>
      </c>
      <c r="G244" s="239">
        <v>206372</v>
      </c>
      <c r="H244" s="239">
        <v>0</v>
      </c>
      <c r="I244" s="239">
        <v>206372</v>
      </c>
      <c r="J244" s="239">
        <v>0</v>
      </c>
      <c r="K244" s="239">
        <v>0</v>
      </c>
      <c r="L244" s="239">
        <v>0</v>
      </c>
      <c r="M244" s="239">
        <v>0</v>
      </c>
      <c r="N244" s="239">
        <v>0</v>
      </c>
      <c r="O244" s="239">
        <v>4291469</v>
      </c>
      <c r="P244" s="214" t="s">
        <v>570</v>
      </c>
      <c r="Q244" s="214" t="s">
        <v>800</v>
      </c>
      <c r="R244" s="214" t="s">
        <v>792</v>
      </c>
      <c r="S244" s="214" t="s">
        <v>1294</v>
      </c>
    </row>
    <row r="245" spans="2:19" x14ac:dyDescent="0.2">
      <c r="B245" s="250" t="s">
        <v>573</v>
      </c>
      <c r="C245" s="250" t="s">
        <v>572</v>
      </c>
      <c r="D245" s="239">
        <v>25595939</v>
      </c>
      <c r="E245" s="239">
        <v>477754</v>
      </c>
      <c r="F245" s="239">
        <v>0</v>
      </c>
      <c r="G245" s="239">
        <v>112559</v>
      </c>
      <c r="H245" s="239">
        <v>0</v>
      </c>
      <c r="I245" s="239">
        <v>112559</v>
      </c>
      <c r="J245" s="239">
        <v>0</v>
      </c>
      <c r="K245" s="239">
        <v>0</v>
      </c>
      <c r="L245" s="239">
        <v>207060</v>
      </c>
      <c r="M245" s="239">
        <v>207060</v>
      </c>
      <c r="N245" s="239">
        <v>0</v>
      </c>
      <c r="O245" s="239">
        <v>25754074</v>
      </c>
      <c r="P245" s="214" t="s">
        <v>572</v>
      </c>
      <c r="Q245" s="214" t="s">
        <v>798</v>
      </c>
      <c r="R245" s="214" t="s">
        <v>763</v>
      </c>
      <c r="S245" s="214" t="s">
        <v>1294</v>
      </c>
    </row>
    <row r="246" spans="2:19" x14ac:dyDescent="0.2">
      <c r="B246" s="250" t="s">
        <v>575</v>
      </c>
      <c r="C246" s="250" t="s">
        <v>574</v>
      </c>
      <c r="D246" s="239">
        <v>37524338</v>
      </c>
      <c r="E246" s="239">
        <v>0</v>
      </c>
      <c r="F246" s="239">
        <v>179398</v>
      </c>
      <c r="G246" s="239">
        <v>180718</v>
      </c>
      <c r="H246" s="239">
        <v>14840</v>
      </c>
      <c r="I246" s="239">
        <v>195558</v>
      </c>
      <c r="J246" s="239">
        <v>0</v>
      </c>
      <c r="K246" s="239">
        <v>0</v>
      </c>
      <c r="L246" s="239">
        <v>43334</v>
      </c>
      <c r="M246" s="239">
        <v>43334</v>
      </c>
      <c r="N246" s="239">
        <v>0</v>
      </c>
      <c r="O246" s="239">
        <v>37106048</v>
      </c>
      <c r="P246" s="214" t="s">
        <v>574</v>
      </c>
      <c r="Q246" s="214" t="s">
        <v>798</v>
      </c>
      <c r="R246" s="214" t="s">
        <v>763</v>
      </c>
      <c r="S246" s="214" t="s">
        <v>1294</v>
      </c>
    </row>
    <row r="247" spans="2:19" x14ac:dyDescent="0.2">
      <c r="B247" s="250" t="s">
        <v>577</v>
      </c>
      <c r="C247" s="250" t="s">
        <v>576</v>
      </c>
      <c r="D247" s="239">
        <v>40020269</v>
      </c>
      <c r="E247" s="239">
        <v>0</v>
      </c>
      <c r="F247" s="239">
        <v>77942</v>
      </c>
      <c r="G247" s="239">
        <v>299546</v>
      </c>
      <c r="H247" s="239">
        <v>0</v>
      </c>
      <c r="I247" s="239">
        <v>299546</v>
      </c>
      <c r="J247" s="239">
        <v>0</v>
      </c>
      <c r="K247" s="239">
        <v>0</v>
      </c>
      <c r="L247" s="239">
        <v>0</v>
      </c>
      <c r="M247" s="239">
        <v>0</v>
      </c>
      <c r="N247" s="239">
        <v>0</v>
      </c>
      <c r="O247" s="239">
        <v>39642781</v>
      </c>
      <c r="P247" s="214" t="s">
        <v>576</v>
      </c>
      <c r="Q247" s="214" t="s">
        <v>851</v>
      </c>
      <c r="R247" s="214" t="s">
        <v>763</v>
      </c>
      <c r="S247" s="214" t="s">
        <v>1294</v>
      </c>
    </row>
    <row r="248" spans="2:19" x14ac:dyDescent="0.2">
      <c r="B248" s="250" t="s">
        <v>579</v>
      </c>
      <c r="C248" s="250" t="s">
        <v>578</v>
      </c>
      <c r="D248" s="239">
        <v>27944280</v>
      </c>
      <c r="E248" s="239">
        <v>22460</v>
      </c>
      <c r="F248" s="239">
        <v>0</v>
      </c>
      <c r="G248" s="239">
        <v>159148</v>
      </c>
      <c r="H248" s="239">
        <v>0</v>
      </c>
      <c r="I248" s="239">
        <v>159148</v>
      </c>
      <c r="J248" s="239">
        <v>0</v>
      </c>
      <c r="K248" s="239">
        <v>0</v>
      </c>
      <c r="L248" s="239">
        <v>90480</v>
      </c>
      <c r="M248" s="239">
        <v>90480</v>
      </c>
      <c r="N248" s="239">
        <v>0</v>
      </c>
      <c r="O248" s="239">
        <v>27717112</v>
      </c>
      <c r="P248" s="214" t="s">
        <v>578</v>
      </c>
      <c r="Q248" s="214" t="s">
        <v>849</v>
      </c>
      <c r="R248" s="214" t="s">
        <v>763</v>
      </c>
      <c r="S248" s="214" t="s">
        <v>1294</v>
      </c>
    </row>
    <row r="249" spans="2:19" x14ac:dyDescent="0.2">
      <c r="B249" s="250" t="s">
        <v>581</v>
      </c>
      <c r="C249" s="250" t="s">
        <v>580</v>
      </c>
      <c r="D249" s="239">
        <v>21066634</v>
      </c>
      <c r="E249" s="239">
        <v>0</v>
      </c>
      <c r="F249" s="239">
        <v>76177</v>
      </c>
      <c r="G249" s="239">
        <v>107607</v>
      </c>
      <c r="H249" s="239">
        <v>0</v>
      </c>
      <c r="I249" s="239">
        <v>107607</v>
      </c>
      <c r="J249" s="239">
        <v>0</v>
      </c>
      <c r="K249" s="239">
        <v>0</v>
      </c>
      <c r="L249" s="239">
        <v>259511</v>
      </c>
      <c r="M249" s="239">
        <v>259511</v>
      </c>
      <c r="N249" s="239">
        <v>0</v>
      </c>
      <c r="O249" s="239">
        <v>20623339</v>
      </c>
      <c r="P249" s="214" t="s">
        <v>580</v>
      </c>
      <c r="Q249" s="214" t="s">
        <v>805</v>
      </c>
      <c r="R249" s="214" t="s">
        <v>763</v>
      </c>
      <c r="S249" s="214" t="s">
        <v>1294</v>
      </c>
    </row>
    <row r="250" spans="2:19" x14ac:dyDescent="0.2">
      <c r="B250" s="250" t="s">
        <v>583</v>
      </c>
      <c r="C250" s="250" t="s">
        <v>582</v>
      </c>
      <c r="D250" s="239">
        <v>41750918</v>
      </c>
      <c r="E250" s="239">
        <v>0</v>
      </c>
      <c r="F250" s="239">
        <v>54193</v>
      </c>
      <c r="G250" s="239">
        <v>186946</v>
      </c>
      <c r="H250" s="239">
        <v>0</v>
      </c>
      <c r="I250" s="239">
        <v>186946</v>
      </c>
      <c r="J250" s="239">
        <v>0</v>
      </c>
      <c r="K250" s="239">
        <v>0</v>
      </c>
      <c r="L250" s="239">
        <v>0</v>
      </c>
      <c r="M250" s="239">
        <v>0</v>
      </c>
      <c r="N250" s="239">
        <v>0</v>
      </c>
      <c r="O250" s="239">
        <v>41509779</v>
      </c>
      <c r="P250" s="214" t="s">
        <v>582</v>
      </c>
      <c r="Q250" s="214" t="s">
        <v>796</v>
      </c>
      <c r="R250" s="214" t="s">
        <v>763</v>
      </c>
      <c r="S250" s="214" t="s">
        <v>1294</v>
      </c>
    </row>
    <row r="251" spans="2:19" x14ac:dyDescent="0.2">
      <c r="B251" s="250" t="s">
        <v>585</v>
      </c>
      <c r="C251" s="250" t="s">
        <v>584</v>
      </c>
      <c r="D251" s="239">
        <v>37017083</v>
      </c>
      <c r="E251" s="239">
        <v>54021</v>
      </c>
      <c r="F251" s="239">
        <v>0</v>
      </c>
      <c r="G251" s="239">
        <v>127026</v>
      </c>
      <c r="H251" s="239">
        <v>0</v>
      </c>
      <c r="I251" s="239">
        <v>127026</v>
      </c>
      <c r="J251" s="239">
        <v>0</v>
      </c>
      <c r="K251" s="239">
        <v>0</v>
      </c>
      <c r="L251" s="239">
        <v>0</v>
      </c>
      <c r="M251" s="239">
        <v>0</v>
      </c>
      <c r="N251" s="239">
        <v>0</v>
      </c>
      <c r="O251" s="239">
        <v>36944078</v>
      </c>
      <c r="P251" s="214" t="s">
        <v>584</v>
      </c>
      <c r="Q251" s="214" t="s">
        <v>757</v>
      </c>
      <c r="R251" s="214" t="s">
        <v>755</v>
      </c>
      <c r="S251" s="214" t="s">
        <v>1294</v>
      </c>
    </row>
    <row r="252" spans="2:19" x14ac:dyDescent="0.2">
      <c r="B252" s="250" t="s">
        <v>587</v>
      </c>
      <c r="C252" s="250" t="s">
        <v>586</v>
      </c>
      <c r="D252" s="239">
        <v>40091891</v>
      </c>
      <c r="E252" s="239">
        <v>395771</v>
      </c>
      <c r="F252" s="239">
        <v>0</v>
      </c>
      <c r="G252" s="239">
        <v>224868</v>
      </c>
      <c r="H252" s="239">
        <v>0</v>
      </c>
      <c r="I252" s="239">
        <v>224868</v>
      </c>
      <c r="J252" s="239">
        <v>0</v>
      </c>
      <c r="K252" s="239">
        <v>0</v>
      </c>
      <c r="L252" s="239">
        <v>229340</v>
      </c>
      <c r="M252" s="239">
        <v>229340</v>
      </c>
      <c r="N252" s="239">
        <v>0</v>
      </c>
      <c r="O252" s="239">
        <v>40033454</v>
      </c>
      <c r="P252" s="214" t="s">
        <v>586</v>
      </c>
      <c r="Q252" s="214" t="s">
        <v>794</v>
      </c>
      <c r="R252" s="214" t="s">
        <v>792</v>
      </c>
      <c r="S252" s="214" t="s">
        <v>1294</v>
      </c>
    </row>
    <row r="253" spans="2:19" x14ac:dyDescent="0.2">
      <c r="B253" s="250" t="s">
        <v>589</v>
      </c>
      <c r="C253" s="250" t="s">
        <v>588</v>
      </c>
      <c r="D253" s="239">
        <v>24066200</v>
      </c>
      <c r="E253" s="239">
        <v>0</v>
      </c>
      <c r="F253" s="239">
        <v>157238</v>
      </c>
      <c r="G253" s="239">
        <v>103776</v>
      </c>
      <c r="H253" s="239">
        <v>0</v>
      </c>
      <c r="I253" s="239">
        <v>103776</v>
      </c>
      <c r="J253" s="239">
        <v>0</v>
      </c>
      <c r="K253" s="239">
        <v>2197398</v>
      </c>
      <c r="L253" s="239">
        <v>215688</v>
      </c>
      <c r="M253" s="239">
        <v>0</v>
      </c>
      <c r="N253" s="239">
        <v>215688</v>
      </c>
      <c r="O253" s="239">
        <v>21392100</v>
      </c>
      <c r="P253" s="214" t="s">
        <v>588</v>
      </c>
      <c r="Q253" s="214" t="s">
        <v>838</v>
      </c>
      <c r="R253" s="214" t="s">
        <v>836</v>
      </c>
      <c r="S253" s="214" t="s">
        <v>1294</v>
      </c>
    </row>
    <row r="254" spans="2:19" x14ac:dyDescent="0.2">
      <c r="B254" s="250" t="s">
        <v>591</v>
      </c>
      <c r="C254" s="250" t="s">
        <v>590</v>
      </c>
      <c r="D254" s="239">
        <v>30315765</v>
      </c>
      <c r="E254" s="239">
        <v>0</v>
      </c>
      <c r="F254" s="239">
        <v>638119</v>
      </c>
      <c r="G254" s="239">
        <v>150544</v>
      </c>
      <c r="H254" s="239">
        <v>0</v>
      </c>
      <c r="I254" s="239">
        <v>150544</v>
      </c>
      <c r="J254" s="239">
        <v>0</v>
      </c>
      <c r="K254" s="239">
        <v>0</v>
      </c>
      <c r="L254" s="239">
        <v>0</v>
      </c>
      <c r="M254" s="239">
        <v>0</v>
      </c>
      <c r="N254" s="239">
        <v>0</v>
      </c>
      <c r="O254" s="239">
        <v>29527102</v>
      </c>
      <c r="P254" s="214" t="s">
        <v>590</v>
      </c>
      <c r="Q254" s="214" t="s">
        <v>768</v>
      </c>
      <c r="R254" s="214" t="s">
        <v>841</v>
      </c>
      <c r="S254" s="214" t="s">
        <v>1296</v>
      </c>
    </row>
    <row r="255" spans="2:19" x14ac:dyDescent="0.2">
      <c r="B255" s="250" t="s">
        <v>593</v>
      </c>
      <c r="C255" s="250" t="s">
        <v>592</v>
      </c>
      <c r="D255" s="239">
        <v>102515418</v>
      </c>
      <c r="E255" s="239">
        <v>0</v>
      </c>
      <c r="F255" s="239">
        <v>416900</v>
      </c>
      <c r="G255" s="239">
        <v>314029</v>
      </c>
      <c r="H255" s="239">
        <v>0</v>
      </c>
      <c r="I255" s="239">
        <v>314029</v>
      </c>
      <c r="J255" s="239">
        <v>0</v>
      </c>
      <c r="K255" s="239">
        <v>0</v>
      </c>
      <c r="L255" s="239">
        <v>0</v>
      </c>
      <c r="M255" s="239">
        <v>0</v>
      </c>
      <c r="N255" s="239">
        <v>0</v>
      </c>
      <c r="O255" s="239">
        <v>101784489</v>
      </c>
      <c r="P255" s="214" t="s">
        <v>848</v>
      </c>
      <c r="Q255" s="214" t="s">
        <v>748</v>
      </c>
      <c r="R255" s="214" t="s">
        <v>777</v>
      </c>
      <c r="S255" s="214" t="s">
        <v>748</v>
      </c>
    </row>
    <row r="256" spans="2:19" x14ac:dyDescent="0.2">
      <c r="B256" s="250" t="s">
        <v>595</v>
      </c>
      <c r="C256" s="250" t="s">
        <v>594</v>
      </c>
      <c r="D256" s="239">
        <v>43748881</v>
      </c>
      <c r="E256" s="239">
        <v>0</v>
      </c>
      <c r="F256" s="239">
        <v>304719</v>
      </c>
      <c r="G256" s="239">
        <v>239216</v>
      </c>
      <c r="H256" s="239">
        <v>0</v>
      </c>
      <c r="I256" s="239">
        <v>239216</v>
      </c>
      <c r="J256" s="239">
        <v>0</v>
      </c>
      <c r="K256" s="239">
        <v>0</v>
      </c>
      <c r="L256" s="239">
        <v>0</v>
      </c>
      <c r="M256" s="239">
        <v>0</v>
      </c>
      <c r="N256" s="239">
        <v>0</v>
      </c>
      <c r="O256" s="239">
        <v>43204946</v>
      </c>
      <c r="P256" s="214" t="s">
        <v>847</v>
      </c>
      <c r="Q256" s="214" t="s">
        <v>748</v>
      </c>
      <c r="R256" s="214" t="s">
        <v>820</v>
      </c>
      <c r="S256" s="214" t="s">
        <v>748</v>
      </c>
    </row>
    <row r="257" spans="2:19" x14ac:dyDescent="0.2">
      <c r="B257" s="250" t="s">
        <v>597</v>
      </c>
      <c r="C257" s="250" t="s">
        <v>596</v>
      </c>
      <c r="D257" s="239">
        <v>235260335</v>
      </c>
      <c r="E257" s="239">
        <v>0</v>
      </c>
      <c r="F257" s="239">
        <v>59827</v>
      </c>
      <c r="G257" s="239">
        <v>652462</v>
      </c>
      <c r="H257" s="239">
        <v>0</v>
      </c>
      <c r="I257" s="239">
        <v>652462</v>
      </c>
      <c r="J257" s="239">
        <v>0</v>
      </c>
      <c r="K257" s="239">
        <v>0</v>
      </c>
      <c r="L257" s="239">
        <v>0</v>
      </c>
      <c r="M257" s="239">
        <v>0</v>
      </c>
      <c r="N257" s="239">
        <v>0</v>
      </c>
      <c r="O257" s="239">
        <v>234548046</v>
      </c>
      <c r="P257" s="214" t="s">
        <v>596</v>
      </c>
      <c r="Q257" s="214" t="s">
        <v>790</v>
      </c>
      <c r="R257" s="214" t="s">
        <v>749</v>
      </c>
      <c r="S257" s="214" t="s">
        <v>1297</v>
      </c>
    </row>
    <row r="258" spans="2:19" x14ac:dyDescent="0.2">
      <c r="B258" s="250" t="s">
        <v>599</v>
      </c>
      <c r="C258" s="250" t="s">
        <v>598</v>
      </c>
      <c r="D258" s="239">
        <v>42365667</v>
      </c>
      <c r="E258" s="239">
        <v>0</v>
      </c>
      <c r="F258" s="239">
        <v>11612</v>
      </c>
      <c r="G258" s="239">
        <v>129885</v>
      </c>
      <c r="H258" s="239">
        <v>0</v>
      </c>
      <c r="I258" s="239">
        <v>129885</v>
      </c>
      <c r="J258" s="239">
        <v>0</v>
      </c>
      <c r="K258" s="239">
        <v>0</v>
      </c>
      <c r="L258" s="239">
        <v>0</v>
      </c>
      <c r="M258" s="239">
        <v>0</v>
      </c>
      <c r="N258" s="239">
        <v>0</v>
      </c>
      <c r="O258" s="239">
        <v>42224170</v>
      </c>
      <c r="P258" s="214" t="s">
        <v>598</v>
      </c>
      <c r="Q258" s="214" t="s">
        <v>772</v>
      </c>
      <c r="R258" s="214" t="s">
        <v>763</v>
      </c>
      <c r="S258" s="214" t="s">
        <v>1294</v>
      </c>
    </row>
    <row r="259" spans="2:19" x14ac:dyDescent="0.2">
      <c r="B259" s="250" t="s">
        <v>601</v>
      </c>
      <c r="C259" s="250" t="s">
        <v>600</v>
      </c>
      <c r="D259" s="239">
        <v>60177957</v>
      </c>
      <c r="E259" s="239">
        <v>0</v>
      </c>
      <c r="F259" s="239">
        <v>92845</v>
      </c>
      <c r="G259" s="239">
        <v>195891</v>
      </c>
      <c r="H259" s="239">
        <v>0</v>
      </c>
      <c r="I259" s="239">
        <v>195891</v>
      </c>
      <c r="J259" s="239">
        <v>0</v>
      </c>
      <c r="K259" s="239">
        <v>0</v>
      </c>
      <c r="L259" s="239">
        <v>0</v>
      </c>
      <c r="M259" s="239">
        <v>0</v>
      </c>
      <c r="N259" s="239">
        <v>0</v>
      </c>
      <c r="O259" s="239">
        <v>59889221</v>
      </c>
      <c r="P259" s="214" t="s">
        <v>600</v>
      </c>
      <c r="Q259" s="214" t="s">
        <v>803</v>
      </c>
      <c r="R259" s="214" t="s">
        <v>763</v>
      </c>
      <c r="S259" s="214" t="s">
        <v>1294</v>
      </c>
    </row>
    <row r="260" spans="2:19" x14ac:dyDescent="0.2">
      <c r="B260" s="250" t="s">
        <v>603</v>
      </c>
      <c r="C260" s="250" t="s">
        <v>602</v>
      </c>
      <c r="D260" s="239">
        <v>45890060.280000001</v>
      </c>
      <c r="E260" s="239">
        <v>0</v>
      </c>
      <c r="F260" s="239">
        <v>127030</v>
      </c>
      <c r="G260" s="239">
        <v>163120</v>
      </c>
      <c r="H260" s="239">
        <v>0</v>
      </c>
      <c r="I260" s="239">
        <v>163120</v>
      </c>
      <c r="J260" s="239">
        <v>0</v>
      </c>
      <c r="K260" s="239">
        <v>0</v>
      </c>
      <c r="L260" s="239">
        <v>260058</v>
      </c>
      <c r="M260" s="239">
        <v>260058</v>
      </c>
      <c r="N260" s="239">
        <v>0</v>
      </c>
      <c r="O260" s="239">
        <v>45339852.280000001</v>
      </c>
      <c r="P260" s="214" t="s">
        <v>602</v>
      </c>
      <c r="Q260" s="214" t="s">
        <v>811</v>
      </c>
      <c r="R260" s="214" t="s">
        <v>763</v>
      </c>
      <c r="S260" s="214" t="s">
        <v>1294</v>
      </c>
    </row>
    <row r="261" spans="2:19" x14ac:dyDescent="0.2">
      <c r="B261" s="250" t="s">
        <v>605</v>
      </c>
      <c r="C261" s="250" t="s">
        <v>604</v>
      </c>
      <c r="D261" s="239">
        <v>48772833</v>
      </c>
      <c r="E261" s="239">
        <v>0</v>
      </c>
      <c r="F261" s="239">
        <v>352288</v>
      </c>
      <c r="G261" s="239">
        <v>199028</v>
      </c>
      <c r="H261" s="239">
        <v>0</v>
      </c>
      <c r="I261" s="239">
        <v>199028</v>
      </c>
      <c r="J261" s="239">
        <v>0</v>
      </c>
      <c r="K261" s="239">
        <v>0</v>
      </c>
      <c r="L261" s="239">
        <v>0</v>
      </c>
      <c r="M261" s="239">
        <v>0</v>
      </c>
      <c r="N261" s="239">
        <v>0</v>
      </c>
      <c r="O261" s="239">
        <v>48221517</v>
      </c>
      <c r="P261" s="214" t="s">
        <v>604</v>
      </c>
      <c r="Q261" s="214" t="s">
        <v>768</v>
      </c>
      <c r="R261" s="214" t="s">
        <v>774</v>
      </c>
      <c r="S261" s="214" t="s">
        <v>1296</v>
      </c>
    </row>
    <row r="262" spans="2:19" x14ac:dyDescent="0.2">
      <c r="B262" s="250" t="s">
        <v>607</v>
      </c>
      <c r="C262" s="250" t="s">
        <v>606</v>
      </c>
      <c r="D262" s="239">
        <v>45468273</v>
      </c>
      <c r="E262" s="239">
        <v>0</v>
      </c>
      <c r="F262" s="239">
        <v>77653</v>
      </c>
      <c r="G262" s="239">
        <v>170588</v>
      </c>
      <c r="H262" s="239">
        <v>0</v>
      </c>
      <c r="I262" s="239">
        <v>170588</v>
      </c>
      <c r="J262" s="239">
        <v>0</v>
      </c>
      <c r="K262" s="239">
        <v>0</v>
      </c>
      <c r="L262" s="239">
        <v>0</v>
      </c>
      <c r="M262" s="239">
        <v>0</v>
      </c>
      <c r="N262" s="239">
        <v>0</v>
      </c>
      <c r="O262" s="239">
        <v>45220032</v>
      </c>
      <c r="P262" s="214" t="s">
        <v>606</v>
      </c>
      <c r="Q262" s="214" t="s">
        <v>838</v>
      </c>
      <c r="R262" s="214" t="s">
        <v>836</v>
      </c>
      <c r="S262" s="214" t="s">
        <v>1294</v>
      </c>
    </row>
    <row r="263" spans="2:19" x14ac:dyDescent="0.2">
      <c r="B263" s="250" t="s">
        <v>609</v>
      </c>
      <c r="C263" s="250" t="s">
        <v>608</v>
      </c>
      <c r="D263" s="239">
        <v>17574569</v>
      </c>
      <c r="E263" s="239">
        <v>17466</v>
      </c>
      <c r="F263" s="239">
        <v>0</v>
      </c>
      <c r="G263" s="239">
        <v>115122</v>
      </c>
      <c r="H263" s="239">
        <v>0</v>
      </c>
      <c r="I263" s="239">
        <v>115122</v>
      </c>
      <c r="J263" s="239">
        <v>0</v>
      </c>
      <c r="K263" s="239">
        <v>0</v>
      </c>
      <c r="L263" s="239">
        <v>0</v>
      </c>
      <c r="M263" s="239">
        <v>0</v>
      </c>
      <c r="N263" s="239">
        <v>0</v>
      </c>
      <c r="O263" s="239">
        <v>17476913</v>
      </c>
      <c r="P263" s="214" t="s">
        <v>608</v>
      </c>
      <c r="Q263" s="214" t="s">
        <v>838</v>
      </c>
      <c r="R263" s="214" t="s">
        <v>836</v>
      </c>
      <c r="S263" s="214" t="s">
        <v>1294</v>
      </c>
    </row>
    <row r="264" spans="2:19" x14ac:dyDescent="0.2">
      <c r="B264" s="250" t="s">
        <v>611</v>
      </c>
      <c r="C264" s="250" t="s">
        <v>610</v>
      </c>
      <c r="D264" s="239">
        <v>47393013</v>
      </c>
      <c r="E264" s="239">
        <v>0</v>
      </c>
      <c r="F264" s="239">
        <v>213380</v>
      </c>
      <c r="G264" s="239">
        <v>112274</v>
      </c>
      <c r="H264" s="239">
        <v>0</v>
      </c>
      <c r="I264" s="239">
        <v>112274</v>
      </c>
      <c r="J264" s="239">
        <v>0</v>
      </c>
      <c r="K264" s="239">
        <v>0</v>
      </c>
      <c r="L264" s="239">
        <v>0</v>
      </c>
      <c r="M264" s="239">
        <v>0</v>
      </c>
      <c r="N264" s="239">
        <v>0</v>
      </c>
      <c r="O264" s="239">
        <v>47067359</v>
      </c>
      <c r="P264" s="214" t="s">
        <v>610</v>
      </c>
      <c r="Q264" s="214" t="s">
        <v>803</v>
      </c>
      <c r="R264" s="214" t="s">
        <v>763</v>
      </c>
      <c r="S264" s="214" t="s">
        <v>1294</v>
      </c>
    </row>
    <row r="265" spans="2:19" x14ac:dyDescent="0.2">
      <c r="B265" s="250" t="s">
        <v>613</v>
      </c>
      <c r="C265" s="250" t="s">
        <v>612</v>
      </c>
      <c r="D265" s="239">
        <v>89015446</v>
      </c>
      <c r="E265" s="239">
        <v>0</v>
      </c>
      <c r="F265" s="239">
        <v>256581</v>
      </c>
      <c r="G265" s="239">
        <v>431789</v>
      </c>
      <c r="H265" s="239">
        <v>0</v>
      </c>
      <c r="I265" s="239">
        <v>431789</v>
      </c>
      <c r="J265" s="239">
        <v>0</v>
      </c>
      <c r="K265" s="239">
        <v>0</v>
      </c>
      <c r="L265" s="239">
        <v>0</v>
      </c>
      <c r="M265" s="239">
        <v>0</v>
      </c>
      <c r="N265" s="239">
        <v>0</v>
      </c>
      <c r="O265" s="239">
        <v>88327076</v>
      </c>
      <c r="P265" s="214" t="s">
        <v>612</v>
      </c>
      <c r="Q265" s="214" t="s">
        <v>768</v>
      </c>
      <c r="R265" s="214" t="s">
        <v>783</v>
      </c>
      <c r="S265" s="214" t="s">
        <v>1296</v>
      </c>
    </row>
    <row r="266" spans="2:19" x14ac:dyDescent="0.2">
      <c r="B266" s="250" t="s">
        <v>615</v>
      </c>
      <c r="C266" s="250" t="s">
        <v>614</v>
      </c>
      <c r="D266" s="239">
        <v>79501555.5</v>
      </c>
      <c r="E266" s="239">
        <v>0</v>
      </c>
      <c r="F266" s="239">
        <v>604516</v>
      </c>
      <c r="G266" s="239">
        <v>239418</v>
      </c>
      <c r="H266" s="239">
        <v>0</v>
      </c>
      <c r="I266" s="239">
        <v>239418</v>
      </c>
      <c r="J266" s="239">
        <v>0</v>
      </c>
      <c r="K266" s="239">
        <v>178705</v>
      </c>
      <c r="L266" s="239">
        <v>0</v>
      </c>
      <c r="M266" s="239">
        <v>0</v>
      </c>
      <c r="N266" s="239">
        <v>0</v>
      </c>
      <c r="O266" s="239">
        <v>78478916.5</v>
      </c>
      <c r="P266" s="214" t="s">
        <v>846</v>
      </c>
      <c r="Q266" s="214" t="s">
        <v>748</v>
      </c>
      <c r="R266" s="214" t="s">
        <v>844</v>
      </c>
      <c r="S266" s="214" t="s">
        <v>748</v>
      </c>
    </row>
    <row r="267" spans="2:19" x14ac:dyDescent="0.2">
      <c r="B267" s="250" t="s">
        <v>617</v>
      </c>
      <c r="C267" s="250" t="s">
        <v>616</v>
      </c>
      <c r="D267" s="239">
        <v>90311158</v>
      </c>
      <c r="E267" s="239">
        <v>0</v>
      </c>
      <c r="F267" s="239">
        <v>189670</v>
      </c>
      <c r="G267" s="239">
        <v>362244</v>
      </c>
      <c r="H267" s="239">
        <v>0</v>
      </c>
      <c r="I267" s="239">
        <v>362244</v>
      </c>
      <c r="J267" s="239">
        <v>0</v>
      </c>
      <c r="K267" s="239">
        <v>0</v>
      </c>
      <c r="L267" s="239">
        <v>0</v>
      </c>
      <c r="M267" s="239">
        <v>0</v>
      </c>
      <c r="N267" s="239">
        <v>0</v>
      </c>
      <c r="O267" s="239">
        <v>89759244</v>
      </c>
      <c r="P267" s="214" t="s">
        <v>843</v>
      </c>
      <c r="Q267" s="214" t="s">
        <v>748</v>
      </c>
      <c r="R267" s="214" t="s">
        <v>836</v>
      </c>
      <c r="S267" s="214" t="s">
        <v>748</v>
      </c>
    </row>
    <row r="268" spans="2:19" x14ac:dyDescent="0.2">
      <c r="B268" s="250" t="s">
        <v>619</v>
      </c>
      <c r="C268" s="250" t="s">
        <v>618</v>
      </c>
      <c r="D268" s="239">
        <v>52285575</v>
      </c>
      <c r="E268" s="239">
        <v>0</v>
      </c>
      <c r="F268" s="239">
        <v>88647</v>
      </c>
      <c r="G268" s="239">
        <v>217612</v>
      </c>
      <c r="H268" s="239">
        <v>0</v>
      </c>
      <c r="I268" s="239">
        <v>217612</v>
      </c>
      <c r="J268" s="239">
        <v>0</v>
      </c>
      <c r="K268" s="239">
        <v>0</v>
      </c>
      <c r="L268" s="239">
        <v>62687</v>
      </c>
      <c r="M268" s="239">
        <v>62687</v>
      </c>
      <c r="N268" s="239">
        <v>0</v>
      </c>
      <c r="O268" s="239">
        <v>51916629</v>
      </c>
      <c r="P268" s="214" t="s">
        <v>618</v>
      </c>
      <c r="Q268" s="214" t="s">
        <v>813</v>
      </c>
      <c r="R268" s="214" t="s">
        <v>763</v>
      </c>
      <c r="S268" s="214" t="s">
        <v>1294</v>
      </c>
    </row>
    <row r="269" spans="2:19" x14ac:dyDescent="0.2">
      <c r="B269" s="250" t="s">
        <v>621</v>
      </c>
      <c r="C269" s="250" t="s">
        <v>620</v>
      </c>
      <c r="D269" s="239">
        <v>26436624</v>
      </c>
      <c r="E269" s="239">
        <v>292653</v>
      </c>
      <c r="F269" s="239">
        <v>0</v>
      </c>
      <c r="G269" s="239">
        <v>158456</v>
      </c>
      <c r="H269" s="239">
        <v>0</v>
      </c>
      <c r="I269" s="239">
        <v>158456</v>
      </c>
      <c r="J269" s="239">
        <v>0</v>
      </c>
      <c r="K269" s="239">
        <v>0</v>
      </c>
      <c r="L269" s="239">
        <v>109176</v>
      </c>
      <c r="M269" s="239">
        <v>109176</v>
      </c>
      <c r="N269" s="239">
        <v>0</v>
      </c>
      <c r="O269" s="239">
        <v>26461645</v>
      </c>
      <c r="P269" s="214" t="s">
        <v>620</v>
      </c>
      <c r="Q269" s="214" t="s">
        <v>831</v>
      </c>
      <c r="R269" s="214" t="s">
        <v>763</v>
      </c>
      <c r="S269" s="214" t="s">
        <v>1294</v>
      </c>
    </row>
    <row r="270" spans="2:19" x14ac:dyDescent="0.2">
      <c r="B270" s="250" t="s">
        <v>623</v>
      </c>
      <c r="C270" s="250" t="s">
        <v>622</v>
      </c>
      <c r="D270" s="239">
        <v>62610455</v>
      </c>
      <c r="E270" s="239">
        <v>0</v>
      </c>
      <c r="F270" s="239">
        <v>479528</v>
      </c>
      <c r="G270" s="239">
        <v>278139</v>
      </c>
      <c r="H270" s="239">
        <v>0</v>
      </c>
      <c r="I270" s="239">
        <v>278139</v>
      </c>
      <c r="J270" s="239">
        <v>0</v>
      </c>
      <c r="K270" s="239">
        <v>0</v>
      </c>
      <c r="L270" s="239">
        <v>184900</v>
      </c>
      <c r="M270" s="239">
        <v>184900</v>
      </c>
      <c r="N270" s="239">
        <v>0</v>
      </c>
      <c r="O270" s="239">
        <v>61667888</v>
      </c>
      <c r="P270" s="214" t="s">
        <v>622</v>
      </c>
      <c r="Q270" s="214" t="s">
        <v>811</v>
      </c>
      <c r="R270" s="214" t="s">
        <v>763</v>
      </c>
      <c r="S270" s="214" t="s">
        <v>1294</v>
      </c>
    </row>
    <row r="271" spans="2:19" x14ac:dyDescent="0.2">
      <c r="B271" s="250" t="s">
        <v>625</v>
      </c>
      <c r="C271" s="250" t="s">
        <v>624</v>
      </c>
      <c r="D271" s="239">
        <v>89206403</v>
      </c>
      <c r="E271" s="239">
        <v>0</v>
      </c>
      <c r="F271" s="239">
        <v>199002</v>
      </c>
      <c r="G271" s="239">
        <v>337431</v>
      </c>
      <c r="H271" s="239">
        <v>0</v>
      </c>
      <c r="I271" s="239">
        <v>337431</v>
      </c>
      <c r="J271" s="239">
        <v>0</v>
      </c>
      <c r="K271" s="239">
        <v>708744</v>
      </c>
      <c r="L271" s="239">
        <v>0</v>
      </c>
      <c r="M271" s="239">
        <v>0</v>
      </c>
      <c r="N271" s="239">
        <v>0</v>
      </c>
      <c r="O271" s="239">
        <v>87961226</v>
      </c>
      <c r="P271" s="214" t="s">
        <v>624</v>
      </c>
      <c r="Q271" s="214" t="s">
        <v>768</v>
      </c>
      <c r="R271" s="214" t="s">
        <v>841</v>
      </c>
      <c r="S271" s="214" t="s">
        <v>1296</v>
      </c>
    </row>
    <row r="272" spans="2:19" x14ac:dyDescent="0.2">
      <c r="B272" s="250" t="s">
        <v>627</v>
      </c>
      <c r="C272" s="250" t="s">
        <v>626</v>
      </c>
      <c r="D272" s="239">
        <v>34949684</v>
      </c>
      <c r="E272" s="239">
        <v>0</v>
      </c>
      <c r="F272" s="239">
        <v>39482</v>
      </c>
      <c r="G272" s="239">
        <v>122065</v>
      </c>
      <c r="H272" s="239">
        <v>0</v>
      </c>
      <c r="I272" s="239">
        <v>122065</v>
      </c>
      <c r="J272" s="239">
        <v>0</v>
      </c>
      <c r="K272" s="239">
        <v>0</v>
      </c>
      <c r="L272" s="239">
        <v>0</v>
      </c>
      <c r="M272" s="239">
        <v>0</v>
      </c>
      <c r="N272" s="239">
        <v>0</v>
      </c>
      <c r="O272" s="239">
        <v>34788137</v>
      </c>
      <c r="P272" s="214" t="s">
        <v>626</v>
      </c>
      <c r="Q272" s="214" t="s">
        <v>772</v>
      </c>
      <c r="R272" s="214" t="s">
        <v>763</v>
      </c>
      <c r="S272" s="214" t="s">
        <v>1294</v>
      </c>
    </row>
    <row r="273" spans="2:19" x14ac:dyDescent="0.2">
      <c r="B273" s="250" t="s">
        <v>629</v>
      </c>
      <c r="C273" s="250" t="s">
        <v>628</v>
      </c>
      <c r="D273" s="239">
        <v>54160905</v>
      </c>
      <c r="E273" s="239">
        <v>0</v>
      </c>
      <c r="F273" s="239">
        <v>1343770</v>
      </c>
      <c r="G273" s="239">
        <v>203646</v>
      </c>
      <c r="H273" s="239">
        <v>41643</v>
      </c>
      <c r="I273" s="239">
        <v>245289</v>
      </c>
      <c r="J273" s="239">
        <v>0</v>
      </c>
      <c r="K273" s="239">
        <v>0</v>
      </c>
      <c r="L273" s="239">
        <v>0</v>
      </c>
      <c r="M273" s="239">
        <v>0</v>
      </c>
      <c r="N273" s="239">
        <v>0</v>
      </c>
      <c r="O273" s="239">
        <v>52571846</v>
      </c>
      <c r="P273" s="214" t="s">
        <v>628</v>
      </c>
      <c r="Q273" s="214" t="s">
        <v>790</v>
      </c>
      <c r="R273" s="214" t="s">
        <v>749</v>
      </c>
      <c r="S273" s="214" t="s">
        <v>1295</v>
      </c>
    </row>
    <row r="274" spans="2:19" x14ac:dyDescent="0.2">
      <c r="B274" s="250" t="s">
        <v>631</v>
      </c>
      <c r="C274" s="250" t="s">
        <v>630</v>
      </c>
      <c r="D274" s="239">
        <v>42443098</v>
      </c>
      <c r="E274" s="239">
        <v>0</v>
      </c>
      <c r="F274" s="239">
        <v>144493</v>
      </c>
      <c r="G274" s="239">
        <v>180565</v>
      </c>
      <c r="H274" s="239">
        <v>0</v>
      </c>
      <c r="I274" s="239">
        <v>180565</v>
      </c>
      <c r="J274" s="239">
        <v>0</v>
      </c>
      <c r="K274" s="239">
        <v>0</v>
      </c>
      <c r="L274" s="239">
        <v>512550</v>
      </c>
      <c r="M274" s="239">
        <v>87977</v>
      </c>
      <c r="N274" s="239">
        <v>424573</v>
      </c>
      <c r="O274" s="239">
        <v>41605490</v>
      </c>
      <c r="P274" s="214" t="s">
        <v>630</v>
      </c>
      <c r="Q274" s="214" t="s">
        <v>826</v>
      </c>
      <c r="R274" s="214" t="s">
        <v>824</v>
      </c>
      <c r="S274" s="214" t="s">
        <v>1294</v>
      </c>
    </row>
    <row r="275" spans="2:19" x14ac:dyDescent="0.2">
      <c r="B275" s="250" t="s">
        <v>633</v>
      </c>
      <c r="C275" s="250" t="s">
        <v>632</v>
      </c>
      <c r="D275" s="239">
        <v>106901011</v>
      </c>
      <c r="E275" s="239">
        <v>0</v>
      </c>
      <c r="F275" s="239">
        <v>357766</v>
      </c>
      <c r="G275" s="239">
        <v>270907</v>
      </c>
      <c r="H275" s="239">
        <v>0</v>
      </c>
      <c r="I275" s="239">
        <v>270907</v>
      </c>
      <c r="J275" s="239">
        <v>0</v>
      </c>
      <c r="K275" s="239">
        <v>0</v>
      </c>
      <c r="L275" s="239">
        <v>376686</v>
      </c>
      <c r="M275" s="239">
        <v>376686</v>
      </c>
      <c r="N275" s="239">
        <v>0</v>
      </c>
      <c r="O275" s="239">
        <v>105895652</v>
      </c>
      <c r="P275" s="214" t="s">
        <v>840</v>
      </c>
      <c r="Q275" s="214" t="s">
        <v>748</v>
      </c>
      <c r="R275" s="214" t="s">
        <v>781</v>
      </c>
      <c r="S275" s="214" t="s">
        <v>748</v>
      </c>
    </row>
    <row r="276" spans="2:19" x14ac:dyDescent="0.2">
      <c r="B276" s="250" t="s">
        <v>635</v>
      </c>
      <c r="C276" s="250" t="s">
        <v>634</v>
      </c>
      <c r="D276" s="239">
        <v>57513828</v>
      </c>
      <c r="E276" s="239">
        <v>0</v>
      </c>
      <c r="F276" s="239">
        <v>100208</v>
      </c>
      <c r="G276" s="239">
        <v>300741</v>
      </c>
      <c r="H276" s="239">
        <v>0</v>
      </c>
      <c r="I276" s="239">
        <v>300741</v>
      </c>
      <c r="J276" s="239">
        <v>0</v>
      </c>
      <c r="K276" s="239">
        <v>0</v>
      </c>
      <c r="L276" s="239">
        <v>0</v>
      </c>
      <c r="M276" s="239">
        <v>0</v>
      </c>
      <c r="N276" s="239">
        <v>0</v>
      </c>
      <c r="O276" s="239">
        <v>57112879</v>
      </c>
      <c r="P276" s="214" t="s">
        <v>634</v>
      </c>
      <c r="Q276" s="214" t="s">
        <v>768</v>
      </c>
      <c r="R276" s="214" t="s">
        <v>783</v>
      </c>
      <c r="S276" s="214" t="s">
        <v>1296</v>
      </c>
    </row>
    <row r="277" spans="2:19" x14ac:dyDescent="0.2">
      <c r="B277" s="250" t="s">
        <v>637</v>
      </c>
      <c r="C277" s="250" t="s">
        <v>636</v>
      </c>
      <c r="D277" s="239">
        <v>33516801</v>
      </c>
      <c r="E277" s="239">
        <v>0</v>
      </c>
      <c r="F277" s="239">
        <v>46474</v>
      </c>
      <c r="G277" s="239">
        <v>91651</v>
      </c>
      <c r="H277" s="239">
        <v>0</v>
      </c>
      <c r="I277" s="239">
        <v>91651</v>
      </c>
      <c r="J277" s="239">
        <v>0</v>
      </c>
      <c r="K277" s="239">
        <v>0</v>
      </c>
      <c r="L277" s="239">
        <v>0</v>
      </c>
      <c r="M277" s="239">
        <v>0</v>
      </c>
      <c r="N277" s="239">
        <v>0</v>
      </c>
      <c r="O277" s="239">
        <v>33378676</v>
      </c>
      <c r="P277" s="214" t="s">
        <v>636</v>
      </c>
      <c r="Q277" s="214" t="s">
        <v>838</v>
      </c>
      <c r="R277" s="214" t="s">
        <v>836</v>
      </c>
      <c r="S277" s="214" t="s">
        <v>1294</v>
      </c>
    </row>
    <row r="278" spans="2:19" x14ac:dyDescent="0.2">
      <c r="B278" s="250" t="s">
        <v>639</v>
      </c>
      <c r="C278" s="250" t="s">
        <v>638</v>
      </c>
      <c r="D278" s="239">
        <v>19957118</v>
      </c>
      <c r="E278" s="239">
        <v>0</v>
      </c>
      <c r="F278" s="239">
        <v>8634</v>
      </c>
      <c r="G278" s="239">
        <v>126117</v>
      </c>
      <c r="H278" s="239">
        <v>0</v>
      </c>
      <c r="I278" s="239">
        <v>126117</v>
      </c>
      <c r="J278" s="239">
        <v>0</v>
      </c>
      <c r="K278" s="239">
        <v>0</v>
      </c>
      <c r="L278" s="239">
        <v>0</v>
      </c>
      <c r="M278" s="239">
        <v>0</v>
      </c>
      <c r="N278" s="239">
        <v>0</v>
      </c>
      <c r="O278" s="239">
        <v>19822367</v>
      </c>
      <c r="P278" s="214" t="s">
        <v>638</v>
      </c>
      <c r="Q278" s="214" t="s">
        <v>772</v>
      </c>
      <c r="R278" s="214" t="s">
        <v>763</v>
      </c>
      <c r="S278" s="214" t="s">
        <v>1294</v>
      </c>
    </row>
    <row r="279" spans="2:19" x14ac:dyDescent="0.2">
      <c r="B279" s="250" t="s">
        <v>641</v>
      </c>
      <c r="C279" s="250" t="s">
        <v>640</v>
      </c>
      <c r="D279" s="239">
        <v>41237729</v>
      </c>
      <c r="E279" s="239">
        <v>177309</v>
      </c>
      <c r="F279" s="239">
        <v>0</v>
      </c>
      <c r="G279" s="239">
        <v>163502</v>
      </c>
      <c r="H279" s="239">
        <v>0</v>
      </c>
      <c r="I279" s="239">
        <v>163502</v>
      </c>
      <c r="J279" s="239">
        <v>0</v>
      </c>
      <c r="K279" s="239">
        <v>0</v>
      </c>
      <c r="L279" s="239">
        <v>148334</v>
      </c>
      <c r="M279" s="239">
        <v>148334</v>
      </c>
      <c r="N279" s="239">
        <v>0</v>
      </c>
      <c r="O279" s="239">
        <v>41103202</v>
      </c>
      <c r="P279" s="214" t="s">
        <v>640</v>
      </c>
      <c r="Q279" s="214" t="s">
        <v>794</v>
      </c>
      <c r="R279" s="214" t="s">
        <v>792</v>
      </c>
      <c r="S279" s="214" t="s">
        <v>1294</v>
      </c>
    </row>
    <row r="280" spans="2:19" x14ac:dyDescent="0.2">
      <c r="B280" s="250" t="s">
        <v>643</v>
      </c>
      <c r="C280" s="250" t="s">
        <v>642</v>
      </c>
      <c r="D280" s="239">
        <v>31388988</v>
      </c>
      <c r="E280" s="239">
        <v>157050</v>
      </c>
      <c r="F280" s="239">
        <v>0</v>
      </c>
      <c r="G280" s="239">
        <v>191444</v>
      </c>
      <c r="H280" s="239">
        <v>0</v>
      </c>
      <c r="I280" s="239">
        <v>191444</v>
      </c>
      <c r="J280" s="239">
        <v>0</v>
      </c>
      <c r="K280" s="239">
        <v>0</v>
      </c>
      <c r="L280" s="239">
        <v>158534</v>
      </c>
      <c r="M280" s="239">
        <v>158534</v>
      </c>
      <c r="N280" s="239">
        <v>0</v>
      </c>
      <c r="O280" s="239">
        <v>31196060</v>
      </c>
      <c r="P280" s="214" t="s">
        <v>642</v>
      </c>
      <c r="Q280" s="214" t="s">
        <v>800</v>
      </c>
      <c r="R280" s="214" t="s">
        <v>792</v>
      </c>
      <c r="S280" s="214" t="s">
        <v>1294</v>
      </c>
    </row>
    <row r="281" spans="2:19" x14ac:dyDescent="0.2">
      <c r="B281" s="250" t="s">
        <v>645</v>
      </c>
      <c r="C281" s="250" t="s">
        <v>644</v>
      </c>
      <c r="D281" s="239">
        <v>72040055</v>
      </c>
      <c r="E281" s="239">
        <v>73455</v>
      </c>
      <c r="F281" s="239">
        <v>0</v>
      </c>
      <c r="G281" s="239">
        <v>214432</v>
      </c>
      <c r="H281" s="239">
        <v>0</v>
      </c>
      <c r="I281" s="239">
        <v>214432</v>
      </c>
      <c r="J281" s="239">
        <v>0</v>
      </c>
      <c r="K281" s="239">
        <v>0</v>
      </c>
      <c r="L281" s="239">
        <v>61706</v>
      </c>
      <c r="M281" s="239">
        <v>61706</v>
      </c>
      <c r="N281" s="239">
        <v>0</v>
      </c>
      <c r="O281" s="239">
        <v>71837372</v>
      </c>
      <c r="P281" s="214" t="s">
        <v>835</v>
      </c>
      <c r="Q281" s="214" t="s">
        <v>748</v>
      </c>
      <c r="R281" s="214" t="s">
        <v>833</v>
      </c>
      <c r="S281" s="214" t="s">
        <v>748</v>
      </c>
    </row>
    <row r="282" spans="2:19" x14ac:dyDescent="0.2">
      <c r="B282" s="250" t="s">
        <v>647</v>
      </c>
      <c r="C282" s="250" t="s">
        <v>646</v>
      </c>
      <c r="D282" s="239">
        <v>25317217</v>
      </c>
      <c r="E282" s="239">
        <v>0</v>
      </c>
      <c r="F282" s="239">
        <v>63126</v>
      </c>
      <c r="G282" s="239">
        <v>294938</v>
      </c>
      <c r="H282" s="239">
        <v>0</v>
      </c>
      <c r="I282" s="239">
        <v>294938</v>
      </c>
      <c r="J282" s="239">
        <v>0</v>
      </c>
      <c r="K282" s="239">
        <v>0</v>
      </c>
      <c r="L282" s="239">
        <v>220454</v>
      </c>
      <c r="M282" s="239">
        <v>220454</v>
      </c>
      <c r="N282" s="239">
        <v>0</v>
      </c>
      <c r="O282" s="239">
        <v>24738699</v>
      </c>
      <c r="P282" s="214" t="s">
        <v>646</v>
      </c>
      <c r="Q282" s="214" t="s">
        <v>822</v>
      </c>
      <c r="R282" s="214" t="s">
        <v>820</v>
      </c>
      <c r="S282" s="214" t="s">
        <v>1294</v>
      </c>
    </row>
    <row r="283" spans="2:19" x14ac:dyDescent="0.2">
      <c r="B283" s="250" t="s">
        <v>649</v>
      </c>
      <c r="C283" s="250" t="s">
        <v>648</v>
      </c>
      <c r="D283" s="239">
        <v>52057622</v>
      </c>
      <c r="E283" s="239">
        <v>233798</v>
      </c>
      <c r="F283" s="239">
        <v>0</v>
      </c>
      <c r="G283" s="239">
        <v>189487</v>
      </c>
      <c r="H283" s="239">
        <v>0</v>
      </c>
      <c r="I283" s="239">
        <v>189487</v>
      </c>
      <c r="J283" s="239">
        <v>0</v>
      </c>
      <c r="K283" s="239">
        <v>0</v>
      </c>
      <c r="L283" s="239">
        <v>23171</v>
      </c>
      <c r="M283" s="239">
        <v>23171</v>
      </c>
      <c r="N283" s="239">
        <v>0</v>
      </c>
      <c r="O283" s="239">
        <v>52078762</v>
      </c>
      <c r="P283" s="214" t="s">
        <v>648</v>
      </c>
      <c r="Q283" s="214" t="s">
        <v>779</v>
      </c>
      <c r="R283" s="214" t="s">
        <v>777</v>
      </c>
      <c r="S283" s="214" t="s">
        <v>1294</v>
      </c>
    </row>
    <row r="284" spans="2:19" x14ac:dyDescent="0.2">
      <c r="B284" s="250" t="s">
        <v>651</v>
      </c>
      <c r="C284" s="250" t="s">
        <v>650</v>
      </c>
      <c r="D284" s="239">
        <v>32268467</v>
      </c>
      <c r="E284" s="239">
        <v>644294</v>
      </c>
      <c r="F284" s="239">
        <v>0</v>
      </c>
      <c r="G284" s="239">
        <v>123912</v>
      </c>
      <c r="H284" s="239">
        <v>0</v>
      </c>
      <c r="I284" s="239">
        <v>123912</v>
      </c>
      <c r="J284" s="239">
        <v>0</v>
      </c>
      <c r="K284" s="239">
        <v>0</v>
      </c>
      <c r="L284" s="239">
        <v>0</v>
      </c>
      <c r="M284" s="239">
        <v>0</v>
      </c>
      <c r="N284" s="239">
        <v>0</v>
      </c>
      <c r="O284" s="239">
        <v>32788849</v>
      </c>
      <c r="P284" s="214" t="s">
        <v>650</v>
      </c>
      <c r="Q284" s="214" t="s">
        <v>831</v>
      </c>
      <c r="R284" s="214" t="s">
        <v>763</v>
      </c>
      <c r="S284" s="214" t="s">
        <v>1294</v>
      </c>
    </row>
    <row r="285" spans="2:19" x14ac:dyDescent="0.2">
      <c r="B285" s="250" t="s">
        <v>653</v>
      </c>
      <c r="C285" s="250" t="s">
        <v>652</v>
      </c>
      <c r="D285" s="239">
        <v>31609186</v>
      </c>
      <c r="E285" s="239">
        <v>113073</v>
      </c>
      <c r="F285" s="239">
        <v>0</v>
      </c>
      <c r="G285" s="239">
        <v>191716</v>
      </c>
      <c r="H285" s="239">
        <v>0</v>
      </c>
      <c r="I285" s="239">
        <v>191716</v>
      </c>
      <c r="J285" s="239">
        <v>0</v>
      </c>
      <c r="K285" s="239">
        <v>0</v>
      </c>
      <c r="L285" s="239">
        <v>0</v>
      </c>
      <c r="M285" s="239">
        <v>0</v>
      </c>
      <c r="N285" s="239">
        <v>0</v>
      </c>
      <c r="O285" s="239">
        <v>31530543</v>
      </c>
      <c r="P285" s="214" t="s">
        <v>652</v>
      </c>
      <c r="Q285" s="214" t="s">
        <v>826</v>
      </c>
      <c r="R285" s="214" t="s">
        <v>824</v>
      </c>
      <c r="S285" s="214" t="s">
        <v>1294</v>
      </c>
    </row>
    <row r="286" spans="2:19" x14ac:dyDescent="0.2">
      <c r="B286" s="250" t="s">
        <v>655</v>
      </c>
      <c r="C286" s="250" t="s">
        <v>654</v>
      </c>
      <c r="D286" s="239">
        <v>29359038</v>
      </c>
      <c r="E286" s="239">
        <v>0</v>
      </c>
      <c r="F286" s="239">
        <v>47147</v>
      </c>
      <c r="G286" s="239">
        <v>95987</v>
      </c>
      <c r="H286" s="239">
        <v>0</v>
      </c>
      <c r="I286" s="239">
        <v>95987</v>
      </c>
      <c r="J286" s="239">
        <v>0</v>
      </c>
      <c r="K286" s="239">
        <v>0</v>
      </c>
      <c r="L286" s="239">
        <v>0</v>
      </c>
      <c r="M286" s="239">
        <v>0</v>
      </c>
      <c r="N286" s="239">
        <v>0</v>
      </c>
      <c r="O286" s="239">
        <v>29215904</v>
      </c>
      <c r="P286" s="214" t="s">
        <v>654</v>
      </c>
      <c r="Q286" s="214" t="s">
        <v>803</v>
      </c>
      <c r="R286" s="214" t="s">
        <v>763</v>
      </c>
      <c r="S286" s="214" t="s">
        <v>1294</v>
      </c>
    </row>
    <row r="287" spans="2:19" x14ac:dyDescent="0.2">
      <c r="B287" s="250" t="s">
        <v>657</v>
      </c>
      <c r="C287" s="250" t="s">
        <v>656</v>
      </c>
      <c r="D287" s="239">
        <v>109110536</v>
      </c>
      <c r="E287" s="239">
        <v>0</v>
      </c>
      <c r="F287" s="239">
        <v>452313</v>
      </c>
      <c r="G287" s="239">
        <v>234584</v>
      </c>
      <c r="H287" s="239">
        <v>0</v>
      </c>
      <c r="I287" s="239">
        <v>234584</v>
      </c>
      <c r="J287" s="239">
        <v>0</v>
      </c>
      <c r="K287" s="239">
        <v>0</v>
      </c>
      <c r="L287" s="239">
        <v>0</v>
      </c>
      <c r="M287" s="239">
        <v>0</v>
      </c>
      <c r="N287" s="239">
        <v>0</v>
      </c>
      <c r="O287" s="239">
        <v>108423639</v>
      </c>
      <c r="P287" s="214" t="s">
        <v>830</v>
      </c>
      <c r="Q287" s="214" t="s">
        <v>748</v>
      </c>
      <c r="R287" s="214" t="s">
        <v>820</v>
      </c>
      <c r="S287" s="214" t="s">
        <v>748</v>
      </c>
    </row>
    <row r="288" spans="2:19" x14ac:dyDescent="0.2">
      <c r="B288" s="250" t="s">
        <v>659</v>
      </c>
      <c r="C288" s="250" t="s">
        <v>658</v>
      </c>
      <c r="D288" s="239">
        <v>53071935</v>
      </c>
      <c r="E288" s="239">
        <v>0</v>
      </c>
      <c r="F288" s="239">
        <v>51680</v>
      </c>
      <c r="G288" s="239">
        <v>165385</v>
      </c>
      <c r="H288" s="239">
        <v>0</v>
      </c>
      <c r="I288" s="239">
        <v>165385</v>
      </c>
      <c r="J288" s="239">
        <v>0</v>
      </c>
      <c r="K288" s="239">
        <v>0</v>
      </c>
      <c r="L288" s="239">
        <v>0</v>
      </c>
      <c r="M288" s="239">
        <v>0</v>
      </c>
      <c r="N288" s="239">
        <v>0</v>
      </c>
      <c r="O288" s="239">
        <v>52854870</v>
      </c>
      <c r="P288" s="214" t="s">
        <v>829</v>
      </c>
      <c r="Q288" s="214" t="s">
        <v>826</v>
      </c>
      <c r="R288" s="214" t="s">
        <v>824</v>
      </c>
      <c r="S288" s="214" t="s">
        <v>1294</v>
      </c>
    </row>
    <row r="289" spans="2:19" x14ac:dyDescent="0.2">
      <c r="B289" s="250" t="s">
        <v>661</v>
      </c>
      <c r="C289" s="250" t="s">
        <v>660</v>
      </c>
      <c r="D289" s="239">
        <v>34036638</v>
      </c>
      <c r="E289" s="239">
        <v>248101</v>
      </c>
      <c r="F289" s="239">
        <v>0</v>
      </c>
      <c r="G289" s="239">
        <v>202829</v>
      </c>
      <c r="H289" s="239">
        <v>0</v>
      </c>
      <c r="I289" s="239">
        <v>202829</v>
      </c>
      <c r="J289" s="239">
        <v>0</v>
      </c>
      <c r="K289" s="239">
        <v>0</v>
      </c>
      <c r="L289" s="239">
        <v>0</v>
      </c>
      <c r="M289" s="239">
        <v>0</v>
      </c>
      <c r="N289" s="239">
        <v>0</v>
      </c>
      <c r="O289" s="239">
        <v>34081910</v>
      </c>
      <c r="P289" s="214" t="s">
        <v>828</v>
      </c>
      <c r="Q289" s="214" t="s">
        <v>748</v>
      </c>
      <c r="R289" s="214" t="s">
        <v>792</v>
      </c>
      <c r="S289" s="214" t="s">
        <v>748</v>
      </c>
    </row>
    <row r="290" spans="2:19" x14ac:dyDescent="0.2">
      <c r="B290" s="250" t="s">
        <v>663</v>
      </c>
      <c r="C290" s="250" t="s">
        <v>662</v>
      </c>
      <c r="D290" s="239">
        <v>9172283</v>
      </c>
      <c r="E290" s="239">
        <v>182989</v>
      </c>
      <c r="F290" s="239">
        <v>0</v>
      </c>
      <c r="G290" s="239">
        <v>128301</v>
      </c>
      <c r="H290" s="239">
        <v>0</v>
      </c>
      <c r="I290" s="239">
        <v>128301</v>
      </c>
      <c r="J290" s="239">
        <v>0</v>
      </c>
      <c r="K290" s="239">
        <v>0</v>
      </c>
      <c r="L290" s="239">
        <v>477523</v>
      </c>
      <c r="M290" s="239">
        <v>477523</v>
      </c>
      <c r="N290" s="239">
        <v>0</v>
      </c>
      <c r="O290" s="239">
        <v>8749448</v>
      </c>
      <c r="P290" s="214" t="s">
        <v>662</v>
      </c>
      <c r="Q290" s="214" t="s">
        <v>800</v>
      </c>
      <c r="R290" s="214" t="s">
        <v>792</v>
      </c>
      <c r="S290" s="214" t="s">
        <v>1294</v>
      </c>
    </row>
    <row r="291" spans="2:19" x14ac:dyDescent="0.2">
      <c r="B291" s="250" t="s">
        <v>665</v>
      </c>
      <c r="C291" s="250" t="s">
        <v>664</v>
      </c>
      <c r="D291" s="239">
        <v>375901445</v>
      </c>
      <c r="E291" s="239">
        <v>40991</v>
      </c>
      <c r="F291" s="239">
        <v>0</v>
      </c>
      <c r="G291" s="239">
        <v>965370</v>
      </c>
      <c r="H291" s="239">
        <v>0</v>
      </c>
      <c r="I291" s="239">
        <v>965370</v>
      </c>
      <c r="J291" s="239">
        <v>0</v>
      </c>
      <c r="K291" s="239">
        <v>0</v>
      </c>
      <c r="L291" s="239">
        <v>0</v>
      </c>
      <c r="M291" s="239">
        <v>0</v>
      </c>
      <c r="N291" s="239">
        <v>0</v>
      </c>
      <c r="O291" s="239">
        <v>374977066</v>
      </c>
      <c r="P291" s="214" t="s">
        <v>664</v>
      </c>
      <c r="Q291" s="214" t="s">
        <v>790</v>
      </c>
      <c r="R291" s="214" t="s">
        <v>749</v>
      </c>
      <c r="S291" s="214" t="s">
        <v>1297</v>
      </c>
    </row>
    <row r="292" spans="2:19" x14ac:dyDescent="0.2">
      <c r="B292" s="250" t="s">
        <v>667</v>
      </c>
      <c r="C292" s="250" t="s">
        <v>666</v>
      </c>
      <c r="D292" s="239">
        <v>164043829</v>
      </c>
      <c r="E292" s="239">
        <v>0</v>
      </c>
      <c r="F292" s="239">
        <v>735955</v>
      </c>
      <c r="G292" s="239">
        <v>462189</v>
      </c>
      <c r="H292" s="239">
        <v>0</v>
      </c>
      <c r="I292" s="239">
        <v>462189</v>
      </c>
      <c r="J292" s="239">
        <v>0</v>
      </c>
      <c r="K292" s="239">
        <v>0</v>
      </c>
      <c r="L292" s="239">
        <v>76908</v>
      </c>
      <c r="M292" s="239">
        <v>76908</v>
      </c>
      <c r="N292" s="239">
        <v>0</v>
      </c>
      <c r="O292" s="239">
        <v>162768777</v>
      </c>
      <c r="P292" s="214" t="s">
        <v>666</v>
      </c>
      <c r="Q292" s="214" t="s">
        <v>768</v>
      </c>
      <c r="R292" s="214" t="s">
        <v>783</v>
      </c>
      <c r="S292" s="214" t="s">
        <v>1296</v>
      </c>
    </row>
    <row r="293" spans="2:19" x14ac:dyDescent="0.2">
      <c r="B293" s="250" t="s">
        <v>669</v>
      </c>
      <c r="C293" s="250" t="s">
        <v>668</v>
      </c>
      <c r="D293" s="239">
        <v>50148659</v>
      </c>
      <c r="E293" s="239">
        <v>0</v>
      </c>
      <c r="F293" s="239">
        <v>55138</v>
      </c>
      <c r="G293" s="239">
        <v>177239</v>
      </c>
      <c r="H293" s="239">
        <v>0</v>
      </c>
      <c r="I293" s="239">
        <v>177239</v>
      </c>
      <c r="J293" s="239">
        <v>0</v>
      </c>
      <c r="K293" s="239">
        <v>0</v>
      </c>
      <c r="L293" s="239">
        <v>0</v>
      </c>
      <c r="M293" s="239">
        <v>0</v>
      </c>
      <c r="N293" s="239">
        <v>0</v>
      </c>
      <c r="O293" s="239">
        <v>49916282</v>
      </c>
      <c r="P293" s="214" t="s">
        <v>668</v>
      </c>
      <c r="Q293" s="214" t="s">
        <v>826</v>
      </c>
      <c r="R293" s="214" t="s">
        <v>824</v>
      </c>
      <c r="S293" s="214" t="s">
        <v>1294</v>
      </c>
    </row>
    <row r="294" spans="2:19" x14ac:dyDescent="0.2">
      <c r="B294" s="250" t="s">
        <v>671</v>
      </c>
      <c r="C294" s="250" t="s">
        <v>670</v>
      </c>
      <c r="D294" s="239">
        <v>42511361</v>
      </c>
      <c r="E294" s="239">
        <v>0</v>
      </c>
      <c r="F294" s="239">
        <v>158353</v>
      </c>
      <c r="G294" s="239">
        <v>137952</v>
      </c>
      <c r="H294" s="239">
        <v>0</v>
      </c>
      <c r="I294" s="239">
        <v>137952</v>
      </c>
      <c r="J294" s="239">
        <v>0</v>
      </c>
      <c r="K294" s="239">
        <v>0</v>
      </c>
      <c r="L294" s="239">
        <v>198369</v>
      </c>
      <c r="M294" s="239">
        <v>198369</v>
      </c>
      <c r="N294" s="239">
        <v>0</v>
      </c>
      <c r="O294" s="239">
        <v>42016687</v>
      </c>
      <c r="P294" s="214" t="s">
        <v>670</v>
      </c>
      <c r="Q294" s="214" t="s">
        <v>822</v>
      </c>
      <c r="R294" s="214" t="s">
        <v>820</v>
      </c>
      <c r="S294" s="214" t="s">
        <v>1294</v>
      </c>
    </row>
    <row r="295" spans="2:19" x14ac:dyDescent="0.2">
      <c r="B295" s="250" t="s">
        <v>673</v>
      </c>
      <c r="C295" s="250" t="s">
        <v>672</v>
      </c>
      <c r="D295" s="239">
        <v>52358434</v>
      </c>
      <c r="E295" s="239">
        <v>0</v>
      </c>
      <c r="F295" s="239">
        <v>512854</v>
      </c>
      <c r="G295" s="239">
        <v>184722</v>
      </c>
      <c r="H295" s="239">
        <v>0</v>
      </c>
      <c r="I295" s="239">
        <v>184722</v>
      </c>
      <c r="J295" s="239">
        <v>0</v>
      </c>
      <c r="K295" s="239">
        <v>306242</v>
      </c>
      <c r="L295" s="239">
        <v>241262</v>
      </c>
      <c r="M295" s="239">
        <v>241262</v>
      </c>
      <c r="N295" s="239">
        <v>0</v>
      </c>
      <c r="O295" s="239">
        <v>51113354</v>
      </c>
      <c r="P295" s="214" t="s">
        <v>672</v>
      </c>
      <c r="Q295" s="214" t="s">
        <v>796</v>
      </c>
      <c r="R295" s="214" t="s">
        <v>763</v>
      </c>
      <c r="S295" s="214" t="s">
        <v>1294</v>
      </c>
    </row>
    <row r="296" spans="2:19" x14ac:dyDescent="0.2">
      <c r="B296" s="250" t="s">
        <v>675</v>
      </c>
      <c r="C296" s="250" t="s">
        <v>674</v>
      </c>
      <c r="D296" s="239">
        <v>114466225</v>
      </c>
      <c r="E296" s="239">
        <v>0</v>
      </c>
      <c r="F296" s="239">
        <v>753794</v>
      </c>
      <c r="G296" s="239">
        <v>461041</v>
      </c>
      <c r="H296" s="239">
        <v>0</v>
      </c>
      <c r="I296" s="239">
        <v>461041</v>
      </c>
      <c r="J296" s="239">
        <v>0</v>
      </c>
      <c r="K296" s="239">
        <v>0</v>
      </c>
      <c r="L296" s="239">
        <v>0</v>
      </c>
      <c r="M296" s="239">
        <v>0</v>
      </c>
      <c r="N296" s="239">
        <v>0</v>
      </c>
      <c r="O296" s="239">
        <v>113251390</v>
      </c>
      <c r="P296" s="214" t="s">
        <v>674</v>
      </c>
      <c r="Q296" s="214" t="s">
        <v>768</v>
      </c>
      <c r="R296" s="214" t="s">
        <v>818</v>
      </c>
      <c r="S296" s="214" t="s">
        <v>1296</v>
      </c>
    </row>
    <row r="297" spans="2:19" x14ac:dyDescent="0.2">
      <c r="B297" s="250" t="s">
        <v>677</v>
      </c>
      <c r="C297" s="250" t="s">
        <v>676</v>
      </c>
      <c r="D297" s="239">
        <v>64441300</v>
      </c>
      <c r="E297" s="239">
        <v>0</v>
      </c>
      <c r="F297" s="239">
        <v>919501</v>
      </c>
      <c r="G297" s="239">
        <v>340097</v>
      </c>
      <c r="H297" s="239">
        <v>0</v>
      </c>
      <c r="I297" s="239">
        <v>340097</v>
      </c>
      <c r="J297" s="239">
        <v>0</v>
      </c>
      <c r="K297" s="239">
        <v>15459</v>
      </c>
      <c r="L297" s="239">
        <v>0</v>
      </c>
      <c r="M297" s="239">
        <v>0</v>
      </c>
      <c r="N297" s="239">
        <v>0</v>
      </c>
      <c r="O297" s="239">
        <v>63166243</v>
      </c>
      <c r="P297" s="214" t="s">
        <v>676</v>
      </c>
      <c r="Q297" s="214" t="s">
        <v>768</v>
      </c>
      <c r="R297" s="214" t="s">
        <v>766</v>
      </c>
      <c r="S297" s="214" t="s">
        <v>1296</v>
      </c>
    </row>
    <row r="298" spans="2:19" x14ac:dyDescent="0.2">
      <c r="B298" s="250" t="s">
        <v>679</v>
      </c>
      <c r="C298" s="250" t="s">
        <v>678</v>
      </c>
      <c r="D298" s="239">
        <v>55051646</v>
      </c>
      <c r="E298" s="239">
        <v>0</v>
      </c>
      <c r="F298" s="239">
        <v>314140</v>
      </c>
      <c r="G298" s="239">
        <v>290876</v>
      </c>
      <c r="H298" s="239">
        <v>0</v>
      </c>
      <c r="I298" s="239">
        <v>290876</v>
      </c>
      <c r="J298" s="239">
        <v>0</v>
      </c>
      <c r="K298" s="239">
        <v>0</v>
      </c>
      <c r="L298" s="239">
        <v>0</v>
      </c>
      <c r="M298" s="239">
        <v>0</v>
      </c>
      <c r="N298" s="239">
        <v>0</v>
      </c>
      <c r="O298" s="239">
        <v>54446630</v>
      </c>
      <c r="P298" s="214" t="s">
        <v>678</v>
      </c>
      <c r="Q298" s="214" t="s">
        <v>790</v>
      </c>
      <c r="R298" s="214" t="s">
        <v>749</v>
      </c>
      <c r="S298" s="214" t="s">
        <v>1295</v>
      </c>
    </row>
    <row r="299" spans="2:19" x14ac:dyDescent="0.2">
      <c r="B299" s="250" t="s">
        <v>681</v>
      </c>
      <c r="C299" s="250" t="s">
        <v>680</v>
      </c>
      <c r="D299" s="239">
        <v>96878471</v>
      </c>
      <c r="E299" s="239">
        <v>0</v>
      </c>
      <c r="F299" s="239">
        <v>1633609</v>
      </c>
      <c r="G299" s="239">
        <v>468827</v>
      </c>
      <c r="H299" s="239">
        <v>0</v>
      </c>
      <c r="I299" s="239">
        <v>468827</v>
      </c>
      <c r="J299" s="239">
        <v>0</v>
      </c>
      <c r="K299" s="239">
        <v>0</v>
      </c>
      <c r="L299" s="239">
        <v>0</v>
      </c>
      <c r="M299" s="239">
        <v>0</v>
      </c>
      <c r="N299" s="239">
        <v>0</v>
      </c>
      <c r="O299" s="239">
        <v>94776035</v>
      </c>
      <c r="P299" s="214" t="s">
        <v>680</v>
      </c>
      <c r="Q299" s="214" t="s">
        <v>790</v>
      </c>
      <c r="R299" s="214" t="s">
        <v>749</v>
      </c>
      <c r="S299" s="214" t="s">
        <v>1297</v>
      </c>
    </row>
    <row r="300" spans="2:19" x14ac:dyDescent="0.2">
      <c r="B300" s="250" t="s">
        <v>683</v>
      </c>
      <c r="C300" s="250" t="s">
        <v>682</v>
      </c>
      <c r="D300" s="239">
        <v>108697642</v>
      </c>
      <c r="E300" s="239">
        <v>0</v>
      </c>
      <c r="F300" s="239">
        <v>816609</v>
      </c>
      <c r="G300" s="239">
        <v>307797</v>
      </c>
      <c r="H300" s="239">
        <v>0</v>
      </c>
      <c r="I300" s="239">
        <v>307797</v>
      </c>
      <c r="J300" s="239">
        <v>0</v>
      </c>
      <c r="K300" s="239">
        <v>0</v>
      </c>
      <c r="L300" s="239">
        <v>0</v>
      </c>
      <c r="M300" s="239">
        <v>0</v>
      </c>
      <c r="N300" s="239">
        <v>0</v>
      </c>
      <c r="O300" s="239">
        <v>107573236</v>
      </c>
      <c r="P300" s="214" t="s">
        <v>817</v>
      </c>
      <c r="Q300" s="214" t="s">
        <v>748</v>
      </c>
      <c r="R300" s="214" t="s">
        <v>815</v>
      </c>
      <c r="S300" s="214" t="s">
        <v>748</v>
      </c>
    </row>
    <row r="301" spans="2:19" x14ac:dyDescent="0.2">
      <c r="B301" s="250" t="s">
        <v>685</v>
      </c>
      <c r="C301" s="250" t="s">
        <v>684</v>
      </c>
      <c r="D301" s="239">
        <v>66441547</v>
      </c>
      <c r="E301" s="239">
        <v>0</v>
      </c>
      <c r="F301" s="239">
        <v>465325</v>
      </c>
      <c r="G301" s="239">
        <v>214945</v>
      </c>
      <c r="H301" s="239">
        <v>0</v>
      </c>
      <c r="I301" s="239">
        <v>214945</v>
      </c>
      <c r="J301" s="239">
        <v>0</v>
      </c>
      <c r="K301" s="239">
        <v>0</v>
      </c>
      <c r="L301" s="239">
        <v>14913</v>
      </c>
      <c r="M301" s="239">
        <v>14913</v>
      </c>
      <c r="N301" s="239">
        <v>0</v>
      </c>
      <c r="O301" s="239">
        <v>65746364</v>
      </c>
      <c r="P301" s="214" t="s">
        <v>684</v>
      </c>
      <c r="Q301" s="214" t="s">
        <v>813</v>
      </c>
      <c r="R301" s="214" t="s">
        <v>763</v>
      </c>
      <c r="S301" s="214" t="s">
        <v>1294</v>
      </c>
    </row>
    <row r="302" spans="2:19" x14ac:dyDescent="0.2">
      <c r="B302" s="250" t="s">
        <v>687</v>
      </c>
      <c r="C302" s="250" t="s">
        <v>686</v>
      </c>
      <c r="D302" s="239">
        <v>59842246</v>
      </c>
      <c r="E302" s="239">
        <v>0</v>
      </c>
      <c r="F302" s="239">
        <v>241191</v>
      </c>
      <c r="G302" s="239">
        <v>171837</v>
      </c>
      <c r="H302" s="239">
        <v>0</v>
      </c>
      <c r="I302" s="239">
        <v>171837</v>
      </c>
      <c r="J302" s="239">
        <v>0</v>
      </c>
      <c r="K302" s="239">
        <v>0</v>
      </c>
      <c r="L302" s="239">
        <v>0</v>
      </c>
      <c r="M302" s="239">
        <v>0</v>
      </c>
      <c r="N302" s="239">
        <v>0</v>
      </c>
      <c r="O302" s="239">
        <v>59429218</v>
      </c>
      <c r="P302" s="214" t="s">
        <v>686</v>
      </c>
      <c r="Q302" s="214" t="s">
        <v>803</v>
      </c>
      <c r="R302" s="214" t="s">
        <v>763</v>
      </c>
      <c r="S302" s="214" t="s">
        <v>1294</v>
      </c>
    </row>
    <row r="303" spans="2:19" x14ac:dyDescent="0.2">
      <c r="B303" s="250" t="s">
        <v>689</v>
      </c>
      <c r="C303" s="250" t="s">
        <v>688</v>
      </c>
      <c r="D303" s="239">
        <v>24801380</v>
      </c>
      <c r="E303" s="239">
        <v>0</v>
      </c>
      <c r="F303" s="239">
        <v>271474</v>
      </c>
      <c r="G303" s="239">
        <v>203983</v>
      </c>
      <c r="H303" s="239">
        <v>0</v>
      </c>
      <c r="I303" s="239">
        <v>203983</v>
      </c>
      <c r="J303" s="239">
        <v>0</v>
      </c>
      <c r="K303" s="239">
        <v>213114</v>
      </c>
      <c r="L303" s="239">
        <v>125527</v>
      </c>
      <c r="M303" s="239">
        <v>125527</v>
      </c>
      <c r="N303" s="239">
        <v>0</v>
      </c>
      <c r="O303" s="239">
        <v>23987282</v>
      </c>
      <c r="P303" s="214" t="s">
        <v>688</v>
      </c>
      <c r="Q303" s="214" t="s">
        <v>811</v>
      </c>
      <c r="R303" s="214" t="s">
        <v>763</v>
      </c>
      <c r="S303" s="214" t="s">
        <v>1294</v>
      </c>
    </row>
    <row r="304" spans="2:19" x14ac:dyDescent="0.2">
      <c r="B304" s="250" t="s">
        <v>691</v>
      </c>
      <c r="C304" s="250" t="s">
        <v>690</v>
      </c>
      <c r="D304" s="239">
        <v>34422580</v>
      </c>
      <c r="E304" s="239">
        <v>11012</v>
      </c>
      <c r="F304" s="239">
        <v>0</v>
      </c>
      <c r="G304" s="239">
        <v>180761</v>
      </c>
      <c r="H304" s="239">
        <v>0</v>
      </c>
      <c r="I304" s="239">
        <v>180761</v>
      </c>
      <c r="J304" s="239">
        <v>0</v>
      </c>
      <c r="K304" s="239">
        <v>0</v>
      </c>
      <c r="L304" s="239">
        <v>0</v>
      </c>
      <c r="M304" s="239">
        <v>0</v>
      </c>
      <c r="N304" s="239">
        <v>0</v>
      </c>
      <c r="O304" s="239">
        <v>34252831</v>
      </c>
      <c r="P304" s="214" t="s">
        <v>690</v>
      </c>
      <c r="Q304" s="214" t="s">
        <v>772</v>
      </c>
      <c r="R304" s="214" t="s">
        <v>763</v>
      </c>
      <c r="S304" s="214" t="s">
        <v>1294</v>
      </c>
    </row>
    <row r="305" spans="2:19" x14ac:dyDescent="0.2">
      <c r="B305" s="250" t="s">
        <v>693</v>
      </c>
      <c r="C305" s="250" t="s">
        <v>692</v>
      </c>
      <c r="D305" s="239">
        <v>29469874</v>
      </c>
      <c r="E305" s="239">
        <v>0</v>
      </c>
      <c r="F305" s="239">
        <v>29692</v>
      </c>
      <c r="G305" s="239">
        <v>208385</v>
      </c>
      <c r="H305" s="239">
        <v>0</v>
      </c>
      <c r="I305" s="239">
        <v>208385</v>
      </c>
      <c r="J305" s="239">
        <v>0</v>
      </c>
      <c r="K305" s="239">
        <v>0</v>
      </c>
      <c r="L305" s="239">
        <v>173290</v>
      </c>
      <c r="M305" s="239">
        <v>173290</v>
      </c>
      <c r="N305" s="239">
        <v>0</v>
      </c>
      <c r="O305" s="239">
        <v>29058507</v>
      </c>
      <c r="P305" s="214" t="s">
        <v>692</v>
      </c>
      <c r="Q305" s="214" t="s">
        <v>809</v>
      </c>
      <c r="R305" s="214" t="s">
        <v>807</v>
      </c>
      <c r="S305" s="214" t="s">
        <v>1294</v>
      </c>
    </row>
    <row r="306" spans="2:19" x14ac:dyDescent="0.2">
      <c r="B306" s="250" t="s">
        <v>695</v>
      </c>
      <c r="C306" s="250" t="s">
        <v>694</v>
      </c>
      <c r="D306" s="239">
        <v>28354516</v>
      </c>
      <c r="E306" s="239">
        <v>0</v>
      </c>
      <c r="F306" s="239">
        <v>39026</v>
      </c>
      <c r="G306" s="239">
        <v>111686</v>
      </c>
      <c r="H306" s="239">
        <v>0</v>
      </c>
      <c r="I306" s="239">
        <v>111686</v>
      </c>
      <c r="J306" s="239">
        <v>0</v>
      </c>
      <c r="K306" s="239">
        <v>0</v>
      </c>
      <c r="L306" s="239">
        <v>34314</v>
      </c>
      <c r="M306" s="239">
        <v>34314</v>
      </c>
      <c r="N306" s="239">
        <v>0</v>
      </c>
      <c r="O306" s="239">
        <v>28169490</v>
      </c>
      <c r="P306" s="214" t="s">
        <v>694</v>
      </c>
      <c r="Q306" s="214" t="s">
        <v>805</v>
      </c>
      <c r="R306" s="214" t="s">
        <v>763</v>
      </c>
      <c r="S306" s="214" t="s">
        <v>1294</v>
      </c>
    </row>
    <row r="307" spans="2:19" x14ac:dyDescent="0.2">
      <c r="B307" s="250" t="s">
        <v>697</v>
      </c>
      <c r="C307" s="250" t="s">
        <v>696</v>
      </c>
      <c r="D307" s="239">
        <v>58194045</v>
      </c>
      <c r="E307" s="239">
        <v>0</v>
      </c>
      <c r="F307" s="239">
        <v>51311</v>
      </c>
      <c r="G307" s="239">
        <v>154681</v>
      </c>
      <c r="H307" s="239">
        <v>0</v>
      </c>
      <c r="I307" s="239">
        <v>154681</v>
      </c>
      <c r="J307" s="239">
        <v>0</v>
      </c>
      <c r="K307" s="239">
        <v>0</v>
      </c>
      <c r="L307" s="239">
        <v>0</v>
      </c>
      <c r="M307" s="239">
        <v>0</v>
      </c>
      <c r="N307" s="239">
        <v>0</v>
      </c>
      <c r="O307" s="239">
        <v>57988053</v>
      </c>
      <c r="P307" s="214" t="s">
        <v>696</v>
      </c>
      <c r="Q307" s="214" t="s">
        <v>803</v>
      </c>
      <c r="R307" s="214" t="s">
        <v>763</v>
      </c>
      <c r="S307" s="214" t="s">
        <v>1294</v>
      </c>
    </row>
    <row r="308" spans="2:19" x14ac:dyDescent="0.2">
      <c r="B308" s="250" t="s">
        <v>699</v>
      </c>
      <c r="C308" s="250" t="s">
        <v>698</v>
      </c>
      <c r="D308" s="239">
        <v>84597945</v>
      </c>
      <c r="E308" s="239">
        <v>0</v>
      </c>
      <c r="F308" s="239">
        <v>95358</v>
      </c>
      <c r="G308" s="239">
        <v>258585</v>
      </c>
      <c r="H308" s="239">
        <v>0</v>
      </c>
      <c r="I308" s="239">
        <v>258585</v>
      </c>
      <c r="J308" s="239">
        <v>0</v>
      </c>
      <c r="K308" s="239">
        <v>0</v>
      </c>
      <c r="L308" s="239">
        <v>0</v>
      </c>
      <c r="M308" s="239">
        <v>0</v>
      </c>
      <c r="N308" s="239">
        <v>0</v>
      </c>
      <c r="O308" s="239">
        <v>84244002</v>
      </c>
      <c r="P308" s="214" t="s">
        <v>802</v>
      </c>
      <c r="Q308" s="214" t="s">
        <v>748</v>
      </c>
      <c r="R308" s="214" t="s">
        <v>769</v>
      </c>
      <c r="S308" s="214" t="s">
        <v>748</v>
      </c>
    </row>
    <row r="309" spans="2:19" x14ac:dyDescent="0.2">
      <c r="B309" s="250" t="s">
        <v>701</v>
      </c>
      <c r="C309" s="250" t="s">
        <v>700</v>
      </c>
      <c r="D309" s="239">
        <v>9291681</v>
      </c>
      <c r="E309" s="239">
        <v>97838</v>
      </c>
      <c r="F309" s="239">
        <v>0</v>
      </c>
      <c r="G309" s="239">
        <v>83914</v>
      </c>
      <c r="H309" s="239">
        <v>0</v>
      </c>
      <c r="I309" s="239">
        <v>83914</v>
      </c>
      <c r="J309" s="239">
        <v>0</v>
      </c>
      <c r="K309" s="239">
        <v>0</v>
      </c>
      <c r="L309" s="239">
        <v>0</v>
      </c>
      <c r="M309" s="239">
        <v>0</v>
      </c>
      <c r="N309" s="239">
        <v>0</v>
      </c>
      <c r="O309" s="239">
        <v>9305605</v>
      </c>
      <c r="P309" s="214" t="s">
        <v>700</v>
      </c>
      <c r="Q309" s="214" t="s">
        <v>800</v>
      </c>
      <c r="R309" s="214" t="s">
        <v>792</v>
      </c>
      <c r="S309" s="214" t="s">
        <v>1294</v>
      </c>
    </row>
    <row r="310" spans="2:19" x14ac:dyDescent="0.2">
      <c r="B310" s="250" t="s">
        <v>703</v>
      </c>
      <c r="C310" s="250" t="s">
        <v>702</v>
      </c>
      <c r="D310" s="239">
        <v>27070141</v>
      </c>
      <c r="E310" s="239">
        <v>0</v>
      </c>
      <c r="F310" s="239">
        <v>33726</v>
      </c>
      <c r="G310" s="239">
        <v>208248</v>
      </c>
      <c r="H310" s="239">
        <v>0</v>
      </c>
      <c r="I310" s="239">
        <v>208248</v>
      </c>
      <c r="J310" s="239">
        <v>0</v>
      </c>
      <c r="K310" s="239">
        <v>0</v>
      </c>
      <c r="L310" s="239">
        <v>95790</v>
      </c>
      <c r="M310" s="239">
        <v>95790</v>
      </c>
      <c r="N310" s="239">
        <v>0</v>
      </c>
      <c r="O310" s="239">
        <v>26732377</v>
      </c>
      <c r="P310" s="214" t="s">
        <v>702</v>
      </c>
      <c r="Q310" s="214" t="s">
        <v>787</v>
      </c>
      <c r="R310" s="214" t="s">
        <v>785</v>
      </c>
      <c r="S310" s="214" t="s">
        <v>1294</v>
      </c>
    </row>
    <row r="311" spans="2:19" x14ac:dyDescent="0.2">
      <c r="B311" s="250" t="s">
        <v>705</v>
      </c>
      <c r="C311" s="250" t="s">
        <v>704</v>
      </c>
      <c r="D311" s="239">
        <v>28855700</v>
      </c>
      <c r="E311" s="239">
        <v>0</v>
      </c>
      <c r="F311" s="239">
        <v>14078</v>
      </c>
      <c r="G311" s="239">
        <v>132639</v>
      </c>
      <c r="H311" s="239">
        <v>0</v>
      </c>
      <c r="I311" s="239">
        <v>132639</v>
      </c>
      <c r="J311" s="239">
        <v>0</v>
      </c>
      <c r="K311" s="239">
        <v>0</v>
      </c>
      <c r="L311" s="239">
        <v>0</v>
      </c>
      <c r="M311" s="239">
        <v>0</v>
      </c>
      <c r="N311" s="239">
        <v>0</v>
      </c>
      <c r="O311" s="239">
        <v>28708983</v>
      </c>
      <c r="P311" s="214" t="s">
        <v>704</v>
      </c>
      <c r="Q311" s="214" t="s">
        <v>757</v>
      </c>
      <c r="R311" s="214" t="s">
        <v>755</v>
      </c>
      <c r="S311" s="214" t="s">
        <v>1294</v>
      </c>
    </row>
    <row r="312" spans="2:19" x14ac:dyDescent="0.2">
      <c r="B312" s="250" t="s">
        <v>707</v>
      </c>
      <c r="C312" s="250" t="s">
        <v>706</v>
      </c>
      <c r="D312" s="239">
        <v>13659910</v>
      </c>
      <c r="E312" s="239">
        <v>0</v>
      </c>
      <c r="F312" s="239">
        <v>140742</v>
      </c>
      <c r="G312" s="239">
        <v>105817</v>
      </c>
      <c r="H312" s="239">
        <v>0</v>
      </c>
      <c r="I312" s="239">
        <v>105817</v>
      </c>
      <c r="J312" s="239">
        <v>0</v>
      </c>
      <c r="K312" s="239">
        <v>0</v>
      </c>
      <c r="L312" s="239">
        <v>20244</v>
      </c>
      <c r="M312" s="239">
        <v>20244</v>
      </c>
      <c r="N312" s="239">
        <v>0</v>
      </c>
      <c r="O312" s="239">
        <v>13393107</v>
      </c>
      <c r="P312" s="214" t="s">
        <v>706</v>
      </c>
      <c r="Q312" s="214" t="s">
        <v>798</v>
      </c>
      <c r="R312" s="214" t="s">
        <v>763</v>
      </c>
      <c r="S312" s="214" t="s">
        <v>1294</v>
      </c>
    </row>
    <row r="313" spans="2:19" x14ac:dyDescent="0.2">
      <c r="B313" s="250" t="s">
        <v>709</v>
      </c>
      <c r="C313" s="250" t="s">
        <v>708</v>
      </c>
      <c r="D313" s="239">
        <v>31694980</v>
      </c>
      <c r="E313" s="239">
        <v>0</v>
      </c>
      <c r="F313" s="239">
        <v>17768</v>
      </c>
      <c r="G313" s="239">
        <v>163844</v>
      </c>
      <c r="H313" s="239">
        <v>0</v>
      </c>
      <c r="I313" s="239">
        <v>163844</v>
      </c>
      <c r="J313" s="239">
        <v>0</v>
      </c>
      <c r="K313" s="239">
        <v>0</v>
      </c>
      <c r="L313" s="239">
        <v>294335</v>
      </c>
      <c r="M313" s="239">
        <v>294335</v>
      </c>
      <c r="N313" s="239">
        <v>0</v>
      </c>
      <c r="O313" s="239">
        <v>31219033</v>
      </c>
      <c r="P313" s="214" t="s">
        <v>708</v>
      </c>
      <c r="Q313" s="214" t="s">
        <v>796</v>
      </c>
      <c r="R313" s="214" t="s">
        <v>763</v>
      </c>
      <c r="S313" s="214" t="s">
        <v>1294</v>
      </c>
    </row>
    <row r="314" spans="2:19" x14ac:dyDescent="0.2">
      <c r="B314" s="250" t="s">
        <v>711</v>
      </c>
      <c r="C314" s="250" t="s">
        <v>710</v>
      </c>
      <c r="D314" s="239">
        <v>14758150</v>
      </c>
      <c r="E314" s="239">
        <v>0</v>
      </c>
      <c r="F314" s="239">
        <v>4838666</v>
      </c>
      <c r="G314" s="239">
        <v>74735</v>
      </c>
      <c r="H314" s="239">
        <v>0</v>
      </c>
      <c r="I314" s="239">
        <v>74735</v>
      </c>
      <c r="J314" s="239">
        <v>0</v>
      </c>
      <c r="K314" s="239">
        <v>0</v>
      </c>
      <c r="L314" s="239">
        <v>26745</v>
      </c>
      <c r="M314" s="239">
        <v>26745</v>
      </c>
      <c r="N314" s="239">
        <v>0</v>
      </c>
      <c r="O314" s="239">
        <v>9818004</v>
      </c>
      <c r="P314" s="214" t="s">
        <v>710</v>
      </c>
      <c r="Q314" s="214" t="s">
        <v>794</v>
      </c>
      <c r="R314" s="214" t="s">
        <v>792</v>
      </c>
      <c r="S314" s="214" t="s">
        <v>1294</v>
      </c>
    </row>
    <row r="315" spans="2:19" x14ac:dyDescent="0.2">
      <c r="B315" s="250" t="s">
        <v>713</v>
      </c>
      <c r="C315" s="250" t="s">
        <v>712</v>
      </c>
      <c r="D315" s="239">
        <v>1639568205</v>
      </c>
      <c r="E315" s="239">
        <v>0</v>
      </c>
      <c r="F315" s="239">
        <v>39323569</v>
      </c>
      <c r="G315" s="239">
        <v>3129174</v>
      </c>
      <c r="H315" s="239">
        <v>0</v>
      </c>
      <c r="I315" s="239">
        <v>3129174</v>
      </c>
      <c r="J315" s="239">
        <v>0</v>
      </c>
      <c r="K315" s="239">
        <v>0</v>
      </c>
      <c r="L315" s="239">
        <v>0</v>
      </c>
      <c r="M315" s="239">
        <v>0</v>
      </c>
      <c r="N315" s="239">
        <v>0</v>
      </c>
      <c r="O315" s="239">
        <v>1597115462</v>
      </c>
      <c r="P315" s="214" t="s">
        <v>712</v>
      </c>
      <c r="Q315" s="214" t="s">
        <v>790</v>
      </c>
      <c r="R315" s="214" t="s">
        <v>749</v>
      </c>
      <c r="S315" s="214" t="s">
        <v>1297</v>
      </c>
    </row>
    <row r="316" spans="2:19" x14ac:dyDescent="0.2">
      <c r="B316" s="250" t="s">
        <v>715</v>
      </c>
      <c r="C316" s="250" t="s">
        <v>714</v>
      </c>
      <c r="D316" s="239">
        <v>15365230</v>
      </c>
      <c r="E316" s="239">
        <v>11569</v>
      </c>
      <c r="F316" s="239">
        <v>0</v>
      </c>
      <c r="G316" s="239">
        <v>107702</v>
      </c>
      <c r="H316" s="239">
        <v>0</v>
      </c>
      <c r="I316" s="239">
        <v>107702</v>
      </c>
      <c r="J316" s="239">
        <v>0</v>
      </c>
      <c r="K316" s="239">
        <v>0</v>
      </c>
      <c r="L316" s="239">
        <v>0</v>
      </c>
      <c r="M316" s="239">
        <v>0</v>
      </c>
      <c r="N316" s="239">
        <v>0</v>
      </c>
      <c r="O316" s="239">
        <v>15269097</v>
      </c>
      <c r="P316" s="214" t="s">
        <v>789</v>
      </c>
      <c r="Q316" s="214" t="s">
        <v>787</v>
      </c>
      <c r="R316" s="214" t="s">
        <v>785</v>
      </c>
      <c r="S316" s="214" t="s">
        <v>1294</v>
      </c>
    </row>
    <row r="317" spans="2:19" x14ac:dyDescent="0.2">
      <c r="B317" s="250" t="s">
        <v>717</v>
      </c>
      <c r="C317" s="250" t="s">
        <v>716</v>
      </c>
      <c r="D317" s="239">
        <v>76939460</v>
      </c>
      <c r="E317" s="239">
        <v>0</v>
      </c>
      <c r="F317" s="239">
        <v>327159</v>
      </c>
      <c r="G317" s="239">
        <v>387365</v>
      </c>
      <c r="H317" s="239">
        <v>0</v>
      </c>
      <c r="I317" s="239">
        <v>387365</v>
      </c>
      <c r="J317" s="239">
        <v>0</v>
      </c>
      <c r="K317" s="239">
        <v>0</v>
      </c>
      <c r="L317" s="239">
        <v>0</v>
      </c>
      <c r="M317" s="239">
        <v>0</v>
      </c>
      <c r="N317" s="239">
        <v>0</v>
      </c>
      <c r="O317" s="239">
        <v>76224936</v>
      </c>
      <c r="P317" s="214" t="s">
        <v>716</v>
      </c>
      <c r="Q317" s="214" t="s">
        <v>768</v>
      </c>
      <c r="R317" s="214" t="s">
        <v>783</v>
      </c>
      <c r="S317" s="214" t="s">
        <v>1296</v>
      </c>
    </row>
    <row r="318" spans="2:19" x14ac:dyDescent="0.2">
      <c r="B318" s="250" t="s">
        <v>719</v>
      </c>
      <c r="C318" s="250" t="s">
        <v>718</v>
      </c>
      <c r="D318" s="239">
        <v>141560193</v>
      </c>
      <c r="E318" s="239">
        <v>0</v>
      </c>
      <c r="F318" s="239">
        <v>935829</v>
      </c>
      <c r="G318" s="239">
        <v>622066</v>
      </c>
      <c r="H318" s="239">
        <v>0</v>
      </c>
      <c r="I318" s="239">
        <v>622066</v>
      </c>
      <c r="J318" s="239">
        <v>0</v>
      </c>
      <c r="K318" s="239">
        <v>0</v>
      </c>
      <c r="L318" s="239">
        <v>922623</v>
      </c>
      <c r="M318" s="239">
        <v>922623</v>
      </c>
      <c r="N318" s="239">
        <v>0</v>
      </c>
      <c r="O318" s="239">
        <v>139079675</v>
      </c>
      <c r="P318" s="214" t="s">
        <v>718</v>
      </c>
      <c r="Q318" s="214" t="s">
        <v>748</v>
      </c>
      <c r="R318" s="214" t="s">
        <v>781</v>
      </c>
      <c r="S318" s="214" t="s">
        <v>748</v>
      </c>
    </row>
    <row r="319" spans="2:19" x14ac:dyDescent="0.2">
      <c r="B319" s="250" t="s">
        <v>721</v>
      </c>
      <c r="C319" s="250" t="s">
        <v>720</v>
      </c>
      <c r="D319" s="239">
        <v>54800179</v>
      </c>
      <c r="E319" s="239">
        <v>343777</v>
      </c>
      <c r="F319" s="239">
        <v>0</v>
      </c>
      <c r="G319" s="239">
        <v>198414</v>
      </c>
      <c r="H319" s="239">
        <v>0</v>
      </c>
      <c r="I319" s="239">
        <v>198414</v>
      </c>
      <c r="J319" s="239">
        <v>0</v>
      </c>
      <c r="K319" s="239">
        <v>0</v>
      </c>
      <c r="L319" s="239">
        <v>285775</v>
      </c>
      <c r="M319" s="239">
        <v>285775</v>
      </c>
      <c r="N319" s="239">
        <v>0</v>
      </c>
      <c r="O319" s="239">
        <v>54659767</v>
      </c>
      <c r="P319" s="214" t="s">
        <v>720</v>
      </c>
      <c r="Q319" s="214" t="s">
        <v>779</v>
      </c>
      <c r="R319" s="214" t="s">
        <v>777</v>
      </c>
      <c r="S319" s="214" t="s">
        <v>1294</v>
      </c>
    </row>
    <row r="320" spans="2:19" x14ac:dyDescent="0.2">
      <c r="B320" s="250" t="s">
        <v>723</v>
      </c>
      <c r="C320" s="250" t="s">
        <v>722</v>
      </c>
      <c r="D320" s="239">
        <v>79486512</v>
      </c>
      <c r="E320" s="239">
        <v>0</v>
      </c>
      <c r="F320" s="239">
        <v>23580</v>
      </c>
      <c r="G320" s="239">
        <v>246447</v>
      </c>
      <c r="H320" s="239">
        <v>0</v>
      </c>
      <c r="I320" s="239">
        <v>246447</v>
      </c>
      <c r="J320" s="239">
        <v>0</v>
      </c>
      <c r="K320" s="239">
        <v>0</v>
      </c>
      <c r="L320" s="239">
        <v>7296</v>
      </c>
      <c r="M320" s="239">
        <v>7296</v>
      </c>
      <c r="N320" s="239">
        <v>0</v>
      </c>
      <c r="O320" s="239">
        <v>79209189</v>
      </c>
      <c r="P320" s="214" t="s">
        <v>776</v>
      </c>
      <c r="Q320" s="214" t="s">
        <v>748</v>
      </c>
      <c r="R320" s="214" t="s">
        <v>769</v>
      </c>
      <c r="S320" s="214" t="s">
        <v>748</v>
      </c>
    </row>
    <row r="321" spans="2:19" x14ac:dyDescent="0.2">
      <c r="B321" s="250" t="s">
        <v>725</v>
      </c>
      <c r="C321" s="250" t="s">
        <v>724</v>
      </c>
      <c r="D321" s="239">
        <v>68578528</v>
      </c>
      <c r="E321" s="239">
        <v>0</v>
      </c>
      <c r="F321" s="239">
        <v>92168</v>
      </c>
      <c r="G321" s="239">
        <v>339401</v>
      </c>
      <c r="H321" s="239">
        <v>0</v>
      </c>
      <c r="I321" s="239">
        <v>339401</v>
      </c>
      <c r="J321" s="239">
        <v>0</v>
      </c>
      <c r="K321" s="239">
        <v>9353</v>
      </c>
      <c r="L321" s="239">
        <v>0</v>
      </c>
      <c r="M321" s="239">
        <v>0</v>
      </c>
      <c r="N321" s="239">
        <v>0</v>
      </c>
      <c r="O321" s="239">
        <v>68137606</v>
      </c>
      <c r="P321" s="214" t="s">
        <v>724</v>
      </c>
      <c r="Q321" s="214" t="s">
        <v>768</v>
      </c>
      <c r="R321" s="214" t="s">
        <v>774</v>
      </c>
      <c r="S321" s="214" t="s">
        <v>1296</v>
      </c>
    </row>
    <row r="322" spans="2:19" x14ac:dyDescent="0.2">
      <c r="B322" s="250" t="s">
        <v>727</v>
      </c>
      <c r="C322" s="250" t="s">
        <v>726</v>
      </c>
      <c r="D322" s="239">
        <v>49477257</v>
      </c>
      <c r="E322" s="239">
        <v>0</v>
      </c>
      <c r="F322" s="239">
        <v>53939</v>
      </c>
      <c r="G322" s="239">
        <v>136159</v>
      </c>
      <c r="H322" s="239">
        <v>0</v>
      </c>
      <c r="I322" s="239">
        <v>136159</v>
      </c>
      <c r="J322" s="239">
        <v>0</v>
      </c>
      <c r="K322" s="239">
        <v>0</v>
      </c>
      <c r="L322" s="239">
        <v>0</v>
      </c>
      <c r="M322" s="239">
        <v>0</v>
      </c>
      <c r="N322" s="239">
        <v>0</v>
      </c>
      <c r="O322" s="239">
        <v>49287159</v>
      </c>
      <c r="P322" s="214" t="s">
        <v>726</v>
      </c>
      <c r="Q322" s="214" t="s">
        <v>772</v>
      </c>
      <c r="R322" s="214" t="s">
        <v>763</v>
      </c>
      <c r="S322" s="214" t="s">
        <v>1294</v>
      </c>
    </row>
    <row r="323" spans="2:19" x14ac:dyDescent="0.2">
      <c r="B323" s="250" t="s">
        <v>729</v>
      </c>
      <c r="C323" s="250" t="s">
        <v>728</v>
      </c>
      <c r="D323" s="239">
        <v>57269651</v>
      </c>
      <c r="E323" s="239">
        <v>118507</v>
      </c>
      <c r="F323" s="239">
        <v>0</v>
      </c>
      <c r="G323" s="239">
        <v>185021</v>
      </c>
      <c r="H323" s="239">
        <v>0</v>
      </c>
      <c r="I323" s="239">
        <v>185021</v>
      </c>
      <c r="J323" s="239">
        <v>0</v>
      </c>
      <c r="K323" s="239">
        <v>0</v>
      </c>
      <c r="L323" s="239">
        <v>6412</v>
      </c>
      <c r="M323" s="239">
        <v>6412</v>
      </c>
      <c r="N323" s="239">
        <v>0</v>
      </c>
      <c r="O323" s="239">
        <v>57196725</v>
      </c>
      <c r="P323" s="214" t="s">
        <v>771</v>
      </c>
      <c r="Q323" s="214" t="s">
        <v>748</v>
      </c>
      <c r="R323" s="214" t="s">
        <v>769</v>
      </c>
      <c r="S323" s="214" t="s">
        <v>748</v>
      </c>
    </row>
    <row r="324" spans="2:19" x14ac:dyDescent="0.2">
      <c r="B324" s="250" t="s">
        <v>731</v>
      </c>
      <c r="C324" s="250" t="s">
        <v>730</v>
      </c>
      <c r="D324" s="239">
        <v>70161957</v>
      </c>
      <c r="E324" s="239">
        <v>0</v>
      </c>
      <c r="F324" s="239">
        <v>1299884</v>
      </c>
      <c r="G324" s="239">
        <v>346763</v>
      </c>
      <c r="H324" s="239">
        <v>0</v>
      </c>
      <c r="I324" s="239">
        <v>346763</v>
      </c>
      <c r="J324" s="239">
        <v>0</v>
      </c>
      <c r="K324" s="239">
        <v>807</v>
      </c>
      <c r="L324" s="239">
        <v>0</v>
      </c>
      <c r="M324" s="239">
        <v>0</v>
      </c>
      <c r="N324" s="239">
        <v>0</v>
      </c>
      <c r="O324" s="239">
        <v>68514503</v>
      </c>
      <c r="P324" s="214" t="s">
        <v>730</v>
      </c>
      <c r="Q324" s="214" t="s">
        <v>768</v>
      </c>
      <c r="R324" s="214" t="s">
        <v>766</v>
      </c>
      <c r="S324" s="214" t="s">
        <v>1296</v>
      </c>
    </row>
    <row r="325" spans="2:19" x14ac:dyDescent="0.2">
      <c r="B325" s="250" t="s">
        <v>733</v>
      </c>
      <c r="C325" s="250" t="s">
        <v>732</v>
      </c>
      <c r="D325" s="239">
        <v>40074599</v>
      </c>
      <c r="E325" s="239">
        <v>0</v>
      </c>
      <c r="F325" s="239">
        <v>42856</v>
      </c>
      <c r="G325" s="239">
        <v>138095</v>
      </c>
      <c r="H325" s="239">
        <v>0</v>
      </c>
      <c r="I325" s="239">
        <v>138095</v>
      </c>
      <c r="J325" s="239">
        <v>0</v>
      </c>
      <c r="K325" s="239">
        <v>0</v>
      </c>
      <c r="L325" s="239">
        <v>0</v>
      </c>
      <c r="M325" s="239">
        <v>0</v>
      </c>
      <c r="N325" s="239">
        <v>0</v>
      </c>
      <c r="O325" s="239">
        <v>39893648</v>
      </c>
      <c r="P325" s="214" t="s">
        <v>732</v>
      </c>
      <c r="Q325" s="214" t="s">
        <v>753</v>
      </c>
      <c r="R325" s="214" t="s">
        <v>751</v>
      </c>
      <c r="S325" s="214" t="s">
        <v>1294</v>
      </c>
    </row>
    <row r="326" spans="2:19" x14ac:dyDescent="0.2">
      <c r="B326" s="250" t="s">
        <v>735</v>
      </c>
      <c r="C326" s="250" t="s">
        <v>734</v>
      </c>
      <c r="D326" s="239">
        <v>31377054</v>
      </c>
      <c r="E326" s="239">
        <v>0</v>
      </c>
      <c r="F326" s="239">
        <v>118208</v>
      </c>
      <c r="G326" s="239">
        <v>132241</v>
      </c>
      <c r="H326" s="239">
        <v>0</v>
      </c>
      <c r="I326" s="239">
        <v>132241</v>
      </c>
      <c r="J326" s="239">
        <v>0</v>
      </c>
      <c r="K326" s="239">
        <v>0</v>
      </c>
      <c r="L326" s="239">
        <v>0</v>
      </c>
      <c r="M326" s="239">
        <v>0</v>
      </c>
      <c r="N326" s="239">
        <v>0</v>
      </c>
      <c r="O326" s="239">
        <v>31126605</v>
      </c>
      <c r="P326" s="214" t="s">
        <v>734</v>
      </c>
      <c r="Q326" s="214" t="s">
        <v>764</v>
      </c>
      <c r="R326" s="214" t="s">
        <v>763</v>
      </c>
      <c r="S326" s="214" t="s">
        <v>1294</v>
      </c>
    </row>
    <row r="327" spans="2:19" x14ac:dyDescent="0.2">
      <c r="B327" s="250" t="s">
        <v>737</v>
      </c>
      <c r="C327" s="250" t="s">
        <v>736</v>
      </c>
      <c r="D327" s="239">
        <v>38771775</v>
      </c>
      <c r="E327" s="239">
        <v>57084</v>
      </c>
      <c r="F327" s="239">
        <v>0</v>
      </c>
      <c r="G327" s="239">
        <v>188085</v>
      </c>
      <c r="H327" s="239">
        <v>0</v>
      </c>
      <c r="I327" s="239">
        <v>188085</v>
      </c>
      <c r="J327" s="239">
        <v>0</v>
      </c>
      <c r="K327" s="239">
        <v>0</v>
      </c>
      <c r="L327" s="239">
        <v>29428</v>
      </c>
      <c r="M327" s="239">
        <v>29428</v>
      </c>
      <c r="N327" s="239">
        <v>0</v>
      </c>
      <c r="O327" s="239">
        <v>38611346</v>
      </c>
      <c r="P327" s="214" t="s">
        <v>736</v>
      </c>
      <c r="Q327" s="214" t="s">
        <v>753</v>
      </c>
      <c r="R327" s="214" t="s">
        <v>751</v>
      </c>
      <c r="S327" s="214" t="s">
        <v>1294</v>
      </c>
    </row>
    <row r="328" spans="2:19" x14ac:dyDescent="0.2">
      <c r="B328" s="250" t="s">
        <v>739</v>
      </c>
      <c r="C328" s="250" t="s">
        <v>738</v>
      </c>
      <c r="D328" s="239">
        <v>69603865</v>
      </c>
      <c r="E328" s="239">
        <v>0</v>
      </c>
      <c r="F328" s="239">
        <v>6807</v>
      </c>
      <c r="G328" s="239">
        <v>243439</v>
      </c>
      <c r="H328" s="239">
        <v>0</v>
      </c>
      <c r="I328" s="239">
        <v>243439</v>
      </c>
      <c r="J328" s="239">
        <v>0</v>
      </c>
      <c r="K328" s="239">
        <v>0</v>
      </c>
      <c r="L328" s="239">
        <v>0</v>
      </c>
      <c r="M328" s="239">
        <v>0</v>
      </c>
      <c r="N328" s="239">
        <v>0</v>
      </c>
      <c r="O328" s="239">
        <v>69353619</v>
      </c>
      <c r="P328" s="214" t="s">
        <v>738</v>
      </c>
      <c r="Q328" s="214" t="s">
        <v>761</v>
      </c>
      <c r="R328" s="214" t="s">
        <v>759</v>
      </c>
      <c r="S328" s="214" t="s">
        <v>1294</v>
      </c>
    </row>
    <row r="329" spans="2:19" x14ac:dyDescent="0.2">
      <c r="B329" s="250" t="s">
        <v>741</v>
      </c>
      <c r="C329" s="250" t="s">
        <v>740</v>
      </c>
      <c r="D329" s="239">
        <v>23798745</v>
      </c>
      <c r="E329" s="239">
        <v>0</v>
      </c>
      <c r="F329" s="239">
        <v>927356</v>
      </c>
      <c r="G329" s="239">
        <v>153550</v>
      </c>
      <c r="H329" s="239">
        <v>0</v>
      </c>
      <c r="I329" s="239">
        <v>153550</v>
      </c>
      <c r="J329" s="239">
        <v>0</v>
      </c>
      <c r="K329" s="239">
        <v>0</v>
      </c>
      <c r="L329" s="239">
        <v>0</v>
      </c>
      <c r="M329" s="239">
        <v>0</v>
      </c>
      <c r="N329" s="239">
        <v>0</v>
      </c>
      <c r="O329" s="239">
        <v>22717839</v>
      </c>
      <c r="P329" s="214" t="s">
        <v>740</v>
      </c>
      <c r="Q329" s="214" t="s">
        <v>757</v>
      </c>
      <c r="R329" s="214" t="s">
        <v>755</v>
      </c>
      <c r="S329" s="214" t="s">
        <v>1294</v>
      </c>
    </row>
    <row r="330" spans="2:19" x14ac:dyDescent="0.2">
      <c r="B330" s="250" t="s">
        <v>743</v>
      </c>
      <c r="C330" s="250" t="s">
        <v>742</v>
      </c>
      <c r="D330" s="239">
        <v>28170638</v>
      </c>
      <c r="E330" s="239">
        <v>0</v>
      </c>
      <c r="F330" s="239">
        <v>234042</v>
      </c>
      <c r="G330" s="239">
        <v>135893</v>
      </c>
      <c r="H330" s="239">
        <v>0</v>
      </c>
      <c r="I330" s="239">
        <v>135893</v>
      </c>
      <c r="J330" s="239">
        <v>0</v>
      </c>
      <c r="K330" s="239">
        <v>0</v>
      </c>
      <c r="L330" s="239">
        <v>0</v>
      </c>
      <c r="M330" s="239">
        <v>0</v>
      </c>
      <c r="N330" s="239">
        <v>0</v>
      </c>
      <c r="O330" s="239">
        <v>27800703</v>
      </c>
      <c r="P330" s="214" t="s">
        <v>742</v>
      </c>
      <c r="Q330" s="214" t="s">
        <v>753</v>
      </c>
      <c r="R330" s="214" t="s">
        <v>751</v>
      </c>
      <c r="S330" s="214" t="s">
        <v>1294</v>
      </c>
    </row>
    <row r="331" spans="2:19" x14ac:dyDescent="0.2">
      <c r="B331" s="250" t="s">
        <v>745</v>
      </c>
      <c r="C331" s="250" t="s">
        <v>744</v>
      </c>
      <c r="D331" s="239">
        <v>102835186</v>
      </c>
      <c r="E331" s="239">
        <v>0</v>
      </c>
      <c r="F331" s="239">
        <v>68903</v>
      </c>
      <c r="G331" s="239">
        <v>295442</v>
      </c>
      <c r="H331" s="239">
        <v>0</v>
      </c>
      <c r="I331" s="239">
        <v>295442</v>
      </c>
      <c r="J331" s="239">
        <v>0</v>
      </c>
      <c r="K331" s="239">
        <v>0</v>
      </c>
      <c r="L331" s="239">
        <v>0</v>
      </c>
      <c r="M331" s="239">
        <v>0</v>
      </c>
      <c r="N331" s="239">
        <v>0</v>
      </c>
      <c r="O331" s="239">
        <v>102470841</v>
      </c>
      <c r="P331" s="214" t="s">
        <v>750</v>
      </c>
      <c r="Q331" s="214" t="s">
        <v>748</v>
      </c>
      <c r="R331" s="214" t="s">
        <v>746</v>
      </c>
      <c r="S331" s="214" t="s">
        <v>748</v>
      </c>
    </row>
    <row r="332" spans="2:19" x14ac:dyDescent="0.2">
      <c r="B332" s="250" t="s">
        <v>1286</v>
      </c>
      <c r="C332" s="250" t="s">
        <v>1278</v>
      </c>
      <c r="D332" s="239">
        <v>22728504721.779999</v>
      </c>
      <c r="E332" s="239">
        <v>21601181</v>
      </c>
      <c r="F332" s="239">
        <v>186219375</v>
      </c>
      <c r="G332" s="239">
        <v>83999996</v>
      </c>
      <c r="H332" s="239">
        <v>154326</v>
      </c>
      <c r="I332" s="239">
        <v>84154322</v>
      </c>
      <c r="J332" s="239">
        <v>10948000</v>
      </c>
      <c r="K332" s="239">
        <v>13817176</v>
      </c>
      <c r="L332" s="239">
        <v>37651322</v>
      </c>
      <c r="M332" s="239">
        <v>36045395</v>
      </c>
      <c r="N332" s="239">
        <v>1605927</v>
      </c>
      <c r="O332" s="239">
        <v>22417315707.779999</v>
      </c>
      <c r="P332" s="215" t="s">
        <v>1320</v>
      </c>
      <c r="Q332" s="215" t="s">
        <v>1320</v>
      </c>
      <c r="R332" s="215" t="s">
        <v>1320</v>
      </c>
      <c r="S332" s="215" t="s">
        <v>1320</v>
      </c>
    </row>
    <row r="333" spans="2:19" x14ac:dyDescent="0.2">
      <c r="D333" s="239">
        <v>22728504721.779999</v>
      </c>
      <c r="E333" s="239">
        <v>21601181</v>
      </c>
      <c r="F333" s="239">
        <v>186219375</v>
      </c>
      <c r="G333" s="239">
        <v>83999996</v>
      </c>
      <c r="H333" s="239">
        <v>154326</v>
      </c>
      <c r="I333" s="239">
        <v>84154322</v>
      </c>
      <c r="J333" s="239">
        <v>10948000</v>
      </c>
      <c r="K333" s="239">
        <v>13817176</v>
      </c>
      <c r="L333" s="239">
        <v>37651322</v>
      </c>
      <c r="M333" s="239">
        <v>36045395</v>
      </c>
      <c r="N333" s="239">
        <v>1605927</v>
      </c>
      <c r="O333" s="239">
        <v>22417315707.779999</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0DA808D9-9A82-40D2-86F7-F4B1497C12C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metadata</vt:lpstr>
      <vt:lpstr>Part 1</vt:lpstr>
      <vt:lpstr>Part 2</vt:lpstr>
      <vt:lpstr>Part 3</vt:lpstr>
      <vt:lpstr>Part 4</vt:lpstr>
      <vt:lpstr>Part 5</vt:lpstr>
      <vt:lpstr>Data</vt:lpstr>
      <vt:lpstr>TierSplit</vt:lpstr>
      <vt:lpstr>Datasheet1</vt:lpstr>
      <vt:lpstr>Datasheet2</vt:lpstr>
      <vt:lpstr>Datasheet3</vt:lpstr>
      <vt:lpstr>Datasheet4</vt:lpstr>
      <vt:lpstr>Datasheet5</vt:lpstr>
      <vt:lpstr>CONTACT</vt:lpstr>
      <vt:lpstr>datanew</vt:lpstr>
      <vt:lpstr>Data!datar</vt:lpstr>
      <vt:lpstr>datar</vt:lpstr>
      <vt:lpstr>Data!Print_Area</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lpstr>TierSplit!tiersplit</vt:lpstr>
    </vt:vector>
  </TitlesOfParts>
  <Company>DCLG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Nigel Harrison</cp:lastModifiedBy>
  <cp:lastPrinted>2016-11-18T10:53:48Z</cp:lastPrinted>
  <dcterms:created xsi:type="dcterms:W3CDTF">2013-07-12T16:47:25Z</dcterms:created>
  <dcterms:modified xsi:type="dcterms:W3CDTF">2017-06-12T13:38:56Z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fe28be60-ad97-42e4-bb0f-624f5565a624</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ies>
</file>